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ta72959\Documents\Účtovníctvo\rozpocet\2025\cerpanie\"/>
    </mc:Choice>
  </mc:AlternateContent>
  <xr:revisionPtr revIDLastSave="0" documentId="13_ncr:1_{6428D04E-ACB8-4B2A-9561-8DB310DC1A6F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Y640" i="2" l="1"/>
  <c r="W640" i="2"/>
  <c r="Q640" i="2"/>
  <c r="O640" i="2"/>
  <c r="I640" i="2"/>
  <c r="H640" i="2"/>
  <c r="G640" i="2"/>
  <c r="Z639" i="2"/>
  <c r="Z640" i="2" s="1"/>
  <c r="Y639" i="2"/>
  <c r="W639" i="2"/>
  <c r="U639" i="2"/>
  <c r="S639" i="2"/>
  <c r="S633" i="2" s="1"/>
  <c r="Q639" i="2"/>
  <c r="O639" i="2"/>
  <c r="N639" i="2"/>
  <c r="N640" i="2" s="1"/>
  <c r="M639" i="2"/>
  <c r="M640" i="2" s="1"/>
  <c r="L639" i="2"/>
  <c r="L640" i="2" s="1"/>
  <c r="K639" i="2"/>
  <c r="K633" i="2" s="1"/>
  <c r="K634" i="2" s="1"/>
  <c r="J639" i="2"/>
  <c r="J640" i="2" s="1"/>
  <c r="I639" i="2"/>
  <c r="H639" i="2"/>
  <c r="G639" i="2"/>
  <c r="V638" i="2"/>
  <c r="R638" i="2"/>
  <c r="P638" i="2"/>
  <c r="X638" i="2" s="1"/>
  <c r="N634" i="2"/>
  <c r="L634" i="2"/>
  <c r="Z633" i="2"/>
  <c r="Z634" i="2" s="1"/>
  <c r="Y633" i="2"/>
  <c r="Y634" i="2" s="1"/>
  <c r="W633" i="2"/>
  <c r="W634" i="2" s="1"/>
  <c r="Q633" i="2"/>
  <c r="Q634" i="2" s="1"/>
  <c r="O633" i="2"/>
  <c r="O634" i="2" s="1"/>
  <c r="N633" i="2"/>
  <c r="L633" i="2"/>
  <c r="J633" i="2"/>
  <c r="J634" i="2" s="1"/>
  <c r="I633" i="2"/>
  <c r="I634" i="2" s="1"/>
  <c r="H633" i="2"/>
  <c r="H634" i="2" s="1"/>
  <c r="G633" i="2"/>
  <c r="G634" i="2" s="1"/>
  <c r="P629" i="2"/>
  <c r="V628" i="2"/>
  <c r="P628" i="2"/>
  <c r="X628" i="2" s="1"/>
  <c r="U625" i="2"/>
  <c r="S625" i="2"/>
  <c r="N625" i="2"/>
  <c r="M625" i="2"/>
  <c r="K625" i="2"/>
  <c r="H625" i="2"/>
  <c r="Z624" i="2"/>
  <c r="Z625" i="2" s="1"/>
  <c r="Y624" i="2"/>
  <c r="Y625" i="2" s="1"/>
  <c r="W624" i="2"/>
  <c r="W625" i="2" s="1"/>
  <c r="U624" i="2"/>
  <c r="S624" i="2"/>
  <c r="Q624" i="2"/>
  <c r="Q625" i="2" s="1"/>
  <c r="O624" i="2"/>
  <c r="O625" i="2" s="1"/>
  <c r="N624" i="2"/>
  <c r="M624" i="2"/>
  <c r="L624" i="2"/>
  <c r="L625" i="2" s="1"/>
  <c r="K624" i="2"/>
  <c r="J624" i="2"/>
  <c r="J625" i="2" s="1"/>
  <c r="I624" i="2"/>
  <c r="I625" i="2" s="1"/>
  <c r="H624" i="2"/>
  <c r="G624" i="2"/>
  <c r="G625" i="2" s="1"/>
  <c r="P620" i="2"/>
  <c r="K620" i="2"/>
  <c r="P619" i="2"/>
  <c r="Y616" i="2"/>
  <c r="S616" i="2"/>
  <c r="Q616" i="2"/>
  <c r="N616" i="2"/>
  <c r="I616" i="2"/>
  <c r="H616" i="2"/>
  <c r="Z615" i="2"/>
  <c r="Z616" i="2" s="1"/>
  <c r="Y615" i="2"/>
  <c r="W615" i="2"/>
  <c r="U615" i="2"/>
  <c r="S615" i="2"/>
  <c r="Q615" i="2"/>
  <c r="O615" i="2"/>
  <c r="O616" i="2" s="1"/>
  <c r="N615" i="2"/>
  <c r="M615" i="2"/>
  <c r="M616" i="2" s="1"/>
  <c r="L615" i="2"/>
  <c r="L616" i="2" s="1"/>
  <c r="J615" i="2"/>
  <c r="J616" i="2" s="1"/>
  <c r="I615" i="2"/>
  <c r="H615" i="2"/>
  <c r="G615" i="2"/>
  <c r="G616" i="2" s="1"/>
  <c r="V614" i="2"/>
  <c r="P614" i="2"/>
  <c r="K614" i="2"/>
  <c r="K615" i="2" s="1"/>
  <c r="K616" i="2" s="1"/>
  <c r="V610" i="2"/>
  <c r="R610" i="2"/>
  <c r="P610" i="2"/>
  <c r="X610" i="2" s="1"/>
  <c r="P609" i="2"/>
  <c r="V608" i="2"/>
  <c r="P608" i="2"/>
  <c r="X608" i="2" s="1"/>
  <c r="P607" i="2"/>
  <c r="T606" i="2"/>
  <c r="P606" i="2"/>
  <c r="X606" i="2" s="1"/>
  <c r="X605" i="2"/>
  <c r="T605" i="2"/>
  <c r="P605" i="2"/>
  <c r="V605" i="2" s="1"/>
  <c r="W602" i="2"/>
  <c r="U602" i="2"/>
  <c r="O602" i="2"/>
  <c r="M602" i="2"/>
  <c r="J602" i="2"/>
  <c r="G602" i="2"/>
  <c r="V601" i="2"/>
  <c r="P601" i="2"/>
  <c r="W600" i="2"/>
  <c r="U600" i="2"/>
  <c r="S600" i="2"/>
  <c r="Q600" i="2"/>
  <c r="Q602" i="2" s="1"/>
  <c r="O600" i="2"/>
  <c r="N600" i="2"/>
  <c r="N602" i="2" s="1"/>
  <c r="M600" i="2"/>
  <c r="L600" i="2"/>
  <c r="L602" i="2" s="1"/>
  <c r="K600" i="2"/>
  <c r="K602" i="2" s="1"/>
  <c r="J600" i="2"/>
  <c r="I600" i="2"/>
  <c r="I602" i="2" s="1"/>
  <c r="H600" i="2"/>
  <c r="H602" i="2" s="1"/>
  <c r="G600" i="2"/>
  <c r="Z599" i="2"/>
  <c r="Y599" i="2"/>
  <c r="Y600" i="2" s="1"/>
  <c r="P599" i="2"/>
  <c r="V595" i="2"/>
  <c r="P595" i="2"/>
  <c r="T594" i="2"/>
  <c r="P594" i="2"/>
  <c r="V593" i="2"/>
  <c r="T593" i="2"/>
  <c r="P593" i="2"/>
  <c r="X593" i="2" s="1"/>
  <c r="X592" i="2"/>
  <c r="T592" i="2"/>
  <c r="P592" i="2"/>
  <c r="X591" i="2"/>
  <c r="T591" i="2"/>
  <c r="R591" i="2"/>
  <c r="P591" i="2"/>
  <c r="V591" i="2" s="1"/>
  <c r="X590" i="2"/>
  <c r="V590" i="2"/>
  <c r="T590" i="2"/>
  <c r="R590" i="2"/>
  <c r="P590" i="2"/>
  <c r="R589" i="2"/>
  <c r="K589" i="2"/>
  <c r="P589" i="2" s="1"/>
  <c r="Z586" i="2"/>
  <c r="U586" i="2"/>
  <c r="S586" i="2"/>
  <c r="O586" i="2"/>
  <c r="M586" i="2"/>
  <c r="J586" i="2"/>
  <c r="G586" i="2"/>
  <c r="Z585" i="2"/>
  <c r="Y585" i="2"/>
  <c r="W585" i="2"/>
  <c r="U585" i="2"/>
  <c r="S585" i="2"/>
  <c r="Q585" i="2"/>
  <c r="P585" i="2"/>
  <c r="O585" i="2"/>
  <c r="N585" i="2"/>
  <c r="N586" i="2" s="1"/>
  <c r="M585" i="2"/>
  <c r="L585" i="2"/>
  <c r="L586" i="2" s="1"/>
  <c r="J585" i="2"/>
  <c r="I585" i="2"/>
  <c r="I586" i="2" s="1"/>
  <c r="H585" i="2"/>
  <c r="H586" i="2" s="1"/>
  <c r="G585" i="2"/>
  <c r="X584" i="2"/>
  <c r="V584" i="2"/>
  <c r="T584" i="2"/>
  <c r="R584" i="2"/>
  <c r="V580" i="2"/>
  <c r="T580" i="2"/>
  <c r="R580" i="2"/>
  <c r="P580" i="2"/>
  <c r="X580" i="2" s="1"/>
  <c r="P579" i="2"/>
  <c r="X578" i="2"/>
  <c r="V578" i="2"/>
  <c r="T578" i="2"/>
  <c r="P578" i="2"/>
  <c r="R578" i="2" s="1"/>
  <c r="R577" i="2"/>
  <c r="P577" i="2"/>
  <c r="V577" i="2" s="1"/>
  <c r="Z574" i="2"/>
  <c r="Y574" i="2"/>
  <c r="Q574" i="2"/>
  <c r="O574" i="2"/>
  <c r="J574" i="2"/>
  <c r="I574" i="2"/>
  <c r="H574" i="2"/>
  <c r="G574" i="2"/>
  <c r="Z573" i="2"/>
  <c r="Y573" i="2"/>
  <c r="W573" i="2"/>
  <c r="W574" i="2" s="1"/>
  <c r="U573" i="2"/>
  <c r="U574" i="2" s="1"/>
  <c r="S573" i="2"/>
  <c r="Q573" i="2"/>
  <c r="O573" i="2"/>
  <c r="N573" i="2"/>
  <c r="N574" i="2" s="1"/>
  <c r="M573" i="2"/>
  <c r="M574" i="2" s="1"/>
  <c r="L573" i="2"/>
  <c r="L574" i="2" s="1"/>
  <c r="K573" i="2"/>
  <c r="J573" i="2"/>
  <c r="I573" i="2"/>
  <c r="H573" i="2"/>
  <c r="G573" i="2"/>
  <c r="K572" i="2"/>
  <c r="P568" i="2"/>
  <c r="X567" i="2"/>
  <c r="T567" i="2"/>
  <c r="R567" i="2"/>
  <c r="P567" i="2"/>
  <c r="V567" i="2" s="1"/>
  <c r="X566" i="2"/>
  <c r="V566" i="2"/>
  <c r="T566" i="2"/>
  <c r="R566" i="2"/>
  <c r="P566" i="2"/>
  <c r="X565" i="2"/>
  <c r="V565" i="2"/>
  <c r="R565" i="2"/>
  <c r="P565" i="2"/>
  <c r="T565" i="2" s="1"/>
  <c r="P564" i="2"/>
  <c r="Z561" i="2"/>
  <c r="Y561" i="2"/>
  <c r="S561" i="2"/>
  <c r="Q561" i="2"/>
  <c r="K561" i="2"/>
  <c r="J561" i="2"/>
  <c r="I561" i="2"/>
  <c r="H561" i="2"/>
  <c r="Z560" i="2"/>
  <c r="Y560" i="2"/>
  <c r="W560" i="2"/>
  <c r="U560" i="2"/>
  <c r="S560" i="2"/>
  <c r="Q560" i="2"/>
  <c r="O560" i="2"/>
  <c r="N560" i="2"/>
  <c r="N561" i="2" s="1"/>
  <c r="M560" i="2"/>
  <c r="L560" i="2"/>
  <c r="L561" i="2" s="1"/>
  <c r="K560" i="2"/>
  <c r="J560" i="2"/>
  <c r="I560" i="2"/>
  <c r="H560" i="2"/>
  <c r="G560" i="2"/>
  <c r="G561" i="2" s="1"/>
  <c r="X556" i="2"/>
  <c r="V556" i="2"/>
  <c r="T556" i="2"/>
  <c r="P556" i="2"/>
  <c r="R556" i="2" s="1"/>
  <c r="R555" i="2"/>
  <c r="P555" i="2"/>
  <c r="X555" i="2" s="1"/>
  <c r="X554" i="2"/>
  <c r="V554" i="2"/>
  <c r="P554" i="2"/>
  <c r="R554" i="2" s="1"/>
  <c r="T553" i="2"/>
  <c r="P553" i="2"/>
  <c r="X552" i="2"/>
  <c r="R552" i="2"/>
  <c r="P552" i="2"/>
  <c r="V552" i="2" s="1"/>
  <c r="X551" i="2"/>
  <c r="V551" i="2"/>
  <c r="T551" i="2"/>
  <c r="R551" i="2"/>
  <c r="P551" i="2"/>
  <c r="P550" i="2"/>
  <c r="X549" i="2"/>
  <c r="V549" i="2"/>
  <c r="R549" i="2"/>
  <c r="P549" i="2"/>
  <c r="T549" i="2" s="1"/>
  <c r="R548" i="2"/>
  <c r="P548" i="2"/>
  <c r="X548" i="2" s="1"/>
  <c r="Y545" i="2"/>
  <c r="S545" i="2"/>
  <c r="O545" i="2"/>
  <c r="N545" i="2"/>
  <c r="I545" i="2"/>
  <c r="H545" i="2"/>
  <c r="Z544" i="2"/>
  <c r="Z545" i="2" s="1"/>
  <c r="Y544" i="2"/>
  <c r="W544" i="2"/>
  <c r="W545" i="2" s="1"/>
  <c r="U544" i="2"/>
  <c r="S544" i="2"/>
  <c r="Q544" i="2"/>
  <c r="Q545" i="2" s="1"/>
  <c r="O544" i="2"/>
  <c r="N544" i="2"/>
  <c r="M544" i="2"/>
  <c r="M545" i="2" s="1"/>
  <c r="L544" i="2"/>
  <c r="L545" i="2" s="1"/>
  <c r="K544" i="2"/>
  <c r="K545" i="2" s="1"/>
  <c r="J544" i="2"/>
  <c r="I544" i="2"/>
  <c r="H544" i="2"/>
  <c r="R543" i="2"/>
  <c r="P543" i="2"/>
  <c r="X543" i="2" s="1"/>
  <c r="I543" i="2"/>
  <c r="I528" i="2" s="1"/>
  <c r="G543" i="2"/>
  <c r="P539" i="2"/>
  <c r="V539" i="2" s="1"/>
  <c r="Z536" i="2"/>
  <c r="W536" i="2"/>
  <c r="O536" i="2"/>
  <c r="M536" i="2"/>
  <c r="J536" i="2"/>
  <c r="G536" i="2"/>
  <c r="Z535" i="2"/>
  <c r="Y535" i="2"/>
  <c r="Y536" i="2" s="1"/>
  <c r="W535" i="2"/>
  <c r="U535" i="2"/>
  <c r="U536" i="2" s="1"/>
  <c r="S535" i="2"/>
  <c r="S536" i="2" s="1"/>
  <c r="Q535" i="2"/>
  <c r="P535" i="2"/>
  <c r="O535" i="2"/>
  <c r="N535" i="2"/>
  <c r="M535" i="2"/>
  <c r="L535" i="2"/>
  <c r="L536" i="2" s="1"/>
  <c r="K535" i="2"/>
  <c r="J535" i="2"/>
  <c r="I535" i="2"/>
  <c r="H535" i="2"/>
  <c r="H536" i="2" s="1"/>
  <c r="G535" i="2"/>
  <c r="Z530" i="2"/>
  <c r="Y530" i="2"/>
  <c r="W530" i="2"/>
  <c r="U530" i="2"/>
  <c r="S530" i="2"/>
  <c r="Q530" i="2"/>
  <c r="P530" i="2"/>
  <c r="O530" i="2"/>
  <c r="N530" i="2"/>
  <c r="M530" i="2"/>
  <c r="L530" i="2"/>
  <c r="K530" i="2"/>
  <c r="J530" i="2"/>
  <c r="I530" i="2"/>
  <c r="H530" i="2"/>
  <c r="G530" i="2"/>
  <c r="H529" i="2"/>
  <c r="H531" i="2" s="1"/>
  <c r="Y528" i="2"/>
  <c r="W528" i="2"/>
  <c r="U528" i="2"/>
  <c r="S528" i="2"/>
  <c r="Q528" i="2"/>
  <c r="O528" i="2"/>
  <c r="N528" i="2"/>
  <c r="M528" i="2"/>
  <c r="L528" i="2"/>
  <c r="J528" i="2"/>
  <c r="H528" i="2"/>
  <c r="Y524" i="2"/>
  <c r="Z524" i="2" s="1"/>
  <c r="P524" i="2"/>
  <c r="I524" i="2"/>
  <c r="Z523" i="2"/>
  <c r="Y523" i="2"/>
  <c r="P523" i="2"/>
  <c r="Z522" i="2"/>
  <c r="Y522" i="2"/>
  <c r="P522" i="2"/>
  <c r="I522" i="2"/>
  <c r="Y521" i="2"/>
  <c r="Z521" i="2" s="1"/>
  <c r="P521" i="2"/>
  <c r="R521" i="2" s="1"/>
  <c r="W519" i="2"/>
  <c r="O519" i="2"/>
  <c r="N519" i="2"/>
  <c r="H519" i="2"/>
  <c r="Z518" i="2"/>
  <c r="Y518" i="2"/>
  <c r="W518" i="2"/>
  <c r="U518" i="2"/>
  <c r="S518" i="2"/>
  <c r="Q518" i="2"/>
  <c r="R518" i="2" s="1"/>
  <c r="O518" i="2"/>
  <c r="N518" i="2"/>
  <c r="M518" i="2"/>
  <c r="L518" i="2"/>
  <c r="K518" i="2"/>
  <c r="K519" i="2" s="1"/>
  <c r="J518" i="2"/>
  <c r="J461" i="2" s="1"/>
  <c r="I518" i="2"/>
  <c r="H518" i="2"/>
  <c r="G518" i="2"/>
  <c r="G519" i="2" s="1"/>
  <c r="Y517" i="2"/>
  <c r="Z517" i="2" s="1"/>
  <c r="X517" i="2"/>
  <c r="V517" i="2"/>
  <c r="T517" i="2"/>
  <c r="R517" i="2"/>
  <c r="P517" i="2"/>
  <c r="P518" i="2" s="1"/>
  <c r="V518" i="2" s="1"/>
  <c r="W516" i="2"/>
  <c r="U516" i="2"/>
  <c r="S516" i="2"/>
  <c r="Q516" i="2"/>
  <c r="O516" i="2"/>
  <c r="N516" i="2"/>
  <c r="M516" i="2"/>
  <c r="M519" i="2" s="1"/>
  <c r="L516" i="2"/>
  <c r="L519" i="2" s="1"/>
  <c r="K516" i="2"/>
  <c r="J516" i="2"/>
  <c r="I516" i="2"/>
  <c r="I519" i="2" s="1"/>
  <c r="H516" i="2"/>
  <c r="G516" i="2"/>
  <c r="Z515" i="2"/>
  <c r="X515" i="2"/>
  <c r="P515" i="2"/>
  <c r="L515" i="2"/>
  <c r="Z514" i="2"/>
  <c r="T514" i="2"/>
  <c r="P514" i="2"/>
  <c r="R514" i="2" s="1"/>
  <c r="Y513" i="2"/>
  <c r="Y516" i="2" s="1"/>
  <c r="Y519" i="2" s="1"/>
  <c r="X513" i="2"/>
  <c r="V513" i="2"/>
  <c r="T513" i="2"/>
  <c r="R513" i="2"/>
  <c r="P513" i="2"/>
  <c r="Y509" i="2"/>
  <c r="Z509" i="2" s="1"/>
  <c r="X509" i="2"/>
  <c r="P509" i="2"/>
  <c r="V509" i="2" s="1"/>
  <c r="Y508" i="2"/>
  <c r="Z508" i="2" s="1"/>
  <c r="X508" i="2"/>
  <c r="V508" i="2"/>
  <c r="T508" i="2"/>
  <c r="P508" i="2"/>
  <c r="R508" i="2" s="1"/>
  <c r="Z507" i="2"/>
  <c r="Y507" i="2"/>
  <c r="X507" i="2"/>
  <c r="V507" i="2"/>
  <c r="T507" i="2"/>
  <c r="R507" i="2"/>
  <c r="P507" i="2"/>
  <c r="S505" i="2"/>
  <c r="Q505" i="2"/>
  <c r="J505" i="2"/>
  <c r="Y504" i="2"/>
  <c r="W504" i="2"/>
  <c r="U504" i="2"/>
  <c r="S504" i="2"/>
  <c r="Q504" i="2"/>
  <c r="O504" i="2"/>
  <c r="N504" i="2"/>
  <c r="M504" i="2"/>
  <c r="L504" i="2"/>
  <c r="K504" i="2"/>
  <c r="J504" i="2"/>
  <c r="I504" i="2"/>
  <c r="H504" i="2"/>
  <c r="G504" i="2"/>
  <c r="Z503" i="2"/>
  <c r="Z504" i="2" s="1"/>
  <c r="X503" i="2"/>
  <c r="T503" i="2"/>
  <c r="P503" i="2"/>
  <c r="V503" i="2" s="1"/>
  <c r="Y502" i="2"/>
  <c r="Y505" i="2" s="1"/>
  <c r="W502" i="2"/>
  <c r="U502" i="2"/>
  <c r="S502" i="2"/>
  <c r="Q502" i="2"/>
  <c r="O502" i="2"/>
  <c r="N502" i="2"/>
  <c r="M502" i="2"/>
  <c r="M468" i="2" s="1"/>
  <c r="M461" i="2" s="1"/>
  <c r="L502" i="2"/>
  <c r="J502" i="2"/>
  <c r="I502" i="2"/>
  <c r="I505" i="2" s="1"/>
  <c r="H502" i="2"/>
  <c r="G502" i="2"/>
  <c r="V501" i="2"/>
  <c r="T501" i="2"/>
  <c r="R501" i="2"/>
  <c r="P501" i="2"/>
  <c r="X501" i="2" s="1"/>
  <c r="Z500" i="2"/>
  <c r="Z502" i="2" s="1"/>
  <c r="Y500" i="2"/>
  <c r="K500" i="2"/>
  <c r="P499" i="2"/>
  <c r="R499" i="2" s="1"/>
  <c r="X498" i="2"/>
  <c r="V498" i="2"/>
  <c r="T498" i="2"/>
  <c r="R498" i="2"/>
  <c r="P498" i="2"/>
  <c r="Z497" i="2"/>
  <c r="Z505" i="2" s="1"/>
  <c r="Y497" i="2"/>
  <c r="W497" i="2"/>
  <c r="U497" i="2"/>
  <c r="S497" i="2"/>
  <c r="Q497" i="2"/>
  <c r="O497" i="2"/>
  <c r="N497" i="2"/>
  <c r="N505" i="2" s="1"/>
  <c r="M497" i="2"/>
  <c r="M505" i="2" s="1"/>
  <c r="L497" i="2"/>
  <c r="L505" i="2" s="1"/>
  <c r="K497" i="2"/>
  <c r="J497" i="2"/>
  <c r="I497" i="2"/>
  <c r="H497" i="2"/>
  <c r="H505" i="2" s="1"/>
  <c r="G497" i="2"/>
  <c r="X496" i="2"/>
  <c r="V496" i="2"/>
  <c r="T496" i="2"/>
  <c r="P496" i="2"/>
  <c r="R496" i="2" s="1"/>
  <c r="R495" i="2"/>
  <c r="P495" i="2"/>
  <c r="X495" i="2" s="1"/>
  <c r="X491" i="2"/>
  <c r="V491" i="2"/>
  <c r="P491" i="2"/>
  <c r="R491" i="2" s="1"/>
  <c r="Y490" i="2"/>
  <c r="Z490" i="2" s="1"/>
  <c r="X490" i="2"/>
  <c r="V490" i="2"/>
  <c r="T490" i="2"/>
  <c r="R490" i="2"/>
  <c r="P490" i="2"/>
  <c r="Z489" i="2"/>
  <c r="Y489" i="2"/>
  <c r="V489" i="2"/>
  <c r="R489" i="2"/>
  <c r="P489" i="2"/>
  <c r="Y488" i="2"/>
  <c r="Z488" i="2" s="1"/>
  <c r="R488" i="2"/>
  <c r="P488" i="2"/>
  <c r="X488" i="2" s="1"/>
  <c r="Z487" i="2"/>
  <c r="Y487" i="2"/>
  <c r="P487" i="2"/>
  <c r="O485" i="2"/>
  <c r="H485" i="2"/>
  <c r="G485" i="2"/>
  <c r="W484" i="2"/>
  <c r="U484" i="2"/>
  <c r="S484" i="2"/>
  <c r="S469" i="2" s="1"/>
  <c r="Q484" i="2"/>
  <c r="O484" i="2"/>
  <c r="N484" i="2"/>
  <c r="N469" i="2" s="1"/>
  <c r="N462" i="2" s="1"/>
  <c r="M484" i="2"/>
  <c r="M469" i="2" s="1"/>
  <c r="M462" i="2" s="1"/>
  <c r="L484" i="2"/>
  <c r="L469" i="2" s="1"/>
  <c r="L462" i="2" s="1"/>
  <c r="K484" i="2"/>
  <c r="K469" i="2" s="1"/>
  <c r="K462" i="2" s="1"/>
  <c r="J484" i="2"/>
  <c r="I484" i="2"/>
  <c r="H484" i="2"/>
  <c r="G484" i="2"/>
  <c r="Z483" i="2"/>
  <c r="Z484" i="2" s="1"/>
  <c r="Y483" i="2"/>
  <c r="Y484" i="2" s="1"/>
  <c r="Y469" i="2" s="1"/>
  <c r="Y462" i="2" s="1"/>
  <c r="X483" i="2"/>
  <c r="V483" i="2"/>
  <c r="R483" i="2"/>
  <c r="P483" i="2"/>
  <c r="T483" i="2" s="1"/>
  <c r="Y482" i="2"/>
  <c r="Y468" i="2" s="1"/>
  <c r="Y461" i="2" s="1"/>
  <c r="W482" i="2"/>
  <c r="U482" i="2"/>
  <c r="S482" i="2"/>
  <c r="Q482" i="2"/>
  <c r="O482" i="2"/>
  <c r="N482" i="2"/>
  <c r="M482" i="2"/>
  <c r="L482" i="2"/>
  <c r="J482" i="2"/>
  <c r="I482" i="2"/>
  <c r="H482" i="2"/>
  <c r="H468" i="2" s="1"/>
  <c r="H461" i="2" s="1"/>
  <c r="G482" i="2"/>
  <c r="X481" i="2"/>
  <c r="P481" i="2"/>
  <c r="V481" i="2" s="1"/>
  <c r="Z480" i="2"/>
  <c r="Z482" i="2" s="1"/>
  <c r="Z468" i="2" s="1"/>
  <c r="Z461" i="2" s="1"/>
  <c r="Y480" i="2"/>
  <c r="K480" i="2"/>
  <c r="K482" i="2" s="1"/>
  <c r="I480" i="2"/>
  <c r="X479" i="2"/>
  <c r="V479" i="2"/>
  <c r="T479" i="2"/>
  <c r="P479" i="2"/>
  <c r="R479" i="2" s="1"/>
  <c r="P478" i="2"/>
  <c r="W477" i="2"/>
  <c r="U477" i="2"/>
  <c r="S477" i="2"/>
  <c r="Q477" i="2"/>
  <c r="O477" i="2"/>
  <c r="N477" i="2"/>
  <c r="N485" i="2" s="1"/>
  <c r="M477" i="2"/>
  <c r="L477" i="2"/>
  <c r="L485" i="2" s="1"/>
  <c r="K477" i="2"/>
  <c r="J477" i="2"/>
  <c r="J485" i="2" s="1"/>
  <c r="I477" i="2"/>
  <c r="H477" i="2"/>
  <c r="G477" i="2"/>
  <c r="Y476" i="2"/>
  <c r="Z476" i="2" s="1"/>
  <c r="X476" i="2"/>
  <c r="V476" i="2"/>
  <c r="T476" i="2"/>
  <c r="P476" i="2"/>
  <c r="R476" i="2" s="1"/>
  <c r="Y475" i="2"/>
  <c r="Z475" i="2" s="1"/>
  <c r="X475" i="2"/>
  <c r="V475" i="2"/>
  <c r="T475" i="2"/>
  <c r="R475" i="2"/>
  <c r="P475" i="2"/>
  <c r="Z474" i="2"/>
  <c r="Y474" i="2"/>
  <c r="R474" i="2"/>
  <c r="P474" i="2"/>
  <c r="Z469" i="2"/>
  <c r="Z462" i="2" s="1"/>
  <c r="W469" i="2"/>
  <c r="W462" i="2" s="1"/>
  <c r="Q469" i="2"/>
  <c r="O469" i="2"/>
  <c r="J469" i="2"/>
  <c r="J462" i="2" s="1"/>
  <c r="I469" i="2"/>
  <c r="H469" i="2"/>
  <c r="H462" i="2" s="1"/>
  <c r="G469" i="2"/>
  <c r="G462" i="2" s="1"/>
  <c r="S468" i="2"/>
  <c r="N468" i="2"/>
  <c r="N470" i="2" s="1"/>
  <c r="L468" i="2"/>
  <c r="L461" i="2" s="1"/>
  <c r="J468" i="2"/>
  <c r="Q467" i="2"/>
  <c r="O467" i="2"/>
  <c r="N467" i="2"/>
  <c r="J467" i="2"/>
  <c r="I467" i="2"/>
  <c r="H467" i="2"/>
  <c r="G467" i="2"/>
  <c r="Q462" i="2"/>
  <c r="O462" i="2"/>
  <c r="I462" i="2"/>
  <c r="S461" i="2"/>
  <c r="N461" i="2"/>
  <c r="N463" i="2" s="1"/>
  <c r="Q460" i="2"/>
  <c r="N460" i="2"/>
  <c r="I460" i="2"/>
  <c r="H460" i="2"/>
  <c r="H463" i="2" s="1"/>
  <c r="G460" i="2"/>
  <c r="Y456" i="2"/>
  <c r="Z456" i="2" s="1"/>
  <c r="P456" i="2"/>
  <c r="Z455" i="2"/>
  <c r="Y455" i="2"/>
  <c r="P455" i="2"/>
  <c r="Z454" i="2"/>
  <c r="Y454" i="2"/>
  <c r="P454" i="2"/>
  <c r="Z453" i="2"/>
  <c r="X453" i="2"/>
  <c r="V453" i="2"/>
  <c r="T453" i="2"/>
  <c r="P453" i="2"/>
  <c r="R453" i="2" s="1"/>
  <c r="Q451" i="2"/>
  <c r="O451" i="2"/>
  <c r="H451" i="2"/>
  <c r="W450" i="2"/>
  <c r="W451" i="2" s="1"/>
  <c r="U450" i="2"/>
  <c r="S450" i="2"/>
  <c r="Q450" i="2"/>
  <c r="O450" i="2"/>
  <c r="N450" i="2"/>
  <c r="N451" i="2" s="1"/>
  <c r="M450" i="2"/>
  <c r="M451" i="2" s="1"/>
  <c r="L450" i="2"/>
  <c r="L451" i="2" s="1"/>
  <c r="K450" i="2"/>
  <c r="K451" i="2" s="1"/>
  <c r="H450" i="2"/>
  <c r="Y449" i="2"/>
  <c r="Y450" i="2" s="1"/>
  <c r="Y451" i="2" s="1"/>
  <c r="X449" i="2"/>
  <c r="K449" i="2"/>
  <c r="P449" i="2" s="1"/>
  <c r="J449" i="2"/>
  <c r="J450" i="2" s="1"/>
  <c r="I449" i="2"/>
  <c r="I450" i="2" s="1"/>
  <c r="I432" i="2" s="1"/>
  <c r="G449" i="2"/>
  <c r="G450" i="2" s="1"/>
  <c r="Z445" i="2"/>
  <c r="Y445" i="2"/>
  <c r="P445" i="2"/>
  <c r="Y444" i="2"/>
  <c r="Z444" i="2" s="1"/>
  <c r="P444" i="2"/>
  <c r="X444" i="2" s="1"/>
  <c r="Y443" i="2"/>
  <c r="Z443" i="2" s="1"/>
  <c r="X443" i="2"/>
  <c r="P443" i="2"/>
  <c r="V443" i="2" s="1"/>
  <c r="Q441" i="2"/>
  <c r="O441" i="2"/>
  <c r="I441" i="2"/>
  <c r="H441" i="2"/>
  <c r="G441" i="2"/>
  <c r="W440" i="2"/>
  <c r="U440" i="2"/>
  <c r="S440" i="2"/>
  <c r="Q440" i="2"/>
  <c r="O440" i="2"/>
  <c r="N440" i="2"/>
  <c r="M440" i="2"/>
  <c r="L440" i="2"/>
  <c r="K440" i="2"/>
  <c r="J440" i="2"/>
  <c r="I440" i="2"/>
  <c r="H440" i="2"/>
  <c r="G440" i="2"/>
  <c r="Y439" i="2"/>
  <c r="X439" i="2"/>
  <c r="V439" i="2"/>
  <c r="T439" i="2"/>
  <c r="P439" i="2"/>
  <c r="R439" i="2" s="1"/>
  <c r="Y438" i="2"/>
  <c r="X438" i="2"/>
  <c r="W438" i="2"/>
  <c r="W431" i="2" s="1"/>
  <c r="W433" i="2" s="1"/>
  <c r="V438" i="2"/>
  <c r="U438" i="2"/>
  <c r="U441" i="2" s="1"/>
  <c r="S438" i="2"/>
  <c r="Q438" i="2"/>
  <c r="R438" i="2" s="1"/>
  <c r="P438" i="2"/>
  <c r="P431" i="2" s="1"/>
  <c r="O438" i="2"/>
  <c r="O431" i="2" s="1"/>
  <c r="O433" i="2" s="1"/>
  <c r="N438" i="2"/>
  <c r="M438" i="2"/>
  <c r="L438" i="2"/>
  <c r="L441" i="2" s="1"/>
  <c r="K438" i="2"/>
  <c r="K441" i="2" s="1"/>
  <c r="J438" i="2"/>
  <c r="J441" i="2" s="1"/>
  <c r="I438" i="2"/>
  <c r="H438" i="2"/>
  <c r="G438" i="2"/>
  <c r="G431" i="2" s="1"/>
  <c r="Z437" i="2"/>
  <c r="Z438" i="2" s="1"/>
  <c r="P437" i="2"/>
  <c r="X437" i="2" s="1"/>
  <c r="W432" i="2"/>
  <c r="Q432" i="2"/>
  <c r="O432" i="2"/>
  <c r="N432" i="2"/>
  <c r="M432" i="2"/>
  <c r="L432" i="2"/>
  <c r="H432" i="2"/>
  <c r="Y431" i="2"/>
  <c r="U431" i="2"/>
  <c r="S431" i="2"/>
  <c r="R431" i="2"/>
  <c r="Q431" i="2"/>
  <c r="Q433" i="2" s="1"/>
  <c r="M431" i="2"/>
  <c r="L431" i="2"/>
  <c r="K431" i="2"/>
  <c r="J431" i="2"/>
  <c r="I431" i="2"/>
  <c r="I433" i="2" s="1"/>
  <c r="H431" i="2"/>
  <c r="H433" i="2" s="1"/>
  <c r="U428" i="2"/>
  <c r="N428" i="2"/>
  <c r="M428" i="2"/>
  <c r="L428" i="2"/>
  <c r="Y427" i="2"/>
  <c r="Y428" i="2" s="1"/>
  <c r="W427" i="2"/>
  <c r="W428" i="2" s="1"/>
  <c r="U427" i="2"/>
  <c r="S427" i="2"/>
  <c r="S428" i="2" s="1"/>
  <c r="Q427" i="2"/>
  <c r="O427" i="2"/>
  <c r="O428" i="2" s="1"/>
  <c r="N427" i="2"/>
  <c r="M427" i="2"/>
  <c r="L427" i="2"/>
  <c r="K427" i="2"/>
  <c r="K428" i="2" s="1"/>
  <c r="J427" i="2"/>
  <c r="J428" i="2" s="1"/>
  <c r="I427" i="2"/>
  <c r="H427" i="2"/>
  <c r="H428" i="2" s="1"/>
  <c r="G427" i="2"/>
  <c r="G428" i="2" s="1"/>
  <c r="Y426" i="2"/>
  <c r="Z426" i="2" s="1"/>
  <c r="Z427" i="2" s="1"/>
  <c r="Z428" i="2" s="1"/>
  <c r="R426" i="2"/>
  <c r="P426" i="2"/>
  <c r="Y425" i="2"/>
  <c r="Z425" i="2" s="1"/>
  <c r="R425" i="2"/>
  <c r="P425" i="2"/>
  <c r="Z421" i="2"/>
  <c r="Y421" i="2"/>
  <c r="P421" i="2"/>
  <c r="Z420" i="2"/>
  <c r="Y420" i="2"/>
  <c r="T420" i="2"/>
  <c r="P420" i="2"/>
  <c r="X420" i="2" s="1"/>
  <c r="Y419" i="2"/>
  <c r="Z419" i="2" s="1"/>
  <c r="X419" i="2"/>
  <c r="P419" i="2"/>
  <c r="V419" i="2" s="1"/>
  <c r="Y418" i="2"/>
  <c r="Z418" i="2" s="1"/>
  <c r="X418" i="2"/>
  <c r="V418" i="2"/>
  <c r="P418" i="2"/>
  <c r="T418" i="2" s="1"/>
  <c r="W416" i="2"/>
  <c r="O416" i="2"/>
  <c r="N416" i="2"/>
  <c r="H416" i="2"/>
  <c r="G416" i="2"/>
  <c r="W415" i="2"/>
  <c r="U415" i="2"/>
  <c r="U416" i="2" s="1"/>
  <c r="S415" i="2"/>
  <c r="Q415" i="2"/>
  <c r="Q416" i="2" s="1"/>
  <c r="O415" i="2"/>
  <c r="N415" i="2"/>
  <c r="M415" i="2"/>
  <c r="M416" i="2" s="1"/>
  <c r="L415" i="2"/>
  <c r="K415" i="2"/>
  <c r="J415" i="2"/>
  <c r="I415" i="2"/>
  <c r="I416" i="2" s="1"/>
  <c r="H415" i="2"/>
  <c r="G415" i="2"/>
  <c r="Y414" i="2"/>
  <c r="Z414" i="2" s="1"/>
  <c r="Z415" i="2" s="1"/>
  <c r="Z416" i="2" s="1"/>
  <c r="X414" i="2"/>
  <c r="V414" i="2"/>
  <c r="T414" i="2"/>
  <c r="P414" i="2"/>
  <c r="R414" i="2" s="1"/>
  <c r="Y413" i="2"/>
  <c r="Z413" i="2" s="1"/>
  <c r="V413" i="2"/>
  <c r="T413" i="2"/>
  <c r="R413" i="2"/>
  <c r="P413" i="2"/>
  <c r="X413" i="2" s="1"/>
  <c r="Z412" i="2"/>
  <c r="Y412" i="2"/>
  <c r="Y415" i="2" s="1"/>
  <c r="Y416" i="2" s="1"/>
  <c r="T412" i="2"/>
  <c r="P412" i="2"/>
  <c r="R408" i="2"/>
  <c r="P408" i="2"/>
  <c r="P407" i="2"/>
  <c r="S405" i="2"/>
  <c r="Q405" i="2"/>
  <c r="K405" i="2"/>
  <c r="J405" i="2"/>
  <c r="I405" i="2"/>
  <c r="W404" i="2"/>
  <c r="U404" i="2"/>
  <c r="U396" i="2" s="1"/>
  <c r="S404" i="2"/>
  <c r="Q404" i="2"/>
  <c r="O404" i="2"/>
  <c r="N404" i="2"/>
  <c r="N396" i="2" s="1"/>
  <c r="N361" i="2" s="1"/>
  <c r="M404" i="2"/>
  <c r="M396" i="2" s="1"/>
  <c r="L404" i="2"/>
  <c r="K404" i="2"/>
  <c r="J404" i="2"/>
  <c r="I404" i="2"/>
  <c r="H404" i="2"/>
  <c r="G404" i="2"/>
  <c r="Y403" i="2"/>
  <c r="X403" i="2"/>
  <c r="V403" i="2"/>
  <c r="T403" i="2"/>
  <c r="P403" i="2"/>
  <c r="R403" i="2" s="1"/>
  <c r="Z402" i="2"/>
  <c r="Y402" i="2"/>
  <c r="Y395" i="2" s="1"/>
  <c r="W402" i="2"/>
  <c r="W405" i="2" s="1"/>
  <c r="U402" i="2"/>
  <c r="S402" i="2"/>
  <c r="Q402" i="2"/>
  <c r="Q395" i="2" s="1"/>
  <c r="P402" i="2"/>
  <c r="O402" i="2"/>
  <c r="O405" i="2" s="1"/>
  <c r="N402" i="2"/>
  <c r="N405" i="2" s="1"/>
  <c r="M402" i="2"/>
  <c r="L402" i="2"/>
  <c r="L405" i="2" s="1"/>
  <c r="K402" i="2"/>
  <c r="J402" i="2"/>
  <c r="I402" i="2"/>
  <c r="I395" i="2" s="1"/>
  <c r="H402" i="2"/>
  <c r="G402" i="2"/>
  <c r="G405" i="2" s="1"/>
  <c r="Z401" i="2"/>
  <c r="R401" i="2"/>
  <c r="P401" i="2"/>
  <c r="W396" i="2"/>
  <c r="O396" i="2"/>
  <c r="H396" i="2"/>
  <c r="G396" i="2"/>
  <c r="W395" i="2"/>
  <c r="U395" i="2"/>
  <c r="S395" i="2"/>
  <c r="O395" i="2"/>
  <c r="N395" i="2"/>
  <c r="N397" i="2" s="1"/>
  <c r="M395" i="2"/>
  <c r="L395" i="2"/>
  <c r="K395" i="2"/>
  <c r="J395" i="2"/>
  <c r="G395" i="2"/>
  <c r="G397" i="2" s="1"/>
  <c r="Z391" i="2"/>
  <c r="V391" i="2"/>
  <c r="T391" i="2"/>
  <c r="R391" i="2"/>
  <c r="P391" i="2"/>
  <c r="X391" i="2" s="1"/>
  <c r="P390" i="2"/>
  <c r="Z389" i="2"/>
  <c r="Z385" i="2" s="1"/>
  <c r="Z386" i="2" s="1"/>
  <c r="Z387" i="2" s="1"/>
  <c r="X389" i="2"/>
  <c r="P389" i="2"/>
  <c r="V389" i="2" s="1"/>
  <c r="Y387" i="2"/>
  <c r="W387" i="2"/>
  <c r="Q387" i="2"/>
  <c r="O387" i="2"/>
  <c r="I387" i="2"/>
  <c r="H387" i="2"/>
  <c r="G387" i="2"/>
  <c r="W386" i="2"/>
  <c r="U386" i="2"/>
  <c r="S386" i="2"/>
  <c r="S387" i="2" s="1"/>
  <c r="Q386" i="2"/>
  <c r="O386" i="2"/>
  <c r="N386" i="2"/>
  <c r="N387" i="2" s="1"/>
  <c r="M386" i="2"/>
  <c r="L386" i="2"/>
  <c r="L387" i="2" s="1"/>
  <c r="K386" i="2"/>
  <c r="K387" i="2" s="1"/>
  <c r="H386" i="2"/>
  <c r="G386" i="2"/>
  <c r="Y385" i="2"/>
  <c r="Y386" i="2" s="1"/>
  <c r="K385" i="2"/>
  <c r="P385" i="2" s="1"/>
  <c r="J385" i="2"/>
  <c r="J386" i="2" s="1"/>
  <c r="J387" i="2" s="1"/>
  <c r="I385" i="2"/>
  <c r="I386" i="2" s="1"/>
  <c r="Z381" i="2"/>
  <c r="Y381" i="2"/>
  <c r="P381" i="2"/>
  <c r="X381" i="2" s="1"/>
  <c r="Z380" i="2"/>
  <c r="Y380" i="2"/>
  <c r="X380" i="2"/>
  <c r="T380" i="2"/>
  <c r="R380" i="2"/>
  <c r="P380" i="2"/>
  <c r="V380" i="2" s="1"/>
  <c r="W378" i="2"/>
  <c r="O378" i="2"/>
  <c r="W377" i="2"/>
  <c r="U377" i="2"/>
  <c r="S377" i="2"/>
  <c r="Q377" i="2"/>
  <c r="O377" i="2"/>
  <c r="N377" i="2"/>
  <c r="M377" i="2"/>
  <c r="L377" i="2"/>
  <c r="L367" i="2" s="1"/>
  <c r="K377" i="2"/>
  <c r="J377" i="2"/>
  <c r="I377" i="2"/>
  <c r="H377" i="2"/>
  <c r="G377" i="2"/>
  <c r="Y376" i="2"/>
  <c r="Z376" i="2" s="1"/>
  <c r="X376" i="2"/>
  <c r="V376" i="2"/>
  <c r="T376" i="2"/>
  <c r="R376" i="2"/>
  <c r="P376" i="2"/>
  <c r="Z375" i="2"/>
  <c r="Y375" i="2"/>
  <c r="R375" i="2"/>
  <c r="P375" i="2"/>
  <c r="Y374" i="2"/>
  <c r="Y377" i="2" s="1"/>
  <c r="T374" i="2"/>
  <c r="P374" i="2"/>
  <c r="Z373" i="2"/>
  <c r="Y373" i="2"/>
  <c r="Y378" i="2" s="1"/>
  <c r="W373" i="2"/>
  <c r="U373" i="2"/>
  <c r="S373" i="2"/>
  <c r="R373" i="2"/>
  <c r="Q373" i="2"/>
  <c r="Q378" i="2" s="1"/>
  <c r="P373" i="2"/>
  <c r="X373" i="2" s="1"/>
  <c r="O373" i="2"/>
  <c r="N373" i="2"/>
  <c r="N378" i="2" s="1"/>
  <c r="M373" i="2"/>
  <c r="M378" i="2" s="1"/>
  <c r="L373" i="2"/>
  <c r="K373" i="2"/>
  <c r="J373" i="2"/>
  <c r="I373" i="2"/>
  <c r="I378" i="2" s="1"/>
  <c r="H373" i="2"/>
  <c r="H378" i="2" s="1"/>
  <c r="G373" i="2"/>
  <c r="G378" i="2" s="1"/>
  <c r="Z372" i="2"/>
  <c r="X372" i="2"/>
  <c r="V372" i="2"/>
  <c r="T372" i="2"/>
  <c r="R372" i="2"/>
  <c r="P372" i="2"/>
  <c r="O368" i="2"/>
  <c r="G368" i="2"/>
  <c r="Y367" i="2"/>
  <c r="W367" i="2"/>
  <c r="Q367" i="2"/>
  <c r="O367" i="2"/>
  <c r="N367" i="2"/>
  <c r="K367" i="2"/>
  <c r="I367" i="2"/>
  <c r="H367" i="2"/>
  <c r="G367" i="2"/>
  <c r="Y366" i="2"/>
  <c r="W366" i="2"/>
  <c r="Q366" i="2"/>
  <c r="R366" i="2" s="1"/>
  <c r="P366" i="2"/>
  <c r="O366" i="2"/>
  <c r="O360" i="2" s="1"/>
  <c r="N366" i="2"/>
  <c r="N368" i="2" s="1"/>
  <c r="M366" i="2"/>
  <c r="M360" i="2" s="1"/>
  <c r="L366" i="2"/>
  <c r="I366" i="2"/>
  <c r="I368" i="2" s="1"/>
  <c r="H366" i="2"/>
  <c r="H368" i="2" s="1"/>
  <c r="G366" i="2"/>
  <c r="G360" i="2" s="1"/>
  <c r="W361" i="2"/>
  <c r="O361" i="2"/>
  <c r="Y360" i="2"/>
  <c r="I360" i="2"/>
  <c r="U356" i="2"/>
  <c r="O356" i="2"/>
  <c r="M356" i="2"/>
  <c r="Z355" i="2"/>
  <c r="Y355" i="2"/>
  <c r="Y317" i="2" s="1"/>
  <c r="Y262" i="2" s="1"/>
  <c r="W355" i="2"/>
  <c r="U355" i="2"/>
  <c r="S355" i="2"/>
  <c r="Q355" i="2"/>
  <c r="P355" i="2"/>
  <c r="V355" i="2" s="1"/>
  <c r="O355" i="2"/>
  <c r="N355" i="2"/>
  <c r="M355" i="2"/>
  <c r="L355" i="2"/>
  <c r="K355" i="2"/>
  <c r="K317" i="2" s="1"/>
  <c r="K262" i="2" s="1"/>
  <c r="J355" i="2"/>
  <c r="I355" i="2"/>
  <c r="I317" i="2" s="1"/>
  <c r="I262" i="2" s="1"/>
  <c r="H355" i="2"/>
  <c r="G355" i="2"/>
  <c r="R354" i="2"/>
  <c r="P354" i="2"/>
  <c r="X354" i="2" s="1"/>
  <c r="Z353" i="2"/>
  <c r="Y353" i="2"/>
  <c r="W353" i="2"/>
  <c r="U353" i="2"/>
  <c r="S353" i="2"/>
  <c r="Q353" i="2"/>
  <c r="O353" i="2"/>
  <c r="N353" i="2"/>
  <c r="M353" i="2"/>
  <c r="L353" i="2"/>
  <c r="J353" i="2"/>
  <c r="I353" i="2"/>
  <c r="I316" i="2" s="1"/>
  <c r="I260" i="2" s="1"/>
  <c r="H353" i="2"/>
  <c r="G353" i="2"/>
  <c r="Z352" i="2"/>
  <c r="Y352" i="2"/>
  <c r="K352" i="2"/>
  <c r="P352" i="2" s="1"/>
  <c r="T351" i="2"/>
  <c r="P351" i="2"/>
  <c r="X350" i="2"/>
  <c r="T350" i="2"/>
  <c r="P350" i="2"/>
  <c r="Z349" i="2"/>
  <c r="Y349" i="2"/>
  <c r="X349" i="2"/>
  <c r="W349" i="2"/>
  <c r="W356" i="2" s="1"/>
  <c r="U349" i="2"/>
  <c r="S349" i="2"/>
  <c r="Q349" i="2"/>
  <c r="P349" i="2"/>
  <c r="O349" i="2"/>
  <c r="N349" i="2"/>
  <c r="N356" i="2" s="1"/>
  <c r="M349" i="2"/>
  <c r="L349" i="2"/>
  <c r="K349" i="2"/>
  <c r="J349" i="2"/>
  <c r="I349" i="2"/>
  <c r="H349" i="2"/>
  <c r="H356" i="2" s="1"/>
  <c r="G349" i="2"/>
  <c r="G356" i="2" s="1"/>
  <c r="Z348" i="2"/>
  <c r="R348" i="2"/>
  <c r="P348" i="2"/>
  <c r="X348" i="2" s="1"/>
  <c r="Z347" i="2"/>
  <c r="X347" i="2"/>
  <c r="P347" i="2"/>
  <c r="V347" i="2" s="1"/>
  <c r="X343" i="2"/>
  <c r="V343" i="2"/>
  <c r="T343" i="2"/>
  <c r="R343" i="2"/>
  <c r="P343" i="2"/>
  <c r="R342" i="2"/>
  <c r="P342" i="2"/>
  <c r="X342" i="2" s="1"/>
  <c r="Y341" i="2"/>
  <c r="Z341" i="2" s="1"/>
  <c r="P341" i="2"/>
  <c r="Y340" i="2"/>
  <c r="Z340" i="2" s="1"/>
  <c r="X340" i="2"/>
  <c r="P340" i="2"/>
  <c r="V340" i="2" s="1"/>
  <c r="O338" i="2"/>
  <c r="J338" i="2"/>
  <c r="H338" i="2"/>
  <c r="W337" i="2"/>
  <c r="U337" i="2"/>
  <c r="S337" i="2"/>
  <c r="Q337" i="2"/>
  <c r="O337" i="2"/>
  <c r="N337" i="2"/>
  <c r="N316" i="2" s="1"/>
  <c r="M337" i="2"/>
  <c r="L337" i="2"/>
  <c r="K337" i="2"/>
  <c r="J337" i="2"/>
  <c r="I337" i="2"/>
  <c r="H337" i="2"/>
  <c r="G337" i="2"/>
  <c r="Z336" i="2"/>
  <c r="Z337" i="2" s="1"/>
  <c r="Z338" i="2" s="1"/>
  <c r="Y336" i="2"/>
  <c r="Y337" i="2" s="1"/>
  <c r="X336" i="2"/>
  <c r="V336" i="2"/>
  <c r="P336" i="2"/>
  <c r="T336" i="2" s="1"/>
  <c r="Z335" i="2"/>
  <c r="Y335" i="2"/>
  <c r="W335" i="2"/>
  <c r="W338" i="2" s="1"/>
  <c r="U335" i="2"/>
  <c r="U338" i="2" s="1"/>
  <c r="S335" i="2"/>
  <c r="Q335" i="2"/>
  <c r="O335" i="2"/>
  <c r="O315" i="2" s="1"/>
  <c r="N335" i="2"/>
  <c r="M335" i="2"/>
  <c r="M338" i="2" s="1"/>
  <c r="L335" i="2"/>
  <c r="L338" i="2" s="1"/>
  <c r="K335" i="2"/>
  <c r="J335" i="2"/>
  <c r="I335" i="2"/>
  <c r="H335" i="2"/>
  <c r="G335" i="2"/>
  <c r="G315" i="2" s="1"/>
  <c r="X334" i="2"/>
  <c r="P334" i="2"/>
  <c r="V334" i="2" s="1"/>
  <c r="Z330" i="2"/>
  <c r="Y330" i="2"/>
  <c r="X330" i="2"/>
  <c r="V330" i="2"/>
  <c r="P330" i="2"/>
  <c r="T330" i="2" s="1"/>
  <c r="Y329" i="2"/>
  <c r="Z329" i="2" s="1"/>
  <c r="V329" i="2"/>
  <c r="T329" i="2"/>
  <c r="R329" i="2"/>
  <c r="P329" i="2"/>
  <c r="X329" i="2" s="1"/>
  <c r="Y328" i="2"/>
  <c r="Z328" i="2" s="1"/>
  <c r="X328" i="2"/>
  <c r="T328" i="2"/>
  <c r="R328" i="2"/>
  <c r="P328" i="2"/>
  <c r="V328" i="2" s="1"/>
  <c r="Y327" i="2"/>
  <c r="Z327" i="2" s="1"/>
  <c r="P327" i="2"/>
  <c r="S325" i="2"/>
  <c r="N325" i="2"/>
  <c r="L325" i="2"/>
  <c r="K325" i="2"/>
  <c r="W324" i="2"/>
  <c r="U324" i="2"/>
  <c r="U325" i="2" s="1"/>
  <c r="S324" i="2"/>
  <c r="Q324" i="2"/>
  <c r="Q325" i="2" s="1"/>
  <c r="O324" i="2"/>
  <c r="N324" i="2"/>
  <c r="M324" i="2"/>
  <c r="M325" i="2" s="1"/>
  <c r="L324" i="2"/>
  <c r="K324" i="2"/>
  <c r="J324" i="2"/>
  <c r="J325" i="2" s="1"/>
  <c r="I324" i="2"/>
  <c r="I325" i="2" s="1"/>
  <c r="H324" i="2"/>
  <c r="G324" i="2"/>
  <c r="Z323" i="2"/>
  <c r="Y323" i="2"/>
  <c r="T323" i="2"/>
  <c r="P323" i="2"/>
  <c r="Z322" i="2"/>
  <c r="Z324" i="2" s="1"/>
  <c r="Z325" i="2" s="1"/>
  <c r="Y322" i="2"/>
  <c r="Y324" i="2" s="1"/>
  <c r="R322" i="2"/>
  <c r="P322" i="2"/>
  <c r="X322" i="2" s="1"/>
  <c r="Z317" i="2"/>
  <c r="W317" i="2"/>
  <c r="U317" i="2"/>
  <c r="P317" i="2"/>
  <c r="X317" i="2" s="1"/>
  <c r="O317" i="2"/>
  <c r="N317" i="2"/>
  <c r="M317" i="2"/>
  <c r="M262" i="2" s="1"/>
  <c r="L317" i="2"/>
  <c r="J317" i="2"/>
  <c r="H317" i="2"/>
  <c r="G317" i="2"/>
  <c r="Z316" i="2"/>
  <c r="U316" i="2"/>
  <c r="Q316" i="2"/>
  <c r="M316" i="2"/>
  <c r="J316" i="2"/>
  <c r="U315" i="2"/>
  <c r="S315" i="2"/>
  <c r="M315" i="2"/>
  <c r="L315" i="2"/>
  <c r="K315" i="2"/>
  <c r="H315" i="2"/>
  <c r="Q311" i="2"/>
  <c r="L311" i="2"/>
  <c r="J311" i="2"/>
  <c r="I311" i="2"/>
  <c r="W310" i="2"/>
  <c r="W311" i="2" s="1"/>
  <c r="U310" i="2"/>
  <c r="S310" i="2"/>
  <c r="Q310" i="2"/>
  <c r="O310" i="2"/>
  <c r="O311" i="2" s="1"/>
  <c r="N310" i="2"/>
  <c r="N311" i="2" s="1"/>
  <c r="M310" i="2"/>
  <c r="M311" i="2" s="1"/>
  <c r="L310" i="2"/>
  <c r="K310" i="2"/>
  <c r="K311" i="2" s="1"/>
  <c r="J310" i="2"/>
  <c r="I310" i="2"/>
  <c r="H310" i="2"/>
  <c r="H311" i="2" s="1"/>
  <c r="G310" i="2"/>
  <c r="G311" i="2" s="1"/>
  <c r="Y309" i="2"/>
  <c r="P309" i="2"/>
  <c r="Y305" i="2"/>
  <c r="Z305" i="2" s="1"/>
  <c r="X305" i="2"/>
  <c r="P305" i="2"/>
  <c r="V305" i="2" s="1"/>
  <c r="Z304" i="2"/>
  <c r="Y304" i="2"/>
  <c r="X304" i="2"/>
  <c r="V304" i="2"/>
  <c r="P304" i="2"/>
  <c r="T304" i="2" s="1"/>
  <c r="Y302" i="2"/>
  <c r="W302" i="2"/>
  <c r="Q302" i="2"/>
  <c r="O302" i="2"/>
  <c r="N302" i="2"/>
  <c r="I302" i="2"/>
  <c r="Z301" i="2"/>
  <c r="W301" i="2"/>
  <c r="U301" i="2"/>
  <c r="S301" i="2"/>
  <c r="Q301" i="2"/>
  <c r="O301" i="2"/>
  <c r="N301" i="2"/>
  <c r="M301" i="2"/>
  <c r="L301" i="2"/>
  <c r="K301" i="2"/>
  <c r="J301" i="2"/>
  <c r="I301" i="2"/>
  <c r="H301" i="2"/>
  <c r="G301" i="2"/>
  <c r="Y300" i="2"/>
  <c r="Z300" i="2" s="1"/>
  <c r="V300" i="2"/>
  <c r="T300" i="2"/>
  <c r="P300" i="2"/>
  <c r="R300" i="2" s="1"/>
  <c r="Z299" i="2"/>
  <c r="Y299" i="2"/>
  <c r="Y301" i="2" s="1"/>
  <c r="X299" i="2"/>
  <c r="T299" i="2"/>
  <c r="R299" i="2"/>
  <c r="P299" i="2"/>
  <c r="P301" i="2" s="1"/>
  <c r="R301" i="2" s="1"/>
  <c r="Z298" i="2"/>
  <c r="Z302" i="2" s="1"/>
  <c r="Y298" i="2"/>
  <c r="W298" i="2"/>
  <c r="U298" i="2"/>
  <c r="S298" i="2"/>
  <c r="S302" i="2" s="1"/>
  <c r="Q298" i="2"/>
  <c r="O298" i="2"/>
  <c r="N298" i="2"/>
  <c r="M298" i="2"/>
  <c r="L298" i="2"/>
  <c r="L302" i="2" s="1"/>
  <c r="K298" i="2"/>
  <c r="K302" i="2" s="1"/>
  <c r="J298" i="2"/>
  <c r="J302" i="2" s="1"/>
  <c r="I298" i="2"/>
  <c r="H298" i="2"/>
  <c r="H302" i="2" s="1"/>
  <c r="G298" i="2"/>
  <c r="G302" i="2" s="1"/>
  <c r="V297" i="2"/>
  <c r="T297" i="2"/>
  <c r="R297" i="2"/>
  <c r="P297" i="2"/>
  <c r="P298" i="2" s="1"/>
  <c r="U293" i="2"/>
  <c r="Z292" i="2"/>
  <c r="Y292" i="2"/>
  <c r="W292" i="2"/>
  <c r="U292" i="2"/>
  <c r="S292" i="2"/>
  <c r="Q292" i="2"/>
  <c r="O292" i="2"/>
  <c r="N292" i="2"/>
  <c r="M292" i="2"/>
  <c r="L292" i="2"/>
  <c r="K292" i="2"/>
  <c r="J292" i="2"/>
  <c r="I292" i="2"/>
  <c r="H292" i="2"/>
  <c r="G292" i="2"/>
  <c r="Z291" i="2"/>
  <c r="P291" i="2"/>
  <c r="V291" i="2" s="1"/>
  <c r="W290" i="2"/>
  <c r="U290" i="2"/>
  <c r="S290" i="2"/>
  <c r="S293" i="2" s="1"/>
  <c r="Q290" i="2"/>
  <c r="Q293" i="2" s="1"/>
  <c r="O290" i="2"/>
  <c r="O293" i="2" s="1"/>
  <c r="N290" i="2"/>
  <c r="M290" i="2"/>
  <c r="M293" i="2" s="1"/>
  <c r="L290" i="2"/>
  <c r="K290" i="2"/>
  <c r="K293" i="2" s="1"/>
  <c r="J290" i="2"/>
  <c r="I290" i="2"/>
  <c r="H290" i="2"/>
  <c r="H293" i="2" s="1"/>
  <c r="G290" i="2"/>
  <c r="G293" i="2" s="1"/>
  <c r="Z289" i="2"/>
  <c r="Y289" i="2"/>
  <c r="V289" i="2"/>
  <c r="R289" i="2"/>
  <c r="P289" i="2"/>
  <c r="X289" i="2" s="1"/>
  <c r="Y288" i="2"/>
  <c r="Z288" i="2" s="1"/>
  <c r="P288" i="2"/>
  <c r="Y287" i="2"/>
  <c r="X287" i="2"/>
  <c r="R287" i="2"/>
  <c r="P287" i="2"/>
  <c r="Z283" i="2"/>
  <c r="Y283" i="2"/>
  <c r="X283" i="2"/>
  <c r="V283" i="2"/>
  <c r="P283" i="2"/>
  <c r="W281" i="2"/>
  <c r="Q281" i="2"/>
  <c r="O281" i="2"/>
  <c r="I281" i="2"/>
  <c r="W280" i="2"/>
  <c r="U280" i="2"/>
  <c r="S280" i="2"/>
  <c r="Q280" i="2"/>
  <c r="O280" i="2"/>
  <c r="N280" i="2"/>
  <c r="M280" i="2"/>
  <c r="M269" i="2" s="1"/>
  <c r="M261" i="2" s="1"/>
  <c r="L280" i="2"/>
  <c r="K280" i="2"/>
  <c r="K269" i="2" s="1"/>
  <c r="K261" i="2" s="1"/>
  <c r="J280" i="2"/>
  <c r="J269" i="2" s="1"/>
  <c r="J261" i="2" s="1"/>
  <c r="I280" i="2"/>
  <c r="H280" i="2"/>
  <c r="G280" i="2"/>
  <c r="Y279" i="2"/>
  <c r="Y280" i="2" s="1"/>
  <c r="Y269" i="2" s="1"/>
  <c r="Y261" i="2" s="1"/>
  <c r="X279" i="2"/>
  <c r="V279" i="2"/>
  <c r="T279" i="2"/>
  <c r="R279" i="2"/>
  <c r="P279" i="2"/>
  <c r="P280" i="2" s="1"/>
  <c r="R280" i="2" s="1"/>
  <c r="W278" i="2"/>
  <c r="U278" i="2"/>
  <c r="U268" i="2" s="1"/>
  <c r="U260" i="2" s="1"/>
  <c r="S278" i="2"/>
  <c r="Q278" i="2"/>
  <c r="O278" i="2"/>
  <c r="N278" i="2"/>
  <c r="M278" i="2"/>
  <c r="L278" i="2"/>
  <c r="K278" i="2"/>
  <c r="J278" i="2"/>
  <c r="J268" i="2" s="1"/>
  <c r="I278" i="2"/>
  <c r="H278" i="2"/>
  <c r="G278" i="2"/>
  <c r="Z277" i="2"/>
  <c r="Y277" i="2"/>
  <c r="P277" i="2"/>
  <c r="Y276" i="2"/>
  <c r="X276" i="2"/>
  <c r="R276" i="2"/>
  <c r="P276" i="2"/>
  <c r="V276" i="2" s="1"/>
  <c r="W275" i="2"/>
  <c r="U275" i="2"/>
  <c r="S275" i="2"/>
  <c r="Q275" i="2"/>
  <c r="O275" i="2"/>
  <c r="N275" i="2"/>
  <c r="M275" i="2"/>
  <c r="M281" i="2" s="1"/>
  <c r="L275" i="2"/>
  <c r="J275" i="2"/>
  <c r="J281" i="2" s="1"/>
  <c r="I275" i="2"/>
  <c r="H275" i="2"/>
  <c r="H281" i="2" s="1"/>
  <c r="G275" i="2"/>
  <c r="K274" i="2"/>
  <c r="W269" i="2"/>
  <c r="Q269" i="2"/>
  <c r="P269" i="2"/>
  <c r="O269" i="2"/>
  <c r="O261" i="2" s="1"/>
  <c r="O5" i="2" s="1"/>
  <c r="N269" i="2"/>
  <c r="L269" i="2"/>
  <c r="I269" i="2"/>
  <c r="H269" i="2"/>
  <c r="H261" i="2" s="1"/>
  <c r="G269" i="2"/>
  <c r="G261" i="2" s="1"/>
  <c r="W268" i="2"/>
  <c r="S268" i="2"/>
  <c r="Q268" i="2"/>
  <c r="O268" i="2"/>
  <c r="L268" i="2"/>
  <c r="K268" i="2"/>
  <c r="I268" i="2"/>
  <c r="H268" i="2"/>
  <c r="G268" i="2"/>
  <c r="W267" i="2"/>
  <c r="S267" i="2"/>
  <c r="Q267" i="2"/>
  <c r="Q270" i="2" s="1"/>
  <c r="O267" i="2"/>
  <c r="M267" i="2"/>
  <c r="J267" i="2"/>
  <c r="Z262" i="2"/>
  <c r="W262" i="2"/>
  <c r="O262" i="2"/>
  <c r="N262" i="2"/>
  <c r="L262" i="2"/>
  <c r="J262" i="2"/>
  <c r="H262" i="2"/>
  <c r="G262" i="2"/>
  <c r="Q261" i="2"/>
  <c r="N261" i="2"/>
  <c r="L261" i="2"/>
  <c r="I261" i="2"/>
  <c r="J260" i="2"/>
  <c r="S259" i="2"/>
  <c r="Z255" i="2"/>
  <c r="Y255" i="2"/>
  <c r="P255" i="2"/>
  <c r="Y254" i="2"/>
  <c r="Z254" i="2" s="1"/>
  <c r="V254" i="2"/>
  <c r="T254" i="2"/>
  <c r="P254" i="2"/>
  <c r="R254" i="2" s="1"/>
  <c r="Z253" i="2"/>
  <c r="Y253" i="2"/>
  <c r="X253" i="2"/>
  <c r="T253" i="2"/>
  <c r="R253" i="2"/>
  <c r="P253" i="2"/>
  <c r="V253" i="2" s="1"/>
  <c r="Y252" i="2"/>
  <c r="Z252" i="2" s="1"/>
  <c r="V252" i="2"/>
  <c r="R252" i="2"/>
  <c r="P252" i="2"/>
  <c r="S250" i="2"/>
  <c r="N250" i="2"/>
  <c r="L250" i="2"/>
  <c r="Z249" i="2"/>
  <c r="Z222" i="2" s="1"/>
  <c r="W249" i="2"/>
  <c r="W222" i="2" s="1"/>
  <c r="U249" i="2"/>
  <c r="S249" i="2"/>
  <c r="Q249" i="2"/>
  <c r="P249" i="2"/>
  <c r="O249" i="2"/>
  <c r="O222" i="2" s="1"/>
  <c r="N249" i="2"/>
  <c r="M249" i="2"/>
  <c r="L249" i="2"/>
  <c r="K249" i="2"/>
  <c r="J249" i="2"/>
  <c r="J222" i="2" s="1"/>
  <c r="I249" i="2"/>
  <c r="H249" i="2"/>
  <c r="G249" i="2"/>
  <c r="G222" i="2" s="1"/>
  <c r="Y248" i="2"/>
  <c r="Z248" i="2" s="1"/>
  <c r="X248" i="2"/>
  <c r="P248" i="2"/>
  <c r="Z247" i="2"/>
  <c r="W247" i="2"/>
  <c r="U247" i="2"/>
  <c r="S247" i="2"/>
  <c r="Q247" i="2"/>
  <c r="O247" i="2"/>
  <c r="O221" i="2" s="1"/>
  <c r="N247" i="2"/>
  <c r="M247" i="2"/>
  <c r="L247" i="2"/>
  <c r="J247" i="2"/>
  <c r="H247" i="2"/>
  <c r="G247" i="2"/>
  <c r="V246" i="2"/>
  <c r="R246" i="2"/>
  <c r="P246" i="2"/>
  <c r="Z245" i="2"/>
  <c r="Y245" i="2"/>
  <c r="Y247" i="2" s="1"/>
  <c r="K245" i="2"/>
  <c r="K247" i="2" s="1"/>
  <c r="I245" i="2"/>
  <c r="I247" i="2" s="1"/>
  <c r="V244" i="2"/>
  <c r="R244" i="2"/>
  <c r="P244" i="2"/>
  <c r="X244" i="2" s="1"/>
  <c r="P243" i="2"/>
  <c r="Z242" i="2"/>
  <c r="Y242" i="2"/>
  <c r="W242" i="2"/>
  <c r="U242" i="2"/>
  <c r="S242" i="2"/>
  <c r="Q242" i="2"/>
  <c r="O242" i="2"/>
  <c r="N242" i="2"/>
  <c r="M242" i="2"/>
  <c r="M250" i="2" s="1"/>
  <c r="L242" i="2"/>
  <c r="K242" i="2"/>
  <c r="J242" i="2"/>
  <c r="J250" i="2" s="1"/>
  <c r="I242" i="2"/>
  <c r="H242" i="2"/>
  <c r="G242" i="2"/>
  <c r="X241" i="2"/>
  <c r="R241" i="2"/>
  <c r="P241" i="2"/>
  <c r="V241" i="2" s="1"/>
  <c r="X240" i="2"/>
  <c r="T240" i="2"/>
  <c r="R240" i="2"/>
  <c r="P240" i="2"/>
  <c r="V240" i="2" s="1"/>
  <c r="V239" i="2"/>
  <c r="T239" i="2"/>
  <c r="R239" i="2"/>
  <c r="P239" i="2"/>
  <c r="X239" i="2" s="1"/>
  <c r="Y235" i="2"/>
  <c r="Q235" i="2"/>
  <c r="L235" i="2"/>
  <c r="I235" i="2"/>
  <c r="X234" i="2"/>
  <c r="W234" i="2"/>
  <c r="W235" i="2" s="1"/>
  <c r="U234" i="2"/>
  <c r="U235" i="2" s="1"/>
  <c r="S234" i="2"/>
  <c r="S235" i="2" s="1"/>
  <c r="Q234" i="2"/>
  <c r="P234" i="2"/>
  <c r="O234" i="2"/>
  <c r="O235" i="2" s="1"/>
  <c r="N234" i="2"/>
  <c r="N235" i="2" s="1"/>
  <c r="M234" i="2"/>
  <c r="M235" i="2" s="1"/>
  <c r="L234" i="2"/>
  <c r="K234" i="2"/>
  <c r="K235" i="2" s="1"/>
  <c r="J234" i="2"/>
  <c r="J235" i="2" s="1"/>
  <c r="I234" i="2"/>
  <c r="H234" i="2"/>
  <c r="H235" i="2" s="1"/>
  <c r="G234" i="2"/>
  <c r="G235" i="2" s="1"/>
  <c r="Y233" i="2"/>
  <c r="Y234" i="2" s="1"/>
  <c r="T233" i="2"/>
  <c r="P233" i="2"/>
  <c r="S229" i="2"/>
  <c r="Q229" i="2"/>
  <c r="M229" i="2"/>
  <c r="M221" i="2" s="1"/>
  <c r="K229" i="2"/>
  <c r="H229" i="2"/>
  <c r="H221" i="2" s="1"/>
  <c r="W228" i="2"/>
  <c r="U228" i="2"/>
  <c r="S228" i="2"/>
  <c r="Q228" i="2"/>
  <c r="O228" i="2"/>
  <c r="O229" i="2" s="1"/>
  <c r="N228" i="2"/>
  <c r="N229" i="2" s="1"/>
  <c r="N221" i="2" s="1"/>
  <c r="M228" i="2"/>
  <c r="L228" i="2"/>
  <c r="L229" i="2" s="1"/>
  <c r="K228" i="2"/>
  <c r="J228" i="2"/>
  <c r="J229" i="2" s="1"/>
  <c r="I228" i="2"/>
  <c r="I229" i="2" s="1"/>
  <c r="H228" i="2"/>
  <c r="G228" i="2"/>
  <c r="G229" i="2" s="1"/>
  <c r="Y227" i="2"/>
  <c r="X227" i="2"/>
  <c r="R227" i="2"/>
  <c r="P227" i="2"/>
  <c r="V227" i="2" s="1"/>
  <c r="J223" i="2"/>
  <c r="U222" i="2"/>
  <c r="S222" i="2"/>
  <c r="Q222" i="2"/>
  <c r="N222" i="2"/>
  <c r="M222" i="2"/>
  <c r="L222" i="2"/>
  <c r="L223" i="2" s="1"/>
  <c r="K222" i="2"/>
  <c r="I222" i="2"/>
  <c r="L221" i="2"/>
  <c r="J221" i="2"/>
  <c r="Z220" i="2"/>
  <c r="U220" i="2"/>
  <c r="Q220" i="2"/>
  <c r="N220" i="2"/>
  <c r="M220" i="2"/>
  <c r="L220" i="2"/>
  <c r="J220" i="2"/>
  <c r="I220" i="2"/>
  <c r="H220" i="2"/>
  <c r="Y216" i="2"/>
  <c r="Z216" i="2" s="1"/>
  <c r="X216" i="2"/>
  <c r="R216" i="2"/>
  <c r="P216" i="2"/>
  <c r="V216" i="2" s="1"/>
  <c r="Y215" i="2"/>
  <c r="Z215" i="2" s="1"/>
  <c r="P215" i="2"/>
  <c r="Y214" i="2"/>
  <c r="Z214" i="2" s="1"/>
  <c r="X214" i="2"/>
  <c r="V214" i="2"/>
  <c r="T214" i="2"/>
  <c r="P214" i="2"/>
  <c r="R214" i="2" s="1"/>
  <c r="Z213" i="2"/>
  <c r="Y213" i="2"/>
  <c r="X213" i="2"/>
  <c r="V213" i="2"/>
  <c r="T213" i="2"/>
  <c r="R213" i="2"/>
  <c r="P213" i="2"/>
  <c r="Y212" i="2"/>
  <c r="Z212" i="2" s="1"/>
  <c r="P212" i="2"/>
  <c r="Y211" i="2"/>
  <c r="Z211" i="2" s="1"/>
  <c r="P211" i="2"/>
  <c r="M211" i="2"/>
  <c r="U209" i="2"/>
  <c r="S209" i="2"/>
  <c r="M209" i="2"/>
  <c r="Y208" i="2"/>
  <c r="Y193" i="2" s="1"/>
  <c r="W208" i="2"/>
  <c r="U208" i="2"/>
  <c r="S208" i="2"/>
  <c r="Q208" i="2"/>
  <c r="O208" i="2"/>
  <c r="O193" i="2" s="1"/>
  <c r="N208" i="2"/>
  <c r="M208" i="2"/>
  <c r="L208" i="2"/>
  <c r="K208" i="2"/>
  <c r="J208" i="2"/>
  <c r="J193" i="2" s="1"/>
  <c r="I208" i="2"/>
  <c r="I193" i="2" s="1"/>
  <c r="H208" i="2"/>
  <c r="G208" i="2"/>
  <c r="G193" i="2" s="1"/>
  <c r="Y207" i="2"/>
  <c r="Z207" i="2" s="1"/>
  <c r="Z208" i="2" s="1"/>
  <c r="Z193" i="2" s="1"/>
  <c r="P207" i="2"/>
  <c r="Z206" i="2"/>
  <c r="Z192" i="2" s="1"/>
  <c r="W206" i="2"/>
  <c r="W192" i="2" s="1"/>
  <c r="U206" i="2"/>
  <c r="U192" i="2" s="1"/>
  <c r="S206" i="2"/>
  <c r="S192" i="2" s="1"/>
  <c r="Q206" i="2"/>
  <c r="O206" i="2"/>
  <c r="N206" i="2"/>
  <c r="M206" i="2"/>
  <c r="M192" i="2" s="1"/>
  <c r="L206" i="2"/>
  <c r="J206" i="2"/>
  <c r="J192" i="2" s="1"/>
  <c r="H206" i="2"/>
  <c r="G206" i="2"/>
  <c r="G192" i="2" s="1"/>
  <c r="T205" i="2"/>
  <c r="R205" i="2"/>
  <c r="P205" i="2"/>
  <c r="Z204" i="2"/>
  <c r="Y204" i="2"/>
  <c r="Y206" i="2" s="1"/>
  <c r="K204" i="2"/>
  <c r="K206" i="2" s="1"/>
  <c r="K192" i="2" s="1"/>
  <c r="I204" i="2"/>
  <c r="I206" i="2" s="1"/>
  <c r="I192" i="2" s="1"/>
  <c r="V203" i="2"/>
  <c r="P203" i="2"/>
  <c r="P202" i="2"/>
  <c r="W201" i="2"/>
  <c r="X201" i="2" s="1"/>
  <c r="V201" i="2"/>
  <c r="U201" i="2"/>
  <c r="S201" i="2"/>
  <c r="Q201" i="2"/>
  <c r="P201" i="2"/>
  <c r="O201" i="2"/>
  <c r="N201" i="2"/>
  <c r="M201" i="2"/>
  <c r="L201" i="2"/>
  <c r="K201" i="2"/>
  <c r="K209" i="2" s="1"/>
  <c r="J201" i="2"/>
  <c r="I201" i="2"/>
  <c r="H201" i="2"/>
  <c r="H209" i="2" s="1"/>
  <c r="G201" i="2"/>
  <c r="Z200" i="2"/>
  <c r="Y200" i="2"/>
  <c r="V200" i="2"/>
  <c r="P200" i="2"/>
  <c r="Y199" i="2"/>
  <c r="Z199" i="2" s="1"/>
  <c r="T199" i="2"/>
  <c r="P199" i="2"/>
  <c r="X199" i="2" s="1"/>
  <c r="Y198" i="2"/>
  <c r="X198" i="2"/>
  <c r="R198" i="2"/>
  <c r="P198" i="2"/>
  <c r="V198" i="2" s="1"/>
  <c r="U193" i="2"/>
  <c r="S193" i="2"/>
  <c r="N193" i="2"/>
  <c r="M193" i="2"/>
  <c r="K193" i="2"/>
  <c r="H193" i="2"/>
  <c r="Y192" i="2"/>
  <c r="Q192" i="2"/>
  <c r="O192" i="2"/>
  <c r="N192" i="2"/>
  <c r="L192" i="2"/>
  <c r="H192" i="2"/>
  <c r="U191" i="2"/>
  <c r="S191" i="2"/>
  <c r="S194" i="2" s="1"/>
  <c r="P191" i="2"/>
  <c r="T191" i="2" s="1"/>
  <c r="M191" i="2"/>
  <c r="L191" i="2"/>
  <c r="J191" i="2"/>
  <c r="H191" i="2"/>
  <c r="H194" i="2" s="1"/>
  <c r="Y187" i="2"/>
  <c r="Z187" i="2" s="1"/>
  <c r="X187" i="2"/>
  <c r="V187" i="2"/>
  <c r="P187" i="2"/>
  <c r="Y186" i="2"/>
  <c r="Z186" i="2" s="1"/>
  <c r="X186" i="2"/>
  <c r="V186" i="2"/>
  <c r="T186" i="2"/>
  <c r="P186" i="2"/>
  <c r="R186" i="2" s="1"/>
  <c r="Z185" i="2"/>
  <c r="Y185" i="2"/>
  <c r="X185" i="2"/>
  <c r="V185" i="2"/>
  <c r="T185" i="2"/>
  <c r="R185" i="2"/>
  <c r="P185" i="2"/>
  <c r="Z184" i="2"/>
  <c r="X184" i="2"/>
  <c r="R184" i="2"/>
  <c r="P184" i="2"/>
  <c r="Z183" i="2"/>
  <c r="Y183" i="2"/>
  <c r="P183" i="2"/>
  <c r="Y182" i="2"/>
  <c r="Z182" i="2" s="1"/>
  <c r="T182" i="2"/>
  <c r="P182" i="2"/>
  <c r="X182" i="2" s="1"/>
  <c r="Y181" i="2"/>
  <c r="Z181" i="2" s="1"/>
  <c r="X181" i="2"/>
  <c r="R181" i="2"/>
  <c r="P181" i="2"/>
  <c r="V181" i="2" s="1"/>
  <c r="Y180" i="2"/>
  <c r="Z180" i="2" s="1"/>
  <c r="X180" i="2"/>
  <c r="V180" i="2"/>
  <c r="P180" i="2"/>
  <c r="S178" i="2"/>
  <c r="H178" i="2"/>
  <c r="Z177" i="2"/>
  <c r="Z161" i="2" s="1"/>
  <c r="Y177" i="2"/>
  <c r="W177" i="2"/>
  <c r="U177" i="2"/>
  <c r="V177" i="2" s="1"/>
  <c r="T177" i="2"/>
  <c r="S177" i="2"/>
  <c r="S161" i="2" s="1"/>
  <c r="Q177" i="2"/>
  <c r="O177" i="2"/>
  <c r="N177" i="2"/>
  <c r="M177" i="2"/>
  <c r="L177" i="2"/>
  <c r="L161" i="2" s="1"/>
  <c r="K177" i="2"/>
  <c r="K161" i="2" s="1"/>
  <c r="J177" i="2"/>
  <c r="J161" i="2" s="1"/>
  <c r="I177" i="2"/>
  <c r="H177" i="2"/>
  <c r="G177" i="2"/>
  <c r="G178" i="2" s="1"/>
  <c r="Z176" i="2"/>
  <c r="X176" i="2"/>
  <c r="V176" i="2"/>
  <c r="T176" i="2"/>
  <c r="R176" i="2"/>
  <c r="P176" i="2"/>
  <c r="P177" i="2" s="1"/>
  <c r="R177" i="2" s="1"/>
  <c r="W175" i="2"/>
  <c r="U175" i="2"/>
  <c r="U160" i="2" s="1"/>
  <c r="S175" i="2"/>
  <c r="Q175" i="2"/>
  <c r="O175" i="2"/>
  <c r="N175" i="2"/>
  <c r="N160" i="2" s="1"/>
  <c r="M175" i="2"/>
  <c r="L175" i="2"/>
  <c r="K175" i="2"/>
  <c r="J175" i="2"/>
  <c r="I175" i="2"/>
  <c r="I160" i="2" s="1"/>
  <c r="H175" i="2"/>
  <c r="G175" i="2"/>
  <c r="X174" i="2"/>
  <c r="V174" i="2"/>
  <c r="T174" i="2"/>
  <c r="P174" i="2"/>
  <c r="R174" i="2" s="1"/>
  <c r="Z173" i="2"/>
  <c r="Y173" i="2"/>
  <c r="X173" i="2"/>
  <c r="V173" i="2"/>
  <c r="T173" i="2"/>
  <c r="R173" i="2"/>
  <c r="P173" i="2"/>
  <c r="Y172" i="2"/>
  <c r="T172" i="2"/>
  <c r="R172" i="2"/>
  <c r="P172" i="2"/>
  <c r="Y171" i="2"/>
  <c r="Z171" i="2" s="1"/>
  <c r="R171" i="2"/>
  <c r="P171" i="2"/>
  <c r="Z170" i="2"/>
  <c r="Y170" i="2"/>
  <c r="V170" i="2"/>
  <c r="P170" i="2"/>
  <c r="W169" i="2"/>
  <c r="U169" i="2"/>
  <c r="S169" i="2"/>
  <c r="Q169" i="2"/>
  <c r="Q178" i="2" s="1"/>
  <c r="O169" i="2"/>
  <c r="N169" i="2"/>
  <c r="N159" i="2" s="1"/>
  <c r="N162" i="2" s="1"/>
  <c r="L169" i="2"/>
  <c r="K169" i="2"/>
  <c r="J169" i="2"/>
  <c r="I169" i="2"/>
  <c r="I178" i="2" s="1"/>
  <c r="H169" i="2"/>
  <c r="G169" i="2"/>
  <c r="P168" i="2"/>
  <c r="M168" i="2"/>
  <c r="M169" i="2" s="1"/>
  <c r="L168" i="2"/>
  <c r="Y167" i="2"/>
  <c r="T167" i="2"/>
  <c r="P167" i="2"/>
  <c r="Y166" i="2"/>
  <c r="Z166" i="2" s="1"/>
  <c r="X166" i="2"/>
  <c r="R166" i="2"/>
  <c r="P166" i="2"/>
  <c r="J166" i="2"/>
  <c r="L162" i="2"/>
  <c r="Y161" i="2"/>
  <c r="U161" i="2"/>
  <c r="V161" i="2" s="1"/>
  <c r="Q161" i="2"/>
  <c r="P161" i="2"/>
  <c r="T161" i="2" s="1"/>
  <c r="N161" i="2"/>
  <c r="M161" i="2"/>
  <c r="I161" i="2"/>
  <c r="H161" i="2"/>
  <c r="W160" i="2"/>
  <c r="S160" i="2"/>
  <c r="O160" i="2"/>
  <c r="M160" i="2"/>
  <c r="L160" i="2"/>
  <c r="K160" i="2"/>
  <c r="J160" i="2"/>
  <c r="H160" i="2"/>
  <c r="G160" i="2"/>
  <c r="W159" i="2"/>
  <c r="U159" i="2"/>
  <c r="Q159" i="2"/>
  <c r="O159" i="2"/>
  <c r="L159" i="2"/>
  <c r="I159" i="2"/>
  <c r="I162" i="2" s="1"/>
  <c r="H159" i="2"/>
  <c r="G159" i="2"/>
  <c r="U155" i="2"/>
  <c r="S155" i="2"/>
  <c r="N155" i="2"/>
  <c r="M155" i="2"/>
  <c r="K155" i="2"/>
  <c r="Z154" i="2"/>
  <c r="Z155" i="2" s="1"/>
  <c r="Y154" i="2"/>
  <c r="Y155" i="2" s="1"/>
  <c r="X154" i="2"/>
  <c r="W154" i="2"/>
  <c r="W155" i="2" s="1"/>
  <c r="U154" i="2"/>
  <c r="S154" i="2"/>
  <c r="Q154" i="2"/>
  <c r="P154" i="2"/>
  <c r="O154" i="2"/>
  <c r="O155" i="2" s="1"/>
  <c r="N154" i="2"/>
  <c r="M154" i="2"/>
  <c r="L154" i="2"/>
  <c r="L155" i="2" s="1"/>
  <c r="K154" i="2"/>
  <c r="J154" i="2"/>
  <c r="J155" i="2" s="1"/>
  <c r="I154" i="2"/>
  <c r="I155" i="2" s="1"/>
  <c r="H154" i="2"/>
  <c r="H155" i="2" s="1"/>
  <c r="G154" i="2"/>
  <c r="G155" i="2" s="1"/>
  <c r="T153" i="2"/>
  <c r="P153" i="2"/>
  <c r="R152" i="2"/>
  <c r="P152" i="2"/>
  <c r="X151" i="2"/>
  <c r="V151" i="2"/>
  <c r="T151" i="2"/>
  <c r="P151" i="2"/>
  <c r="R151" i="2" s="1"/>
  <c r="Y147" i="2"/>
  <c r="Z147" i="2" s="1"/>
  <c r="X147" i="2"/>
  <c r="V147" i="2"/>
  <c r="T147" i="2"/>
  <c r="R147" i="2"/>
  <c r="P147" i="2"/>
  <c r="Y146" i="2"/>
  <c r="Z146" i="2" s="1"/>
  <c r="X146" i="2"/>
  <c r="V146" i="2"/>
  <c r="T146" i="2"/>
  <c r="R146" i="2"/>
  <c r="P146" i="2"/>
  <c r="Y145" i="2"/>
  <c r="Z145" i="2" s="1"/>
  <c r="P145" i="2"/>
  <c r="Z144" i="2"/>
  <c r="Y144" i="2"/>
  <c r="P144" i="2"/>
  <c r="U142" i="2"/>
  <c r="S142" i="2"/>
  <c r="M142" i="2"/>
  <c r="L142" i="2"/>
  <c r="K142" i="2"/>
  <c r="J142" i="2"/>
  <c r="X141" i="2"/>
  <c r="W141" i="2"/>
  <c r="U141" i="2"/>
  <c r="S141" i="2"/>
  <c r="Q141" i="2"/>
  <c r="P141" i="2"/>
  <c r="V141" i="2" s="1"/>
  <c r="O141" i="2"/>
  <c r="N141" i="2"/>
  <c r="N142" i="2" s="1"/>
  <c r="M141" i="2"/>
  <c r="L141" i="2"/>
  <c r="K141" i="2"/>
  <c r="J141" i="2"/>
  <c r="I141" i="2"/>
  <c r="H141" i="2"/>
  <c r="G141" i="2"/>
  <c r="Z140" i="2"/>
  <c r="Y140" i="2"/>
  <c r="R140" i="2"/>
  <c r="P140" i="2"/>
  <c r="Y139" i="2"/>
  <c r="P139" i="2"/>
  <c r="Z138" i="2"/>
  <c r="Y138" i="2"/>
  <c r="X138" i="2"/>
  <c r="W138" i="2"/>
  <c r="U138" i="2"/>
  <c r="S138" i="2"/>
  <c r="Q138" i="2"/>
  <c r="Q142" i="2" s="1"/>
  <c r="P138" i="2"/>
  <c r="O138" i="2"/>
  <c r="O142" i="2" s="1"/>
  <c r="N138" i="2"/>
  <c r="M138" i="2"/>
  <c r="L138" i="2"/>
  <c r="K138" i="2"/>
  <c r="J138" i="2"/>
  <c r="I138" i="2"/>
  <c r="I142" i="2" s="1"/>
  <c r="H138" i="2"/>
  <c r="G138" i="2"/>
  <c r="G142" i="2" s="1"/>
  <c r="R137" i="2"/>
  <c r="P137" i="2"/>
  <c r="S133" i="2"/>
  <c r="L133" i="2"/>
  <c r="W132" i="2"/>
  <c r="U132" i="2"/>
  <c r="S132" i="2"/>
  <c r="Q132" i="2"/>
  <c r="O132" i="2"/>
  <c r="N132" i="2"/>
  <c r="M132" i="2"/>
  <c r="M133" i="2" s="1"/>
  <c r="L132" i="2"/>
  <c r="J132" i="2"/>
  <c r="H132" i="2"/>
  <c r="G132" i="2"/>
  <c r="Z131" i="2"/>
  <c r="K131" i="2"/>
  <c r="I131" i="2"/>
  <c r="I132" i="2" s="1"/>
  <c r="Y130" i="2"/>
  <c r="P130" i="2"/>
  <c r="W129" i="2"/>
  <c r="U129" i="2"/>
  <c r="S129" i="2"/>
  <c r="Q129" i="2"/>
  <c r="O129" i="2"/>
  <c r="O133" i="2" s="1"/>
  <c r="N129" i="2"/>
  <c r="M129" i="2"/>
  <c r="L129" i="2"/>
  <c r="K129" i="2"/>
  <c r="J129" i="2"/>
  <c r="J133" i="2" s="1"/>
  <c r="I129" i="2"/>
  <c r="H129" i="2"/>
  <c r="G129" i="2"/>
  <c r="G133" i="2" s="1"/>
  <c r="T128" i="2"/>
  <c r="R128" i="2"/>
  <c r="P128" i="2"/>
  <c r="X128" i="2" s="1"/>
  <c r="K128" i="2"/>
  <c r="W124" i="2"/>
  <c r="O124" i="2"/>
  <c r="G124" i="2"/>
  <c r="Y123" i="2"/>
  <c r="W123" i="2"/>
  <c r="U123" i="2"/>
  <c r="S123" i="2"/>
  <c r="Q123" i="2"/>
  <c r="O123" i="2"/>
  <c r="N123" i="2"/>
  <c r="M123" i="2"/>
  <c r="L123" i="2"/>
  <c r="K123" i="2"/>
  <c r="J123" i="2"/>
  <c r="J31" i="2" s="1"/>
  <c r="J24" i="2" s="1"/>
  <c r="J6" i="2" s="1"/>
  <c r="J17" i="2" s="1"/>
  <c r="I123" i="2"/>
  <c r="H123" i="2"/>
  <c r="G123" i="2"/>
  <c r="Y122" i="2"/>
  <c r="Z122" i="2" s="1"/>
  <c r="Z123" i="2" s="1"/>
  <c r="P122" i="2"/>
  <c r="V122" i="2" s="1"/>
  <c r="W121" i="2"/>
  <c r="U121" i="2"/>
  <c r="S121" i="2"/>
  <c r="Q121" i="2"/>
  <c r="O121" i="2"/>
  <c r="N121" i="2"/>
  <c r="N124" i="2" s="1"/>
  <c r="M121" i="2"/>
  <c r="M124" i="2" s="1"/>
  <c r="L121" i="2"/>
  <c r="K121" i="2"/>
  <c r="J121" i="2"/>
  <c r="H121" i="2"/>
  <c r="G121" i="2"/>
  <c r="Y120" i="2"/>
  <c r="Z120" i="2" s="1"/>
  <c r="X120" i="2"/>
  <c r="V120" i="2"/>
  <c r="T120" i="2"/>
  <c r="P120" i="2"/>
  <c r="R120" i="2" s="1"/>
  <c r="Z119" i="2"/>
  <c r="Y119" i="2"/>
  <c r="X119" i="2"/>
  <c r="V119" i="2"/>
  <c r="T119" i="2"/>
  <c r="K119" i="2"/>
  <c r="P119" i="2" s="1"/>
  <c r="R119" i="2" s="1"/>
  <c r="I119" i="2"/>
  <c r="I121" i="2" s="1"/>
  <c r="X118" i="2"/>
  <c r="V118" i="2"/>
  <c r="T118" i="2"/>
  <c r="R118" i="2"/>
  <c r="P118" i="2"/>
  <c r="R117" i="2"/>
  <c r="P117" i="2"/>
  <c r="Z116" i="2"/>
  <c r="W116" i="2"/>
  <c r="U116" i="2"/>
  <c r="V116" i="2" s="1"/>
  <c r="S116" i="2"/>
  <c r="R116" i="2"/>
  <c r="Q116" i="2"/>
  <c r="O116" i="2"/>
  <c r="N116" i="2"/>
  <c r="M116" i="2"/>
  <c r="L116" i="2"/>
  <c r="K116" i="2"/>
  <c r="J116" i="2"/>
  <c r="I116" i="2"/>
  <c r="I124" i="2" s="1"/>
  <c r="H116" i="2"/>
  <c r="H124" i="2" s="1"/>
  <c r="G116" i="2"/>
  <c r="Y115" i="2"/>
  <c r="Z115" i="2" s="1"/>
  <c r="X115" i="2"/>
  <c r="V115" i="2"/>
  <c r="T115" i="2"/>
  <c r="R115" i="2"/>
  <c r="P115" i="2"/>
  <c r="K115" i="2"/>
  <c r="I115" i="2"/>
  <c r="Y114" i="2"/>
  <c r="Z114" i="2" s="1"/>
  <c r="X114" i="2"/>
  <c r="V114" i="2"/>
  <c r="T114" i="2"/>
  <c r="R114" i="2"/>
  <c r="P114" i="2"/>
  <c r="Y113" i="2"/>
  <c r="Z113" i="2" s="1"/>
  <c r="X113" i="2"/>
  <c r="V113" i="2"/>
  <c r="T113" i="2"/>
  <c r="R113" i="2"/>
  <c r="P113" i="2"/>
  <c r="P116" i="2" s="1"/>
  <c r="W109" i="2"/>
  <c r="U109" i="2"/>
  <c r="O109" i="2"/>
  <c r="N109" i="2"/>
  <c r="M109" i="2"/>
  <c r="L109" i="2"/>
  <c r="G109" i="2"/>
  <c r="Z108" i="2"/>
  <c r="Z109" i="2" s="1"/>
  <c r="Y108" i="2"/>
  <c r="Y109" i="2" s="1"/>
  <c r="W108" i="2"/>
  <c r="U108" i="2"/>
  <c r="S108" i="2"/>
  <c r="Q108" i="2"/>
  <c r="P108" i="2"/>
  <c r="O108" i="2"/>
  <c r="N108" i="2"/>
  <c r="M108" i="2"/>
  <c r="L108" i="2"/>
  <c r="K108" i="2"/>
  <c r="K109" i="2" s="1"/>
  <c r="J108" i="2"/>
  <c r="J109" i="2" s="1"/>
  <c r="I108" i="2"/>
  <c r="I109" i="2" s="1"/>
  <c r="H108" i="2"/>
  <c r="G108" i="2"/>
  <c r="Y107" i="2"/>
  <c r="Z107" i="2" s="1"/>
  <c r="T107" i="2"/>
  <c r="R107" i="2"/>
  <c r="P107" i="2"/>
  <c r="X107" i="2" s="1"/>
  <c r="Z103" i="2"/>
  <c r="Y103" i="2"/>
  <c r="R103" i="2"/>
  <c r="P103" i="2"/>
  <c r="Z102" i="2"/>
  <c r="Y102" i="2"/>
  <c r="Q102" i="2"/>
  <c r="P102" i="2"/>
  <c r="Z101" i="2"/>
  <c r="Y101" i="2"/>
  <c r="P101" i="2"/>
  <c r="Z100" i="2"/>
  <c r="Y100" i="2"/>
  <c r="P100" i="2"/>
  <c r="H100" i="2"/>
  <c r="Y99" i="2"/>
  <c r="Z99" i="2" s="1"/>
  <c r="P99" i="2"/>
  <c r="H99" i="2"/>
  <c r="L97" i="2"/>
  <c r="W96" i="2"/>
  <c r="X96" i="2" s="1"/>
  <c r="U96" i="2"/>
  <c r="U97" i="2" s="1"/>
  <c r="S96" i="2"/>
  <c r="Q96" i="2"/>
  <c r="R96" i="2" s="1"/>
  <c r="P96" i="2"/>
  <c r="T96" i="2" s="1"/>
  <c r="O96" i="2"/>
  <c r="N96" i="2"/>
  <c r="M96" i="2"/>
  <c r="M97" i="2" s="1"/>
  <c r="L96" i="2"/>
  <c r="K96" i="2"/>
  <c r="J96" i="2"/>
  <c r="I96" i="2"/>
  <c r="H96" i="2"/>
  <c r="G96" i="2"/>
  <c r="Y95" i="2"/>
  <c r="Y96" i="2" s="1"/>
  <c r="P95" i="2"/>
  <c r="Z94" i="2"/>
  <c r="Y94" i="2"/>
  <c r="X94" i="2"/>
  <c r="W94" i="2"/>
  <c r="U94" i="2"/>
  <c r="S94" i="2"/>
  <c r="T94" i="2" s="1"/>
  <c r="R94" i="2"/>
  <c r="Q94" i="2"/>
  <c r="P94" i="2"/>
  <c r="O94" i="2"/>
  <c r="N94" i="2"/>
  <c r="M94" i="2"/>
  <c r="L94" i="2"/>
  <c r="K94" i="2"/>
  <c r="K97" i="2" s="1"/>
  <c r="J94" i="2"/>
  <c r="J97" i="2" s="1"/>
  <c r="I94" i="2"/>
  <c r="H94" i="2"/>
  <c r="G94" i="2"/>
  <c r="Z93" i="2"/>
  <c r="Y93" i="2"/>
  <c r="V93" i="2"/>
  <c r="T93" i="2"/>
  <c r="R93" i="2"/>
  <c r="P93" i="2"/>
  <c r="X93" i="2" s="1"/>
  <c r="K93" i="2"/>
  <c r="I93" i="2"/>
  <c r="T92" i="2"/>
  <c r="R92" i="2"/>
  <c r="P92" i="2"/>
  <c r="X91" i="2"/>
  <c r="P91" i="2"/>
  <c r="V91" i="2" s="1"/>
  <c r="Z90" i="2"/>
  <c r="Y90" i="2"/>
  <c r="Y97" i="2" s="1"/>
  <c r="W90" i="2"/>
  <c r="U90" i="2"/>
  <c r="S90" i="2"/>
  <c r="Q90" i="2"/>
  <c r="O90" i="2"/>
  <c r="N90" i="2"/>
  <c r="M90" i="2"/>
  <c r="L90" i="2"/>
  <c r="K90" i="2"/>
  <c r="J90" i="2"/>
  <c r="I90" i="2"/>
  <c r="I97" i="2" s="1"/>
  <c r="H90" i="2"/>
  <c r="G90" i="2"/>
  <c r="P89" i="2"/>
  <c r="X88" i="2"/>
  <c r="V88" i="2"/>
  <c r="T88" i="2"/>
  <c r="R88" i="2"/>
  <c r="P88" i="2"/>
  <c r="R87" i="2"/>
  <c r="P87" i="2"/>
  <c r="Z83" i="2"/>
  <c r="Y83" i="2"/>
  <c r="P83" i="2"/>
  <c r="Z82" i="2"/>
  <c r="Y82" i="2"/>
  <c r="P82" i="2"/>
  <c r="I82" i="2"/>
  <c r="Y81" i="2"/>
  <c r="Z81" i="2" s="1"/>
  <c r="P81" i="2"/>
  <c r="Y80" i="2"/>
  <c r="Z80" i="2" s="1"/>
  <c r="X80" i="2"/>
  <c r="P80" i="2"/>
  <c r="V80" i="2" s="1"/>
  <c r="Y79" i="2"/>
  <c r="Z79" i="2" s="1"/>
  <c r="X79" i="2"/>
  <c r="V79" i="2"/>
  <c r="T79" i="2"/>
  <c r="P79" i="2"/>
  <c r="R79" i="2" s="1"/>
  <c r="W77" i="2"/>
  <c r="Q77" i="2"/>
  <c r="O77" i="2"/>
  <c r="I77" i="2"/>
  <c r="H77" i="2"/>
  <c r="G77" i="2"/>
  <c r="W76" i="2"/>
  <c r="U76" i="2"/>
  <c r="S76" i="2"/>
  <c r="Q76" i="2"/>
  <c r="O76" i="2"/>
  <c r="N76" i="2"/>
  <c r="M76" i="2"/>
  <c r="L76" i="2"/>
  <c r="K76" i="2"/>
  <c r="J76" i="2"/>
  <c r="I76" i="2"/>
  <c r="H76" i="2"/>
  <c r="G76" i="2"/>
  <c r="Y75" i="2"/>
  <c r="Z75" i="2" s="1"/>
  <c r="X75" i="2"/>
  <c r="V75" i="2"/>
  <c r="T75" i="2"/>
  <c r="R75" i="2"/>
  <c r="P75" i="2"/>
  <c r="Y74" i="2"/>
  <c r="Y76" i="2" s="1"/>
  <c r="X74" i="2"/>
  <c r="V74" i="2"/>
  <c r="T74" i="2"/>
  <c r="R74" i="2"/>
  <c r="P74" i="2"/>
  <c r="Y73" i="2"/>
  <c r="Z73" i="2" s="1"/>
  <c r="P73" i="2"/>
  <c r="W72" i="2"/>
  <c r="U72" i="2"/>
  <c r="S72" i="2"/>
  <c r="Q72" i="2"/>
  <c r="O72" i="2"/>
  <c r="N72" i="2"/>
  <c r="N29" i="2" s="1"/>
  <c r="N22" i="2" s="1"/>
  <c r="M72" i="2"/>
  <c r="L72" i="2"/>
  <c r="L77" i="2" s="1"/>
  <c r="K72" i="2"/>
  <c r="J72" i="2"/>
  <c r="I72" i="2"/>
  <c r="H72" i="2"/>
  <c r="G72" i="2"/>
  <c r="Y71" i="2"/>
  <c r="X71" i="2"/>
  <c r="V71" i="2"/>
  <c r="T71" i="2"/>
  <c r="P71" i="2"/>
  <c r="R71" i="2" s="1"/>
  <c r="W67" i="2"/>
  <c r="Q67" i="2"/>
  <c r="W66" i="2"/>
  <c r="U66" i="2"/>
  <c r="T66" i="2"/>
  <c r="S66" i="2"/>
  <c r="Q66" i="2"/>
  <c r="O66" i="2"/>
  <c r="N66" i="2"/>
  <c r="M66" i="2"/>
  <c r="L66" i="2"/>
  <c r="L31" i="2" s="1"/>
  <c r="L24" i="2" s="1"/>
  <c r="K66" i="2"/>
  <c r="K31" i="2" s="1"/>
  <c r="K24" i="2" s="1"/>
  <c r="K6" i="2" s="1"/>
  <c r="K17" i="2" s="1"/>
  <c r="J66" i="2"/>
  <c r="J67" i="2" s="1"/>
  <c r="I66" i="2"/>
  <c r="H66" i="2"/>
  <c r="G66" i="2"/>
  <c r="Y65" i="2"/>
  <c r="X65" i="2"/>
  <c r="V65" i="2"/>
  <c r="T65" i="2"/>
  <c r="R65" i="2"/>
  <c r="P65" i="2"/>
  <c r="P66" i="2" s="1"/>
  <c r="R66" i="2" s="1"/>
  <c r="W64" i="2"/>
  <c r="U64" i="2"/>
  <c r="S64" i="2"/>
  <c r="S67" i="2" s="1"/>
  <c r="Q64" i="2"/>
  <c r="O64" i="2"/>
  <c r="N64" i="2"/>
  <c r="N67" i="2" s="1"/>
  <c r="M64" i="2"/>
  <c r="L64" i="2"/>
  <c r="J64" i="2"/>
  <c r="H64" i="2"/>
  <c r="H67" i="2" s="1"/>
  <c r="G64" i="2"/>
  <c r="G30" i="2" s="1"/>
  <c r="G23" i="2" s="1"/>
  <c r="Z63" i="2"/>
  <c r="Z64" i="2" s="1"/>
  <c r="Y63" i="2"/>
  <c r="Y64" i="2" s="1"/>
  <c r="K63" i="2"/>
  <c r="I63" i="2"/>
  <c r="I64" i="2" s="1"/>
  <c r="I67" i="2" s="1"/>
  <c r="X62" i="2"/>
  <c r="P62" i="2"/>
  <c r="V62" i="2" s="1"/>
  <c r="X61" i="2"/>
  <c r="V61" i="2"/>
  <c r="T61" i="2"/>
  <c r="R61" i="2"/>
  <c r="P61" i="2"/>
  <c r="W57" i="2"/>
  <c r="O57" i="2"/>
  <c r="N57" i="2"/>
  <c r="L57" i="2"/>
  <c r="G57" i="2"/>
  <c r="Y56" i="2"/>
  <c r="W56" i="2"/>
  <c r="U56" i="2"/>
  <c r="S56" i="2"/>
  <c r="Q56" i="2"/>
  <c r="O56" i="2"/>
  <c r="N56" i="2"/>
  <c r="M56" i="2"/>
  <c r="L56" i="2"/>
  <c r="K56" i="2"/>
  <c r="J56" i="2"/>
  <c r="I56" i="2"/>
  <c r="H56" i="2"/>
  <c r="G56" i="2"/>
  <c r="Y55" i="2"/>
  <c r="Z55" i="2" s="1"/>
  <c r="Z56" i="2" s="1"/>
  <c r="P55" i="2"/>
  <c r="Z54" i="2"/>
  <c r="W54" i="2"/>
  <c r="U54" i="2"/>
  <c r="U30" i="2" s="1"/>
  <c r="S54" i="2"/>
  <c r="Q54" i="2"/>
  <c r="O54" i="2"/>
  <c r="N54" i="2"/>
  <c r="M54" i="2"/>
  <c r="M57" i="2" s="1"/>
  <c r="L54" i="2"/>
  <c r="K54" i="2"/>
  <c r="J54" i="2"/>
  <c r="H54" i="2"/>
  <c r="G54" i="2"/>
  <c r="X53" i="2"/>
  <c r="V53" i="2"/>
  <c r="T53" i="2"/>
  <c r="R53" i="2"/>
  <c r="P53" i="2"/>
  <c r="Z52" i="2"/>
  <c r="Y52" i="2"/>
  <c r="Y54" i="2" s="1"/>
  <c r="T52" i="2"/>
  <c r="R52" i="2"/>
  <c r="P52" i="2"/>
  <c r="X52" i="2" s="1"/>
  <c r="K52" i="2"/>
  <c r="I52" i="2"/>
  <c r="R51" i="2"/>
  <c r="P51" i="2"/>
  <c r="X50" i="2"/>
  <c r="P50" i="2"/>
  <c r="V50" i="2" s="1"/>
  <c r="W49" i="2"/>
  <c r="U49" i="2"/>
  <c r="S49" i="2"/>
  <c r="Q49" i="2"/>
  <c r="O49" i="2"/>
  <c r="N49" i="2"/>
  <c r="M49" i="2"/>
  <c r="L49" i="2"/>
  <c r="K49" i="2"/>
  <c r="J49" i="2"/>
  <c r="J57" i="2" s="1"/>
  <c r="H49" i="2"/>
  <c r="G49" i="2"/>
  <c r="P48" i="2"/>
  <c r="P47" i="2"/>
  <c r="K47" i="2"/>
  <c r="I47" i="2"/>
  <c r="U43" i="2"/>
  <c r="M43" i="2"/>
  <c r="L43" i="2"/>
  <c r="J43" i="2"/>
  <c r="Y42" i="2"/>
  <c r="X42" i="2"/>
  <c r="W42" i="2"/>
  <c r="U42" i="2"/>
  <c r="S42" i="2"/>
  <c r="Q42" i="2"/>
  <c r="P42" i="2"/>
  <c r="V42" i="2" s="1"/>
  <c r="O42" i="2"/>
  <c r="O31" i="2" s="1"/>
  <c r="O24" i="2" s="1"/>
  <c r="N42" i="2"/>
  <c r="M42" i="2"/>
  <c r="L42" i="2"/>
  <c r="K42" i="2"/>
  <c r="J42" i="2"/>
  <c r="I42" i="2"/>
  <c r="H42" i="2"/>
  <c r="H31" i="2" s="1"/>
  <c r="H24" i="2" s="1"/>
  <c r="G42" i="2"/>
  <c r="G31" i="2" s="1"/>
  <c r="G24" i="2" s="1"/>
  <c r="Z41" i="2"/>
  <c r="Z42" i="2" s="1"/>
  <c r="Y41" i="2"/>
  <c r="P41" i="2"/>
  <c r="Y40" i="2"/>
  <c r="W40" i="2"/>
  <c r="W43" i="2" s="1"/>
  <c r="U40" i="2"/>
  <c r="S40" i="2"/>
  <c r="Q40" i="2"/>
  <c r="O40" i="2"/>
  <c r="O43" i="2" s="1"/>
  <c r="N40" i="2"/>
  <c r="M40" i="2"/>
  <c r="L40" i="2"/>
  <c r="K40" i="2"/>
  <c r="K43" i="2" s="1"/>
  <c r="J40" i="2"/>
  <c r="H40" i="2"/>
  <c r="G40" i="2"/>
  <c r="G43" i="2" s="1"/>
  <c r="T39" i="2"/>
  <c r="R39" i="2"/>
  <c r="P39" i="2"/>
  <c r="Z38" i="2"/>
  <c r="Z40" i="2" s="1"/>
  <c r="Y38" i="2"/>
  <c r="P38" i="2"/>
  <c r="K38" i="2"/>
  <c r="I38" i="2"/>
  <c r="I40" i="2" s="1"/>
  <c r="P37" i="2"/>
  <c r="X36" i="2"/>
  <c r="V36" i="2"/>
  <c r="T36" i="2"/>
  <c r="R36" i="2"/>
  <c r="P36" i="2"/>
  <c r="S31" i="2"/>
  <c r="S29" i="2"/>
  <c r="S24" i="2"/>
  <c r="O16" i="2"/>
  <c r="N16" i="2"/>
  <c r="H16" i="2"/>
  <c r="Z13" i="2"/>
  <c r="Y13" i="2"/>
  <c r="S13" i="2"/>
  <c r="Q13" i="2"/>
  <c r="L13" i="2"/>
  <c r="K13" i="2"/>
  <c r="J13" i="2"/>
  <c r="I13" i="2"/>
  <c r="Z12" i="2"/>
  <c r="Y12" i="2"/>
  <c r="W12" i="2"/>
  <c r="W13" i="2" s="1"/>
  <c r="S12" i="2"/>
  <c r="Q12" i="2"/>
  <c r="O12" i="2"/>
  <c r="O13" i="2" s="1"/>
  <c r="N12" i="2"/>
  <c r="N13" i="2" s="1"/>
  <c r="L12" i="2"/>
  <c r="K12" i="2"/>
  <c r="J12" i="2"/>
  <c r="I12" i="2"/>
  <c r="H12" i="2"/>
  <c r="H13" i="2" s="1"/>
  <c r="G12" i="2"/>
  <c r="G13" i="2" s="1"/>
  <c r="Z10" i="2"/>
  <c r="Y10" i="2"/>
  <c r="X10" i="2"/>
  <c r="W10" i="2"/>
  <c r="V10" i="2"/>
  <c r="U10" i="2"/>
  <c r="S10" i="2"/>
  <c r="Q10" i="2"/>
  <c r="P10" i="2"/>
  <c r="O10" i="2"/>
  <c r="N10" i="2"/>
  <c r="M10" i="2"/>
  <c r="L10" i="2"/>
  <c r="K10" i="2"/>
  <c r="J10" i="2"/>
  <c r="I10" i="2"/>
  <c r="H10" i="2"/>
  <c r="G10" i="2"/>
  <c r="H9" i="2"/>
  <c r="Y8" i="2"/>
  <c r="W8" i="2"/>
  <c r="U8" i="2"/>
  <c r="S8" i="2"/>
  <c r="Q8" i="2"/>
  <c r="O8" i="2"/>
  <c r="N8" i="2"/>
  <c r="M8" i="2"/>
  <c r="L8" i="2"/>
  <c r="J8" i="2"/>
  <c r="I8" i="2"/>
  <c r="H8" i="2"/>
  <c r="Y5" i="2"/>
  <c r="Y16" i="2" s="1"/>
  <c r="Q5" i="2"/>
  <c r="N5" i="2"/>
  <c r="M5" i="2"/>
  <c r="L5" i="2"/>
  <c r="L16" i="2" s="1"/>
  <c r="K5" i="2"/>
  <c r="K16" i="2" s="1"/>
  <c r="J5" i="2"/>
  <c r="J16" i="2" s="1"/>
  <c r="I5" i="2"/>
  <c r="I16" i="2" s="1"/>
  <c r="H5" i="2"/>
  <c r="G5" i="2"/>
  <c r="G16" i="2" s="1"/>
  <c r="H147" i="1"/>
  <c r="M147" i="1" s="1"/>
  <c r="F147" i="1"/>
  <c r="S141" i="1"/>
  <c r="Q141" i="1"/>
  <c r="M141" i="1"/>
  <c r="M140" i="1"/>
  <c r="M139" i="1"/>
  <c r="U139" i="1" s="1"/>
  <c r="U138" i="1"/>
  <c r="N138" i="1"/>
  <c r="M138" i="1"/>
  <c r="M137" i="1"/>
  <c r="S137" i="1" s="1"/>
  <c r="U136" i="1"/>
  <c r="M136" i="1"/>
  <c r="P134" i="1"/>
  <c r="E134" i="1"/>
  <c r="W133" i="1"/>
  <c r="V133" i="1"/>
  <c r="T133" i="1"/>
  <c r="R133" i="1"/>
  <c r="P133" i="1"/>
  <c r="N133" i="1"/>
  <c r="L133" i="1"/>
  <c r="L15" i="1" s="1"/>
  <c r="K133" i="1"/>
  <c r="J133" i="1"/>
  <c r="I133" i="1"/>
  <c r="H133" i="1"/>
  <c r="G133" i="1"/>
  <c r="F133" i="1"/>
  <c r="F15" i="1" s="1"/>
  <c r="E133" i="1"/>
  <c r="D133" i="1"/>
  <c r="W132" i="1"/>
  <c r="V132" i="1"/>
  <c r="T132" i="1"/>
  <c r="R132" i="1"/>
  <c r="P132" i="1"/>
  <c r="P14" i="1" s="1"/>
  <c r="N132" i="1"/>
  <c r="L132" i="1"/>
  <c r="K132" i="1"/>
  <c r="J132" i="1"/>
  <c r="I132" i="1"/>
  <c r="H132" i="1"/>
  <c r="H14" i="1" s="1"/>
  <c r="G132" i="1"/>
  <c r="G14" i="1" s="1"/>
  <c r="F132" i="1"/>
  <c r="E132" i="1"/>
  <c r="D132" i="1"/>
  <c r="W131" i="1"/>
  <c r="V131" i="1"/>
  <c r="T131" i="1"/>
  <c r="R131" i="1"/>
  <c r="P131" i="1"/>
  <c r="N131" i="1"/>
  <c r="L131" i="1"/>
  <c r="K131" i="1"/>
  <c r="J131" i="1"/>
  <c r="I131" i="1"/>
  <c r="H131" i="1"/>
  <c r="H134" i="1" s="1"/>
  <c r="G131" i="1"/>
  <c r="F131" i="1"/>
  <c r="E131" i="1"/>
  <c r="D131" i="1"/>
  <c r="W130" i="1"/>
  <c r="W134" i="1" s="1"/>
  <c r="V130" i="1"/>
  <c r="V134" i="1" s="1"/>
  <c r="T130" i="1"/>
  <c r="U130" i="1" s="1"/>
  <c r="R130" i="1"/>
  <c r="P130" i="1"/>
  <c r="N130" i="1"/>
  <c r="M130" i="1"/>
  <c r="L130" i="1"/>
  <c r="K130" i="1"/>
  <c r="K134" i="1" s="1"/>
  <c r="J130" i="1"/>
  <c r="J12" i="1" s="1"/>
  <c r="J16" i="1" s="1"/>
  <c r="I130" i="1"/>
  <c r="I134" i="1" s="1"/>
  <c r="H130" i="1"/>
  <c r="G130" i="1"/>
  <c r="F130" i="1"/>
  <c r="E130" i="1"/>
  <c r="D130" i="1"/>
  <c r="V126" i="1"/>
  <c r="V77" i="1" s="1"/>
  <c r="T126" i="1"/>
  <c r="R126" i="1"/>
  <c r="P126" i="1"/>
  <c r="P77" i="1" s="1"/>
  <c r="N126" i="1"/>
  <c r="L126" i="1"/>
  <c r="L77" i="1" s="1"/>
  <c r="L6" i="1" s="1"/>
  <c r="K126" i="1"/>
  <c r="K77" i="1" s="1"/>
  <c r="J126" i="1"/>
  <c r="I126" i="1"/>
  <c r="I77" i="1" s="1"/>
  <c r="I6" i="1" s="1"/>
  <c r="I20" i="1" s="1"/>
  <c r="H126" i="1"/>
  <c r="H77" i="1" s="1"/>
  <c r="G126" i="1"/>
  <c r="F126" i="1"/>
  <c r="F77" i="1" s="1"/>
  <c r="E126" i="1"/>
  <c r="D126" i="1"/>
  <c r="W125" i="1"/>
  <c r="W126" i="1" s="1"/>
  <c r="W77" i="1" s="1"/>
  <c r="V125" i="1"/>
  <c r="U125" i="1"/>
  <c r="S125" i="1"/>
  <c r="O125" i="1"/>
  <c r="M125" i="1"/>
  <c r="Q125" i="1" s="1"/>
  <c r="W124" i="1"/>
  <c r="W76" i="1" s="1"/>
  <c r="V124" i="1"/>
  <c r="T124" i="1"/>
  <c r="R124" i="1"/>
  <c r="P124" i="1"/>
  <c r="N124" i="1"/>
  <c r="L124" i="1"/>
  <c r="L76" i="1" s="1"/>
  <c r="K124" i="1"/>
  <c r="J124" i="1"/>
  <c r="I124" i="1"/>
  <c r="I76" i="1" s="1"/>
  <c r="H124" i="1"/>
  <c r="G124" i="1"/>
  <c r="G76" i="1" s="1"/>
  <c r="F124" i="1"/>
  <c r="E124" i="1"/>
  <c r="D124" i="1"/>
  <c r="D76" i="1" s="1"/>
  <c r="M123" i="1"/>
  <c r="W122" i="1"/>
  <c r="Z279" i="2" s="1"/>
  <c r="Z280" i="2" s="1"/>
  <c r="Z269" i="2" s="1"/>
  <c r="Z261" i="2" s="1"/>
  <c r="Z5" i="2" s="1"/>
  <c r="Z16" i="2" s="1"/>
  <c r="Q122" i="1"/>
  <c r="M122" i="1"/>
  <c r="T121" i="1"/>
  <c r="R121" i="1"/>
  <c r="P121" i="1"/>
  <c r="N121" i="1"/>
  <c r="L121" i="1"/>
  <c r="K121" i="1"/>
  <c r="K75" i="1" s="1"/>
  <c r="J121" i="1"/>
  <c r="J75" i="1" s="1"/>
  <c r="J78" i="1" s="1"/>
  <c r="I121" i="1"/>
  <c r="G121" i="1"/>
  <c r="F121" i="1"/>
  <c r="F75" i="1" s="1"/>
  <c r="F78" i="1" s="1"/>
  <c r="U120" i="1"/>
  <c r="S120" i="1"/>
  <c r="O120" i="1"/>
  <c r="M120" i="1"/>
  <c r="Q120" i="1" s="1"/>
  <c r="S119" i="1"/>
  <c r="O119" i="1"/>
  <c r="M119" i="1"/>
  <c r="Q119" i="1" s="1"/>
  <c r="H119" i="1"/>
  <c r="U118" i="1"/>
  <c r="Q118" i="1"/>
  <c r="O118" i="1"/>
  <c r="M118" i="1"/>
  <c r="S118" i="1" s="1"/>
  <c r="U117" i="1"/>
  <c r="S117" i="1"/>
  <c r="O117" i="1"/>
  <c r="M117" i="1"/>
  <c r="Q117" i="1" s="1"/>
  <c r="U116" i="1"/>
  <c r="S116" i="1"/>
  <c r="O116" i="1"/>
  <c r="M116" i="1"/>
  <c r="Q116" i="1" s="1"/>
  <c r="O115" i="1"/>
  <c r="M115" i="1"/>
  <c r="M114" i="1"/>
  <c r="S113" i="1"/>
  <c r="M113" i="1"/>
  <c r="M112" i="1"/>
  <c r="U111" i="1"/>
  <c r="S111" i="1"/>
  <c r="Q111" i="1"/>
  <c r="O111" i="1"/>
  <c r="M111" i="1"/>
  <c r="W110" i="1"/>
  <c r="V110" i="1"/>
  <c r="M110" i="1"/>
  <c r="V109" i="1"/>
  <c r="W109" i="1" s="1"/>
  <c r="Q109" i="1"/>
  <c r="M109" i="1"/>
  <c r="W108" i="1"/>
  <c r="V108" i="1"/>
  <c r="U108" i="1"/>
  <c r="Q108" i="1"/>
  <c r="O108" i="1"/>
  <c r="M108" i="1"/>
  <c r="S108" i="1" s="1"/>
  <c r="W107" i="1"/>
  <c r="Z47" i="2" s="1"/>
  <c r="Z49" i="2" s="1"/>
  <c r="V107" i="1"/>
  <c r="Y47" i="2" s="1"/>
  <c r="Y49" i="2" s="1"/>
  <c r="M107" i="1"/>
  <c r="O107" i="1" s="1"/>
  <c r="V106" i="1"/>
  <c r="M106" i="1"/>
  <c r="W105" i="1"/>
  <c r="V105" i="1"/>
  <c r="U105" i="1"/>
  <c r="S105" i="1"/>
  <c r="O105" i="1"/>
  <c r="M105" i="1"/>
  <c r="Q105" i="1" s="1"/>
  <c r="W104" i="1"/>
  <c r="U104" i="1"/>
  <c r="S104" i="1"/>
  <c r="Q104" i="1"/>
  <c r="O104" i="1"/>
  <c r="M104" i="1"/>
  <c r="W103" i="1"/>
  <c r="Z274" i="2" s="1"/>
  <c r="Z275" i="2" s="1"/>
  <c r="V103" i="1"/>
  <c r="Y274" i="2" s="1"/>
  <c r="Y275" i="2" s="1"/>
  <c r="M103" i="1"/>
  <c r="Q103" i="1" s="1"/>
  <c r="W102" i="1"/>
  <c r="U102" i="1"/>
  <c r="Q102" i="1"/>
  <c r="O102" i="1"/>
  <c r="M102" i="1"/>
  <c r="S102" i="1" s="1"/>
  <c r="W101" i="1"/>
  <c r="M101" i="1"/>
  <c r="U101" i="1" s="1"/>
  <c r="W100" i="1"/>
  <c r="S100" i="1"/>
  <c r="M100" i="1"/>
  <c r="W99" i="1"/>
  <c r="M99" i="1"/>
  <c r="Q99" i="1" s="1"/>
  <c r="V98" i="1"/>
  <c r="W98" i="1" s="1"/>
  <c r="M98" i="1"/>
  <c r="W97" i="1"/>
  <c r="V97" i="1"/>
  <c r="U97" i="1"/>
  <c r="Q97" i="1"/>
  <c r="O97" i="1"/>
  <c r="M97" i="1"/>
  <c r="S97" i="1" s="1"/>
  <c r="E97" i="1"/>
  <c r="E121" i="1" s="1"/>
  <c r="E75" i="1" s="1"/>
  <c r="D97" i="1"/>
  <c r="M96" i="1"/>
  <c r="S96" i="1" s="1"/>
  <c r="V95" i="1"/>
  <c r="W95" i="1" s="1"/>
  <c r="U95" i="1"/>
  <c r="M95" i="1"/>
  <c r="H94" i="1"/>
  <c r="U93" i="1"/>
  <c r="S93" i="1"/>
  <c r="Q93" i="1"/>
  <c r="O93" i="1"/>
  <c r="M93" i="1"/>
  <c r="W92" i="1"/>
  <c r="V92" i="1"/>
  <c r="U92" i="1"/>
  <c r="S92" i="1"/>
  <c r="M92" i="1"/>
  <c r="Q92" i="1" s="1"/>
  <c r="M91" i="1"/>
  <c r="V90" i="1"/>
  <c r="W90" i="1" s="1"/>
  <c r="U90" i="1"/>
  <c r="Q90" i="1"/>
  <c r="M90" i="1"/>
  <c r="W89" i="1"/>
  <c r="V89" i="1"/>
  <c r="U89" i="1"/>
  <c r="S89" i="1"/>
  <c r="O89" i="1"/>
  <c r="M89" i="1"/>
  <c r="Q89" i="1" s="1"/>
  <c r="D89" i="1"/>
  <c r="D121" i="1" s="1"/>
  <c r="D75" i="1" s="1"/>
  <c r="W88" i="1"/>
  <c r="V88" i="1"/>
  <c r="U88" i="1"/>
  <c r="S88" i="1"/>
  <c r="O88" i="1"/>
  <c r="M88" i="1"/>
  <c r="Q88" i="1" s="1"/>
  <c r="V87" i="1"/>
  <c r="W87" i="1" s="1"/>
  <c r="M87" i="1"/>
  <c r="V86" i="1"/>
  <c r="W86" i="1" s="1"/>
  <c r="U86" i="1"/>
  <c r="S86" i="1"/>
  <c r="Q86" i="1"/>
  <c r="O86" i="1"/>
  <c r="M86" i="1"/>
  <c r="W85" i="1"/>
  <c r="V85" i="1"/>
  <c r="M85" i="1"/>
  <c r="Q85" i="1" s="1"/>
  <c r="V84" i="1"/>
  <c r="M84" i="1"/>
  <c r="W83" i="1"/>
  <c r="V83" i="1"/>
  <c r="U83" i="1"/>
  <c r="Q83" i="1"/>
  <c r="O83" i="1"/>
  <c r="M83" i="1"/>
  <c r="S83" i="1" s="1"/>
  <c r="V82" i="1"/>
  <c r="W82" i="1" s="1"/>
  <c r="M82" i="1"/>
  <c r="R77" i="1"/>
  <c r="J77" i="1"/>
  <c r="G77" i="1"/>
  <c r="E77" i="1"/>
  <c r="E6" i="1" s="1"/>
  <c r="E20" i="1" s="1"/>
  <c r="D77" i="1"/>
  <c r="V76" i="1"/>
  <c r="V5" i="1" s="1"/>
  <c r="V19" i="1" s="1"/>
  <c r="R76" i="1"/>
  <c r="P76" i="1"/>
  <c r="N76" i="1"/>
  <c r="K76" i="1"/>
  <c r="K78" i="1" s="1"/>
  <c r="J76" i="1"/>
  <c r="H76" i="1"/>
  <c r="F76" i="1"/>
  <c r="E76" i="1"/>
  <c r="T75" i="1"/>
  <c r="R75" i="1"/>
  <c r="L75" i="1"/>
  <c r="I75" i="1"/>
  <c r="I78" i="1" s="1"/>
  <c r="G75" i="1"/>
  <c r="G78" i="1" s="1"/>
  <c r="V71" i="1"/>
  <c r="W71" i="1" s="1"/>
  <c r="M71" i="1"/>
  <c r="W70" i="1"/>
  <c r="S70" i="1"/>
  <c r="M70" i="1"/>
  <c r="M69" i="1"/>
  <c r="Q69" i="1" s="1"/>
  <c r="W68" i="1"/>
  <c r="V68" i="1"/>
  <c r="U68" i="1"/>
  <c r="Q68" i="1"/>
  <c r="O68" i="1"/>
  <c r="M68" i="1"/>
  <c r="S68" i="1" s="1"/>
  <c r="V67" i="1"/>
  <c r="W67" i="1" s="1"/>
  <c r="M67" i="1"/>
  <c r="W66" i="1"/>
  <c r="U66" i="1"/>
  <c r="S66" i="1"/>
  <c r="O66" i="1"/>
  <c r="M66" i="1"/>
  <c r="Q66" i="1" s="1"/>
  <c r="V65" i="1"/>
  <c r="W65" i="1" s="1"/>
  <c r="S65" i="1"/>
  <c r="M65" i="1"/>
  <c r="V64" i="1"/>
  <c r="W64" i="1" s="1"/>
  <c r="U64" i="1"/>
  <c r="S64" i="1"/>
  <c r="Q64" i="1"/>
  <c r="O64" i="1"/>
  <c r="M64" i="1"/>
  <c r="W63" i="1"/>
  <c r="V63" i="1"/>
  <c r="M63" i="1"/>
  <c r="Q63" i="1" s="1"/>
  <c r="V62" i="1"/>
  <c r="W62" i="1" s="1"/>
  <c r="S62" i="1"/>
  <c r="M62" i="1"/>
  <c r="T60" i="1"/>
  <c r="R60" i="1"/>
  <c r="S60" i="1" s="1"/>
  <c r="P60" i="1"/>
  <c r="N60" i="1"/>
  <c r="M60" i="1"/>
  <c r="M44" i="1" s="1"/>
  <c r="L60" i="1"/>
  <c r="K60" i="1"/>
  <c r="K44" i="1" s="1"/>
  <c r="K6" i="1" s="1"/>
  <c r="K20" i="1" s="1"/>
  <c r="J60" i="1"/>
  <c r="J44" i="1" s="1"/>
  <c r="J6" i="1" s="1"/>
  <c r="J20" i="1" s="1"/>
  <c r="I60" i="1"/>
  <c r="H60" i="1"/>
  <c r="H44" i="1" s="1"/>
  <c r="H6" i="1" s="1"/>
  <c r="G60" i="1"/>
  <c r="F60" i="1"/>
  <c r="E60" i="1"/>
  <c r="E44" i="1" s="1"/>
  <c r="D60" i="1"/>
  <c r="V59" i="1"/>
  <c r="W59" i="1" s="1"/>
  <c r="S59" i="1"/>
  <c r="Q59" i="1"/>
  <c r="M59" i="1"/>
  <c r="V58" i="1"/>
  <c r="U58" i="1"/>
  <c r="S58" i="1"/>
  <c r="Q58" i="1"/>
  <c r="O58" i="1"/>
  <c r="M58" i="1"/>
  <c r="W57" i="1"/>
  <c r="W43" i="1" s="1"/>
  <c r="T57" i="1"/>
  <c r="T43" i="1" s="1"/>
  <c r="R57" i="1"/>
  <c r="R43" i="1" s="1"/>
  <c r="P57" i="1"/>
  <c r="N57" i="1"/>
  <c r="L57" i="1"/>
  <c r="L43" i="1" s="1"/>
  <c r="K57" i="1"/>
  <c r="J57" i="1"/>
  <c r="J43" i="1" s="1"/>
  <c r="I57" i="1"/>
  <c r="I43" i="1" s="1"/>
  <c r="H57" i="1"/>
  <c r="G57" i="1"/>
  <c r="G43" i="1" s="1"/>
  <c r="F57" i="1"/>
  <c r="E57" i="1"/>
  <c r="E43" i="1" s="1"/>
  <c r="E45" i="1" s="1"/>
  <c r="D57" i="1"/>
  <c r="D43" i="1" s="1"/>
  <c r="V56" i="1"/>
  <c r="W56" i="1" s="1"/>
  <c r="M56" i="1"/>
  <c r="Q56" i="1" s="1"/>
  <c r="W55" i="1"/>
  <c r="V55" i="1"/>
  <c r="U55" i="1"/>
  <c r="S55" i="1"/>
  <c r="O55" i="1"/>
  <c r="M55" i="1"/>
  <c r="Q55" i="1" s="1"/>
  <c r="V54" i="1"/>
  <c r="W54" i="1" s="1"/>
  <c r="W9" i="1" s="1"/>
  <c r="M54" i="1"/>
  <c r="V53" i="1"/>
  <c r="W53" i="1" s="1"/>
  <c r="U53" i="1"/>
  <c r="S53" i="1"/>
  <c r="Q53" i="1"/>
  <c r="O53" i="1"/>
  <c r="M53" i="1"/>
  <c r="W52" i="1"/>
  <c r="V52" i="1"/>
  <c r="V57" i="1" s="1"/>
  <c r="V43" i="1" s="1"/>
  <c r="S52" i="1"/>
  <c r="O52" i="1"/>
  <c r="M52" i="1"/>
  <c r="Q52" i="1" s="1"/>
  <c r="V51" i="1"/>
  <c r="T51" i="1"/>
  <c r="R51" i="1"/>
  <c r="P51" i="1"/>
  <c r="P42" i="1" s="1"/>
  <c r="N51" i="1"/>
  <c r="L51" i="1"/>
  <c r="K51" i="1"/>
  <c r="K42" i="1" s="1"/>
  <c r="J51" i="1"/>
  <c r="I51" i="1"/>
  <c r="I42" i="1" s="1"/>
  <c r="H51" i="1"/>
  <c r="H42" i="1" s="1"/>
  <c r="G51" i="1"/>
  <c r="F51" i="1"/>
  <c r="E51" i="1"/>
  <c r="D51" i="1"/>
  <c r="W50" i="1"/>
  <c r="V50" i="1"/>
  <c r="U50" i="1"/>
  <c r="S50" i="1"/>
  <c r="O50" i="1"/>
  <c r="M50" i="1"/>
  <c r="Q50" i="1" s="1"/>
  <c r="W49" i="1"/>
  <c r="V49" i="1"/>
  <c r="M49" i="1"/>
  <c r="Q49" i="1" s="1"/>
  <c r="J45" i="1"/>
  <c r="T44" i="1"/>
  <c r="U44" i="1" s="1"/>
  <c r="R44" i="1"/>
  <c r="S44" i="1" s="1"/>
  <c r="N44" i="1"/>
  <c r="O44" i="1" s="1"/>
  <c r="L44" i="1"/>
  <c r="I44" i="1"/>
  <c r="G44" i="1"/>
  <c r="F44" i="1"/>
  <c r="D44" i="1"/>
  <c r="D6" i="1" s="1"/>
  <c r="P43" i="1"/>
  <c r="N43" i="1"/>
  <c r="K43" i="1"/>
  <c r="H43" i="1"/>
  <c r="F43" i="1"/>
  <c r="V42" i="1"/>
  <c r="T42" i="1"/>
  <c r="T3" i="1" s="1"/>
  <c r="R42" i="1"/>
  <c r="N42" i="1"/>
  <c r="L42" i="1"/>
  <c r="J42" i="1"/>
  <c r="G42" i="1"/>
  <c r="G45" i="1" s="1"/>
  <c r="F42" i="1"/>
  <c r="E42" i="1"/>
  <c r="D42" i="1"/>
  <c r="T38" i="1"/>
  <c r="R38" i="1"/>
  <c r="R25" i="1" s="1"/>
  <c r="P38" i="1"/>
  <c r="N38" i="1"/>
  <c r="L38" i="1"/>
  <c r="K38" i="1"/>
  <c r="J38" i="1"/>
  <c r="J25" i="1" s="1"/>
  <c r="I38" i="1"/>
  <c r="H38" i="1"/>
  <c r="H25" i="1" s="1"/>
  <c r="G38" i="1"/>
  <c r="G25" i="1" s="1"/>
  <c r="F38" i="1"/>
  <c r="E38" i="1"/>
  <c r="D38" i="1"/>
  <c r="V37" i="1"/>
  <c r="W37" i="1" s="1"/>
  <c r="M37" i="1"/>
  <c r="V36" i="1"/>
  <c r="W36" i="1" s="1"/>
  <c r="U36" i="1"/>
  <c r="Q36" i="1"/>
  <c r="M36" i="1"/>
  <c r="W35" i="1"/>
  <c r="V35" i="1"/>
  <c r="U35" i="1"/>
  <c r="S35" i="1"/>
  <c r="O35" i="1"/>
  <c r="M35" i="1"/>
  <c r="Q35" i="1" s="1"/>
  <c r="W34" i="1"/>
  <c r="V34" i="1"/>
  <c r="M34" i="1"/>
  <c r="V33" i="1"/>
  <c r="U33" i="1"/>
  <c r="S33" i="1"/>
  <c r="Q33" i="1"/>
  <c r="O33" i="1"/>
  <c r="M33" i="1"/>
  <c r="W32" i="1"/>
  <c r="V32" i="1"/>
  <c r="U32" i="1"/>
  <c r="M32" i="1"/>
  <c r="Q32" i="1" s="1"/>
  <c r="V31" i="1"/>
  <c r="W31" i="1" s="1"/>
  <c r="M31" i="1"/>
  <c r="Q31" i="1" s="1"/>
  <c r="U30" i="1"/>
  <c r="M30" i="1"/>
  <c r="S30" i="1" s="1"/>
  <c r="T26" i="1"/>
  <c r="R26" i="1"/>
  <c r="J26" i="1"/>
  <c r="I26" i="1"/>
  <c r="G26" i="1"/>
  <c r="D26" i="1"/>
  <c r="T25" i="1"/>
  <c r="T4" i="1" s="1"/>
  <c r="P25" i="1"/>
  <c r="N25" i="1"/>
  <c r="L25" i="1"/>
  <c r="L26" i="1" s="1"/>
  <c r="K25" i="1"/>
  <c r="K26" i="1" s="1"/>
  <c r="I25" i="1"/>
  <c r="F25" i="1"/>
  <c r="F26" i="1" s="1"/>
  <c r="E25" i="1"/>
  <c r="D25" i="1"/>
  <c r="P19" i="1"/>
  <c r="I19" i="1"/>
  <c r="H19" i="1"/>
  <c r="W15" i="1"/>
  <c r="V15" i="1"/>
  <c r="T15" i="1"/>
  <c r="R15" i="1"/>
  <c r="P15" i="1"/>
  <c r="K15" i="1"/>
  <c r="J15" i="1"/>
  <c r="I15" i="1"/>
  <c r="H15" i="1"/>
  <c r="G15" i="1"/>
  <c r="E15" i="1"/>
  <c r="W14" i="1"/>
  <c r="V14" i="1"/>
  <c r="T14" i="1"/>
  <c r="N14" i="1"/>
  <c r="L14" i="1"/>
  <c r="L16" i="1" s="1"/>
  <c r="K14" i="1"/>
  <c r="J14" i="1"/>
  <c r="I14" i="1"/>
  <c r="F14" i="1"/>
  <c r="E14" i="1"/>
  <c r="D14" i="1"/>
  <c r="W13" i="1"/>
  <c r="V13" i="1"/>
  <c r="R13" i="1"/>
  <c r="P13" i="1"/>
  <c r="N13" i="1"/>
  <c r="L13" i="1"/>
  <c r="K13" i="1"/>
  <c r="J13" i="1"/>
  <c r="I13" i="1"/>
  <c r="H13" i="1"/>
  <c r="G13" i="1"/>
  <c r="F13" i="1"/>
  <c r="E13" i="1"/>
  <c r="D13" i="1"/>
  <c r="W12" i="1"/>
  <c r="W16" i="1" s="1"/>
  <c r="V12" i="1"/>
  <c r="V16" i="1" s="1"/>
  <c r="T12" i="1"/>
  <c r="U12" i="1" s="1"/>
  <c r="P12" i="1"/>
  <c r="P16" i="1" s="1"/>
  <c r="N12" i="1"/>
  <c r="M12" i="1"/>
  <c r="L12" i="1"/>
  <c r="K12" i="1"/>
  <c r="K16" i="1" s="1"/>
  <c r="I12" i="1"/>
  <c r="H12" i="1"/>
  <c r="G12" i="1"/>
  <c r="G16" i="1" s="1"/>
  <c r="F12" i="1"/>
  <c r="F16" i="1" s="1"/>
  <c r="E12" i="1"/>
  <c r="E16" i="1" s="1"/>
  <c r="D12" i="1"/>
  <c r="P11" i="1"/>
  <c r="I11" i="1"/>
  <c r="H11" i="1"/>
  <c r="T10" i="1"/>
  <c r="R10" i="1"/>
  <c r="P10" i="1"/>
  <c r="N10" i="1"/>
  <c r="L10" i="1"/>
  <c r="K10" i="1"/>
  <c r="J10" i="1"/>
  <c r="I10" i="1"/>
  <c r="H10" i="1"/>
  <c r="T9" i="1"/>
  <c r="R9" i="1"/>
  <c r="P9" i="1"/>
  <c r="N9" i="1"/>
  <c r="L9" i="1"/>
  <c r="L4" i="1" s="1"/>
  <c r="L18" i="1" s="1"/>
  <c r="K9" i="1"/>
  <c r="K11" i="1" s="1"/>
  <c r="J9" i="1"/>
  <c r="J11" i="1" s="1"/>
  <c r="I9" i="1"/>
  <c r="H9" i="1"/>
  <c r="G9" i="1"/>
  <c r="F9" i="1"/>
  <c r="E9" i="1"/>
  <c r="E11" i="1" s="1"/>
  <c r="D9" i="1"/>
  <c r="D4" i="1" s="1"/>
  <c r="D18" i="1" s="1"/>
  <c r="W8" i="1"/>
  <c r="W11" i="1" s="1"/>
  <c r="V8" i="1"/>
  <c r="T8" i="1"/>
  <c r="R8" i="1"/>
  <c r="P8" i="1"/>
  <c r="N8" i="1"/>
  <c r="N11" i="1" s="1"/>
  <c r="L8" i="1"/>
  <c r="L11" i="1" s="1"/>
  <c r="K8" i="1"/>
  <c r="J8" i="1"/>
  <c r="I8" i="1"/>
  <c r="H8" i="1"/>
  <c r="G8" i="1"/>
  <c r="G11" i="1" s="1"/>
  <c r="F8" i="1"/>
  <c r="F11" i="1" s="1"/>
  <c r="E8" i="1"/>
  <c r="D8" i="1"/>
  <c r="D11" i="1" s="1"/>
  <c r="G6" i="1"/>
  <c r="G20" i="1" s="1"/>
  <c r="F6" i="1"/>
  <c r="F20" i="1" s="1"/>
  <c r="W5" i="1"/>
  <c r="W19" i="1" s="1"/>
  <c r="T5" i="1"/>
  <c r="U5" i="1" s="1"/>
  <c r="R5" i="1"/>
  <c r="P5" i="1"/>
  <c r="Q5" i="1" s="1"/>
  <c r="N5" i="1"/>
  <c r="N19" i="1" s="1"/>
  <c r="M5" i="1"/>
  <c r="L5" i="1"/>
  <c r="L19" i="1" s="1"/>
  <c r="K5" i="1"/>
  <c r="K19" i="1" s="1"/>
  <c r="J5" i="1"/>
  <c r="I5" i="1"/>
  <c r="H5" i="1"/>
  <c r="G5" i="1"/>
  <c r="G19" i="1" s="1"/>
  <c r="F5" i="1"/>
  <c r="F19" i="1" s="1"/>
  <c r="E5" i="1"/>
  <c r="E19" i="1" s="1"/>
  <c r="D5" i="1"/>
  <c r="D19" i="1" s="1"/>
  <c r="N4" i="1"/>
  <c r="N18" i="1" s="1"/>
  <c r="I4" i="1"/>
  <c r="G4" i="1"/>
  <c r="G18" i="1" s="1"/>
  <c r="F4" i="1"/>
  <c r="F18" i="1" s="1"/>
  <c r="R3" i="1"/>
  <c r="L3" i="1"/>
  <c r="K3" i="1"/>
  <c r="K17" i="1" s="1"/>
  <c r="J3" i="1"/>
  <c r="T17" i="1" l="1"/>
  <c r="Z76" i="2"/>
  <c r="Z30" i="2" s="1"/>
  <c r="Z23" i="2" s="1"/>
  <c r="R579" i="2"/>
  <c r="X579" i="2"/>
  <c r="V579" i="2"/>
  <c r="T579" i="2"/>
  <c r="U37" i="1"/>
  <c r="Q37" i="1"/>
  <c r="S37" i="1"/>
  <c r="O37" i="1"/>
  <c r="Y128" i="2"/>
  <c r="Y129" i="2" s="1"/>
  <c r="W106" i="1"/>
  <c r="Z128" i="2" s="1"/>
  <c r="Z129" i="2" s="1"/>
  <c r="Y72" i="2"/>
  <c r="Y77" i="2" s="1"/>
  <c r="Z71" i="2"/>
  <c r="Z72" i="2" s="1"/>
  <c r="Q60" i="1"/>
  <c r="P44" i="1"/>
  <c r="D134" i="1"/>
  <c r="D15" i="1"/>
  <c r="D20" i="1" s="1"/>
  <c r="I18" i="1"/>
  <c r="I16" i="1"/>
  <c r="W33" i="1"/>
  <c r="V38" i="1"/>
  <c r="V25" i="1" s="1"/>
  <c r="H20" i="1"/>
  <c r="Y57" i="2"/>
  <c r="Y29" i="2"/>
  <c r="L134" i="1"/>
  <c r="I43" i="2"/>
  <c r="F45" i="1"/>
  <c r="F3" i="1"/>
  <c r="O54" i="1"/>
  <c r="U54" i="1"/>
  <c r="M9" i="1"/>
  <c r="S54" i="1"/>
  <c r="Q54" i="1"/>
  <c r="Z57" i="2"/>
  <c r="Z29" i="2"/>
  <c r="L20" i="1"/>
  <c r="H29" i="2"/>
  <c r="H57" i="2"/>
  <c r="J178" i="2"/>
  <c r="J159" i="2"/>
  <c r="J162" i="2" s="1"/>
  <c r="L281" i="2"/>
  <c r="L267" i="2"/>
  <c r="D78" i="1"/>
  <c r="D3" i="1"/>
  <c r="X101" i="2"/>
  <c r="V101" i="2"/>
  <c r="T101" i="2"/>
  <c r="R101" i="2"/>
  <c r="J4" i="1"/>
  <c r="J18" i="1" s="1"/>
  <c r="U67" i="1"/>
  <c r="Q67" i="1"/>
  <c r="S67" i="1"/>
  <c r="O67" i="1"/>
  <c r="S22" i="2"/>
  <c r="U194" i="2"/>
  <c r="V191" i="2"/>
  <c r="N31" i="2"/>
  <c r="N24" i="2" s="1"/>
  <c r="N6" i="2" s="1"/>
  <c r="N17" i="2" s="1"/>
  <c r="N43" i="2"/>
  <c r="O67" i="2"/>
  <c r="O30" i="2"/>
  <c r="O23" i="2" s="1"/>
  <c r="E78" i="1"/>
  <c r="E3" i="1"/>
  <c r="S5" i="1"/>
  <c r="Q8" i="1"/>
  <c r="R11" i="1"/>
  <c r="P26" i="1"/>
  <c r="P4" i="1"/>
  <c r="Q38" i="1"/>
  <c r="M121" i="1"/>
  <c r="Q121" i="1" s="1"/>
  <c r="M77" i="2"/>
  <c r="M29" i="2"/>
  <c r="H109" i="2"/>
  <c r="H30" i="2"/>
  <c r="H23" i="2" s="1"/>
  <c r="H16" i="1"/>
  <c r="J17" i="1"/>
  <c r="K4" i="1"/>
  <c r="K45" i="1"/>
  <c r="L7" i="1"/>
  <c r="J19" i="1"/>
  <c r="Q12" i="1"/>
  <c r="W84" i="1"/>
  <c r="W121" i="1" s="1"/>
  <c r="W75" i="1" s="1"/>
  <c r="W78" i="1" s="1"/>
  <c r="Q110" i="1"/>
  <c r="O110" i="1"/>
  <c r="S110" i="1"/>
  <c r="U110" i="1"/>
  <c r="S123" i="1"/>
  <c r="O123" i="1"/>
  <c r="M10" i="1"/>
  <c r="U123" i="1"/>
  <c r="Q123" i="1"/>
  <c r="I45" i="1"/>
  <c r="I3" i="1"/>
  <c r="P109" i="2"/>
  <c r="V109" i="2" s="1"/>
  <c r="X108" i="2"/>
  <c r="U23" i="2"/>
  <c r="V352" i="2"/>
  <c r="X352" i="2"/>
  <c r="R352" i="2"/>
  <c r="T352" i="2"/>
  <c r="Q9" i="1"/>
  <c r="R17" i="1"/>
  <c r="U8" i="1"/>
  <c r="U9" i="1"/>
  <c r="O12" i="1"/>
  <c r="E26" i="1"/>
  <c r="E4" i="1"/>
  <c r="E18" i="1" s="1"/>
  <c r="H26" i="1"/>
  <c r="H4" i="1"/>
  <c r="H18" i="1" s="1"/>
  <c r="R45" i="1"/>
  <c r="H45" i="1"/>
  <c r="M57" i="1"/>
  <c r="S130" i="1"/>
  <c r="R12" i="1"/>
  <c r="R134" i="1"/>
  <c r="R56" i="2"/>
  <c r="P76" i="2"/>
  <c r="R76" i="2" s="1"/>
  <c r="X73" i="2"/>
  <c r="V73" i="2"/>
  <c r="R73" i="2"/>
  <c r="T73" i="2"/>
  <c r="L29" i="2"/>
  <c r="L124" i="2"/>
  <c r="O114" i="1"/>
  <c r="U114" i="1"/>
  <c r="O85" i="1"/>
  <c r="T76" i="1"/>
  <c r="T78" i="1" s="1"/>
  <c r="Q137" i="1"/>
  <c r="K57" i="2"/>
  <c r="K29" i="2"/>
  <c r="S109" i="2"/>
  <c r="T109" i="2" s="1"/>
  <c r="T108" i="2"/>
  <c r="V155" i="2"/>
  <c r="W193" i="2"/>
  <c r="S31" i="1"/>
  <c r="U91" i="1"/>
  <c r="Q91" i="1"/>
  <c r="O96" i="1"/>
  <c r="S99" i="1"/>
  <c r="Q101" i="1"/>
  <c r="S107" i="1"/>
  <c r="S112" i="1"/>
  <c r="O112" i="1"/>
  <c r="S114" i="1"/>
  <c r="U131" i="1"/>
  <c r="G134" i="1"/>
  <c r="T134" i="1"/>
  <c r="Q31" i="2"/>
  <c r="P40" i="2"/>
  <c r="X37" i="2"/>
  <c r="V37" i="2"/>
  <c r="T37" i="2"/>
  <c r="R37" i="2"/>
  <c r="I31" i="2"/>
  <c r="I24" i="2" s="1"/>
  <c r="I6" i="2" s="1"/>
  <c r="I17" i="2" s="1"/>
  <c r="R42" i="2"/>
  <c r="Y66" i="2"/>
  <c r="Y67" i="2" s="1"/>
  <c r="Z65" i="2"/>
  <c r="Z66" i="2" s="1"/>
  <c r="Z31" i="2" s="1"/>
  <c r="Z24" i="2" s="1"/>
  <c r="Z6" i="2" s="1"/>
  <c r="Z17" i="2" s="1"/>
  <c r="Q29" i="2"/>
  <c r="Q97" i="2"/>
  <c r="Z95" i="2"/>
  <c r="Z96" i="2" s="1"/>
  <c r="Z97" i="2" s="1"/>
  <c r="X102" i="2"/>
  <c r="V102" i="2"/>
  <c r="T102" i="2"/>
  <c r="V108" i="2"/>
  <c r="X130" i="2"/>
  <c r="V130" i="2"/>
  <c r="T130" i="2"/>
  <c r="R130" i="2"/>
  <c r="U162" i="2"/>
  <c r="N209" i="2"/>
  <c r="N191" i="2"/>
  <c r="N194" i="2" s="1"/>
  <c r="V207" i="2"/>
  <c r="T207" i="2"/>
  <c r="P208" i="2"/>
  <c r="X207" i="2"/>
  <c r="L209" i="2"/>
  <c r="L193" i="2"/>
  <c r="L6" i="2" s="1"/>
  <c r="L17" i="2" s="1"/>
  <c r="M223" i="2"/>
  <c r="Y250" i="2"/>
  <c r="Y220" i="2"/>
  <c r="Y223" i="2" s="1"/>
  <c r="P245" i="2"/>
  <c r="P247" i="2" s="1"/>
  <c r="K275" i="2"/>
  <c r="P274" i="2"/>
  <c r="M94" i="1"/>
  <c r="V94" i="1"/>
  <c r="W94" i="1" s="1"/>
  <c r="N77" i="2"/>
  <c r="Q109" i="2"/>
  <c r="R109" i="2" s="1"/>
  <c r="R108" i="2"/>
  <c r="X122" i="2"/>
  <c r="P123" i="2"/>
  <c r="X123" i="2" s="1"/>
  <c r="R122" i="2"/>
  <c r="R249" i="2"/>
  <c r="T249" i="2"/>
  <c r="P222" i="2"/>
  <c r="V222" i="2" s="1"/>
  <c r="S71" i="1"/>
  <c r="O71" i="1"/>
  <c r="V54" i="2"/>
  <c r="T122" i="2"/>
  <c r="O63" i="1"/>
  <c r="L78" i="1"/>
  <c r="O82" i="1"/>
  <c r="S85" i="1"/>
  <c r="R4" i="1"/>
  <c r="R6" i="1"/>
  <c r="V9" i="1"/>
  <c r="V11" i="1" s="1"/>
  <c r="T11" i="1"/>
  <c r="T13" i="1"/>
  <c r="L17" i="1"/>
  <c r="L21" i="1" s="1"/>
  <c r="T19" i="1"/>
  <c r="W38" i="1"/>
  <c r="W25" i="1" s="1"/>
  <c r="S36" i="1"/>
  <c r="O36" i="1"/>
  <c r="L45" i="1"/>
  <c r="U60" i="1"/>
  <c r="S63" i="1"/>
  <c r="U71" i="1"/>
  <c r="S82" i="1"/>
  <c r="U85" i="1"/>
  <c r="O91" i="1"/>
  <c r="U99" i="1"/>
  <c r="O103" i="1"/>
  <c r="U109" i="1"/>
  <c r="O109" i="1"/>
  <c r="Q112" i="1"/>
  <c r="U115" i="1"/>
  <c r="Q115" i="1"/>
  <c r="O122" i="1"/>
  <c r="M124" i="1"/>
  <c r="U122" i="1"/>
  <c r="N77" i="1"/>
  <c r="M131" i="1"/>
  <c r="S138" i="1"/>
  <c r="U140" i="1"/>
  <c r="O140" i="1"/>
  <c r="Q16" i="2"/>
  <c r="N30" i="2"/>
  <c r="N23" i="2" s="1"/>
  <c r="Y43" i="2"/>
  <c r="Y30" i="2"/>
  <c r="X47" i="2"/>
  <c r="V47" i="2"/>
  <c r="T47" i="2"/>
  <c r="R47" i="2"/>
  <c r="G67" i="2"/>
  <c r="R102" i="2"/>
  <c r="Y132" i="2"/>
  <c r="Z130" i="2"/>
  <c r="Z132" i="2" s="1"/>
  <c r="X139" i="2"/>
  <c r="V139" i="2"/>
  <c r="T139" i="2"/>
  <c r="R139" i="2"/>
  <c r="R141" i="2"/>
  <c r="X145" i="2"/>
  <c r="R145" i="2"/>
  <c r="H162" i="2"/>
  <c r="V168" i="2"/>
  <c r="T168" i="2"/>
  <c r="X168" i="2"/>
  <c r="R168" i="2"/>
  <c r="Z172" i="2"/>
  <c r="Z175" i="2" s="1"/>
  <c r="Z160" i="2" s="1"/>
  <c r="Y175" i="2"/>
  <c r="Y160" i="2" s="1"/>
  <c r="V175" i="2"/>
  <c r="O161" i="2"/>
  <c r="O6" i="2" s="1"/>
  <c r="O17" i="2" s="1"/>
  <c r="O178" i="2"/>
  <c r="L194" i="2"/>
  <c r="Y201" i="2"/>
  <c r="Z198" i="2"/>
  <c r="Z201" i="2" s="1"/>
  <c r="R207" i="2"/>
  <c r="N223" i="2"/>
  <c r="V234" i="2"/>
  <c r="O34" i="1"/>
  <c r="U34" i="1"/>
  <c r="T45" i="1"/>
  <c r="O49" i="1"/>
  <c r="M51" i="1"/>
  <c r="U49" i="1"/>
  <c r="U107" i="1"/>
  <c r="Q107" i="1"/>
  <c r="O133" i="1"/>
  <c r="S139" i="1"/>
  <c r="O139" i="1"/>
  <c r="M133" i="1"/>
  <c r="K30" i="2"/>
  <c r="K23" i="2" s="1"/>
  <c r="Z43" i="2"/>
  <c r="V66" i="2"/>
  <c r="U31" i="2"/>
  <c r="X144" i="2"/>
  <c r="V144" i="2"/>
  <c r="T144" i="2"/>
  <c r="R144" i="2"/>
  <c r="U82" i="1"/>
  <c r="Q82" i="1"/>
  <c r="U96" i="1"/>
  <c r="Q96" i="1"/>
  <c r="I50" i="2"/>
  <c r="I54" i="2" s="1"/>
  <c r="I30" i="2" s="1"/>
  <c r="I23" i="2" s="1"/>
  <c r="I49" i="2"/>
  <c r="W133" i="2"/>
  <c r="W209" i="2"/>
  <c r="W191" i="2"/>
  <c r="N45" i="1"/>
  <c r="S56" i="1"/>
  <c r="O56" i="1"/>
  <c r="U69" i="1"/>
  <c r="O69" i="1"/>
  <c r="G3" i="1"/>
  <c r="O5" i="1"/>
  <c r="W51" i="1"/>
  <c r="W42" i="1" s="1"/>
  <c r="U56" i="1"/>
  <c r="S57" i="1"/>
  <c r="U63" i="1"/>
  <c r="S69" i="1"/>
  <c r="U84" i="1"/>
  <c r="O84" i="1"/>
  <c r="O87" i="1"/>
  <c r="U87" i="1"/>
  <c r="S91" i="1"/>
  <c r="U98" i="1"/>
  <c r="O98" i="1"/>
  <c r="S103" i="1"/>
  <c r="S106" i="1"/>
  <c r="O106" i="1"/>
  <c r="U112" i="1"/>
  <c r="N75" i="1"/>
  <c r="F134" i="1"/>
  <c r="N134" i="1"/>
  <c r="J134" i="1"/>
  <c r="Q140" i="1"/>
  <c r="J29" i="2"/>
  <c r="X41" i="2"/>
  <c r="V41" i="2"/>
  <c r="T41" i="2"/>
  <c r="X55" i="2"/>
  <c r="V55" i="2"/>
  <c r="R55" i="2"/>
  <c r="P56" i="2"/>
  <c r="U57" i="2"/>
  <c r="L67" i="2"/>
  <c r="W30" i="2"/>
  <c r="J77" i="2"/>
  <c r="X100" i="2"/>
  <c r="V100" i="2"/>
  <c r="T100" i="2"/>
  <c r="R100" i="2"/>
  <c r="Q133" i="2"/>
  <c r="R138" i="2"/>
  <c r="Z139" i="2"/>
  <c r="Z141" i="2" s="1"/>
  <c r="Z142" i="2" s="1"/>
  <c r="Y141" i="2"/>
  <c r="T145" i="2"/>
  <c r="T154" i="2"/>
  <c r="P155" i="2"/>
  <c r="T155" i="2" s="1"/>
  <c r="M387" i="2"/>
  <c r="M367" i="2"/>
  <c r="U133" i="2"/>
  <c r="P292" i="2"/>
  <c r="X291" i="2"/>
  <c r="T291" i="2"/>
  <c r="R291" i="2"/>
  <c r="V585" i="2"/>
  <c r="P586" i="2"/>
  <c r="T585" i="2"/>
  <c r="Q34" i="1"/>
  <c r="S38" i="1"/>
  <c r="O99" i="1"/>
  <c r="S57" i="2"/>
  <c r="Y142" i="2"/>
  <c r="K250" i="2"/>
  <c r="S49" i="1"/>
  <c r="Q71" i="1"/>
  <c r="T77" i="1"/>
  <c r="O30" i="1"/>
  <c r="O32" i="1"/>
  <c r="M38" i="1"/>
  <c r="D45" i="1"/>
  <c r="V60" i="1"/>
  <c r="V44" i="1" s="1"/>
  <c r="W58" i="1"/>
  <c r="W60" i="1" s="1"/>
  <c r="W44" i="1" s="1"/>
  <c r="W6" i="1" s="1"/>
  <c r="W20" i="1" s="1"/>
  <c r="U62" i="1"/>
  <c r="O62" i="1"/>
  <c r="O65" i="1"/>
  <c r="U65" i="1"/>
  <c r="O70" i="1"/>
  <c r="U70" i="1"/>
  <c r="Q84" i="1"/>
  <c r="Q87" i="1"/>
  <c r="S95" i="1"/>
  <c r="O95" i="1"/>
  <c r="Q98" i="1"/>
  <c r="O100" i="1"/>
  <c r="U100" i="1"/>
  <c r="U103" i="1"/>
  <c r="Q106" i="1"/>
  <c r="S109" i="1"/>
  <c r="U113" i="1"/>
  <c r="O113" i="1"/>
  <c r="S115" i="1"/>
  <c r="P75" i="1"/>
  <c r="S122" i="1"/>
  <c r="Q126" i="1"/>
  <c r="O130" i="1"/>
  <c r="O131" i="1"/>
  <c r="U133" i="1"/>
  <c r="S136" i="1"/>
  <c r="O136" i="1"/>
  <c r="O138" i="1"/>
  <c r="S140" i="1"/>
  <c r="X38" i="2"/>
  <c r="V38" i="2"/>
  <c r="T38" i="2"/>
  <c r="H43" i="2"/>
  <c r="Q43" i="2"/>
  <c r="Q30" i="2"/>
  <c r="R41" i="2"/>
  <c r="X48" i="2"/>
  <c r="V48" i="2"/>
  <c r="T48" i="2"/>
  <c r="R48" i="2"/>
  <c r="T55" i="2"/>
  <c r="M67" i="2"/>
  <c r="M30" i="2"/>
  <c r="M23" i="2" s="1"/>
  <c r="K77" i="2"/>
  <c r="U77" i="2"/>
  <c r="U29" i="2"/>
  <c r="S97" i="2"/>
  <c r="X109" i="2"/>
  <c r="J124" i="2"/>
  <c r="S124" i="2"/>
  <c r="T116" i="2"/>
  <c r="Y121" i="2"/>
  <c r="K132" i="2"/>
  <c r="K133" i="2" s="1"/>
  <c r="P131" i="2"/>
  <c r="V145" i="2"/>
  <c r="Q155" i="2"/>
  <c r="R155" i="2" s="1"/>
  <c r="R154" i="2"/>
  <c r="U269" i="2"/>
  <c r="V280" i="2"/>
  <c r="L360" i="2"/>
  <c r="L368" i="2"/>
  <c r="U31" i="1"/>
  <c r="O31" i="1"/>
  <c r="U137" i="1"/>
  <c r="O137" i="1"/>
  <c r="V123" i="2"/>
  <c r="V211" i="2"/>
  <c r="T211" i="2"/>
  <c r="X211" i="2"/>
  <c r="R211" i="2"/>
  <c r="Z227" i="2"/>
  <c r="Z228" i="2" s="1"/>
  <c r="Z229" i="2" s="1"/>
  <c r="Y228" i="2"/>
  <c r="Y229" i="2" s="1"/>
  <c r="Y221" i="2" s="1"/>
  <c r="H250" i="2"/>
  <c r="H222" i="2"/>
  <c r="H223" i="2" s="1"/>
  <c r="S101" i="1"/>
  <c r="O101" i="1"/>
  <c r="Q114" i="1"/>
  <c r="Q139" i="1"/>
  <c r="P31" i="2"/>
  <c r="S34" i="1"/>
  <c r="T6" i="1"/>
  <c r="T7" i="1" s="1"/>
  <c r="R14" i="1"/>
  <c r="R19" i="1" s="1"/>
  <c r="N15" i="1"/>
  <c r="N16" i="1" s="1"/>
  <c r="M8" i="1"/>
  <c r="N26" i="1"/>
  <c r="Q30" i="1"/>
  <c r="S32" i="1"/>
  <c r="O38" i="1"/>
  <c r="Q51" i="1"/>
  <c r="U52" i="1"/>
  <c r="U57" i="1"/>
  <c r="O59" i="1"/>
  <c r="U59" i="1"/>
  <c r="O60" i="1"/>
  <c r="Q62" i="1"/>
  <c r="Q65" i="1"/>
  <c r="Q70" i="1"/>
  <c r="R78" i="1"/>
  <c r="S84" i="1"/>
  <c r="S87" i="1"/>
  <c r="S90" i="1"/>
  <c r="O90" i="1"/>
  <c r="O92" i="1"/>
  <c r="Q95" i="1"/>
  <c r="S98" i="1"/>
  <c r="Q100" i="1"/>
  <c r="U106" i="1"/>
  <c r="Q113" i="1"/>
  <c r="U119" i="1"/>
  <c r="H121" i="1"/>
  <c r="H75" i="1" s="1"/>
  <c r="H78" i="1" s="1"/>
  <c r="Q130" i="1"/>
  <c r="M132" i="1"/>
  <c r="Q132" i="1" s="1"/>
  <c r="Q136" i="1"/>
  <c r="Q138" i="1"/>
  <c r="O141" i="1"/>
  <c r="U141" i="1"/>
  <c r="R38" i="2"/>
  <c r="R40" i="2"/>
  <c r="P49" i="2"/>
  <c r="Y31" i="2"/>
  <c r="Y24" i="2" s="1"/>
  <c r="K64" i="2"/>
  <c r="K67" i="2" s="1"/>
  <c r="P63" i="2"/>
  <c r="X83" i="2"/>
  <c r="V83" i="2"/>
  <c r="T83" i="2"/>
  <c r="R83" i="2"/>
  <c r="W97" i="2"/>
  <c r="W29" i="2"/>
  <c r="Z121" i="2"/>
  <c r="Z124" i="2" s="1"/>
  <c r="I133" i="2"/>
  <c r="G161" i="2"/>
  <c r="G6" i="2" s="1"/>
  <c r="G17" i="2" s="1"/>
  <c r="U178" i="2"/>
  <c r="N281" i="2"/>
  <c r="N268" i="2"/>
  <c r="N260" i="2" s="1"/>
  <c r="T10" i="2"/>
  <c r="R10" i="2"/>
  <c r="T42" i="2"/>
  <c r="Q57" i="2"/>
  <c r="U67" i="2"/>
  <c r="M31" i="2"/>
  <c r="M24" i="2" s="1"/>
  <c r="M6" i="2" s="1"/>
  <c r="M17" i="2" s="1"/>
  <c r="X66" i="2"/>
  <c r="V76" i="2"/>
  <c r="X81" i="2"/>
  <c r="V81" i="2"/>
  <c r="T81" i="2"/>
  <c r="R81" i="2"/>
  <c r="X92" i="2"/>
  <c r="V92" i="2"/>
  <c r="V94" i="2"/>
  <c r="X116" i="2"/>
  <c r="K124" i="2"/>
  <c r="T123" i="2"/>
  <c r="H142" i="2"/>
  <c r="P142" i="2"/>
  <c r="R142" i="2" s="1"/>
  <c r="V142" i="2"/>
  <c r="W162" i="2"/>
  <c r="S159" i="2"/>
  <c r="V171" i="2"/>
  <c r="T171" i="2"/>
  <c r="X171" i="2"/>
  <c r="X183" i="2"/>
  <c r="T183" i="2"/>
  <c r="R183" i="2"/>
  <c r="V183" i="2"/>
  <c r="G209" i="2"/>
  <c r="G191" i="2"/>
  <c r="G194" i="2" s="1"/>
  <c r="O209" i="2"/>
  <c r="O191" i="2"/>
  <c r="O194" i="2" s="1"/>
  <c r="T202" i="2"/>
  <c r="P206" i="2"/>
  <c r="R202" i="2"/>
  <c r="X202" i="2"/>
  <c r="V202" i="2"/>
  <c r="U250" i="2"/>
  <c r="U378" i="2"/>
  <c r="V373" i="2"/>
  <c r="U366" i="2"/>
  <c r="Y407" i="2"/>
  <c r="Z407" i="2" s="1"/>
  <c r="X407" i="2"/>
  <c r="V407" i="2"/>
  <c r="T407" i="2"/>
  <c r="R407" i="2"/>
  <c r="Y267" i="2"/>
  <c r="M126" i="1"/>
  <c r="O11" i="2"/>
  <c r="J30" i="2"/>
  <c r="J23" i="2" s="1"/>
  <c r="S30" i="2"/>
  <c r="W31" i="2"/>
  <c r="S43" i="2"/>
  <c r="X51" i="2"/>
  <c r="V51" i="2"/>
  <c r="V52" i="2"/>
  <c r="T56" i="2"/>
  <c r="X87" i="2"/>
  <c r="V87" i="2"/>
  <c r="X89" i="2"/>
  <c r="V89" i="2"/>
  <c r="T89" i="2"/>
  <c r="R89" i="2"/>
  <c r="N97" i="2"/>
  <c r="X99" i="2"/>
  <c r="V99" i="2"/>
  <c r="T99" i="2"/>
  <c r="R99" i="2"/>
  <c r="X103" i="2"/>
  <c r="V103" i="2"/>
  <c r="V107" i="2"/>
  <c r="Y116" i="2"/>
  <c r="Y124" i="2" s="1"/>
  <c r="V128" i="2"/>
  <c r="N133" i="2"/>
  <c r="T138" i="2"/>
  <c r="T141" i="2"/>
  <c r="Z167" i="2"/>
  <c r="Z169" i="2" s="1"/>
  <c r="Y169" i="2"/>
  <c r="K159" i="2"/>
  <c r="K162" i="2" s="1"/>
  <c r="K178" i="2"/>
  <c r="X169" i="2"/>
  <c r="Z250" i="2"/>
  <c r="J270" i="2"/>
  <c r="R269" i="2"/>
  <c r="P261" i="2"/>
  <c r="N267" i="2"/>
  <c r="N293" i="2"/>
  <c r="X327" i="2"/>
  <c r="T327" i="2"/>
  <c r="V327" i="2"/>
  <c r="R327" i="2"/>
  <c r="Y315" i="2"/>
  <c r="Y338" i="2"/>
  <c r="R337" i="2"/>
  <c r="X82" i="2"/>
  <c r="V82" i="2"/>
  <c r="T82" i="2"/>
  <c r="R82" i="2"/>
  <c r="G97" i="2"/>
  <c r="G29" i="2"/>
  <c r="O97" i="2"/>
  <c r="O29" i="2"/>
  <c r="U124" i="2"/>
  <c r="V138" i="2"/>
  <c r="X140" i="2"/>
  <c r="V140" i="2"/>
  <c r="T140" i="2"/>
  <c r="X152" i="2"/>
  <c r="V152" i="2"/>
  <c r="T152" i="2"/>
  <c r="R161" i="2"/>
  <c r="L178" i="2"/>
  <c r="X177" i="2"/>
  <c r="W178" i="2"/>
  <c r="W161" i="2"/>
  <c r="X161" i="2" s="1"/>
  <c r="Z233" i="2"/>
  <c r="Z234" i="2" s="1"/>
  <c r="Z235" i="2" s="1"/>
  <c r="X277" i="2"/>
  <c r="V277" i="2"/>
  <c r="R277" i="2"/>
  <c r="P278" i="2"/>
  <c r="T277" i="2"/>
  <c r="S316" i="2"/>
  <c r="H11" i="2"/>
  <c r="X39" i="2"/>
  <c r="V39" i="2"/>
  <c r="L30" i="2"/>
  <c r="L23" i="2" s="1"/>
  <c r="V40" i="2"/>
  <c r="T51" i="2"/>
  <c r="Z67" i="2"/>
  <c r="S77" i="2"/>
  <c r="T87" i="2"/>
  <c r="H97" i="2"/>
  <c r="P90" i="2"/>
  <c r="T90" i="2" s="1"/>
  <c r="X95" i="2"/>
  <c r="V95" i="2"/>
  <c r="T95" i="2"/>
  <c r="R95" i="2"/>
  <c r="V96" i="2"/>
  <c r="T103" i="2"/>
  <c r="Q124" i="2"/>
  <c r="X117" i="2"/>
  <c r="P121" i="2"/>
  <c r="R121" i="2" s="1"/>
  <c r="V117" i="2"/>
  <c r="T117" i="2"/>
  <c r="H133" i="2"/>
  <c r="P129" i="2"/>
  <c r="X137" i="2"/>
  <c r="V137" i="2"/>
  <c r="T137" i="2"/>
  <c r="W142" i="2"/>
  <c r="X155" i="2"/>
  <c r="P169" i="2"/>
  <c r="T169" i="2" s="1"/>
  <c r="V166" i="2"/>
  <c r="T166" i="2"/>
  <c r="M178" i="2"/>
  <c r="M159" i="2"/>
  <c r="M162" i="2" s="1"/>
  <c r="P204" i="2"/>
  <c r="U281" i="2"/>
  <c r="S269" i="2"/>
  <c r="T280" i="2"/>
  <c r="S281" i="2"/>
  <c r="U262" i="2"/>
  <c r="V262" i="2" s="1"/>
  <c r="V317" i="2"/>
  <c r="N338" i="2"/>
  <c r="N315" i="2"/>
  <c r="N318" i="2" s="1"/>
  <c r="O162" i="2"/>
  <c r="J194" i="2"/>
  <c r="X212" i="2"/>
  <c r="V212" i="2"/>
  <c r="T215" i="2"/>
  <c r="R215" i="2"/>
  <c r="G221" i="2"/>
  <c r="T243" i="2"/>
  <c r="R243" i="2"/>
  <c r="X243" i="2"/>
  <c r="V243" i="2"/>
  <c r="T255" i="2"/>
  <c r="R255" i="2"/>
  <c r="X255" i="2"/>
  <c r="V255" i="2"/>
  <c r="X288" i="2"/>
  <c r="V288" i="2"/>
  <c r="R288" i="2"/>
  <c r="Q260" i="2"/>
  <c r="X445" i="2"/>
  <c r="V445" i="2"/>
  <c r="T445" i="2"/>
  <c r="R445" i="2"/>
  <c r="S451" i="2"/>
  <c r="R50" i="2"/>
  <c r="P54" i="2"/>
  <c r="R54" i="2" s="1"/>
  <c r="R62" i="2"/>
  <c r="P72" i="2"/>
  <c r="V72" i="2" s="1"/>
  <c r="Z74" i="2"/>
  <c r="R80" i="2"/>
  <c r="R91" i="2"/>
  <c r="X167" i="2"/>
  <c r="V167" i="2"/>
  <c r="K191" i="2"/>
  <c r="K194" i="2" s="1"/>
  <c r="I209" i="2"/>
  <c r="Q209" i="2"/>
  <c r="T206" i="2"/>
  <c r="R212" i="2"/>
  <c r="V215" i="2"/>
  <c r="I221" i="2"/>
  <c r="Q221" i="2"/>
  <c r="G250" i="2"/>
  <c r="G220" i="2"/>
  <c r="O250" i="2"/>
  <c r="O220" i="2"/>
  <c r="O223" i="2" s="1"/>
  <c r="V248" i="2"/>
  <c r="R248" i="2"/>
  <c r="L260" i="2"/>
  <c r="W261" i="2"/>
  <c r="X269" i="2"/>
  <c r="G267" i="2"/>
  <c r="G281" i="2"/>
  <c r="T288" i="2"/>
  <c r="M318" i="2"/>
  <c r="M259" i="2"/>
  <c r="V353" i="2"/>
  <c r="Q317" i="2"/>
  <c r="R355" i="2"/>
  <c r="U451" i="2"/>
  <c r="V451" i="2" s="1"/>
  <c r="V450" i="2"/>
  <c r="U432" i="2"/>
  <c r="T50" i="2"/>
  <c r="T62" i="2"/>
  <c r="T80" i="2"/>
  <c r="T91" i="2"/>
  <c r="Q162" i="2"/>
  <c r="R167" i="2"/>
  <c r="X170" i="2"/>
  <c r="P175" i="2"/>
  <c r="R175" i="2" s="1"/>
  <c r="T170" i="2"/>
  <c r="R170" i="2"/>
  <c r="X172" i="2"/>
  <c r="V172" i="2"/>
  <c r="Q160" i="2"/>
  <c r="T180" i="2"/>
  <c r="R180" i="2"/>
  <c r="J209" i="2"/>
  <c r="T201" i="2"/>
  <c r="X203" i="2"/>
  <c r="T203" i="2"/>
  <c r="R203" i="2"/>
  <c r="T212" i="2"/>
  <c r="X215" i="2"/>
  <c r="I223" i="2"/>
  <c r="T248" i="2"/>
  <c r="V249" i="2"/>
  <c r="X301" i="2"/>
  <c r="Z431" i="2"/>
  <c r="N441" i="2"/>
  <c r="N431" i="2"/>
  <c r="X153" i="2"/>
  <c r="V153" i="2"/>
  <c r="R153" i="2"/>
  <c r="V154" i="2"/>
  <c r="N178" i="2"/>
  <c r="V184" i="2"/>
  <c r="T184" i="2"/>
  <c r="T187" i="2"/>
  <c r="R187" i="2"/>
  <c r="M194" i="2"/>
  <c r="X200" i="2"/>
  <c r="T200" i="2"/>
  <c r="R200" i="2"/>
  <c r="X205" i="2"/>
  <c r="V205" i="2"/>
  <c r="X206" i="2"/>
  <c r="Q193" i="2"/>
  <c r="R208" i="2"/>
  <c r="U229" i="2"/>
  <c r="W270" i="2"/>
  <c r="Y278" i="2"/>
  <c r="Y281" i="2" s="1"/>
  <c r="Z276" i="2"/>
  <c r="Z278" i="2" s="1"/>
  <c r="Z268" i="2" s="1"/>
  <c r="Z260" i="2" s="1"/>
  <c r="Y310" i="2"/>
  <c r="Y311" i="2" s="1"/>
  <c r="Z309" i="2"/>
  <c r="Z310" i="2" s="1"/>
  <c r="Z311" i="2" s="1"/>
  <c r="L356" i="2"/>
  <c r="L316" i="2"/>
  <c r="L318" i="2" s="1"/>
  <c r="O460" i="2"/>
  <c r="O463" i="2" s="1"/>
  <c r="W468" i="2"/>
  <c r="W485" i="2"/>
  <c r="K502" i="2"/>
  <c r="P500" i="2"/>
  <c r="W229" i="2"/>
  <c r="X228" i="2"/>
  <c r="S221" i="2"/>
  <c r="Q250" i="2"/>
  <c r="O270" i="2"/>
  <c r="O259" i="2"/>
  <c r="X280" i="2"/>
  <c r="I293" i="2"/>
  <c r="I267" i="2"/>
  <c r="K316" i="2"/>
  <c r="K260" i="2" s="1"/>
  <c r="T385" i="2"/>
  <c r="R385" i="2"/>
  <c r="P386" i="2"/>
  <c r="R386" i="2" s="1"/>
  <c r="V385" i="2"/>
  <c r="X385" i="2"/>
  <c r="G432" i="2"/>
  <c r="G451" i="2"/>
  <c r="R182" i="2"/>
  <c r="R199" i="2"/>
  <c r="R201" i="2"/>
  <c r="V206" i="2"/>
  <c r="P235" i="2"/>
  <c r="V235" i="2" s="1"/>
  <c r="T234" i="2"/>
  <c r="I250" i="2"/>
  <c r="X249" i="2"/>
  <c r="M268" i="2"/>
  <c r="M260" i="2" s="1"/>
  <c r="V278" i="2"/>
  <c r="R335" i="2"/>
  <c r="Q315" i="2"/>
  <c r="Q338" i="2"/>
  <c r="Z356" i="2"/>
  <c r="Z315" i="2"/>
  <c r="Z318" i="2" s="1"/>
  <c r="W360" i="2"/>
  <c r="X366" i="2"/>
  <c r="W368" i="2"/>
  <c r="J367" i="2"/>
  <c r="U367" i="2"/>
  <c r="H405" i="2"/>
  <c r="H395" i="2"/>
  <c r="P395" i="2"/>
  <c r="R402" i="2"/>
  <c r="X402" i="2"/>
  <c r="I428" i="2"/>
  <c r="I396" i="2"/>
  <c r="I361" i="2" s="1"/>
  <c r="I362" i="2" s="1"/>
  <c r="P433" i="2"/>
  <c r="X433" i="2" s="1"/>
  <c r="Z477" i="2"/>
  <c r="Z513" i="2"/>
  <c r="Z516" i="2" s="1"/>
  <c r="Z519" i="2" s="1"/>
  <c r="T524" i="2"/>
  <c r="V524" i="2"/>
  <c r="X524" i="2"/>
  <c r="R524" i="2"/>
  <c r="T181" i="2"/>
  <c r="V182" i="2"/>
  <c r="I191" i="2"/>
  <c r="I194" i="2" s="1"/>
  <c r="Q191" i="2"/>
  <c r="T198" i="2"/>
  <c r="V199" i="2"/>
  <c r="T216" i="2"/>
  <c r="R234" i="2"/>
  <c r="U302" i="2"/>
  <c r="V298" i="2"/>
  <c r="U267" i="2"/>
  <c r="U311" i="2"/>
  <c r="Y325" i="2"/>
  <c r="Y316" i="2"/>
  <c r="J356" i="2"/>
  <c r="J315" i="2"/>
  <c r="J318" i="2" s="1"/>
  <c r="R349" i="2"/>
  <c r="S367" i="2"/>
  <c r="J378" i="2"/>
  <c r="J366" i="2"/>
  <c r="K220" i="2"/>
  <c r="S220" i="2"/>
  <c r="R228" i="2"/>
  <c r="K221" i="2"/>
  <c r="X233" i="2"/>
  <c r="V233" i="2"/>
  <c r="R233" i="2"/>
  <c r="W250" i="2"/>
  <c r="W220" i="2"/>
  <c r="X246" i="2"/>
  <c r="T246" i="2"/>
  <c r="X252" i="2"/>
  <c r="T252" i="2"/>
  <c r="P262" i="2"/>
  <c r="X262" i="2" s="1"/>
  <c r="H267" i="2"/>
  <c r="T283" i="2"/>
  <c r="R283" i="2"/>
  <c r="Y290" i="2"/>
  <c r="Y293" i="2" s="1"/>
  <c r="Z287" i="2"/>
  <c r="Z290" i="2" s="1"/>
  <c r="Z293" i="2" s="1"/>
  <c r="R298" i="2"/>
  <c r="P302" i="2"/>
  <c r="T302" i="2" s="1"/>
  <c r="T298" i="2"/>
  <c r="X302" i="2"/>
  <c r="Q360" i="2"/>
  <c r="Y404" i="2"/>
  <c r="Y396" i="2" s="1"/>
  <c r="Y397" i="2" s="1"/>
  <c r="Z403" i="2"/>
  <c r="Z404" i="2" s="1"/>
  <c r="Z396" i="2" s="1"/>
  <c r="V431" i="2"/>
  <c r="P242" i="2"/>
  <c r="T242" i="2" s="1"/>
  <c r="Y249" i="2"/>
  <c r="Y222" i="2" s="1"/>
  <c r="X254" i="2"/>
  <c r="X309" i="2"/>
  <c r="V309" i="2"/>
  <c r="T309" i="2"/>
  <c r="R309" i="2"/>
  <c r="X323" i="2"/>
  <c r="V323" i="2"/>
  <c r="R323" i="2"/>
  <c r="T324" i="2"/>
  <c r="G318" i="2"/>
  <c r="X341" i="2"/>
  <c r="V341" i="2"/>
  <c r="T341" i="2"/>
  <c r="R341" i="2"/>
  <c r="Y356" i="2"/>
  <c r="K378" i="2"/>
  <c r="K366" i="2"/>
  <c r="S378" i="2"/>
  <c r="S366" i="2"/>
  <c r="T373" i="2"/>
  <c r="X375" i="2"/>
  <c r="T375" i="2"/>
  <c r="M405" i="2"/>
  <c r="X487" i="2"/>
  <c r="V487" i="2"/>
  <c r="T487" i="2"/>
  <c r="R487" i="2"/>
  <c r="M561" i="2"/>
  <c r="M529" i="2"/>
  <c r="P228" i="2"/>
  <c r="T244" i="2"/>
  <c r="P290" i="2"/>
  <c r="T289" i="2"/>
  <c r="J293" i="2"/>
  <c r="U318" i="2"/>
  <c r="W316" i="2"/>
  <c r="W325" i="2"/>
  <c r="I315" i="2"/>
  <c r="I318" i="2" s="1"/>
  <c r="I338" i="2"/>
  <c r="T335" i="2"/>
  <c r="I356" i="2"/>
  <c r="Q356" i="2"/>
  <c r="P353" i="2"/>
  <c r="P356" i="2" s="1"/>
  <c r="X353" i="2"/>
  <c r="S317" i="2"/>
  <c r="T355" i="2"/>
  <c r="Y368" i="2"/>
  <c r="V375" i="2"/>
  <c r="Z395" i="2"/>
  <c r="L416" i="2"/>
  <c r="L396" i="2"/>
  <c r="L361" i="2" s="1"/>
  <c r="L531" i="2"/>
  <c r="T227" i="2"/>
  <c r="T241" i="2"/>
  <c r="T276" i="2"/>
  <c r="T287" i="2"/>
  <c r="L293" i="2"/>
  <c r="X298" i="2"/>
  <c r="T301" i="2"/>
  <c r="R302" i="2"/>
  <c r="P310" i="2"/>
  <c r="V310" i="2" s="1"/>
  <c r="K318" i="2"/>
  <c r="G316" i="2"/>
  <c r="G260" i="2" s="1"/>
  <c r="G325" i="2"/>
  <c r="O316" i="2"/>
  <c r="O260" i="2" s="1"/>
  <c r="O325" i="2"/>
  <c r="K338" i="2"/>
  <c r="G338" i="2"/>
  <c r="K356" i="2"/>
  <c r="S356" i="2"/>
  <c r="O362" i="2"/>
  <c r="H361" i="2"/>
  <c r="Z378" i="2"/>
  <c r="Z366" i="2"/>
  <c r="O397" i="2"/>
  <c r="V287" i="2"/>
  <c r="M302" i="2"/>
  <c r="V301" i="2"/>
  <c r="H316" i="2"/>
  <c r="H260" i="2" s="1"/>
  <c r="H325" i="2"/>
  <c r="P324" i="2"/>
  <c r="X335" i="2"/>
  <c r="W315" i="2"/>
  <c r="W259" i="2" s="1"/>
  <c r="V349" i="2"/>
  <c r="X351" i="2"/>
  <c r="V351" i="2"/>
  <c r="R351" i="2"/>
  <c r="X355" i="2"/>
  <c r="P377" i="2"/>
  <c r="X377" i="2" s="1"/>
  <c r="X374" i="2"/>
  <c r="V374" i="2"/>
  <c r="R374" i="2"/>
  <c r="S397" i="2"/>
  <c r="T395" i="2"/>
  <c r="Q428" i="2"/>
  <c r="Q396" i="2"/>
  <c r="R427" i="2"/>
  <c r="Y440" i="2"/>
  <c r="Z439" i="2"/>
  <c r="Z440" i="2" s="1"/>
  <c r="Z432" i="2" s="1"/>
  <c r="Z449" i="2"/>
  <c r="Z450" i="2" s="1"/>
  <c r="Z451" i="2" s="1"/>
  <c r="W293" i="2"/>
  <c r="X297" i="2"/>
  <c r="V299" i="2"/>
  <c r="X300" i="2"/>
  <c r="S311" i="2"/>
  <c r="S318" i="2"/>
  <c r="P335" i="2"/>
  <c r="K353" i="2"/>
  <c r="L378" i="2"/>
  <c r="Y408" i="2"/>
  <c r="Z408" i="2" s="1"/>
  <c r="X408" i="2"/>
  <c r="V408" i="2"/>
  <c r="T408" i="2"/>
  <c r="X425" i="2"/>
  <c r="V425" i="2"/>
  <c r="T425" i="2"/>
  <c r="P427" i="2"/>
  <c r="V427" i="2" s="1"/>
  <c r="T431" i="2"/>
  <c r="M441" i="2"/>
  <c r="R451" i="2"/>
  <c r="G463" i="2"/>
  <c r="P477" i="2"/>
  <c r="X474" i="2"/>
  <c r="T474" i="2"/>
  <c r="V474" i="2"/>
  <c r="O529" i="2"/>
  <c r="O9" i="2" s="1"/>
  <c r="O561" i="2"/>
  <c r="T322" i="2"/>
  <c r="S338" i="2"/>
  <c r="T342" i="2"/>
  <c r="T348" i="2"/>
  <c r="T354" i="2"/>
  <c r="I397" i="2"/>
  <c r="Q397" i="2"/>
  <c r="P415" i="2"/>
  <c r="T415" i="2" s="1"/>
  <c r="X412" i="2"/>
  <c r="V412" i="2"/>
  <c r="X431" i="2"/>
  <c r="R432" i="2"/>
  <c r="G433" i="2"/>
  <c r="G361" i="2" s="1"/>
  <c r="G362" i="2" s="1"/>
  <c r="S432" i="2"/>
  <c r="T432" i="2" s="1"/>
  <c r="X451" i="2"/>
  <c r="X455" i="2"/>
  <c r="V455" i="2"/>
  <c r="T455" i="2"/>
  <c r="X484" i="2"/>
  <c r="R522" i="2"/>
  <c r="X522" i="2"/>
  <c r="V522" i="2"/>
  <c r="T522" i="2"/>
  <c r="J545" i="2"/>
  <c r="J529" i="2"/>
  <c r="S574" i="2"/>
  <c r="S529" i="2"/>
  <c r="T586" i="2"/>
  <c r="P602" i="2"/>
  <c r="R602" i="2" s="1"/>
  <c r="R599" i="2"/>
  <c r="X599" i="2"/>
  <c r="T599" i="2"/>
  <c r="P600" i="2"/>
  <c r="T600" i="2" s="1"/>
  <c r="V599" i="2"/>
  <c r="R609" i="2"/>
  <c r="X609" i="2"/>
  <c r="V609" i="2"/>
  <c r="T609" i="2"/>
  <c r="R305" i="2"/>
  <c r="V322" i="2"/>
  <c r="R334" i="2"/>
  <c r="P337" i="2"/>
  <c r="V337" i="2" s="1"/>
  <c r="R340" i="2"/>
  <c r="V342" i="2"/>
  <c r="R347" i="2"/>
  <c r="V348" i="2"/>
  <c r="T349" i="2"/>
  <c r="R350" i="2"/>
  <c r="V354" i="2"/>
  <c r="Q368" i="2"/>
  <c r="X390" i="2"/>
  <c r="V390" i="2"/>
  <c r="T390" i="2"/>
  <c r="R390" i="2"/>
  <c r="V395" i="2"/>
  <c r="R412" i="2"/>
  <c r="X426" i="2"/>
  <c r="V426" i="2"/>
  <c r="L433" i="2"/>
  <c r="J432" i="2"/>
  <c r="J433" i="2" s="1"/>
  <c r="J451" i="2"/>
  <c r="R455" i="2"/>
  <c r="T530" i="2"/>
  <c r="V530" i="2"/>
  <c r="R304" i="2"/>
  <c r="T305" i="2"/>
  <c r="R330" i="2"/>
  <c r="T334" i="2"/>
  <c r="R336" i="2"/>
  <c r="T340" i="2"/>
  <c r="T347" i="2"/>
  <c r="X395" i="2"/>
  <c r="T402" i="2"/>
  <c r="J416" i="2"/>
  <c r="J396" i="2"/>
  <c r="J397" i="2" s="1"/>
  <c r="S416" i="2"/>
  <c r="S396" i="2"/>
  <c r="M433" i="2"/>
  <c r="K432" i="2"/>
  <c r="K433" i="2" s="1"/>
  <c r="W441" i="2"/>
  <c r="T449" i="2"/>
  <c r="R449" i="2"/>
  <c r="P450" i="2"/>
  <c r="P451" i="2" s="1"/>
  <c r="J470" i="2"/>
  <c r="J460" i="2"/>
  <c r="J463" i="2" s="1"/>
  <c r="X478" i="2"/>
  <c r="V478" i="2"/>
  <c r="P482" i="2"/>
  <c r="X482" i="2" s="1"/>
  <c r="R478" i="2"/>
  <c r="I468" i="2"/>
  <c r="I461" i="2" s="1"/>
  <c r="I485" i="2"/>
  <c r="P536" i="2"/>
  <c r="X536" i="2" s="1"/>
  <c r="T535" i="2"/>
  <c r="Y586" i="2"/>
  <c r="Y529" i="2"/>
  <c r="Y9" i="2" s="1"/>
  <c r="Y11" i="2" s="1"/>
  <c r="V350" i="2"/>
  <c r="Z374" i="2"/>
  <c r="Z377" i="2" s="1"/>
  <c r="Z367" i="2" s="1"/>
  <c r="U387" i="2"/>
  <c r="M397" i="2"/>
  <c r="X401" i="2"/>
  <c r="V401" i="2"/>
  <c r="T401" i="2"/>
  <c r="V402" i="2"/>
  <c r="K416" i="2"/>
  <c r="K396" i="2"/>
  <c r="K361" i="2" s="1"/>
  <c r="X421" i="2"/>
  <c r="V421" i="2"/>
  <c r="T421" i="2"/>
  <c r="R421" i="2"/>
  <c r="T426" i="2"/>
  <c r="T438" i="2"/>
  <c r="V449" i="2"/>
  <c r="I451" i="2"/>
  <c r="T478" i="2"/>
  <c r="W505" i="2"/>
  <c r="W467" i="2"/>
  <c r="S519" i="2"/>
  <c r="T518" i="2"/>
  <c r="Q519" i="2"/>
  <c r="I536" i="2"/>
  <c r="I529" i="2"/>
  <c r="I9" i="2" s="1"/>
  <c r="I11" i="2" s="1"/>
  <c r="R535" i="2"/>
  <c r="Q536" i="2"/>
  <c r="Q529" i="2"/>
  <c r="I531" i="2"/>
  <c r="U616" i="2"/>
  <c r="U397" i="2"/>
  <c r="P404" i="2"/>
  <c r="I463" i="2"/>
  <c r="R484" i="2"/>
  <c r="G505" i="2"/>
  <c r="O505" i="2"/>
  <c r="O531" i="2"/>
  <c r="G544" i="2"/>
  <c r="G529" i="2" s="1"/>
  <c r="G9" i="2" s="1"/>
  <c r="G528" i="2"/>
  <c r="X568" i="2"/>
  <c r="V568" i="2"/>
  <c r="T568" i="2"/>
  <c r="R568" i="2"/>
  <c r="R585" i="2"/>
  <c r="Q586" i="2"/>
  <c r="R586" i="2" s="1"/>
  <c r="T589" i="2"/>
  <c r="X589" i="2"/>
  <c r="V589" i="2"/>
  <c r="R639" i="2"/>
  <c r="R381" i="2"/>
  <c r="U405" i="2"/>
  <c r="R420" i="2"/>
  <c r="T427" i="2"/>
  <c r="R437" i="2"/>
  <c r="S441" i="2"/>
  <c r="R444" i="2"/>
  <c r="Q470" i="2"/>
  <c r="Y477" i="2"/>
  <c r="S485" i="2"/>
  <c r="S467" i="2"/>
  <c r="T477" i="2"/>
  <c r="S462" i="2"/>
  <c r="T523" i="2"/>
  <c r="X523" i="2"/>
  <c r="R523" i="2"/>
  <c r="K536" i="2"/>
  <c r="T564" i="2"/>
  <c r="X564" i="2"/>
  <c r="P560" i="2"/>
  <c r="V560" i="2" s="1"/>
  <c r="R564" i="2"/>
  <c r="P572" i="2"/>
  <c r="K574" i="2"/>
  <c r="K528" i="2"/>
  <c r="T381" i="2"/>
  <c r="R389" i="2"/>
  <c r="W397" i="2"/>
  <c r="R419" i="2"/>
  <c r="U433" i="2"/>
  <c r="T437" i="2"/>
  <c r="P440" i="2"/>
  <c r="P432" i="2" s="1"/>
  <c r="X432" i="2" s="1"/>
  <c r="R443" i="2"/>
  <c r="T444" i="2"/>
  <c r="X450" i="2"/>
  <c r="X456" i="2"/>
  <c r="V456" i="2"/>
  <c r="K485" i="2"/>
  <c r="K467" i="2"/>
  <c r="U485" i="2"/>
  <c r="U467" i="2"/>
  <c r="V477" i="2"/>
  <c r="O468" i="2"/>
  <c r="O461" i="2" s="1"/>
  <c r="T484" i="2"/>
  <c r="U468" i="2"/>
  <c r="J519" i="2"/>
  <c r="V523" i="2"/>
  <c r="S531" i="2"/>
  <c r="V536" i="2"/>
  <c r="V564" i="2"/>
  <c r="K585" i="2"/>
  <c r="K586" i="2" s="1"/>
  <c r="S602" i="2"/>
  <c r="V381" i="2"/>
  <c r="T389" i="2"/>
  <c r="R418" i="2"/>
  <c r="T419" i="2"/>
  <c r="V420" i="2"/>
  <c r="V437" i="2"/>
  <c r="T443" i="2"/>
  <c r="V444" i="2"/>
  <c r="X454" i="2"/>
  <c r="V454" i="2"/>
  <c r="T454" i="2"/>
  <c r="R454" i="2"/>
  <c r="R456" i="2"/>
  <c r="H470" i="2"/>
  <c r="G468" i="2"/>
  <c r="G461" i="2" s="1"/>
  <c r="Q468" i="2"/>
  <c r="Q485" i="2"/>
  <c r="U469" i="2"/>
  <c r="T515" i="2"/>
  <c r="V515" i="2"/>
  <c r="U519" i="2"/>
  <c r="U531" i="2"/>
  <c r="X535" i="2"/>
  <c r="X550" i="2"/>
  <c r="V550" i="2"/>
  <c r="T550" i="2"/>
  <c r="R550" i="2"/>
  <c r="U561" i="2"/>
  <c r="T456" i="2"/>
  <c r="I470" i="2"/>
  <c r="M485" i="2"/>
  <c r="M467" i="2"/>
  <c r="X489" i="2"/>
  <c r="T489" i="2"/>
  <c r="U505" i="2"/>
  <c r="R515" i="2"/>
  <c r="X530" i="2"/>
  <c r="X553" i="2"/>
  <c r="V553" i="2"/>
  <c r="R553" i="2"/>
  <c r="W529" i="2"/>
  <c r="W561" i="2"/>
  <c r="X560" i="2"/>
  <c r="X585" i="2"/>
  <c r="W616" i="2"/>
  <c r="T488" i="2"/>
  <c r="T495" i="2"/>
  <c r="P497" i="2"/>
  <c r="P502" i="2"/>
  <c r="P504" i="2"/>
  <c r="V504" i="2" s="1"/>
  <c r="V514" i="2"/>
  <c r="R530" i="2"/>
  <c r="T543" i="2"/>
  <c r="T548" i="2"/>
  <c r="T555" i="2"/>
  <c r="T577" i="2"/>
  <c r="Z528" i="2"/>
  <c r="Z600" i="2"/>
  <c r="Z529" i="2" s="1"/>
  <c r="Z9" i="2" s="1"/>
  <c r="V607" i="2"/>
  <c r="R607" i="2"/>
  <c r="X607" i="2"/>
  <c r="R619" i="2"/>
  <c r="X619" i="2"/>
  <c r="V619" i="2"/>
  <c r="T619" i="2"/>
  <c r="R629" i="2"/>
  <c r="X629" i="2"/>
  <c r="V629" i="2"/>
  <c r="T629" i="2"/>
  <c r="S634" i="2"/>
  <c r="L467" i="2"/>
  <c r="P480" i="2"/>
  <c r="R481" i="2"/>
  <c r="P484" i="2"/>
  <c r="V488" i="2"/>
  <c r="V495" i="2"/>
  <c r="T499" i="2"/>
  <c r="R509" i="2"/>
  <c r="X514" i="2"/>
  <c r="T521" i="2"/>
  <c r="N531" i="2"/>
  <c r="L529" i="2"/>
  <c r="L9" i="2" s="1"/>
  <c r="L11" i="2" s="1"/>
  <c r="U529" i="2"/>
  <c r="V535" i="2"/>
  <c r="R539" i="2"/>
  <c r="V543" i="2"/>
  <c r="U545" i="2"/>
  <c r="V548" i="2"/>
  <c r="V555" i="2"/>
  <c r="X577" i="2"/>
  <c r="V586" i="2"/>
  <c r="V594" i="2"/>
  <c r="R594" i="2"/>
  <c r="X594" i="2"/>
  <c r="X601" i="2"/>
  <c r="T601" i="2"/>
  <c r="R601" i="2"/>
  <c r="T607" i="2"/>
  <c r="P615" i="2"/>
  <c r="P616" i="2" s="1"/>
  <c r="V624" i="2"/>
  <c r="T481" i="2"/>
  <c r="V499" i="2"/>
  <c r="T509" i="2"/>
  <c r="P516" i="2"/>
  <c r="V521" i="2"/>
  <c r="N536" i="2"/>
  <c r="N529" i="2"/>
  <c r="N9" i="2" s="1"/>
  <c r="N11" i="2" s="1"/>
  <c r="T539" i="2"/>
  <c r="W586" i="2"/>
  <c r="X586" i="2" s="1"/>
  <c r="V620" i="2"/>
  <c r="R620" i="2"/>
  <c r="X620" i="2"/>
  <c r="T491" i="2"/>
  <c r="X499" i="2"/>
  <c r="R503" i="2"/>
  <c r="T504" i="2"/>
  <c r="X518" i="2"/>
  <c r="X521" i="2"/>
  <c r="P528" i="2"/>
  <c r="T528" i="2" s="1"/>
  <c r="X539" i="2"/>
  <c r="P544" i="2"/>
  <c r="V544" i="2" s="1"/>
  <c r="T552" i="2"/>
  <c r="T554" i="2"/>
  <c r="V592" i="2"/>
  <c r="R592" i="2"/>
  <c r="X595" i="2"/>
  <c r="T595" i="2"/>
  <c r="R595" i="2"/>
  <c r="T620" i="2"/>
  <c r="R593" i="2"/>
  <c r="R600" i="2"/>
  <c r="Y602" i="2"/>
  <c r="R606" i="2"/>
  <c r="K640" i="2"/>
  <c r="S640" i="2"/>
  <c r="M633" i="2"/>
  <c r="U633" i="2"/>
  <c r="P639" i="2"/>
  <c r="V606" i="2"/>
  <c r="R608" i="2"/>
  <c r="R614" i="2"/>
  <c r="P624" i="2"/>
  <c r="X624" i="2"/>
  <c r="R628" i="2"/>
  <c r="U640" i="2"/>
  <c r="R605" i="2"/>
  <c r="T608" i="2"/>
  <c r="T614" i="2"/>
  <c r="T628" i="2"/>
  <c r="T610" i="2"/>
  <c r="X614" i="2"/>
  <c r="T638" i="2"/>
  <c r="T639" i="2"/>
  <c r="I4" i="2" l="1"/>
  <c r="I15" i="2" s="1"/>
  <c r="R247" i="2"/>
  <c r="T247" i="2"/>
  <c r="X247" i="2"/>
  <c r="V247" i="2"/>
  <c r="W263" i="2"/>
  <c r="V356" i="2"/>
  <c r="X356" i="2"/>
  <c r="Z178" i="2"/>
  <c r="Z159" i="2"/>
  <c r="Z162" i="2" s="1"/>
  <c r="Z4" i="2"/>
  <c r="Z15" i="2" s="1"/>
  <c r="T616" i="2"/>
  <c r="R616" i="2"/>
  <c r="U462" i="2"/>
  <c r="N270" i="2"/>
  <c r="N259" i="2"/>
  <c r="W23" i="2"/>
  <c r="P193" i="2"/>
  <c r="T208" i="2"/>
  <c r="H4" i="2"/>
  <c r="H15" i="2" s="1"/>
  <c r="P505" i="2"/>
  <c r="R497" i="2"/>
  <c r="T497" i="2"/>
  <c r="J368" i="2"/>
  <c r="J360" i="2"/>
  <c r="R433" i="2"/>
  <c r="L4" i="2"/>
  <c r="L15" i="2" s="1"/>
  <c r="J4" i="2"/>
  <c r="J15" i="2" s="1"/>
  <c r="M368" i="2"/>
  <c r="M361" i="2"/>
  <c r="M362" i="2" s="1"/>
  <c r="F17" i="1"/>
  <c r="F21" i="1" s="1"/>
  <c r="F7" i="1"/>
  <c r="U634" i="2"/>
  <c r="V633" i="2"/>
  <c r="U12" i="2"/>
  <c r="Q223" i="2"/>
  <c r="L362" i="2"/>
  <c r="V208" i="2"/>
  <c r="O75" i="1"/>
  <c r="N78" i="1"/>
  <c r="N3" i="1"/>
  <c r="I57" i="2"/>
  <c r="I29" i="2"/>
  <c r="M42" i="1"/>
  <c r="S51" i="1"/>
  <c r="Y23" i="2"/>
  <c r="R20" i="1"/>
  <c r="Q32" i="2"/>
  <c r="Q22" i="2"/>
  <c r="K18" i="1"/>
  <c r="K21" i="1" s="1"/>
  <c r="K7" i="1"/>
  <c r="M22" i="2"/>
  <c r="M32" i="2"/>
  <c r="G4" i="2"/>
  <c r="G15" i="2" s="1"/>
  <c r="M634" i="2"/>
  <c r="M12" i="2"/>
  <c r="Z602" i="2"/>
  <c r="X602" i="2"/>
  <c r="U9" i="2"/>
  <c r="V528" i="2"/>
  <c r="R468" i="2"/>
  <c r="Q461" i="2"/>
  <c r="U460" i="2"/>
  <c r="U470" i="2"/>
  <c r="K529" i="2"/>
  <c r="K9" i="2" s="1"/>
  <c r="G531" i="2"/>
  <c r="G8" i="2"/>
  <c r="G11" i="2" s="1"/>
  <c r="S433" i="2"/>
  <c r="T433" i="2" s="1"/>
  <c r="R536" i="2"/>
  <c r="X497" i="2"/>
  <c r="X440" i="2"/>
  <c r="V440" i="2"/>
  <c r="Y405" i="2"/>
  <c r="R396" i="2"/>
  <c r="Z397" i="2"/>
  <c r="T317" i="2"/>
  <c r="S262" i="2"/>
  <c r="T228" i="2"/>
  <c r="P229" i="2"/>
  <c r="Q362" i="2"/>
  <c r="S361" i="2"/>
  <c r="T367" i="2"/>
  <c r="U361" i="2"/>
  <c r="T377" i="2"/>
  <c r="O263" i="2"/>
  <c r="V500" i="2"/>
  <c r="X500" i="2"/>
  <c r="R500" i="2"/>
  <c r="T500" i="2"/>
  <c r="R440" i="2"/>
  <c r="V432" i="2"/>
  <c r="M263" i="2"/>
  <c r="T269" i="2"/>
  <c r="S261" i="2"/>
  <c r="S270" i="2"/>
  <c r="T278" i="2"/>
  <c r="X278" i="2"/>
  <c r="P268" i="2"/>
  <c r="R278" i="2"/>
  <c r="Y178" i="2"/>
  <c r="Y159" i="2"/>
  <c r="Y162" i="2" s="1"/>
  <c r="M77" i="1"/>
  <c r="S126" i="1"/>
  <c r="V121" i="2"/>
  <c r="P24" i="2"/>
  <c r="T31" i="2"/>
  <c r="Z221" i="2"/>
  <c r="Z223" i="2" s="1"/>
  <c r="Q75" i="1"/>
  <c r="P3" i="1"/>
  <c r="P78" i="1"/>
  <c r="M25" i="1"/>
  <c r="U38" i="1"/>
  <c r="J32" i="2"/>
  <c r="J22" i="2"/>
  <c r="O121" i="1"/>
  <c r="O51" i="1"/>
  <c r="S133" i="1"/>
  <c r="M15" i="1"/>
  <c r="Z209" i="2"/>
  <c r="Z191" i="2"/>
  <c r="Z194" i="2" s="1"/>
  <c r="R90" i="2"/>
  <c r="W26" i="1"/>
  <c r="W4" i="1"/>
  <c r="W18" i="1" s="1"/>
  <c r="R18" i="1"/>
  <c r="R7" i="1"/>
  <c r="L32" i="2"/>
  <c r="L22" i="2"/>
  <c r="J21" i="1"/>
  <c r="T142" i="2"/>
  <c r="V415" i="2"/>
  <c r="P416" i="2"/>
  <c r="R415" i="2"/>
  <c r="H259" i="2"/>
  <c r="H263" i="2" s="1"/>
  <c r="H270" i="2"/>
  <c r="T30" i="2"/>
  <c r="S23" i="2"/>
  <c r="Q124" i="1"/>
  <c r="M76" i="1"/>
  <c r="O124" i="1"/>
  <c r="S124" i="1"/>
  <c r="U124" i="1"/>
  <c r="I7" i="1"/>
  <c r="I17" i="1"/>
  <c r="I21" i="1" s="1"/>
  <c r="P640" i="2"/>
  <c r="P633" i="2"/>
  <c r="X516" i="2"/>
  <c r="P519" i="2"/>
  <c r="X519" i="2" s="1"/>
  <c r="T516" i="2"/>
  <c r="R516" i="2"/>
  <c r="R397" i="2"/>
  <c r="Y432" i="2"/>
  <c r="Y441" i="2"/>
  <c r="O470" i="2"/>
  <c r="R317" i="2"/>
  <c r="Q262" i="2"/>
  <c r="R262" i="2" s="1"/>
  <c r="T124" i="2"/>
  <c r="R482" i="2"/>
  <c r="S9" i="2"/>
  <c r="W221" i="2"/>
  <c r="X229" i="2"/>
  <c r="G22" i="2"/>
  <c r="G32" i="2"/>
  <c r="R261" i="2"/>
  <c r="P5" i="2"/>
  <c r="T640" i="2"/>
  <c r="V516" i="2"/>
  <c r="V242" i="2"/>
  <c r="P220" i="2"/>
  <c r="T220" i="2" s="1"/>
  <c r="P250" i="2"/>
  <c r="T250" i="2" s="1"/>
  <c r="V377" i="2"/>
  <c r="R338" i="2"/>
  <c r="X337" i="2"/>
  <c r="K505" i="2"/>
  <c r="K468" i="2"/>
  <c r="K461" i="2" s="1"/>
  <c r="K4" i="2" s="1"/>
  <c r="K15" i="2" s="1"/>
  <c r="N433" i="2"/>
  <c r="N360" i="2"/>
  <c r="N362" i="2" s="1"/>
  <c r="R222" i="2"/>
  <c r="X129" i="2"/>
  <c r="J259" i="2"/>
  <c r="J263" i="2" s="1"/>
  <c r="U360" i="2"/>
  <c r="V366" i="2"/>
  <c r="U368" i="2"/>
  <c r="T129" i="2"/>
  <c r="X72" i="2"/>
  <c r="V269" i="2"/>
  <c r="U261" i="2"/>
  <c r="V131" i="2"/>
  <c r="T131" i="2"/>
  <c r="R131" i="2"/>
  <c r="X131" i="2"/>
  <c r="V56" i="2"/>
  <c r="X56" i="2"/>
  <c r="W45" i="1"/>
  <c r="W3" i="1"/>
  <c r="N32" i="2"/>
  <c r="Y209" i="2"/>
  <c r="Y191" i="2"/>
  <c r="Y194" i="2" s="1"/>
  <c r="X76" i="2"/>
  <c r="N4" i="2"/>
  <c r="N15" i="2" s="1"/>
  <c r="N25" i="2"/>
  <c r="S131" i="1"/>
  <c r="M13" i="1"/>
  <c r="Q131" i="1"/>
  <c r="V129" i="2"/>
  <c r="S132" i="1"/>
  <c r="U51" i="1"/>
  <c r="T76" i="2"/>
  <c r="S12" i="1"/>
  <c r="R16" i="1"/>
  <c r="V121" i="1"/>
  <c r="V75" i="1" s="1"/>
  <c r="T54" i="2"/>
  <c r="E17" i="1"/>
  <c r="E21" i="1" s="1"/>
  <c r="E7" i="1"/>
  <c r="D17" i="1"/>
  <c r="D21" i="1" s="1"/>
  <c r="D7" i="1"/>
  <c r="H22" i="2"/>
  <c r="H32" i="2"/>
  <c r="O9" i="1"/>
  <c r="S9" i="1"/>
  <c r="Z77" i="2"/>
  <c r="Z267" i="2"/>
  <c r="O22" i="2"/>
  <c r="O32" i="2"/>
  <c r="P29" i="2"/>
  <c r="P57" i="2"/>
  <c r="X57" i="2" s="1"/>
  <c r="X49" i="2"/>
  <c r="R49" i="2"/>
  <c r="U121" i="1"/>
  <c r="M75" i="1"/>
  <c r="S121" i="1"/>
  <c r="T311" i="2"/>
  <c r="R193" i="2"/>
  <c r="T175" i="2"/>
  <c r="P160" i="2"/>
  <c r="P97" i="2"/>
  <c r="V97" i="2" s="1"/>
  <c r="V90" i="2"/>
  <c r="X175" i="2"/>
  <c r="M4" i="2"/>
  <c r="X292" i="2"/>
  <c r="V292" i="2"/>
  <c r="R292" i="2"/>
  <c r="T292" i="2"/>
  <c r="U76" i="1"/>
  <c r="Y32" i="2"/>
  <c r="Y22" i="2"/>
  <c r="X529" i="2"/>
  <c r="W531" i="2"/>
  <c r="W9" i="2"/>
  <c r="W470" i="2"/>
  <c r="W460" i="2"/>
  <c r="H318" i="2"/>
  <c r="L397" i="2"/>
  <c r="V484" i="2"/>
  <c r="P469" i="2"/>
  <c r="J531" i="2"/>
  <c r="J9" i="2"/>
  <c r="J11" i="2" s="1"/>
  <c r="M531" i="2"/>
  <c r="M9" i="2"/>
  <c r="M11" i="2" s="1"/>
  <c r="K460" i="2"/>
  <c r="K463" i="2" s="1"/>
  <c r="K470" i="2"/>
  <c r="S460" i="2"/>
  <c r="S470" i="2"/>
  <c r="X222" i="2"/>
  <c r="V124" i="2"/>
  <c r="V49" i="2"/>
  <c r="Y259" i="2"/>
  <c r="X90" i="2"/>
  <c r="X63" i="2"/>
  <c r="V63" i="2"/>
  <c r="T63" i="2"/>
  <c r="R63" i="2"/>
  <c r="P64" i="2"/>
  <c r="T49" i="2"/>
  <c r="N6" i="1"/>
  <c r="Q94" i="1"/>
  <c r="U94" i="1"/>
  <c r="S94" i="1"/>
  <c r="O94" i="1"/>
  <c r="X40" i="2"/>
  <c r="P43" i="2"/>
  <c r="T43" i="2" s="1"/>
  <c r="P30" i="2"/>
  <c r="T40" i="2"/>
  <c r="K32" i="2"/>
  <c r="K22" i="2"/>
  <c r="O10" i="1"/>
  <c r="S10" i="1"/>
  <c r="Q10" i="1"/>
  <c r="P18" i="1"/>
  <c r="Q133" i="1"/>
  <c r="R123" i="2"/>
  <c r="Z281" i="2"/>
  <c r="R502" i="2"/>
  <c r="X502" i="2"/>
  <c r="T502" i="2"/>
  <c r="K368" i="2"/>
  <c r="K360" i="2"/>
  <c r="K362" i="2" s="1"/>
  <c r="W362" i="2"/>
  <c r="T386" i="2"/>
  <c r="P387" i="2"/>
  <c r="V387" i="2" s="1"/>
  <c r="U132" i="1"/>
  <c r="O132" i="1"/>
  <c r="M14" i="1"/>
  <c r="X208" i="2"/>
  <c r="Z32" i="2"/>
  <c r="Z22" i="2"/>
  <c r="X397" i="2"/>
  <c r="V290" i="2"/>
  <c r="P293" i="2"/>
  <c r="X293" i="2" s="1"/>
  <c r="R290" i="2"/>
  <c r="T290" i="2"/>
  <c r="X261" i="2"/>
  <c r="W5" i="2"/>
  <c r="V6" i="1"/>
  <c r="V20" i="1" s="1"/>
  <c r="V45" i="1"/>
  <c r="R97" i="2"/>
  <c r="X121" i="2"/>
  <c r="P6" i="1"/>
  <c r="Q44" i="1"/>
  <c r="Y268" i="2"/>
  <c r="Y260" i="2" s="1"/>
  <c r="R72" i="2"/>
  <c r="P77" i="2"/>
  <c r="T72" i="2"/>
  <c r="X544" i="2"/>
  <c r="P545" i="2"/>
  <c r="T544" i="2"/>
  <c r="R544" i="2"/>
  <c r="T602" i="2"/>
  <c r="T404" i="2"/>
  <c r="R404" i="2"/>
  <c r="V404" i="2"/>
  <c r="P396" i="2"/>
  <c r="K397" i="2"/>
  <c r="R428" i="2"/>
  <c r="W318" i="2"/>
  <c r="Z405" i="2"/>
  <c r="V311" i="2"/>
  <c r="V602" i="2"/>
  <c r="X616" i="2"/>
  <c r="U270" i="2"/>
  <c r="U259" i="2"/>
  <c r="R191" i="2"/>
  <c r="Q194" i="2"/>
  <c r="J361" i="2"/>
  <c r="Q259" i="2"/>
  <c r="Q318" i="2"/>
  <c r="X485" i="2"/>
  <c r="M270" i="2"/>
  <c r="X528" i="2"/>
  <c r="P8" i="2"/>
  <c r="X639" i="2"/>
  <c r="G545" i="2"/>
  <c r="U461" i="2"/>
  <c r="V468" i="2"/>
  <c r="T485" i="2"/>
  <c r="V616" i="2"/>
  <c r="X404" i="2"/>
  <c r="Z361" i="2"/>
  <c r="T440" i="2"/>
  <c r="V324" i="2"/>
  <c r="P316" i="2"/>
  <c r="X316" i="2" s="1"/>
  <c r="P325" i="2"/>
  <c r="R324" i="2"/>
  <c r="X324" i="2"/>
  <c r="P311" i="2"/>
  <c r="R310" i="2"/>
  <c r="X310" i="2"/>
  <c r="R356" i="2"/>
  <c r="S368" i="2"/>
  <c r="S360" i="2"/>
  <c r="T366" i="2"/>
  <c r="X242" i="2"/>
  <c r="S223" i="2"/>
  <c r="P397" i="2"/>
  <c r="V397" i="2" s="1"/>
  <c r="R395" i="2"/>
  <c r="P360" i="2"/>
  <c r="X360" i="2" s="1"/>
  <c r="T235" i="2"/>
  <c r="R235" i="2"/>
  <c r="V229" i="2"/>
  <c r="U221" i="2"/>
  <c r="U4" i="2" s="1"/>
  <c r="G162" i="2"/>
  <c r="Z433" i="2"/>
  <c r="T222" i="2"/>
  <c r="T450" i="2"/>
  <c r="R206" i="2"/>
  <c r="P192" i="2"/>
  <c r="P209" i="2"/>
  <c r="T159" i="2"/>
  <c r="S162" i="2"/>
  <c r="X54" i="2"/>
  <c r="X29" i="2"/>
  <c r="W22" i="2"/>
  <c r="W32" i="2"/>
  <c r="M11" i="1"/>
  <c r="U11" i="1" s="1"/>
  <c r="S8" i="1"/>
  <c r="O8" i="1"/>
  <c r="S260" i="2"/>
  <c r="T121" i="2"/>
  <c r="V29" i="2"/>
  <c r="U22" i="2"/>
  <c r="U32" i="2"/>
  <c r="U77" i="1"/>
  <c r="T57" i="2"/>
  <c r="G17" i="1"/>
  <c r="G21" i="1" s="1"/>
  <c r="G7" i="1"/>
  <c r="X191" i="2"/>
  <c r="W194" i="2"/>
  <c r="O126" i="1"/>
  <c r="V274" i="2"/>
  <c r="R274" i="2"/>
  <c r="X274" i="2"/>
  <c r="T274" i="2"/>
  <c r="P275" i="2"/>
  <c r="R31" i="2"/>
  <c r="Q24" i="2"/>
  <c r="O57" i="1"/>
  <c r="Q57" i="1"/>
  <c r="M43" i="1"/>
  <c r="J7" i="1"/>
  <c r="U10" i="1"/>
  <c r="S25" i="2"/>
  <c r="L259" i="2"/>
  <c r="L263" i="2" s="1"/>
  <c r="L270" i="2"/>
  <c r="M134" i="1"/>
  <c r="Q134" i="1" s="1"/>
  <c r="V26" i="1"/>
  <c r="V4" i="1"/>
  <c r="V18" i="1" s="1"/>
  <c r="Z133" i="2"/>
  <c r="D16" i="1"/>
  <c r="P561" i="2"/>
  <c r="X561" i="2" s="1"/>
  <c r="R560" i="2"/>
  <c r="T560" i="2"/>
  <c r="T482" i="2"/>
  <c r="P468" i="2"/>
  <c r="V482" i="2"/>
  <c r="Z368" i="2"/>
  <c r="Z360" i="2"/>
  <c r="Z362" i="2" s="1"/>
  <c r="H397" i="2"/>
  <c r="H360" i="2"/>
  <c r="H362" i="2" s="1"/>
  <c r="V250" i="2"/>
  <c r="S14" i="1"/>
  <c r="V245" i="2"/>
  <c r="R245" i="2"/>
  <c r="X245" i="2"/>
  <c r="T245" i="2"/>
  <c r="S32" i="2"/>
  <c r="T615" i="2"/>
  <c r="R615" i="2"/>
  <c r="X290" i="2"/>
  <c r="T20" i="1"/>
  <c r="V640" i="2"/>
  <c r="V497" i="2"/>
  <c r="Q9" i="2"/>
  <c r="P529" i="2"/>
  <c r="P9" i="2" s="1"/>
  <c r="R377" i="2"/>
  <c r="P378" i="2"/>
  <c r="V378" i="2" s="1"/>
  <c r="P367" i="2"/>
  <c r="R124" i="2"/>
  <c r="Y318" i="2"/>
  <c r="Q23" i="2"/>
  <c r="K531" i="2"/>
  <c r="K8" i="2"/>
  <c r="K11" i="2" s="1"/>
  <c r="V386" i="2"/>
  <c r="X600" i="2"/>
  <c r="V600" i="2"/>
  <c r="P428" i="2"/>
  <c r="X427" i="2"/>
  <c r="T356" i="2"/>
  <c r="W260" i="2"/>
  <c r="P625" i="2"/>
  <c r="T624" i="2"/>
  <c r="R624" i="2"/>
  <c r="Q531" i="2"/>
  <c r="T536" i="2"/>
  <c r="T353" i="2"/>
  <c r="R353" i="2"/>
  <c r="R242" i="2"/>
  <c r="R169" i="2"/>
  <c r="P159" i="2"/>
  <c r="P178" i="2"/>
  <c r="V169" i="2"/>
  <c r="V639" i="2"/>
  <c r="T480" i="2"/>
  <c r="R480" i="2"/>
  <c r="X480" i="2"/>
  <c r="V480" i="2"/>
  <c r="X615" i="2"/>
  <c r="M460" i="2"/>
  <c r="M463" i="2" s="1"/>
  <c r="M470" i="2"/>
  <c r="P573" i="2"/>
  <c r="X572" i="2"/>
  <c r="T572" i="2"/>
  <c r="V572" i="2"/>
  <c r="P574" i="2"/>
  <c r="R572" i="2"/>
  <c r="R528" i="2"/>
  <c r="V545" i="2"/>
  <c r="L460" i="2"/>
  <c r="L463" i="2" s="1"/>
  <c r="L470" i="2"/>
  <c r="Z531" i="2"/>
  <c r="Z8" i="2"/>
  <c r="Z11" i="2" s="1"/>
  <c r="R504" i="2"/>
  <c r="X504" i="2"/>
  <c r="V502" i="2"/>
  <c r="G470" i="2"/>
  <c r="V433" i="2"/>
  <c r="Y467" i="2"/>
  <c r="Y485" i="2"/>
  <c r="V615" i="2"/>
  <c r="R519" i="2"/>
  <c r="T396" i="2"/>
  <c r="P441" i="2"/>
  <c r="X441" i="2" s="1"/>
  <c r="X477" i="2"/>
  <c r="P485" i="2"/>
  <c r="V485" i="2" s="1"/>
  <c r="R477" i="2"/>
  <c r="P467" i="2"/>
  <c r="V335" i="2"/>
  <c r="P338" i="2"/>
  <c r="P315" i="2"/>
  <c r="R315" i="2" s="1"/>
  <c r="R450" i="2"/>
  <c r="X386" i="2"/>
  <c r="Y531" i="2"/>
  <c r="Q361" i="2"/>
  <c r="T378" i="2"/>
  <c r="O318" i="2"/>
  <c r="X415" i="2"/>
  <c r="W223" i="2"/>
  <c r="K223" i="2"/>
  <c r="V302" i="2"/>
  <c r="Z485" i="2"/>
  <c r="Z467" i="2"/>
  <c r="P405" i="2"/>
  <c r="I270" i="2"/>
  <c r="I259" i="2"/>
  <c r="I263" i="2" s="1"/>
  <c r="X468" i="2"/>
  <c r="W461" i="2"/>
  <c r="V228" i="2"/>
  <c r="Z441" i="2"/>
  <c r="G270" i="2"/>
  <c r="G259" i="2"/>
  <c r="G263" i="2" s="1"/>
  <c r="G223" i="2"/>
  <c r="T451" i="2"/>
  <c r="V204" i="2"/>
  <c r="T204" i="2"/>
  <c r="X204" i="2"/>
  <c r="R204" i="2"/>
  <c r="X142" i="2"/>
  <c r="T337" i="2"/>
  <c r="X235" i="2"/>
  <c r="X31" i="2"/>
  <c r="W24" i="2"/>
  <c r="P124" i="2"/>
  <c r="X124" i="2" s="1"/>
  <c r="X97" i="2"/>
  <c r="Y6" i="2"/>
  <c r="Y17" i="2" s="1"/>
  <c r="O15" i="1"/>
  <c r="H6" i="2"/>
  <c r="H17" i="2" s="1"/>
  <c r="U126" i="1"/>
  <c r="V31" i="2"/>
  <c r="U24" i="2"/>
  <c r="P45" i="1"/>
  <c r="U13" i="1"/>
  <c r="T16" i="1"/>
  <c r="T18" i="1"/>
  <c r="T310" i="2"/>
  <c r="K267" i="2"/>
  <c r="K281" i="2"/>
  <c r="P132" i="2"/>
  <c r="H3" i="1"/>
  <c r="M19" i="1"/>
  <c r="O4" i="2"/>
  <c r="O15" i="2" s="1"/>
  <c r="R129" i="2"/>
  <c r="Y133" i="2"/>
  <c r="U15" i="2" l="1"/>
  <c r="T360" i="2"/>
  <c r="S362" i="2"/>
  <c r="U263" i="2"/>
  <c r="X160" i="2"/>
  <c r="V160" i="2"/>
  <c r="T160" i="2"/>
  <c r="X23" i="2"/>
  <c r="W4" i="2"/>
  <c r="Q45" i="1"/>
  <c r="U43" i="1"/>
  <c r="Q43" i="1"/>
  <c r="S43" i="1"/>
  <c r="O43" i="1"/>
  <c r="X9" i="2"/>
  <c r="W11" i="2"/>
  <c r="X11" i="2" s="1"/>
  <c r="T178" i="2"/>
  <c r="R178" i="2"/>
  <c r="Q463" i="2"/>
  <c r="T368" i="2"/>
  <c r="X77" i="2"/>
  <c r="R77" i="2"/>
  <c r="V368" i="2"/>
  <c r="R21" i="1"/>
  <c r="T505" i="2"/>
  <c r="R505" i="2"/>
  <c r="Q13" i="1"/>
  <c r="S13" i="1"/>
  <c r="M16" i="1"/>
  <c r="O13" i="1"/>
  <c r="M6" i="1"/>
  <c r="Q77" i="1"/>
  <c r="S77" i="1"/>
  <c r="X32" i="2"/>
  <c r="T397" i="2"/>
  <c r="X315" i="2"/>
  <c r="R57" i="2"/>
  <c r="Y470" i="2"/>
  <c r="Y460" i="2"/>
  <c r="Y463" i="2" s="1"/>
  <c r="Q6" i="2"/>
  <c r="R24" i="2"/>
  <c r="U25" i="2"/>
  <c r="U3" i="2"/>
  <c r="W3" i="2"/>
  <c r="W25" i="2"/>
  <c r="T441" i="2"/>
  <c r="W16" i="2"/>
  <c r="X16" i="2" s="1"/>
  <c r="X5" i="2"/>
  <c r="Z25" i="2"/>
  <c r="N20" i="1"/>
  <c r="O6" i="1"/>
  <c r="Y25" i="2"/>
  <c r="Y3" i="2"/>
  <c r="P22" i="2"/>
  <c r="V22" i="2" s="1"/>
  <c r="P32" i="2"/>
  <c r="T29" i="2"/>
  <c r="H25" i="2"/>
  <c r="H3" i="2"/>
  <c r="V261" i="2"/>
  <c r="U5" i="2"/>
  <c r="S76" i="1"/>
  <c r="Q76" i="1"/>
  <c r="O76" i="1"/>
  <c r="S134" i="1"/>
  <c r="J25" i="2"/>
  <c r="J3" i="2"/>
  <c r="R43" i="2"/>
  <c r="P221" i="2"/>
  <c r="T229" i="2"/>
  <c r="R229" i="2"/>
  <c r="V9" i="2"/>
  <c r="U11" i="2"/>
  <c r="R29" i="2"/>
  <c r="T193" i="2"/>
  <c r="V193" i="2"/>
  <c r="V462" i="2"/>
  <c r="T325" i="2"/>
  <c r="R325" i="2"/>
  <c r="V325" i="2"/>
  <c r="R469" i="2"/>
  <c r="P462" i="2"/>
  <c r="X469" i="2"/>
  <c r="T469" i="2"/>
  <c r="M13" i="2"/>
  <c r="M16" i="2"/>
  <c r="T32" i="2"/>
  <c r="T209" i="2"/>
  <c r="V209" i="2"/>
  <c r="N263" i="2"/>
  <c r="N3" i="2"/>
  <c r="T192" i="2"/>
  <c r="P194" i="2"/>
  <c r="X192" i="2"/>
  <c r="R192" i="2"/>
  <c r="V192" i="2"/>
  <c r="P23" i="2"/>
  <c r="V30" i="2"/>
  <c r="X178" i="2"/>
  <c r="P7" i="1"/>
  <c r="P17" i="1"/>
  <c r="P470" i="2"/>
  <c r="R470" i="2" s="1"/>
  <c r="P460" i="2"/>
  <c r="R467" i="2"/>
  <c r="R378" i="2"/>
  <c r="X378" i="2"/>
  <c r="S3" i="2"/>
  <c r="O77" i="1"/>
  <c r="M15" i="2"/>
  <c r="R209" i="2"/>
  <c r="R360" i="2"/>
  <c r="V505" i="2"/>
  <c r="U134" i="1"/>
  <c r="M3" i="1"/>
  <c r="M45" i="1"/>
  <c r="O42" i="1"/>
  <c r="Q42" i="1"/>
  <c r="U42" i="1"/>
  <c r="S42" i="1"/>
  <c r="K259" i="2"/>
  <c r="K263" i="2" s="1"/>
  <c r="K270" i="2"/>
  <c r="X194" i="2"/>
  <c r="R250" i="2"/>
  <c r="X311" i="2"/>
  <c r="R311" i="2"/>
  <c r="P11" i="2"/>
  <c r="X8" i="2"/>
  <c r="V8" i="2"/>
  <c r="R8" i="2"/>
  <c r="T8" i="2"/>
  <c r="T77" i="2"/>
  <c r="X221" i="2"/>
  <c r="P634" i="2"/>
  <c r="R633" i="2"/>
  <c r="X633" i="2"/>
  <c r="P12" i="2"/>
  <c r="T633" i="2"/>
  <c r="V416" i="2"/>
  <c r="X416" i="2"/>
  <c r="R416" i="2"/>
  <c r="L25" i="2"/>
  <c r="L3" i="2"/>
  <c r="V470" i="2"/>
  <c r="V529" i="2"/>
  <c r="Q25" i="2"/>
  <c r="Q3" i="2"/>
  <c r="I32" i="2"/>
  <c r="I22" i="2"/>
  <c r="R223" i="2"/>
  <c r="J362" i="2"/>
  <c r="V469" i="2"/>
  <c r="Q19" i="1"/>
  <c r="O19" i="1"/>
  <c r="P318" i="2"/>
  <c r="R318" i="2" s="1"/>
  <c r="V315" i="2"/>
  <c r="T315" i="2"/>
  <c r="U13" i="2"/>
  <c r="V12" i="2"/>
  <c r="H7" i="1"/>
  <c r="H17" i="1"/>
  <c r="H21" i="1" s="1"/>
  <c r="R316" i="2"/>
  <c r="V316" i="2"/>
  <c r="T316" i="2"/>
  <c r="T132" i="2"/>
  <c r="X132" i="2"/>
  <c r="V132" i="2"/>
  <c r="R132" i="2"/>
  <c r="X574" i="2"/>
  <c r="V574" i="2"/>
  <c r="R574" i="2"/>
  <c r="P361" i="2"/>
  <c r="X361" i="2" s="1"/>
  <c r="X367" i="2"/>
  <c r="R367" i="2"/>
  <c r="P368" i="2"/>
  <c r="Q11" i="1"/>
  <c r="O11" i="1"/>
  <c r="V78" i="1"/>
  <c r="V3" i="1"/>
  <c r="Z470" i="2"/>
  <c r="Z460" i="2"/>
  <c r="Z463" i="2" s="1"/>
  <c r="V32" i="2"/>
  <c r="V221" i="2"/>
  <c r="U223" i="2"/>
  <c r="S16" i="1"/>
  <c r="V360" i="2"/>
  <c r="U362" i="2"/>
  <c r="V362" i="2" s="1"/>
  <c r="X209" i="2"/>
  <c r="X24" i="2"/>
  <c r="W6" i="2"/>
  <c r="V573" i="2"/>
  <c r="X573" i="2"/>
  <c r="T573" i="2"/>
  <c r="R573" i="2"/>
  <c r="R23" i="2"/>
  <c r="Q4" i="2"/>
  <c r="Q11" i="2"/>
  <c r="R11" i="2" s="1"/>
  <c r="R9" i="2"/>
  <c r="R485" i="2"/>
  <c r="V275" i="2"/>
  <c r="P281" i="2"/>
  <c r="R275" i="2"/>
  <c r="P267" i="2"/>
  <c r="T275" i="2"/>
  <c r="X275" i="2"/>
  <c r="P531" i="2"/>
  <c r="R194" i="2"/>
  <c r="V519" i="2"/>
  <c r="R545" i="2"/>
  <c r="T545" i="2"/>
  <c r="X545" i="2"/>
  <c r="X362" i="2"/>
  <c r="Y263" i="2"/>
  <c r="T460" i="2"/>
  <c r="S463" i="2"/>
  <c r="X505" i="2"/>
  <c r="W463" i="2"/>
  <c r="X460" i="2"/>
  <c r="M78" i="1"/>
  <c r="Q78" i="1" s="1"/>
  <c r="S75" i="1"/>
  <c r="U75" i="1"/>
  <c r="O25" i="2"/>
  <c r="O3" i="2"/>
  <c r="S11" i="2"/>
  <c r="T11" i="2" s="1"/>
  <c r="T9" i="2"/>
  <c r="X640" i="2"/>
  <c r="R640" i="2"/>
  <c r="O134" i="1"/>
  <c r="V57" i="2"/>
  <c r="R268" i="2"/>
  <c r="P260" i="2"/>
  <c r="X268" i="2"/>
  <c r="V268" i="2"/>
  <c r="T268" i="2"/>
  <c r="R160" i="2"/>
  <c r="V361" i="2"/>
  <c r="X325" i="2"/>
  <c r="V460" i="2"/>
  <c r="U463" i="2"/>
  <c r="M25" i="2"/>
  <c r="M3" i="2"/>
  <c r="R32" i="2"/>
  <c r="X193" i="2"/>
  <c r="V293" i="2"/>
  <c r="T293" i="2"/>
  <c r="R293" i="2"/>
  <c r="M4" i="1"/>
  <c r="M26" i="1"/>
  <c r="S25" i="1"/>
  <c r="O25" i="1"/>
  <c r="Q25" i="1"/>
  <c r="U25" i="1"/>
  <c r="X338" i="2"/>
  <c r="V338" i="2"/>
  <c r="P162" i="2"/>
  <c r="X159" i="2"/>
  <c r="R159" i="2"/>
  <c r="V159" i="2"/>
  <c r="P362" i="2"/>
  <c r="R362" i="2" s="1"/>
  <c r="T338" i="2"/>
  <c r="V24" i="2"/>
  <c r="U6" i="2"/>
  <c r="R405" i="2"/>
  <c r="X405" i="2"/>
  <c r="T405" i="2"/>
  <c r="X625" i="2"/>
  <c r="V625" i="2"/>
  <c r="T625" i="2"/>
  <c r="R625" i="2"/>
  <c r="V461" i="2"/>
  <c r="U19" i="1"/>
  <c r="X531" i="2"/>
  <c r="G3" i="2"/>
  <c r="G25" i="2"/>
  <c r="T261" i="2"/>
  <c r="S5" i="2"/>
  <c r="T21" i="1"/>
  <c r="V634" i="2"/>
  <c r="X260" i="2"/>
  <c r="T561" i="2"/>
  <c r="R561" i="2"/>
  <c r="Q263" i="2"/>
  <c r="X387" i="2"/>
  <c r="R387" i="2"/>
  <c r="T387" i="2"/>
  <c r="V43" i="2"/>
  <c r="X43" i="2"/>
  <c r="W17" i="1"/>
  <c r="W21" i="1" s="1"/>
  <c r="W7" i="1"/>
  <c r="P223" i="2"/>
  <c r="X223" i="2" s="1"/>
  <c r="V220" i="2"/>
  <c r="R220" i="2"/>
  <c r="T574" i="2"/>
  <c r="X250" i="2"/>
  <c r="V561" i="2"/>
  <c r="T519" i="2"/>
  <c r="S11" i="1"/>
  <c r="U16" i="1"/>
  <c r="V77" i="2"/>
  <c r="X220" i="2"/>
  <c r="V441" i="2"/>
  <c r="R441" i="2"/>
  <c r="V405" i="2"/>
  <c r="R531" i="2"/>
  <c r="T428" i="2"/>
  <c r="V428" i="2"/>
  <c r="X428" i="2"/>
  <c r="R30" i="2"/>
  <c r="R529" i="2"/>
  <c r="V178" i="2"/>
  <c r="P461" i="2"/>
  <c r="T461" i="2" s="1"/>
  <c r="T468" i="2"/>
  <c r="S263" i="2"/>
  <c r="T260" i="2"/>
  <c r="T162" i="2"/>
  <c r="V396" i="2"/>
  <c r="X396" i="2"/>
  <c r="P20" i="1"/>
  <c r="Q6" i="1"/>
  <c r="U14" i="1"/>
  <c r="O14" i="1"/>
  <c r="Q14" i="1"/>
  <c r="K25" i="2"/>
  <c r="K3" i="2"/>
  <c r="T64" i="2"/>
  <c r="P67" i="2"/>
  <c r="V64" i="2"/>
  <c r="R64" i="2"/>
  <c r="X64" i="2"/>
  <c r="Y270" i="2"/>
  <c r="T467" i="2"/>
  <c r="X467" i="2"/>
  <c r="Z270" i="2"/>
  <c r="Z259" i="2"/>
  <c r="Z263" i="2" s="1"/>
  <c r="T97" i="2"/>
  <c r="P133" i="2"/>
  <c r="P16" i="2"/>
  <c r="R16" i="2" s="1"/>
  <c r="R5" i="2"/>
  <c r="T529" i="2"/>
  <c r="Y433" i="2"/>
  <c r="Y361" i="2"/>
  <c r="Y362" i="2" s="1"/>
  <c r="T23" i="2"/>
  <c r="S4" i="2"/>
  <c r="T416" i="2"/>
  <c r="U15" i="1"/>
  <c r="Q15" i="1"/>
  <c r="S15" i="1"/>
  <c r="P6" i="2"/>
  <c r="P17" i="2" s="1"/>
  <c r="T24" i="2"/>
  <c r="V367" i="2"/>
  <c r="T262" i="2"/>
  <c r="S6" i="2"/>
  <c r="V467" i="2"/>
  <c r="N17" i="1"/>
  <c r="O3" i="1"/>
  <c r="N7" i="1"/>
  <c r="X30" i="2"/>
  <c r="S19" i="1"/>
  <c r="Q15" i="2" l="1"/>
  <c r="K14" i="2"/>
  <c r="K18" i="2" s="1"/>
  <c r="K7" i="2"/>
  <c r="L14" i="2"/>
  <c r="L18" i="2" s="1"/>
  <c r="I145" i="1" s="1"/>
  <c r="L7" i="2"/>
  <c r="Y14" i="2"/>
  <c r="Y18" i="2" s="1"/>
  <c r="Y7" i="2"/>
  <c r="U17" i="2"/>
  <c r="V17" i="2" s="1"/>
  <c r="V6" i="2"/>
  <c r="R162" i="2"/>
  <c r="X162" i="2"/>
  <c r="V162" i="2"/>
  <c r="M7" i="2"/>
  <c r="M14" i="2"/>
  <c r="M18" i="2" s="1"/>
  <c r="J145" i="1" s="1"/>
  <c r="I25" i="2"/>
  <c r="I3" i="2"/>
  <c r="R634" i="2"/>
  <c r="X634" i="2"/>
  <c r="T634" i="2"/>
  <c r="P463" i="2"/>
  <c r="T463" i="2" s="1"/>
  <c r="R460" i="2"/>
  <c r="P4" i="2"/>
  <c r="V23" i="2"/>
  <c r="Y4" i="2"/>
  <c r="Y15" i="2" s="1"/>
  <c r="T221" i="2"/>
  <c r="R221" i="2"/>
  <c r="V5" i="2"/>
  <c r="U16" i="2"/>
  <c r="V16" i="2" s="1"/>
  <c r="X318" i="2"/>
  <c r="R6" i="2"/>
  <c r="Q17" i="2"/>
  <c r="R17" i="2" s="1"/>
  <c r="T361" i="2"/>
  <c r="W15" i="2"/>
  <c r="X4" i="2"/>
  <c r="T362" i="2"/>
  <c r="N7" i="2"/>
  <c r="N14" i="2"/>
  <c r="N18" i="2" s="1"/>
  <c r="K145" i="1" s="1"/>
  <c r="P25" i="2"/>
  <c r="T25" i="2" s="1"/>
  <c r="T22" i="2"/>
  <c r="V17" i="1"/>
  <c r="V21" i="1" s="1"/>
  <c r="V7" i="1"/>
  <c r="X25" i="2"/>
  <c r="M18" i="1"/>
  <c r="U4" i="1"/>
  <c r="O4" i="1"/>
  <c r="S4" i="1"/>
  <c r="Q4" i="1"/>
  <c r="V463" i="2"/>
  <c r="V260" i="2"/>
  <c r="R260" i="2"/>
  <c r="T318" i="2"/>
  <c r="V318" i="2"/>
  <c r="Q14" i="2"/>
  <c r="Q7" i="2"/>
  <c r="R462" i="2"/>
  <c r="X462" i="2"/>
  <c r="T462" i="2"/>
  <c r="J14" i="2"/>
  <c r="J18" i="2" s="1"/>
  <c r="G145" i="1" s="1"/>
  <c r="J7" i="2"/>
  <c r="H7" i="2"/>
  <c r="H14" i="2"/>
  <c r="H18" i="2" s="1"/>
  <c r="E145" i="1" s="1"/>
  <c r="O20" i="1"/>
  <c r="W7" i="2"/>
  <c r="W14" i="2"/>
  <c r="M20" i="1"/>
  <c r="S6" i="1"/>
  <c r="U6" i="1"/>
  <c r="O78" i="1"/>
  <c r="R267" i="2"/>
  <c r="P259" i="2"/>
  <c r="P270" i="2"/>
  <c r="T267" i="2"/>
  <c r="X267" i="2"/>
  <c r="V267" i="2"/>
  <c r="S16" i="2"/>
  <c r="T16" i="2" s="1"/>
  <c r="T5" i="2"/>
  <c r="T4" i="2"/>
  <c r="S15" i="2"/>
  <c r="O7" i="2"/>
  <c r="O14" i="2"/>
  <c r="O18" i="2" s="1"/>
  <c r="L145" i="1" s="1"/>
  <c r="H145" i="1"/>
  <c r="R22" i="2"/>
  <c r="T470" i="2"/>
  <c r="T223" i="2"/>
  <c r="P21" i="1"/>
  <c r="Z3" i="2"/>
  <c r="X22" i="2"/>
  <c r="R361" i="2"/>
  <c r="V13" i="2"/>
  <c r="N21" i="1"/>
  <c r="O17" i="1"/>
  <c r="S26" i="1"/>
  <c r="U26" i="1"/>
  <c r="O26" i="1"/>
  <c r="Q26" i="1"/>
  <c r="R281" i="2"/>
  <c r="X281" i="2"/>
  <c r="T281" i="2"/>
  <c r="V281" i="2"/>
  <c r="T133" i="2"/>
  <c r="X133" i="2"/>
  <c r="R133" i="2"/>
  <c r="V133" i="2"/>
  <c r="G7" i="2"/>
  <c r="G14" i="2"/>
  <c r="G18" i="2" s="1"/>
  <c r="D145" i="1" s="1"/>
  <c r="T531" i="2"/>
  <c r="V531" i="2"/>
  <c r="W17" i="2"/>
  <c r="X17" i="2" s="1"/>
  <c r="X6" i="2"/>
  <c r="V223" i="2"/>
  <c r="R25" i="2"/>
  <c r="O45" i="1"/>
  <c r="U45" i="1"/>
  <c r="S45" i="1"/>
  <c r="S14" i="2"/>
  <c r="S7" i="2"/>
  <c r="Q7" i="1"/>
  <c r="T194" i="2"/>
  <c r="V194" i="2"/>
  <c r="V11" i="2"/>
  <c r="U7" i="2"/>
  <c r="U14" i="2"/>
  <c r="Q16" i="1"/>
  <c r="O16" i="1"/>
  <c r="R461" i="2"/>
  <c r="U78" i="1"/>
  <c r="S78" i="1"/>
  <c r="T6" i="2"/>
  <c r="S17" i="2"/>
  <c r="T17" i="2" s="1"/>
  <c r="O7" i="1"/>
  <c r="X67" i="2"/>
  <c r="R67" i="2"/>
  <c r="T67" i="2"/>
  <c r="V67" i="2"/>
  <c r="X461" i="2"/>
  <c r="R368" i="2"/>
  <c r="X368" i="2"/>
  <c r="P13" i="2"/>
  <c r="X12" i="2"/>
  <c r="T12" i="2"/>
  <c r="R12" i="2"/>
  <c r="M17" i="1"/>
  <c r="M7" i="1"/>
  <c r="S3" i="1"/>
  <c r="U3" i="1"/>
  <c r="Q3" i="1"/>
  <c r="V25" i="2"/>
  <c r="X470" i="2"/>
  <c r="V145" i="1" l="1"/>
  <c r="P263" i="2"/>
  <c r="T259" i="2"/>
  <c r="X259" i="2"/>
  <c r="R259" i="2"/>
  <c r="V259" i="2"/>
  <c r="Q18" i="2"/>
  <c r="X463" i="2"/>
  <c r="I14" i="2"/>
  <c r="I18" i="2" s="1"/>
  <c r="F145" i="1" s="1"/>
  <c r="I7" i="2"/>
  <c r="Q21" i="1"/>
  <c r="R463" i="2"/>
  <c r="X15" i="2"/>
  <c r="U20" i="1"/>
  <c r="S20" i="1"/>
  <c r="O18" i="1"/>
  <c r="S18" i="1"/>
  <c r="U18" i="1"/>
  <c r="Q18" i="1"/>
  <c r="T15" i="2"/>
  <c r="T13" i="2"/>
  <c r="X13" i="2"/>
  <c r="R13" i="2"/>
  <c r="S18" i="2"/>
  <c r="P145" i="1" s="1"/>
  <c r="U7" i="1"/>
  <c r="S7" i="1"/>
  <c r="Z14" i="2"/>
  <c r="Z18" i="2" s="1"/>
  <c r="W145" i="1" s="1"/>
  <c r="Z7" i="2"/>
  <c r="W18" i="2"/>
  <c r="P3" i="2"/>
  <c r="P15" i="2"/>
  <c r="V15" i="2" s="1"/>
  <c r="V4" i="2"/>
  <c r="R4" i="2"/>
  <c r="U18" i="2"/>
  <c r="M21" i="1"/>
  <c r="S17" i="1"/>
  <c r="U17" i="1"/>
  <c r="Q20" i="1"/>
  <c r="N145" i="1"/>
  <c r="Q17" i="1"/>
  <c r="R270" i="2"/>
  <c r="X270" i="2"/>
  <c r="T270" i="2"/>
  <c r="V270" i="2"/>
  <c r="R15" i="2"/>
  <c r="T145" i="1" l="1"/>
  <c r="X263" i="2"/>
  <c r="V263" i="2"/>
  <c r="T263" i="2"/>
  <c r="R263" i="2"/>
  <c r="P7" i="2"/>
  <c r="P14" i="2"/>
  <c r="X3" i="2"/>
  <c r="T3" i="2"/>
  <c r="V3" i="2"/>
  <c r="R3" i="2"/>
  <c r="U21" i="1"/>
  <c r="S21" i="1"/>
  <c r="R145" i="1"/>
  <c r="O21" i="1"/>
  <c r="P18" i="2" l="1"/>
  <c r="V14" i="2"/>
  <c r="X14" i="2"/>
  <c r="T14" i="2"/>
  <c r="R14" i="2"/>
  <c r="X7" i="2"/>
  <c r="T7" i="2"/>
  <c r="V7" i="2"/>
  <c r="R7" i="2"/>
  <c r="M145" i="1" l="1"/>
  <c r="R18" i="2"/>
  <c r="T18" i="2"/>
  <c r="X18" i="2"/>
  <c r="V18" i="2"/>
  <c r="Q145" i="1" l="1"/>
  <c r="O145" i="1"/>
  <c r="U145" i="1"/>
  <c r="S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 Tabaček</author>
  </authors>
  <commentList>
    <comment ref="K83" authorId="0" shapeId="0" xr:uid="{00000000-0006-0000-0100-000001000000}">
      <text>
        <r>
          <rPr>
            <sz val="9"/>
            <rFont val="Arial"/>
            <family val="2"/>
            <charset val="238"/>
          </rPr>
          <t>KD VO, žiadosti o NFP</t>
        </r>
      </text>
    </comment>
  </commentList>
</comments>
</file>

<file path=xl/sharedStrings.xml><?xml version="1.0" encoding="utf-8"?>
<sst xmlns="http://schemas.openxmlformats.org/spreadsheetml/2006/main" count="2383" uniqueCount="386">
  <si>
    <t>SUMÁR PRÍJMOV</t>
  </si>
  <si>
    <t>2022 S</t>
  </si>
  <si>
    <t>2023 S</t>
  </si>
  <si>
    <t>2024 R</t>
  </si>
  <si>
    <t>2024 OS</t>
  </si>
  <si>
    <t>2025 R</t>
  </si>
  <si>
    <t>U1</t>
  </si>
  <si>
    <t>U2</t>
  </si>
  <si>
    <t>U3</t>
  </si>
  <si>
    <t>U4</t>
  </si>
  <si>
    <t>2025 U</t>
  </si>
  <si>
    <t>Č1</t>
  </si>
  <si>
    <t>P1</t>
  </si>
  <si>
    <t>Č2</t>
  </si>
  <si>
    <t>P2</t>
  </si>
  <si>
    <t>Č3</t>
  </si>
  <si>
    <t>P3</t>
  </si>
  <si>
    <t>Č4</t>
  </si>
  <si>
    <t>P4</t>
  </si>
  <si>
    <t>2026 R</t>
  </si>
  <si>
    <t>2027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</si>
  <si>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</si>
  <si>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</si>
  <si>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</si>
  <si>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</si>
  <si>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</si>
  <si>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</si>
  <si>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</si>
  <si>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</si>
  <si>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</si>
  <si>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</si>
  <si>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</si>
  <si>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</si>
  <si>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</si>
  <si>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</si>
  <si>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</si>
  <si>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</si>
  <si>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</si>
  <si>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</si>
  <si>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</si>
  <si>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</si>
  <si>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</si>
  <si>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</si>
  <si>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</si>
  <si>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</si>
  <si>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</si>
  <si>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</si>
  <si>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</si>
  <si>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Iné nedaňové príjmy</t>
  </si>
  <si>
    <t>RO</t>
  </si>
  <si>
    <t>Príjmy ZŠsMŠ (RO)</t>
  </si>
  <si>
    <t>Príjmy z majetku</t>
  </si>
  <si>
    <t>Administratívne poplatky a iné platby</t>
  </si>
  <si>
    <t>Predaj majetku</t>
  </si>
  <si>
    <t>Úroky z vkladov</t>
  </si>
  <si>
    <t>V tom:</t>
  </si>
  <si>
    <t>Prenájom majetku</t>
  </si>
  <si>
    <t>Správne poplatky</t>
  </si>
  <si>
    <t>Vodné</t>
  </si>
  <si>
    <t>Poplatky DOS</t>
  </si>
  <si>
    <t>Predaj dreva</t>
  </si>
  <si>
    <t>Prenájom hrobových miest</t>
  </si>
  <si>
    <t>Predaj pozemkov</t>
  </si>
  <si>
    <t>Refundácia výdavkov</t>
  </si>
  <si>
    <t>Dobropisy</t>
  </si>
  <si>
    <t>Stravné zamestnanci</t>
  </si>
  <si>
    <t>GRANTY A TRANSFERY</t>
  </si>
  <si>
    <t>Granty a transfery - rozpis</t>
  </si>
  <si>
    <t>GaT</t>
  </si>
  <si>
    <t>ZŠ granty (RO)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</si>
  <si>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</si>
  <si>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</si>
  <si>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</si>
  <si>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</si>
  <si>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</si>
  <si>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</si>
  <si>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</si>
  <si>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ZŠ podpora UA</t>
  </si>
  <si>
    <t>ZŠ pojekt NIVAM ESF</t>
  </si>
  <si>
    <t>MŠ predškoláci</t>
  </si>
  <si>
    <t>MŠ normatív</t>
  </si>
  <si>
    <t>MŠ nenormatívne</t>
  </si>
  <si>
    <t>Prídavky na deti</t>
  </si>
  <si>
    <t>Voľby</t>
  </si>
  <si>
    <t>DOS</t>
  </si>
  <si>
    <t>Regionálny rozvoj ESF</t>
  </si>
  <si>
    <t>Energodotácie</t>
  </si>
  <si>
    <t>Ubytovanie utečenci</t>
  </si>
  <si>
    <t>Migračné výzvy</t>
  </si>
  <si>
    <t>Odmeny 800 €/Krytie inflácie/Výpadok DP</t>
  </si>
  <si>
    <t>Defibrilátor – náplne</t>
  </si>
  <si>
    <t>Odmeny decentralizácía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</si>
  <si>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</si>
  <si>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</si>
  <si>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</si>
  <si>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</si>
  <si>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</si>
  <si>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</si>
  <si>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ZŠ vodozádržné opatrenia</t>
  </si>
  <si>
    <t>ZŠ kotolňa/zateplenie</t>
  </si>
  <si>
    <t>ZŠ debarierizácia</t>
  </si>
  <si>
    <t>ZŠ REO Nesluša (rýchle energetické opatrenia – telocvičňa)</t>
  </si>
  <si>
    <t>MŠ fotovoltika</t>
  </si>
  <si>
    <t>Nákup malotraktora v obci Nesluša</t>
  </si>
  <si>
    <t>Triedený zber Dolných Kysúc</t>
  </si>
  <si>
    <t>Vodozádržné obecný úrad</t>
  </si>
  <si>
    <t>Stacionárne zariadenie</t>
  </si>
  <si>
    <t>Detské ihriská</t>
  </si>
  <si>
    <t>Zdroj kytia</t>
  </si>
  <si>
    <t>Granty</t>
  </si>
  <si>
    <t>Granty (RO)</t>
  </si>
  <si>
    <t>PRÍJMOVÉ FINANČNÉ OPERÁCIE</t>
  </si>
  <si>
    <t>Nevyčerpané dotácie</t>
  </si>
  <si>
    <t>Zostatky zábezpeky</t>
  </si>
  <si>
    <t>Zostatky vlastné zdroje</t>
  </si>
  <si>
    <t>Zostatky ostatné príjmy</t>
  </si>
  <si>
    <t>Rezervný fond</t>
  </si>
  <si>
    <t>Prijaté zábezpeky</t>
  </si>
  <si>
    <t>ROZDIEL PRÍJMOV A VÝDAJOV</t>
  </si>
  <si>
    <t>Rezervný fond (nezapojený)</t>
  </si>
  <si>
    <t>Pr</t>
  </si>
  <si>
    <t>Po</t>
  </si>
  <si>
    <t>Pv</t>
  </si>
  <si>
    <t>SUMÁR VÝDAVKOV</t>
  </si>
  <si>
    <t>2024 U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</si>
  <si>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</si>
  <si>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</si>
  <si>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</si>
  <si>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</si>
  <si>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</si>
  <si>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</si>
  <si>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</si>
  <si>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</si>
  <si>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</si>
  <si>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</si>
  <si>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</si>
  <si>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</si>
  <si>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</si>
  <si>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</si>
  <si>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</si>
  <si>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</si>
  <si>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Bankové poplatky</t>
  </si>
  <si>
    <t>Poštovné</t>
  </si>
  <si>
    <t>Právne služby</t>
  </si>
  <si>
    <t>Softvér (URBIS)</t>
  </si>
  <si>
    <t>ESMAO/DCOM</t>
  </si>
  <si>
    <t>Žiadosti o dotácie/obstáravanie</t>
  </si>
  <si>
    <t>Prvok 1.1.5 Prevádzka</t>
  </si>
  <si>
    <t>01.1.3</t>
  </si>
  <si>
    <t>01.1.4</t>
  </si>
  <si>
    <t>Elektrina</t>
  </si>
  <si>
    <t>Plyn</t>
  </si>
  <si>
    <t>Poistenie automobilov</t>
  </si>
  <si>
    <t>Servis automobilov a strojov</t>
  </si>
  <si>
    <t>Pohonné hmoty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</si>
  <si>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</si>
  <si>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</si>
  <si>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</si>
  <si>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</si>
  <si>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</si>
  <si>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</si>
  <si>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</si>
  <si>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</si>
  <si>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</si>
  <si>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</si>
  <si>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Ťažba, výsadba</t>
  </si>
  <si>
    <t>Geometrické plány</t>
  </si>
  <si>
    <t>Podprogram 1.4 Voľby</t>
  </si>
  <si>
    <t>01.6.0</t>
  </si>
  <si>
    <t>PROGRAM 2 - ŠKOLSTVO</t>
  </si>
  <si>
    <t>Podprogram 2.1 Základná škola s materskou školou</t>
  </si>
  <si>
    <t>09.x</t>
  </si>
  <si>
    <t>Dotácie kohézny fond/plán obnovy</t>
  </si>
  <si>
    <t>09.1.x</t>
  </si>
  <si>
    <t>111/AC/PO</t>
  </si>
  <si>
    <t>09.2.x</t>
  </si>
  <si>
    <t>09.5.x</t>
  </si>
  <si>
    <t>09.6.x</t>
  </si>
  <si>
    <t>Originálne kompetencie</t>
  </si>
  <si>
    <t>Elektrina MŠ</t>
  </si>
  <si>
    <t>Plyn MŠ</t>
  </si>
  <si>
    <t>Elektrina ŠJ</t>
  </si>
  <si>
    <t>Plyn ŠJ</t>
  </si>
  <si>
    <t>Oprava zelenej strechy MŠ</t>
  </si>
  <si>
    <t>Externý manažment projekty EÚ</t>
  </si>
  <si>
    <t>Nevyčerpaná dotácia zateplenie ZŠ</t>
  </si>
  <si>
    <t>Dotácia cirkevné CVČ</t>
  </si>
  <si>
    <t>PROGRAM 3 - VODA</t>
  </si>
  <si>
    <t>Podprogram 3.1 Verejný vodovod</t>
  </si>
  <si>
    <t>06.3.0</t>
  </si>
  <si>
    <t>Údržba vodovodu</t>
  </si>
  <si>
    <t>Prevádzkovanie vodovodu</t>
  </si>
  <si>
    <t>Odber podzemnej vody</t>
  </si>
  <si>
    <t>Žiadosť o dotáciu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</si>
  <si>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</si>
  <si>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</si>
  <si>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</si>
  <si>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</si>
  <si>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</si>
  <si>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</si>
  <si>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</si>
  <si>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</si>
  <si>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</si>
  <si>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</si>
  <si>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</si>
  <si>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</si>
  <si>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</si>
  <si>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Prvok 5.1.3 Verejné osvetlenie</t>
  </si>
  <si>
    <t>06.4.0</t>
  </si>
  <si>
    <t>Dohoda údržbár</t>
  </si>
  <si>
    <t>Prvok 5.1.4 Prevencia kriminality</t>
  </si>
  <si>
    <t>03.6.0</t>
  </si>
  <si>
    <t>Podprogram 5.2 Komunikácie a verejné priestranstvá</t>
  </si>
  <si>
    <t>111/1AC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</si>
  <si>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</si>
  <si>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</si>
  <si>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</si>
  <si>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</si>
  <si>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</si>
  <si>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</si>
  <si>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</si>
  <si>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</si>
  <si>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</si>
  <si>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Externý manažment vodozádržné OcÚ</t>
  </si>
  <si>
    <t>Verejné obstarávanie regulácia</t>
  </si>
  <si>
    <t>Vratka dotácie vodozádržné OcÚ</t>
  </si>
  <si>
    <t>Prvok 5.2.3 Regionálny rozvoj</t>
  </si>
  <si>
    <t>PROGRAM 6 - ŠPORT, KULTÚRA A INÉ SPOLOČENSKÉ SLUŽBY</t>
  </si>
  <si>
    <t>Podprogram 6.1 Šport</t>
  </si>
  <si>
    <t>Prvok 6.1.1 Futbalový klub</t>
  </si>
  <si>
    <t>08.1.0</t>
  </si>
  <si>
    <t>Dohoda správca</t>
  </si>
  <si>
    <t>Prvok 6.1.2 Ostatné športové kluby</t>
  </si>
  <si>
    <t>Šachový klub</t>
  </si>
  <si>
    <t>Športovec roka</t>
  </si>
  <si>
    <t>OZ Bajk Relax Kysuce</t>
  </si>
  <si>
    <t>Podprogram 6.2 Kultúra</t>
  </si>
  <si>
    <t>Prvok 6.2.1 Kultúrny dom</t>
  </si>
  <si>
    <t>08.2.0</t>
  </si>
  <si>
    <t>Prvok 6.2.2 Kultúrne akcie</t>
  </si>
  <si>
    <t>Rocknes</t>
  </si>
  <si>
    <t>Osobnosť Kysúc, Letné kino, Kysucká knižnica</t>
  </si>
  <si>
    <t>Kultúrne soboty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</si>
  <si>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</si>
  <si>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</si>
  <si>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</si>
  <si>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</si>
  <si>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</si>
  <si>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</si>
  <si>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</si>
  <si>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Prvok 6.3.2 Náboženské a spoločenské spolky a združenia</t>
  </si>
  <si>
    <t>SO SZTP a ZPCCH</t>
  </si>
  <si>
    <t>Priatelia Kysúc</t>
  </si>
  <si>
    <t>Jednota dôchodcov</t>
  </si>
  <si>
    <t>SZ sklerózy multiplex</t>
  </si>
  <si>
    <t>PROGRAM 7 - SOLIDARITA</t>
  </si>
  <si>
    <t>Podprogram 7.1 Staroba</t>
  </si>
  <si>
    <t>Prvok 7.1.1 Dom opatrovateľskej služby</t>
  </si>
  <si>
    <t>10.2.0</t>
  </si>
  <si>
    <t>Stacionár obstarávanie/žiadosť o dotáciu</t>
  </si>
  <si>
    <t>Stravné obyvatelia</t>
  </si>
  <si>
    <t>Odstupné, odchodné</t>
  </si>
  <si>
    <t>Prvok 7.1.2 Denný stacionár</t>
  </si>
  <si>
    <t>Jubilanti/deň úcty</t>
  </si>
  <si>
    <t>Podprogram 7.2 Rodina a hmotná núdza</t>
  </si>
  <si>
    <t>10.4.0</t>
  </si>
  <si>
    <t>10.7.0</t>
  </si>
  <si>
    <t>111/11UA</t>
  </si>
  <si>
    <t>Príspevok pri narodení dieťaťa</t>
  </si>
  <si>
    <t>Vratka dotácie na stravu</t>
  </si>
  <si>
    <t>PROGRAM 8 - INVESTÍCIE</t>
  </si>
  <si>
    <t>Podprogram 8.1 Samospráva</t>
  </si>
  <si>
    <t>01.1.1-710</t>
  </si>
  <si>
    <t>Kúpa pozemku</t>
  </si>
  <si>
    <t>Podprogram 8.2 Školstvo</t>
  </si>
  <si>
    <t>09.x-710</t>
  </si>
  <si>
    <t>MŠ – fotovoltika</t>
  </si>
  <si>
    <t>ZŠ – vodozádržné opatrenia</t>
  </si>
  <si>
    <t>ZŠ – rekonštrukcia kotolne</t>
  </si>
  <si>
    <t>ZŠ – strecha CVČ</t>
  </si>
  <si>
    <t>ZŠ – vstupná rampa</t>
  </si>
  <si>
    <t>ZŠ – debarierizácia</t>
  </si>
  <si>
    <t>ZŠ – tréningové ihrisko</t>
  </si>
  <si>
    <t>ZŠ – zateplenie školy</t>
  </si>
  <si>
    <t>ZŠ – zníženie energetickej náročnosti telocvične</t>
  </si>
  <si>
    <t>Podprogram 8.3 Voda</t>
  </si>
  <si>
    <t>06.3.0-710</t>
  </si>
  <si>
    <t>Projekty úpravovní vody</t>
  </si>
  <si>
    <t>Projekt rekonštrukcie starej vodovodnej siete</t>
  </si>
  <si>
    <t>Projekt vodovodu trasa ZŠ – Červené</t>
  </si>
  <si>
    <t>Rekonštrukcia vodovodu</t>
  </si>
  <si>
    <t>Rekonštrukcia vodojemov</t>
  </si>
  <si>
    <t>Podprogram 8.4 Odpadové hospodárstvo</t>
  </si>
  <si>
    <t>05.1.0-710</t>
  </si>
  <si>
    <t>BRKO – malotraktor s vlečkou</t>
  </si>
  <si>
    <t>BRKO – auto na kompost, kontajnery</t>
  </si>
  <si>
    <t>BRKO – odpadové nádoby</t>
  </si>
  <si>
    <t>05.2.0-710</t>
  </si>
  <si>
    <t>Kanalizácia – prepojenie Radovka/kamienková ulica</t>
  </si>
  <si>
    <t>Podprogram 8.5 Prostredie pre život</t>
  </si>
  <si>
    <t>04.5.1-710</t>
  </si>
  <si>
    <t>Asfaltovanie miestnych komunikácií</t>
  </si>
  <si>
    <t>06.2.0-710</t>
  </si>
  <si>
    <t>Regulácia potoka – projekt, obstarávanie</t>
  </si>
  <si>
    <t>Regulácia potoka – realizácia</t>
  </si>
  <si>
    <t>Vodozádržné opatrenia pri obecnom úrade</t>
  </si>
  <si>
    <t>Detské ihrisko v centre</t>
  </si>
  <si>
    <t>06.4.0-710</t>
  </si>
  <si>
    <t>Verejné osvetlenie/vianočné osvetlenie</t>
  </si>
  <si>
    <t>03.6.0-710</t>
  </si>
  <si>
    <t>Kamerový systém</t>
  </si>
  <si>
    <t>Podprogram 8.6 Šport, kultúra a iné spoločenské služby</t>
  </si>
  <si>
    <t>08.1.0-710</t>
  </si>
  <si>
    <t>Rekonštrukcia tribúny</t>
  </si>
  <si>
    <t>Oplotenie športového areálu</t>
  </si>
  <si>
    <t>Tréningové ihrisko</t>
  </si>
  <si>
    <t>08.2.0-710</t>
  </si>
  <si>
    <t>Renovácia kultúrneho domu</t>
  </si>
  <si>
    <t>08.4.0-710</t>
  </si>
  <si>
    <t>Projekty – elektroinštalácia, urnový háj</t>
  </si>
  <si>
    <t>Oplotenie areálu cintorína</t>
  </si>
  <si>
    <t>Podprogram 8.7 Solidarita</t>
  </si>
  <si>
    <t>3P01</t>
  </si>
  <si>
    <t>Plán obnovy</t>
  </si>
  <si>
    <t>10.2.0-710</t>
  </si>
  <si>
    <t>Oplotenie a odvodnenie pozemku</t>
  </si>
  <si>
    <t>Projekt stacionárneho zariadenia</t>
  </si>
  <si>
    <t>Ke</t>
  </si>
  <si>
    <t>Podprogram 8.8 Plánovanie</t>
  </si>
  <si>
    <t>04.4.3-710</t>
  </si>
  <si>
    <t>Dodatok k územnému plánu</t>
  </si>
  <si>
    <t>Projektová dokumentácia</t>
  </si>
  <si>
    <t>PROGRAM 9 - VYROVNANIE DLHU</t>
  </si>
  <si>
    <t>Podprogram 9.1 Splácanie úverov a prijatých zábezpek</t>
  </si>
  <si>
    <t>Iné výdavkové operácie</t>
  </si>
  <si>
    <t>#</t>
  </si>
  <si>
    <t>číslo štvrťroku</t>
  </si>
  <si>
    <t>Skutočnosť v roku 2022</t>
  </si>
  <si>
    <t>Skutočnosť v roku 2023</t>
  </si>
  <si>
    <t>Schválený rozpočet na rok 2024</t>
  </si>
  <si>
    <t>Odhad skutočnosti na rok 2024</t>
  </si>
  <si>
    <t>Schválený rozpočet na rok 2025</t>
  </si>
  <si>
    <t>Schválený rozpočet na rok 2026</t>
  </si>
  <si>
    <t>Schválený rozpočet na rok 2027</t>
  </si>
  <si>
    <t>BRKO</t>
  </si>
  <si>
    <t>biologicky rozložiteľný komunálny odpad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</si>
  <si>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</si>
  <si>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</si>
  <si>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</si>
  <si>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</si>
  <si>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</si>
  <si>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</si>
  <si>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</si>
  <si>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</si>
  <si>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</si>
  <si>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Európsky sociálny fond</t>
  </si>
  <si>
    <t>ESMAO</t>
  </si>
  <si>
    <t>Elektronické služby miest a obcí</t>
  </si>
  <si>
    <t>funkčná klasifikácia</t>
  </si>
  <si>
    <t>granty a transfery</t>
  </si>
  <si>
    <t>MŠ</t>
  </si>
  <si>
    <t>Materská škola Nesluša</t>
  </si>
  <si>
    <t>P#</t>
  </si>
  <si>
    <t>plnenie v kvartáli # v percentách</t>
  </si>
  <si>
    <t>program</t>
  </si>
  <si>
    <t>daňové príjmy</t>
  </si>
  <si>
    <t>nedaňové príjmy</t>
  </si>
  <si>
    <t>podprogram</t>
  </si>
  <si>
    <t>prvok</t>
  </si>
  <si>
    <t>REO</t>
  </si>
  <si>
    <t>rýchle energetické opatrenia</t>
  </si>
  <si>
    <t>účtované v účtovníctve rozpočtovej organizácie Základná škola Nesluša</t>
  </si>
  <si>
    <t>Spojená organizácia Slovenského zväzu telesne postihnutých a Zväzu postihnutých</t>
  </si>
  <si>
    <t>civilizačnými chorobami</t>
  </si>
  <si>
    <t>SZP</t>
  </si>
  <si>
    <t>sociálne znevýhodnené prostredie</t>
  </si>
  <si>
    <t>ŠJ</t>
  </si>
  <si>
    <t>školská jedáleň</t>
  </si>
  <si>
    <t>U#</t>
  </si>
  <si>
    <t>úpravy v kvartáli #</t>
  </si>
  <si>
    <t>UA</t>
  </si>
  <si>
    <t>Ukrajina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</si>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</sst>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41B];[Red]\-#,##0.00\ [$€-41B]"/>
    <numFmt numFmtId="165" formatCode="0\ %"/>
    <numFmt numFmtId="166" formatCode="dd/mm/yyyy"/>
    <numFmt numFmtId="167" formatCode="0.00\ %"/>
  </numFmts>
  <fonts count="7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86">
    <xf numFmtId="0" fontId="0" fillId="0" borderId="0" xfId="0"/>
    <xf numFmtId="0" fontId="3" fillId="0" borderId="25" xfId="0" applyFont="1" applyBorder="1" applyAlignment="1">
      <alignment vertical="center"/>
    </xf>
    <xf numFmtId="14" fontId="3" fillId="0" borderId="24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5" fillId="0" borderId="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4" xfId="0" applyFont="1" applyBorder="1"/>
    <xf numFmtId="0" fontId="3" fillId="0" borderId="15" xfId="0" applyFont="1" applyBorder="1"/>
    <xf numFmtId="4" fontId="3" fillId="0" borderId="15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3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14" fontId="4" fillId="0" borderId="2" xfId="0" applyNumberFormat="1" applyFont="1" applyBorder="1"/>
    <xf numFmtId="0" fontId="4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166" fontId="3" fillId="0" borderId="17" xfId="0" applyNumberFormat="1" applyFont="1" applyBorder="1" applyAlignment="1">
      <alignment vertical="center"/>
    </xf>
    <xf numFmtId="0" fontId="3" fillId="0" borderId="17" xfId="0" applyFont="1" applyBorder="1"/>
    <xf numFmtId="166" fontId="3" fillId="0" borderId="17" xfId="0" applyNumberFormat="1" applyFont="1" applyBorder="1"/>
    <xf numFmtId="4" fontId="3" fillId="0" borderId="2" xfId="0" applyNumberFormat="1" applyFont="1" applyBorder="1"/>
    <xf numFmtId="0" fontId="3" fillId="0" borderId="15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8" xfId="0" applyFont="1" applyBorder="1"/>
    <xf numFmtId="4" fontId="3" fillId="0" borderId="1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4" fontId="3" fillId="0" borderId="19" xfId="0" applyNumberFormat="1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0" fontId="3" fillId="0" borderId="20" xfId="0" applyFont="1" applyBorder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4" fontId="3" fillId="0" borderId="22" xfId="0" applyNumberFormat="1" applyFont="1" applyBorder="1"/>
    <xf numFmtId="165" fontId="3" fillId="0" borderId="22" xfId="0" applyNumberFormat="1" applyFont="1" applyBorder="1"/>
    <xf numFmtId="165" fontId="3" fillId="0" borderId="23" xfId="0" applyNumberFormat="1" applyFont="1" applyBorder="1"/>
    <xf numFmtId="0" fontId="3" fillId="0" borderId="0" xfId="0" applyFont="1" applyBorder="1"/>
    <xf numFmtId="14" fontId="4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14" fontId="3" fillId="0" borderId="20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11" xfId="0" applyFont="1" applyBorder="1"/>
    <xf numFmtId="165" fontId="3" fillId="0" borderId="12" xfId="0" applyNumberFormat="1" applyFont="1" applyBorder="1"/>
    <xf numFmtId="165" fontId="3" fillId="0" borderId="27" xfId="0" applyNumberFormat="1" applyFont="1" applyBorder="1"/>
    <xf numFmtId="0" fontId="3" fillId="0" borderId="28" xfId="0" applyFont="1" applyBorder="1"/>
    <xf numFmtId="4" fontId="3" fillId="0" borderId="18" xfId="0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4" fontId="3" fillId="0" borderId="7" xfId="0" applyNumberFormat="1" applyFont="1" applyBorder="1"/>
    <xf numFmtId="4" fontId="3" fillId="0" borderId="10" xfId="0" applyNumberFormat="1" applyFont="1" applyBorder="1"/>
    <xf numFmtId="0" fontId="3" fillId="0" borderId="29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0" xfId="0" applyFont="1" applyBorder="1"/>
    <xf numFmtId="0" fontId="3" fillId="0" borderId="31" xfId="0" applyFont="1" applyBorder="1"/>
    <xf numFmtId="4" fontId="3" fillId="0" borderId="31" xfId="0" applyNumberFormat="1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4" fontId="3" fillId="0" borderId="22" xfId="0" applyNumberFormat="1" applyFont="1" applyBorder="1"/>
    <xf numFmtId="165" fontId="3" fillId="0" borderId="22" xfId="0" applyNumberFormat="1" applyFont="1" applyBorder="1"/>
    <xf numFmtId="165" fontId="3" fillId="0" borderId="23" xfId="0" applyNumberFormat="1" applyFont="1" applyBorder="1"/>
    <xf numFmtId="4" fontId="3" fillId="0" borderId="23" xfId="0" applyNumberFormat="1" applyFont="1" applyBorder="1"/>
    <xf numFmtId="167" fontId="3" fillId="0" borderId="0" xfId="0" applyNumberFormat="1" applyFont="1"/>
    <xf numFmtId="4" fontId="3" fillId="0" borderId="31" xfId="0" applyNumberFormat="1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0" fontId="3" fillId="0" borderId="0" xfId="2" applyFont="1" applyAlignment="1" applyProtection="1"/>
    <xf numFmtId="0" fontId="3" fillId="0" borderId="0" xfId="0" applyFont="1" applyAlignment="1" applyProtection="1"/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4" fontId="3" fillId="0" borderId="35" xfId="0" applyNumberFormat="1" applyFont="1" applyBorder="1" applyAlignment="1">
      <alignment vertical="center"/>
    </xf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48576"/>
  <sheetViews>
    <sheetView tabSelected="1" zoomScaleNormal="100" workbookViewId="0">
      <pane ySplit="2" topLeftCell="A3" activePane="bottomLeft" state="frozen"/>
      <selection pane="bottomLeft" activeCell="A3" sqref="A3:A20"/>
    </sheetView>
  </sheetViews>
  <sheetFormatPr defaultColWidth="11.5703125" defaultRowHeight="13.9" customHeight="1" x14ac:dyDescent="0.25"/>
  <cols>
    <col min="1" max="1" width="11.5703125" style="15" customWidth="1"/>
    <col min="2" max="2" width="8.7109375" style="15" customWidth="1"/>
    <col min="3" max="3" width="18.140625" style="15" customWidth="1"/>
    <col min="4" max="7" width="11" style="15" hidden="1" customWidth="1"/>
    <col min="8" max="8" width="11.7109375" style="15" customWidth="1"/>
    <col min="9" max="12" width="11" style="15" hidden="1" customWidth="1"/>
    <col min="13" max="14" width="11.7109375" style="15" customWidth="1"/>
    <col min="15" max="15" width="6.7109375" style="16" customWidth="1"/>
    <col min="16" max="16" width="11.7109375" style="15" customWidth="1"/>
    <col min="17" max="17" width="6.7109375" style="15" customWidth="1"/>
    <col min="18" max="18" width="11.7109375" style="15" customWidth="1"/>
    <col min="19" max="19" width="6.7109375" style="15" customWidth="1"/>
    <col min="20" max="20" width="11.7109375" style="15" customWidth="1"/>
    <col min="21" max="21" width="6.7109375" style="15" customWidth="1"/>
    <col min="22" max="23" width="11" style="15" hidden="1" customWidth="1"/>
    <col min="24" max="64" width="8.7109375" style="15" customWidth="1"/>
  </cols>
  <sheetData>
    <row r="1" spans="1:23" ht="13.9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  <c r="S1" s="18"/>
      <c r="T1" s="18"/>
      <c r="U1" s="18"/>
      <c r="V1" s="18"/>
      <c r="W1" s="18"/>
    </row>
    <row r="2" spans="1:23" ht="13.9" customHeight="1" x14ac:dyDescent="0.25">
      <c r="A2" s="20"/>
      <c r="B2" s="20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12</v>
      </c>
      <c r="P2" s="21" t="s">
        <v>13</v>
      </c>
      <c r="Q2" s="22" t="s">
        <v>14</v>
      </c>
      <c r="R2" s="21" t="s">
        <v>15</v>
      </c>
      <c r="S2" s="22" t="s">
        <v>16</v>
      </c>
      <c r="T2" s="21" t="s">
        <v>17</v>
      </c>
      <c r="U2" s="22" t="s">
        <v>18</v>
      </c>
      <c r="V2" s="21" t="s">
        <v>19</v>
      </c>
      <c r="W2" s="21" t="s">
        <v>20</v>
      </c>
    </row>
    <row r="3" spans="1:23" ht="13.9" customHeight="1" x14ac:dyDescent="0.25">
      <c r="A3" s="14" t="s">
        <v>21</v>
      </c>
      <c r="B3" s="24">
        <v>111</v>
      </c>
      <c r="C3" s="24" t="s">
        <v>22</v>
      </c>
      <c r="D3" s="25">
        <f t="shared" ref="D3:N3" si="0">D42+D75-D8</f>
        <v>762955.45</v>
      </c>
      <c r="E3" s="25">
        <f t="shared" si="0"/>
        <v>1086653.9000000004</v>
      </c>
      <c r="F3" s="25">
        <f t="shared" si="0"/>
        <v>867563</v>
      </c>
      <c r="G3" s="25">
        <f t="shared" si="0"/>
        <v>1038931</v>
      </c>
      <c r="H3" s="25">
        <f t="shared" si="0"/>
        <v>1257985</v>
      </c>
      <c r="I3" s="25">
        <f t="shared" si="0"/>
        <v>31674</v>
      </c>
      <c r="J3" s="25">
        <f t="shared" si="0"/>
        <v>75475</v>
      </c>
      <c r="K3" s="25">
        <f t="shared" si="0"/>
        <v>0</v>
      </c>
      <c r="L3" s="25">
        <f t="shared" si="0"/>
        <v>0</v>
      </c>
      <c r="M3" s="25">
        <f t="shared" si="0"/>
        <v>1365134</v>
      </c>
      <c r="N3" s="25">
        <f t="shared" si="0"/>
        <v>411582.39999999997</v>
      </c>
      <c r="O3" s="26">
        <f t="shared" ref="O3:O21" si="1">IFERROR(N3/$M3,0)</f>
        <v>0.30149597035895376</v>
      </c>
      <c r="P3" s="25">
        <f>P42+P75-P8</f>
        <v>762437.1100000001</v>
      </c>
      <c r="Q3" s="26">
        <f t="shared" ref="Q3:Q21" si="2">IFERROR(P3/$M3,0)</f>
        <v>0.5585071575391134</v>
      </c>
      <c r="R3" s="25">
        <f>R42+R75-R8</f>
        <v>0</v>
      </c>
      <c r="S3" s="26">
        <f t="shared" ref="S3:S21" si="3">IFERROR(R3/$M3,0)</f>
        <v>0</v>
      </c>
      <c r="T3" s="25">
        <f>T42+T75-T8</f>
        <v>0</v>
      </c>
      <c r="U3" s="26">
        <f t="shared" ref="U3:U21" si="4">IFERROR(T3/$M3,0)</f>
        <v>0</v>
      </c>
      <c r="V3" s="25">
        <f>V42+V75-V8</f>
        <v>1203821</v>
      </c>
      <c r="W3" s="25">
        <f>W42+W75-W8</f>
        <v>1206776</v>
      </c>
    </row>
    <row r="4" spans="1:23" ht="13.9" customHeight="1" x14ac:dyDescent="0.25">
      <c r="A4" s="14"/>
      <c r="B4" s="24">
        <v>41</v>
      </c>
      <c r="C4" s="24" t="s">
        <v>23</v>
      </c>
      <c r="D4" s="25">
        <f t="shared" ref="D4:N4" si="5">D25+D43-D9</f>
        <v>1464687.7300000002</v>
      </c>
      <c r="E4" s="25">
        <f t="shared" si="5"/>
        <v>1554082.55</v>
      </c>
      <c r="F4" s="25">
        <f t="shared" si="5"/>
        <v>1383272</v>
      </c>
      <c r="G4" s="25">
        <f t="shared" si="5"/>
        <v>1576039</v>
      </c>
      <c r="H4" s="25">
        <f t="shared" si="5"/>
        <v>1397248</v>
      </c>
      <c r="I4" s="25">
        <f t="shared" si="5"/>
        <v>3717</v>
      </c>
      <c r="J4" s="25">
        <f t="shared" si="5"/>
        <v>10349</v>
      </c>
      <c r="K4" s="25">
        <f t="shared" si="5"/>
        <v>0</v>
      </c>
      <c r="L4" s="25">
        <f t="shared" si="5"/>
        <v>0</v>
      </c>
      <c r="M4" s="25">
        <f t="shared" si="5"/>
        <v>1411314</v>
      </c>
      <c r="N4" s="25">
        <f t="shared" si="5"/>
        <v>394519.76</v>
      </c>
      <c r="O4" s="26">
        <f t="shared" si="1"/>
        <v>0.27954074004792695</v>
      </c>
      <c r="P4" s="25">
        <f>P25+P43-P9</f>
        <v>728943.20000000007</v>
      </c>
      <c r="Q4" s="26">
        <f t="shared" si="2"/>
        <v>0.51649965918286089</v>
      </c>
      <c r="R4" s="25">
        <f>R25+R43-R9</f>
        <v>0</v>
      </c>
      <c r="S4" s="26">
        <f t="shared" si="3"/>
        <v>0</v>
      </c>
      <c r="T4" s="25">
        <f>T25+T43-T9</f>
        <v>0</v>
      </c>
      <c r="U4" s="26">
        <f t="shared" si="4"/>
        <v>0</v>
      </c>
      <c r="V4" s="25">
        <f>V25+V43-V9</f>
        <v>1531367</v>
      </c>
      <c r="W4" s="25">
        <f>W25+W43-W9</f>
        <v>1595986</v>
      </c>
    </row>
    <row r="5" spans="1:23" ht="13.9" customHeight="1" x14ac:dyDescent="0.25">
      <c r="A5" s="14"/>
      <c r="B5" s="24">
        <v>71</v>
      </c>
      <c r="C5" s="24" t="s">
        <v>24</v>
      </c>
      <c r="D5" s="25">
        <f>D76</f>
        <v>3000</v>
      </c>
      <c r="E5" s="25">
        <f>E76</f>
        <v>3000</v>
      </c>
      <c r="F5" s="25">
        <f>F76</f>
        <v>3000</v>
      </c>
      <c r="G5" s="25">
        <f>G76</f>
        <v>3000</v>
      </c>
      <c r="H5" s="25">
        <f t="shared" ref="H5:N5" si="6">H122</f>
        <v>3000</v>
      </c>
      <c r="I5" s="25">
        <f t="shared" si="6"/>
        <v>0</v>
      </c>
      <c r="J5" s="25">
        <f t="shared" si="6"/>
        <v>0</v>
      </c>
      <c r="K5" s="25">
        <f t="shared" si="6"/>
        <v>0</v>
      </c>
      <c r="L5" s="25">
        <f t="shared" si="6"/>
        <v>0</v>
      </c>
      <c r="M5" s="25">
        <f t="shared" si="6"/>
        <v>3000</v>
      </c>
      <c r="N5" s="25">
        <f t="shared" si="6"/>
        <v>0</v>
      </c>
      <c r="O5" s="26">
        <f t="shared" si="1"/>
        <v>0</v>
      </c>
      <c r="P5" s="25">
        <f>P122</f>
        <v>3000</v>
      </c>
      <c r="Q5" s="26">
        <f t="shared" si="2"/>
        <v>1</v>
      </c>
      <c r="R5" s="25">
        <f>R122</f>
        <v>0</v>
      </c>
      <c r="S5" s="26">
        <f t="shared" si="3"/>
        <v>0</v>
      </c>
      <c r="T5" s="25">
        <f>T122</f>
        <v>0</v>
      </c>
      <c r="U5" s="26">
        <f t="shared" si="4"/>
        <v>0</v>
      </c>
      <c r="V5" s="25">
        <f>V76</f>
        <v>3000</v>
      </c>
      <c r="W5" s="25">
        <f>W76</f>
        <v>3000</v>
      </c>
    </row>
    <row r="6" spans="1:23" ht="13.9" customHeight="1" x14ac:dyDescent="0.25">
      <c r="A6" s="14"/>
      <c r="B6" s="24">
        <v>72</v>
      </c>
      <c r="C6" s="24" t="s">
        <v>25</v>
      </c>
      <c r="D6" s="25">
        <f t="shared" ref="D6:N6" si="7">D44+D77</f>
        <v>83132.320000000007</v>
      </c>
      <c r="E6" s="25">
        <f t="shared" si="7"/>
        <v>106433.95</v>
      </c>
      <c r="F6" s="25">
        <f t="shared" si="7"/>
        <v>100476</v>
      </c>
      <c r="G6" s="25">
        <f t="shared" si="7"/>
        <v>87673</v>
      </c>
      <c r="H6" s="25">
        <f t="shared" si="7"/>
        <v>94143</v>
      </c>
      <c r="I6" s="25">
        <f t="shared" si="7"/>
        <v>960</v>
      </c>
      <c r="J6" s="25">
        <f t="shared" si="7"/>
        <v>13484</v>
      </c>
      <c r="K6" s="25">
        <f t="shared" si="7"/>
        <v>0</v>
      </c>
      <c r="L6" s="25">
        <f t="shared" si="7"/>
        <v>0</v>
      </c>
      <c r="M6" s="25">
        <f t="shared" si="7"/>
        <v>108587</v>
      </c>
      <c r="N6" s="25">
        <f t="shared" si="7"/>
        <v>28802.47</v>
      </c>
      <c r="O6" s="26">
        <f t="shared" si="1"/>
        <v>0.26524786576662035</v>
      </c>
      <c r="P6" s="25">
        <f>P44+P77</f>
        <v>61555.67</v>
      </c>
      <c r="Q6" s="26">
        <f t="shared" si="2"/>
        <v>0.56687881606453805</v>
      </c>
      <c r="R6" s="25">
        <f>R44+R77</f>
        <v>0</v>
      </c>
      <c r="S6" s="26">
        <f t="shared" si="3"/>
        <v>0</v>
      </c>
      <c r="T6" s="25">
        <f>T44+T77</f>
        <v>0</v>
      </c>
      <c r="U6" s="26">
        <f t="shared" si="4"/>
        <v>0</v>
      </c>
      <c r="V6" s="25">
        <f>V44+V77</f>
        <v>94143</v>
      </c>
      <c r="W6" s="25">
        <f>W44+W77</f>
        <v>94143</v>
      </c>
    </row>
    <row r="7" spans="1:23" ht="13.9" customHeight="1" x14ac:dyDescent="0.25">
      <c r="A7" s="14"/>
      <c r="B7" s="24"/>
      <c r="C7" s="27" t="s">
        <v>26</v>
      </c>
      <c r="D7" s="28">
        <f t="shared" ref="D7:N7" si="8">SUM(D3:D6)</f>
        <v>2313775.5</v>
      </c>
      <c r="E7" s="28">
        <f t="shared" si="8"/>
        <v>2750170.4000000004</v>
      </c>
      <c r="F7" s="28">
        <f t="shared" si="8"/>
        <v>2354311</v>
      </c>
      <c r="G7" s="28">
        <f t="shared" si="8"/>
        <v>2705643</v>
      </c>
      <c r="H7" s="28">
        <f t="shared" si="8"/>
        <v>2752376</v>
      </c>
      <c r="I7" s="28">
        <f t="shared" si="8"/>
        <v>36351</v>
      </c>
      <c r="J7" s="28">
        <f t="shared" si="8"/>
        <v>99308</v>
      </c>
      <c r="K7" s="28">
        <f t="shared" si="8"/>
        <v>0</v>
      </c>
      <c r="L7" s="28">
        <f t="shared" si="8"/>
        <v>0</v>
      </c>
      <c r="M7" s="28">
        <f t="shared" si="8"/>
        <v>2888035</v>
      </c>
      <c r="N7" s="28">
        <f t="shared" si="8"/>
        <v>834904.62999999989</v>
      </c>
      <c r="O7" s="29">
        <f t="shared" si="1"/>
        <v>0.28909089744410987</v>
      </c>
      <c r="P7" s="28">
        <f>SUM(P3:P6)</f>
        <v>1555935.98</v>
      </c>
      <c r="Q7" s="29">
        <f t="shared" si="2"/>
        <v>0.53875246664254417</v>
      </c>
      <c r="R7" s="28">
        <f>SUM(R3:R6)</f>
        <v>0</v>
      </c>
      <c r="S7" s="29">
        <f t="shared" si="3"/>
        <v>0</v>
      </c>
      <c r="T7" s="28">
        <f>SUM(T3:T6)</f>
        <v>0</v>
      </c>
      <c r="U7" s="29">
        <f t="shared" si="4"/>
        <v>0</v>
      </c>
      <c r="V7" s="28">
        <f>SUM(V3:V6)</f>
        <v>2832331</v>
      </c>
      <c r="W7" s="28">
        <f>SUM(W3:W6)</f>
        <v>2899905</v>
      </c>
    </row>
    <row r="8" spans="1:23" ht="13.9" customHeight="1" x14ac:dyDescent="0.25">
      <c r="A8" s="14"/>
      <c r="B8" s="24">
        <v>111</v>
      </c>
      <c r="C8" s="24" t="s">
        <v>22</v>
      </c>
      <c r="D8" s="25">
        <f>SUM(D111:D119)</f>
        <v>184139.16</v>
      </c>
      <c r="E8" s="25">
        <f>SUM(E111:E119)</f>
        <v>402631.76</v>
      </c>
      <c r="F8" s="25">
        <f>SUM(F111:F119)</f>
        <v>1009328</v>
      </c>
      <c r="G8" s="25">
        <f>SUM(G111:G119)</f>
        <v>231281</v>
      </c>
      <c r="H8" s="25">
        <f t="shared" ref="H8:N8" si="9">SUM(H111:H120)</f>
        <v>821040</v>
      </c>
      <c r="I8" s="25">
        <f t="shared" si="9"/>
        <v>0</v>
      </c>
      <c r="J8" s="25">
        <f t="shared" si="9"/>
        <v>14000</v>
      </c>
      <c r="K8" s="25">
        <f t="shared" si="9"/>
        <v>0</v>
      </c>
      <c r="L8" s="25">
        <f t="shared" si="9"/>
        <v>0</v>
      </c>
      <c r="M8" s="25">
        <f t="shared" si="9"/>
        <v>835040</v>
      </c>
      <c r="N8" s="25">
        <f t="shared" si="9"/>
        <v>0</v>
      </c>
      <c r="O8" s="26">
        <f t="shared" si="1"/>
        <v>0</v>
      </c>
      <c r="P8" s="25">
        <f>SUM(P111:P120)</f>
        <v>267125.7</v>
      </c>
      <c r="Q8" s="26">
        <f t="shared" si="2"/>
        <v>0.31989569361946735</v>
      </c>
      <c r="R8" s="25">
        <f>SUM(R111:R120)</f>
        <v>0</v>
      </c>
      <c r="S8" s="26">
        <f t="shared" si="3"/>
        <v>0</v>
      </c>
      <c r="T8" s="25">
        <f>SUM(T111:T120)</f>
        <v>0</v>
      </c>
      <c r="U8" s="26">
        <f t="shared" si="4"/>
        <v>0</v>
      </c>
      <c r="V8" s="25">
        <f>SUM(V111:V120)</f>
        <v>0</v>
      </c>
      <c r="W8" s="25">
        <f>SUM(W111:W120)</f>
        <v>0</v>
      </c>
    </row>
    <row r="9" spans="1:23" ht="13.9" hidden="1" customHeight="1" x14ac:dyDescent="0.25">
      <c r="A9" s="14"/>
      <c r="B9" s="24">
        <v>43</v>
      </c>
      <c r="C9" s="24" t="s">
        <v>23</v>
      </c>
      <c r="D9" s="25">
        <f t="shared" ref="D9:N9" si="10">D54</f>
        <v>6650</v>
      </c>
      <c r="E9" s="25">
        <f t="shared" si="10"/>
        <v>3650</v>
      </c>
      <c r="F9" s="25">
        <f t="shared" si="10"/>
        <v>0</v>
      </c>
      <c r="G9" s="25">
        <f t="shared" si="10"/>
        <v>0</v>
      </c>
      <c r="H9" s="25">
        <f t="shared" si="10"/>
        <v>0</v>
      </c>
      <c r="I9" s="25">
        <f t="shared" si="10"/>
        <v>0</v>
      </c>
      <c r="J9" s="25">
        <f t="shared" si="10"/>
        <v>0</v>
      </c>
      <c r="K9" s="25">
        <f t="shared" si="10"/>
        <v>0</v>
      </c>
      <c r="L9" s="25">
        <f t="shared" si="10"/>
        <v>0</v>
      </c>
      <c r="M9" s="25">
        <f t="shared" si="10"/>
        <v>0</v>
      </c>
      <c r="N9" s="25">
        <f t="shared" si="10"/>
        <v>0</v>
      </c>
      <c r="O9" s="26">
        <f t="shared" si="1"/>
        <v>0</v>
      </c>
      <c r="P9" s="25">
        <f>P54</f>
        <v>0</v>
      </c>
      <c r="Q9" s="26">
        <f t="shared" si="2"/>
        <v>0</v>
      </c>
      <c r="R9" s="25">
        <f>R54</f>
        <v>0</v>
      </c>
      <c r="S9" s="26">
        <f t="shared" si="3"/>
        <v>0</v>
      </c>
      <c r="T9" s="25">
        <f>T54</f>
        <v>0</v>
      </c>
      <c r="U9" s="26">
        <f t="shared" si="4"/>
        <v>0</v>
      </c>
      <c r="V9" s="25">
        <f>V54</f>
        <v>0</v>
      </c>
      <c r="W9" s="25">
        <f>W54</f>
        <v>0</v>
      </c>
    </row>
    <row r="10" spans="1:23" ht="13.9" customHeight="1" x14ac:dyDescent="0.25">
      <c r="A10" s="14"/>
      <c r="B10" s="24">
        <v>71</v>
      </c>
      <c r="C10" s="24" t="s">
        <v>24</v>
      </c>
      <c r="D10" s="25">
        <v>0</v>
      </c>
      <c r="E10" s="25">
        <v>0</v>
      </c>
      <c r="F10" s="25">
        <v>0</v>
      </c>
      <c r="G10" s="25">
        <v>0</v>
      </c>
      <c r="H10" s="25">
        <f t="shared" ref="H10:N10" si="11">H123</f>
        <v>6000</v>
      </c>
      <c r="I10" s="25">
        <f t="shared" si="11"/>
        <v>0</v>
      </c>
      <c r="J10" s="25">
        <f t="shared" si="11"/>
        <v>0</v>
      </c>
      <c r="K10" s="25">
        <f t="shared" si="11"/>
        <v>0</v>
      </c>
      <c r="L10" s="25">
        <f t="shared" si="11"/>
        <v>0</v>
      </c>
      <c r="M10" s="25">
        <f t="shared" si="11"/>
        <v>6000</v>
      </c>
      <c r="N10" s="25">
        <f t="shared" si="11"/>
        <v>0</v>
      </c>
      <c r="O10" s="26">
        <f t="shared" si="1"/>
        <v>0</v>
      </c>
      <c r="P10" s="25">
        <f>P123</f>
        <v>0</v>
      </c>
      <c r="Q10" s="26">
        <f t="shared" si="2"/>
        <v>0</v>
      </c>
      <c r="R10" s="25">
        <f>R123</f>
        <v>0</v>
      </c>
      <c r="S10" s="26">
        <f t="shared" si="3"/>
        <v>0</v>
      </c>
      <c r="T10" s="25">
        <f>T123</f>
        <v>0</v>
      </c>
      <c r="U10" s="26">
        <f t="shared" si="4"/>
        <v>0</v>
      </c>
      <c r="V10" s="25">
        <v>0</v>
      </c>
      <c r="W10" s="25">
        <v>0</v>
      </c>
    </row>
    <row r="11" spans="1:23" ht="13.9" customHeight="1" x14ac:dyDescent="0.25">
      <c r="A11" s="14"/>
      <c r="B11" s="24"/>
      <c r="C11" s="27" t="s">
        <v>27</v>
      </c>
      <c r="D11" s="28">
        <f t="shared" ref="D11:N11" si="12">SUM(D8:D10)</f>
        <v>190789.16</v>
      </c>
      <c r="E11" s="28">
        <f t="shared" si="12"/>
        <v>406281.76</v>
      </c>
      <c r="F11" s="28">
        <f t="shared" si="12"/>
        <v>1009328</v>
      </c>
      <c r="G11" s="28">
        <f t="shared" si="12"/>
        <v>231281</v>
      </c>
      <c r="H11" s="28">
        <f t="shared" si="12"/>
        <v>827040</v>
      </c>
      <c r="I11" s="28">
        <f t="shared" si="12"/>
        <v>0</v>
      </c>
      <c r="J11" s="28">
        <f t="shared" si="12"/>
        <v>14000</v>
      </c>
      <c r="K11" s="28">
        <f t="shared" si="12"/>
        <v>0</v>
      </c>
      <c r="L11" s="28">
        <f t="shared" si="12"/>
        <v>0</v>
      </c>
      <c r="M11" s="28">
        <f t="shared" si="12"/>
        <v>841040</v>
      </c>
      <c r="N11" s="28">
        <f t="shared" si="12"/>
        <v>0</v>
      </c>
      <c r="O11" s="29">
        <f t="shared" si="1"/>
        <v>0</v>
      </c>
      <c r="P11" s="28">
        <f>SUM(P8:P10)</f>
        <v>267125.7</v>
      </c>
      <c r="Q11" s="29">
        <f t="shared" si="2"/>
        <v>0.31761354989061164</v>
      </c>
      <c r="R11" s="28">
        <f>SUM(R8:R10)</f>
        <v>0</v>
      </c>
      <c r="S11" s="29">
        <f t="shared" si="3"/>
        <v>0</v>
      </c>
      <c r="T11" s="28">
        <f>SUM(T8:T10)</f>
        <v>0</v>
      </c>
      <c r="U11" s="29">
        <f t="shared" si="4"/>
        <v>0</v>
      </c>
      <c r="V11" s="28">
        <f>SUM(V8:V10)</f>
        <v>0</v>
      </c>
      <c r="W11" s="28">
        <f>SUM(W8:W10)</f>
        <v>0</v>
      </c>
    </row>
    <row r="12" spans="1:23" ht="13.9" customHeight="1" x14ac:dyDescent="0.25">
      <c r="A12" s="14"/>
      <c r="B12" s="24">
        <v>131</v>
      </c>
      <c r="C12" s="24" t="s">
        <v>22</v>
      </c>
      <c r="D12" s="25">
        <f t="shared" ref="D12:N12" si="13">D130</f>
        <v>69416.210000000006</v>
      </c>
      <c r="E12" s="25">
        <f t="shared" si="13"/>
        <v>32325.77</v>
      </c>
      <c r="F12" s="25">
        <f t="shared" si="13"/>
        <v>0</v>
      </c>
      <c r="G12" s="25">
        <f t="shared" si="13"/>
        <v>326950</v>
      </c>
      <c r="H12" s="25">
        <f t="shared" si="13"/>
        <v>177532</v>
      </c>
      <c r="I12" s="25">
        <f t="shared" si="13"/>
        <v>27250</v>
      </c>
      <c r="J12" s="25">
        <f t="shared" si="13"/>
        <v>0</v>
      </c>
      <c r="K12" s="25">
        <f t="shared" si="13"/>
        <v>0</v>
      </c>
      <c r="L12" s="25">
        <f t="shared" si="13"/>
        <v>0</v>
      </c>
      <c r="M12" s="25">
        <f t="shared" si="13"/>
        <v>204782</v>
      </c>
      <c r="N12" s="25">
        <f t="shared" si="13"/>
        <v>204781.27</v>
      </c>
      <c r="O12" s="26">
        <f t="shared" si="1"/>
        <v>0.99999643523356541</v>
      </c>
      <c r="P12" s="25">
        <f>P130</f>
        <v>204781.27</v>
      </c>
      <c r="Q12" s="26">
        <f t="shared" si="2"/>
        <v>0.99999643523356541</v>
      </c>
      <c r="R12" s="25">
        <f>R130</f>
        <v>0</v>
      </c>
      <c r="S12" s="26">
        <f t="shared" si="3"/>
        <v>0</v>
      </c>
      <c r="T12" s="25">
        <f>T130</f>
        <v>0</v>
      </c>
      <c r="U12" s="26">
        <f t="shared" si="4"/>
        <v>0</v>
      </c>
      <c r="V12" s="25">
        <f t="shared" ref="V12:W15" si="14">V130</f>
        <v>0</v>
      </c>
      <c r="W12" s="25">
        <f t="shared" si="14"/>
        <v>0</v>
      </c>
    </row>
    <row r="13" spans="1:23" ht="13.9" customHeight="1" x14ac:dyDescent="0.25">
      <c r="A13" s="14"/>
      <c r="B13" s="24">
        <v>41</v>
      </c>
      <c r="C13" s="24" t="s">
        <v>23</v>
      </c>
      <c r="D13" s="25">
        <f t="shared" ref="D13:N13" si="15">D131</f>
        <v>403699.06</v>
      </c>
      <c r="E13" s="25">
        <f t="shared" si="15"/>
        <v>112421.69</v>
      </c>
      <c r="F13" s="25">
        <f t="shared" si="15"/>
        <v>195876</v>
      </c>
      <c r="G13" s="25">
        <f t="shared" si="15"/>
        <v>74201</v>
      </c>
      <c r="H13" s="25">
        <f t="shared" si="15"/>
        <v>150000</v>
      </c>
      <c r="I13" s="25">
        <f t="shared" si="15"/>
        <v>0</v>
      </c>
      <c r="J13" s="25">
        <f t="shared" si="15"/>
        <v>0</v>
      </c>
      <c r="K13" s="25">
        <f t="shared" si="15"/>
        <v>0</v>
      </c>
      <c r="L13" s="25">
        <f t="shared" si="15"/>
        <v>0</v>
      </c>
      <c r="M13" s="25">
        <f t="shared" si="15"/>
        <v>150000</v>
      </c>
      <c r="N13" s="25">
        <f t="shared" si="15"/>
        <v>411034.08999999997</v>
      </c>
      <c r="O13" s="26">
        <f t="shared" si="1"/>
        <v>2.7402272666666665</v>
      </c>
      <c r="P13" s="25">
        <f>P131</f>
        <v>411034.08999999997</v>
      </c>
      <c r="Q13" s="26">
        <f t="shared" si="2"/>
        <v>2.7402272666666665</v>
      </c>
      <c r="R13" s="25">
        <f>R131</f>
        <v>0</v>
      </c>
      <c r="S13" s="26">
        <f t="shared" si="3"/>
        <v>0</v>
      </c>
      <c r="T13" s="25">
        <f>T131</f>
        <v>0</v>
      </c>
      <c r="U13" s="26">
        <f t="shared" si="4"/>
        <v>0</v>
      </c>
      <c r="V13" s="25">
        <f t="shared" si="14"/>
        <v>0</v>
      </c>
      <c r="W13" s="25">
        <f t="shared" si="14"/>
        <v>0</v>
      </c>
    </row>
    <row r="14" spans="1:23" ht="13.9" customHeight="1" x14ac:dyDescent="0.25">
      <c r="A14" s="14"/>
      <c r="B14" s="24">
        <v>71</v>
      </c>
      <c r="C14" s="24" t="s">
        <v>24</v>
      </c>
      <c r="D14" s="25">
        <f t="shared" ref="D14:N14" si="16">D132</f>
        <v>4060.3</v>
      </c>
      <c r="E14" s="25">
        <f t="shared" si="16"/>
        <v>30067.64</v>
      </c>
      <c r="F14" s="25">
        <f t="shared" si="16"/>
        <v>0</v>
      </c>
      <c r="G14" s="25">
        <f t="shared" si="16"/>
        <v>49900</v>
      </c>
      <c r="H14" s="25">
        <f t="shared" si="16"/>
        <v>6000</v>
      </c>
      <c r="I14" s="25">
        <f t="shared" si="16"/>
        <v>0</v>
      </c>
      <c r="J14" s="25">
        <f t="shared" si="16"/>
        <v>20670</v>
      </c>
      <c r="K14" s="25">
        <f t="shared" si="16"/>
        <v>0</v>
      </c>
      <c r="L14" s="25">
        <f t="shared" si="16"/>
        <v>0</v>
      </c>
      <c r="M14" s="25">
        <f t="shared" si="16"/>
        <v>26670</v>
      </c>
      <c r="N14" s="25">
        <f t="shared" si="16"/>
        <v>4047.64</v>
      </c>
      <c r="O14" s="26">
        <f t="shared" si="1"/>
        <v>0.15176752905886765</v>
      </c>
      <c r="P14" s="25">
        <f>P132</f>
        <v>25217.64</v>
      </c>
      <c r="Q14" s="26">
        <f t="shared" si="2"/>
        <v>0.94554330708661416</v>
      </c>
      <c r="R14" s="25">
        <f>R132</f>
        <v>0</v>
      </c>
      <c r="S14" s="26">
        <f t="shared" si="3"/>
        <v>0</v>
      </c>
      <c r="T14" s="25">
        <f>T132</f>
        <v>0</v>
      </c>
      <c r="U14" s="26">
        <f t="shared" si="4"/>
        <v>0</v>
      </c>
      <c r="V14" s="25">
        <f t="shared" si="14"/>
        <v>0</v>
      </c>
      <c r="W14" s="25">
        <f t="shared" si="14"/>
        <v>0</v>
      </c>
    </row>
    <row r="15" spans="1:23" ht="13.9" customHeight="1" x14ac:dyDescent="0.25">
      <c r="A15" s="14"/>
      <c r="B15" s="24">
        <v>72</v>
      </c>
      <c r="C15" s="24" t="s">
        <v>25</v>
      </c>
      <c r="D15" s="25">
        <f t="shared" ref="D15:N15" si="17">D133</f>
        <v>0</v>
      </c>
      <c r="E15" s="25">
        <f t="shared" si="17"/>
        <v>0</v>
      </c>
      <c r="F15" s="25">
        <f t="shared" si="17"/>
        <v>0</v>
      </c>
      <c r="G15" s="25">
        <f t="shared" si="17"/>
        <v>0</v>
      </c>
      <c r="H15" s="25">
        <f t="shared" si="17"/>
        <v>0</v>
      </c>
      <c r="I15" s="25">
        <f t="shared" si="17"/>
        <v>12850</v>
      </c>
      <c r="J15" s="25">
        <f t="shared" si="17"/>
        <v>11962</v>
      </c>
      <c r="K15" s="25">
        <f t="shared" si="17"/>
        <v>0</v>
      </c>
      <c r="L15" s="25">
        <f t="shared" si="17"/>
        <v>0</v>
      </c>
      <c r="M15" s="25">
        <f t="shared" si="17"/>
        <v>24812</v>
      </c>
      <c r="N15" s="25">
        <f t="shared" si="17"/>
        <v>12849.56</v>
      </c>
      <c r="O15" s="26">
        <f t="shared" si="1"/>
        <v>0.51787683379010152</v>
      </c>
      <c r="P15" s="25">
        <f>P133</f>
        <v>12849.56</v>
      </c>
      <c r="Q15" s="26">
        <f t="shared" si="2"/>
        <v>0.51787683379010152</v>
      </c>
      <c r="R15" s="25">
        <f>R133</f>
        <v>0</v>
      </c>
      <c r="S15" s="26">
        <f t="shared" si="3"/>
        <v>0</v>
      </c>
      <c r="T15" s="25">
        <f>T133</f>
        <v>0</v>
      </c>
      <c r="U15" s="26">
        <f t="shared" si="4"/>
        <v>0</v>
      </c>
      <c r="V15" s="25">
        <f t="shared" si="14"/>
        <v>0</v>
      </c>
      <c r="W15" s="25">
        <f t="shared" si="14"/>
        <v>0</v>
      </c>
    </row>
    <row r="16" spans="1:23" ht="13.9" customHeight="1" x14ac:dyDescent="0.25">
      <c r="A16" s="14"/>
      <c r="B16" s="24"/>
      <c r="C16" s="27" t="s">
        <v>28</v>
      </c>
      <c r="D16" s="28">
        <f t="shared" ref="D16:N16" si="18">SUM(D12:D15)</f>
        <v>477175.57</v>
      </c>
      <c r="E16" s="28">
        <f t="shared" si="18"/>
        <v>174815.09999999998</v>
      </c>
      <c r="F16" s="28">
        <f t="shared" si="18"/>
        <v>195876</v>
      </c>
      <c r="G16" s="28">
        <f t="shared" si="18"/>
        <v>451051</v>
      </c>
      <c r="H16" s="28">
        <f t="shared" si="18"/>
        <v>333532</v>
      </c>
      <c r="I16" s="28">
        <f t="shared" si="18"/>
        <v>40100</v>
      </c>
      <c r="J16" s="28">
        <f t="shared" si="18"/>
        <v>32632</v>
      </c>
      <c r="K16" s="28">
        <f t="shared" si="18"/>
        <v>0</v>
      </c>
      <c r="L16" s="28">
        <f t="shared" si="18"/>
        <v>0</v>
      </c>
      <c r="M16" s="28">
        <f t="shared" si="18"/>
        <v>406264</v>
      </c>
      <c r="N16" s="28">
        <f t="shared" si="18"/>
        <v>632712.56000000006</v>
      </c>
      <c r="O16" s="29">
        <f t="shared" si="1"/>
        <v>1.5573926313923951</v>
      </c>
      <c r="P16" s="28">
        <f>SUM(P12:P15)</f>
        <v>653882.56000000006</v>
      </c>
      <c r="Q16" s="29">
        <f t="shared" si="2"/>
        <v>1.6095016048677708</v>
      </c>
      <c r="R16" s="28">
        <f>SUM(R12:R15)</f>
        <v>0</v>
      </c>
      <c r="S16" s="29">
        <f t="shared" si="3"/>
        <v>0</v>
      </c>
      <c r="T16" s="28">
        <f>SUM(T12:T15)</f>
        <v>0</v>
      </c>
      <c r="U16" s="29">
        <f t="shared" si="4"/>
        <v>0</v>
      </c>
      <c r="V16" s="28">
        <f>SUM(V12:V15)</f>
        <v>0</v>
      </c>
      <c r="W16" s="28">
        <f>SUM(W12:W15)</f>
        <v>0</v>
      </c>
    </row>
    <row r="17" spans="1:23" ht="13.9" customHeight="1" x14ac:dyDescent="0.25">
      <c r="A17" s="14"/>
      <c r="B17" s="24">
        <v>111</v>
      </c>
      <c r="C17" s="24" t="s">
        <v>22</v>
      </c>
      <c r="D17" s="25">
        <f t="shared" ref="D17:N17" si="19">D3+D8+D12</f>
        <v>1016510.82</v>
      </c>
      <c r="E17" s="25">
        <f t="shared" si="19"/>
        <v>1521611.4300000004</v>
      </c>
      <c r="F17" s="25">
        <f t="shared" si="19"/>
        <v>1876891</v>
      </c>
      <c r="G17" s="25">
        <f t="shared" si="19"/>
        <v>1597162</v>
      </c>
      <c r="H17" s="25">
        <f t="shared" si="19"/>
        <v>2256557</v>
      </c>
      <c r="I17" s="25">
        <f t="shared" si="19"/>
        <v>58924</v>
      </c>
      <c r="J17" s="25">
        <f t="shared" si="19"/>
        <v>89475</v>
      </c>
      <c r="K17" s="25">
        <f t="shared" si="19"/>
        <v>0</v>
      </c>
      <c r="L17" s="25">
        <f t="shared" si="19"/>
        <v>0</v>
      </c>
      <c r="M17" s="25">
        <f t="shared" si="19"/>
        <v>2404956</v>
      </c>
      <c r="N17" s="25">
        <f t="shared" si="19"/>
        <v>616363.66999999993</v>
      </c>
      <c r="O17" s="26">
        <f t="shared" si="1"/>
        <v>0.2562889591327242</v>
      </c>
      <c r="P17" s="25">
        <f>P3+P8+P12</f>
        <v>1234344.08</v>
      </c>
      <c r="Q17" s="26">
        <f t="shared" si="2"/>
        <v>0.51325017172871357</v>
      </c>
      <c r="R17" s="25">
        <f>R3+R8+R12</f>
        <v>0</v>
      </c>
      <c r="S17" s="26">
        <f t="shared" si="3"/>
        <v>0</v>
      </c>
      <c r="T17" s="25">
        <f>T3+T8+T12</f>
        <v>0</v>
      </c>
      <c r="U17" s="26">
        <f t="shared" si="4"/>
        <v>0</v>
      </c>
      <c r="V17" s="25">
        <f t="shared" ref="V17:W19" si="20">V3+V8+V12</f>
        <v>1203821</v>
      </c>
      <c r="W17" s="25">
        <f t="shared" si="20"/>
        <v>1206776</v>
      </c>
    </row>
    <row r="18" spans="1:23" ht="13.9" customHeight="1" x14ac:dyDescent="0.25">
      <c r="A18" s="14"/>
      <c r="B18" s="24">
        <v>41</v>
      </c>
      <c r="C18" s="24" t="s">
        <v>23</v>
      </c>
      <c r="D18" s="25">
        <f t="shared" ref="D18:N18" si="21">D4+D9+D13</f>
        <v>1875036.7900000003</v>
      </c>
      <c r="E18" s="25">
        <f t="shared" si="21"/>
        <v>1670154.24</v>
      </c>
      <c r="F18" s="25">
        <f t="shared" si="21"/>
        <v>1579148</v>
      </c>
      <c r="G18" s="25">
        <f t="shared" si="21"/>
        <v>1650240</v>
      </c>
      <c r="H18" s="25">
        <f t="shared" si="21"/>
        <v>1547248</v>
      </c>
      <c r="I18" s="25">
        <f t="shared" si="21"/>
        <v>3717</v>
      </c>
      <c r="J18" s="25">
        <f t="shared" si="21"/>
        <v>10349</v>
      </c>
      <c r="K18" s="25">
        <f t="shared" si="21"/>
        <v>0</v>
      </c>
      <c r="L18" s="25">
        <f t="shared" si="21"/>
        <v>0</v>
      </c>
      <c r="M18" s="25">
        <f t="shared" si="21"/>
        <v>1561314</v>
      </c>
      <c r="N18" s="25">
        <f t="shared" si="21"/>
        <v>805553.85</v>
      </c>
      <c r="O18" s="26">
        <f t="shared" si="1"/>
        <v>0.51594608771842176</v>
      </c>
      <c r="P18" s="25">
        <f>P4+P9+P13</f>
        <v>1139977.29</v>
      </c>
      <c r="Q18" s="26">
        <f t="shared" si="2"/>
        <v>0.73013967081573605</v>
      </c>
      <c r="R18" s="25">
        <f>R4+R9+R13</f>
        <v>0</v>
      </c>
      <c r="S18" s="26">
        <f t="shared" si="3"/>
        <v>0</v>
      </c>
      <c r="T18" s="25">
        <f>T4+T9+T13</f>
        <v>0</v>
      </c>
      <c r="U18" s="26">
        <f t="shared" si="4"/>
        <v>0</v>
      </c>
      <c r="V18" s="25">
        <f t="shared" si="20"/>
        <v>1531367</v>
      </c>
      <c r="W18" s="25">
        <f t="shared" si="20"/>
        <v>1595986</v>
      </c>
    </row>
    <row r="19" spans="1:23" ht="13.9" customHeight="1" x14ac:dyDescent="0.25">
      <c r="A19" s="14"/>
      <c r="B19" s="24">
        <v>71</v>
      </c>
      <c r="C19" s="24" t="s">
        <v>24</v>
      </c>
      <c r="D19" s="25">
        <f t="shared" ref="D19:G20" si="22">D5+D14</f>
        <v>7060.3</v>
      </c>
      <c r="E19" s="25">
        <f t="shared" si="22"/>
        <v>33067.64</v>
      </c>
      <c r="F19" s="25">
        <f t="shared" si="22"/>
        <v>3000</v>
      </c>
      <c r="G19" s="25">
        <f t="shared" si="22"/>
        <v>52900</v>
      </c>
      <c r="H19" s="25">
        <f t="shared" ref="H19:N19" si="23">H5+H10+H14</f>
        <v>15000</v>
      </c>
      <c r="I19" s="25">
        <f t="shared" si="23"/>
        <v>0</v>
      </c>
      <c r="J19" s="25">
        <f t="shared" si="23"/>
        <v>20670</v>
      </c>
      <c r="K19" s="25">
        <f t="shared" si="23"/>
        <v>0</v>
      </c>
      <c r="L19" s="25">
        <f t="shared" si="23"/>
        <v>0</v>
      </c>
      <c r="M19" s="25">
        <f t="shared" si="23"/>
        <v>35670</v>
      </c>
      <c r="N19" s="25">
        <f t="shared" si="23"/>
        <v>4047.64</v>
      </c>
      <c r="O19" s="26">
        <f t="shared" si="1"/>
        <v>0.11347462853938883</v>
      </c>
      <c r="P19" s="25">
        <f>P5+P10+P14</f>
        <v>28217.64</v>
      </c>
      <c r="Q19" s="26">
        <f t="shared" si="2"/>
        <v>0.79107485281749368</v>
      </c>
      <c r="R19" s="25">
        <f>R5+R10+R14</f>
        <v>0</v>
      </c>
      <c r="S19" s="26">
        <f t="shared" si="3"/>
        <v>0</v>
      </c>
      <c r="T19" s="25">
        <f>T5+T10+T14</f>
        <v>0</v>
      </c>
      <c r="U19" s="26">
        <f t="shared" si="4"/>
        <v>0</v>
      </c>
      <c r="V19" s="25">
        <f t="shared" si="20"/>
        <v>3000</v>
      </c>
      <c r="W19" s="25">
        <f t="shared" si="20"/>
        <v>3000</v>
      </c>
    </row>
    <row r="20" spans="1:23" ht="13.9" customHeight="1" x14ac:dyDescent="0.25">
      <c r="A20" s="14"/>
      <c r="B20" s="24">
        <v>72</v>
      </c>
      <c r="C20" s="24" t="s">
        <v>25</v>
      </c>
      <c r="D20" s="25">
        <f t="shared" si="22"/>
        <v>83132.320000000007</v>
      </c>
      <c r="E20" s="25">
        <f t="shared" si="22"/>
        <v>106433.95</v>
      </c>
      <c r="F20" s="25">
        <f t="shared" si="22"/>
        <v>100476</v>
      </c>
      <c r="G20" s="25">
        <f t="shared" si="22"/>
        <v>87673</v>
      </c>
      <c r="H20" s="25">
        <f t="shared" ref="H20:N20" si="24">H6+H15</f>
        <v>94143</v>
      </c>
      <c r="I20" s="25">
        <f t="shared" si="24"/>
        <v>13810</v>
      </c>
      <c r="J20" s="25">
        <f t="shared" si="24"/>
        <v>25446</v>
      </c>
      <c r="K20" s="25">
        <f t="shared" si="24"/>
        <v>0</v>
      </c>
      <c r="L20" s="25">
        <f t="shared" si="24"/>
        <v>0</v>
      </c>
      <c r="M20" s="25">
        <f t="shared" si="24"/>
        <v>133399</v>
      </c>
      <c r="N20" s="25">
        <f t="shared" si="24"/>
        <v>41652.03</v>
      </c>
      <c r="O20" s="26">
        <f t="shared" si="1"/>
        <v>0.31223644854908955</v>
      </c>
      <c r="P20" s="25">
        <f>P6+P15</f>
        <v>74405.23</v>
      </c>
      <c r="Q20" s="26">
        <f t="shared" si="2"/>
        <v>0.55776452597095927</v>
      </c>
      <c r="R20" s="25">
        <f>R6+R15</f>
        <v>0</v>
      </c>
      <c r="S20" s="26">
        <f t="shared" si="3"/>
        <v>0</v>
      </c>
      <c r="T20" s="25">
        <f>T6+T15</f>
        <v>0</v>
      </c>
      <c r="U20" s="26">
        <f t="shared" si="4"/>
        <v>0</v>
      </c>
      <c r="V20" s="25">
        <f>V6+V15</f>
        <v>94143</v>
      </c>
      <c r="W20" s="25">
        <f>W6+W15</f>
        <v>94143</v>
      </c>
    </row>
    <row r="21" spans="1:23" ht="13.9" customHeight="1" x14ac:dyDescent="0.25">
      <c r="A21" s="30"/>
      <c r="B21" s="31"/>
      <c r="C21" s="27" t="s">
        <v>29</v>
      </c>
      <c r="D21" s="28">
        <f t="shared" ref="D21:N21" si="25">SUM(D17:D20)</f>
        <v>2981740.23</v>
      </c>
      <c r="E21" s="28">
        <f t="shared" si="25"/>
        <v>3331267.2600000007</v>
      </c>
      <c r="F21" s="28">
        <f t="shared" si="25"/>
        <v>3559515</v>
      </c>
      <c r="G21" s="28">
        <f t="shared" si="25"/>
        <v>3387975</v>
      </c>
      <c r="H21" s="28">
        <f t="shared" si="25"/>
        <v>3912948</v>
      </c>
      <c r="I21" s="28">
        <f t="shared" si="25"/>
        <v>76451</v>
      </c>
      <c r="J21" s="28">
        <f t="shared" si="25"/>
        <v>145940</v>
      </c>
      <c r="K21" s="28">
        <f t="shared" si="25"/>
        <v>0</v>
      </c>
      <c r="L21" s="28">
        <f t="shared" si="25"/>
        <v>0</v>
      </c>
      <c r="M21" s="28">
        <f t="shared" si="25"/>
        <v>4135339</v>
      </c>
      <c r="N21" s="28">
        <f t="shared" si="25"/>
        <v>1467617.19</v>
      </c>
      <c r="O21" s="29">
        <f t="shared" si="1"/>
        <v>0.35489646435274108</v>
      </c>
      <c r="P21" s="28">
        <f>SUM(P17:P20)</f>
        <v>2476944.2400000002</v>
      </c>
      <c r="Q21" s="29">
        <f t="shared" si="2"/>
        <v>0.5989700578356455</v>
      </c>
      <c r="R21" s="28">
        <f>SUM(R17:R20)</f>
        <v>0</v>
      </c>
      <c r="S21" s="29">
        <f t="shared" si="3"/>
        <v>0</v>
      </c>
      <c r="T21" s="28">
        <f>SUM(T17:T20)</f>
        <v>0</v>
      </c>
      <c r="U21" s="29">
        <f t="shared" si="4"/>
        <v>0</v>
      </c>
      <c r="V21" s="28">
        <f>SUM(V17:V20)</f>
        <v>2832331</v>
      </c>
      <c r="W21" s="28">
        <f>SUM(W17:W20)</f>
        <v>2899905</v>
      </c>
    </row>
    <row r="23" spans="1:23" ht="13.9" customHeight="1" x14ac:dyDescent="0.25">
      <c r="A23" s="32" t="s">
        <v>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2"/>
      <c r="Q23" s="32"/>
      <c r="R23" s="32"/>
      <c r="S23" s="32"/>
      <c r="T23" s="32"/>
      <c r="U23" s="32"/>
      <c r="V23" s="32"/>
      <c r="W23" s="32"/>
    </row>
    <row r="24" spans="1:23" ht="13.9" customHeight="1" x14ac:dyDescent="0.25">
      <c r="A24" s="20"/>
      <c r="B24" s="20"/>
      <c r="C24" s="20"/>
      <c r="D24" s="21" t="s">
        <v>1</v>
      </c>
      <c r="E24" s="21" t="s">
        <v>2</v>
      </c>
      <c r="F24" s="21" t="s">
        <v>3</v>
      </c>
      <c r="G24" s="21" t="s">
        <v>4</v>
      </c>
      <c r="H24" s="21" t="s">
        <v>5</v>
      </c>
      <c r="I24" s="21" t="s">
        <v>6</v>
      </c>
      <c r="J24" s="21" t="s">
        <v>7</v>
      </c>
      <c r="K24" s="21" t="s">
        <v>8</v>
      </c>
      <c r="L24" s="21" t="s">
        <v>9</v>
      </c>
      <c r="M24" s="21" t="s">
        <v>10</v>
      </c>
      <c r="N24" s="21" t="s">
        <v>11</v>
      </c>
      <c r="O24" s="22" t="s">
        <v>12</v>
      </c>
      <c r="P24" s="21" t="s">
        <v>13</v>
      </c>
      <c r="Q24" s="22" t="s">
        <v>14</v>
      </c>
      <c r="R24" s="21" t="s">
        <v>15</v>
      </c>
      <c r="S24" s="22" t="s">
        <v>16</v>
      </c>
      <c r="T24" s="21" t="s">
        <v>17</v>
      </c>
      <c r="U24" s="22" t="s">
        <v>18</v>
      </c>
      <c r="V24" s="21" t="s">
        <v>19</v>
      </c>
      <c r="W24" s="21" t="s">
        <v>20</v>
      </c>
    </row>
    <row r="25" spans="1:23" ht="13.9" customHeight="1" x14ac:dyDescent="0.25">
      <c r="A25" s="34" t="s">
        <v>21</v>
      </c>
      <c r="B25" s="35">
        <v>41</v>
      </c>
      <c r="C25" s="35" t="s">
        <v>23</v>
      </c>
      <c r="D25" s="36">
        <f t="shared" ref="D25:N25" si="26">D38</f>
        <v>1369565.9800000002</v>
      </c>
      <c r="E25" s="36">
        <f t="shared" si="26"/>
        <v>1438143.04</v>
      </c>
      <c r="F25" s="36">
        <f t="shared" si="26"/>
        <v>1278745</v>
      </c>
      <c r="G25" s="36">
        <f t="shared" si="26"/>
        <v>1453015</v>
      </c>
      <c r="H25" s="36">
        <f t="shared" si="26"/>
        <v>1269078</v>
      </c>
      <c r="I25" s="36">
        <f t="shared" si="26"/>
        <v>0</v>
      </c>
      <c r="J25" s="36">
        <f t="shared" si="26"/>
        <v>5048</v>
      </c>
      <c r="K25" s="36">
        <f t="shared" si="26"/>
        <v>0</v>
      </c>
      <c r="L25" s="36">
        <f t="shared" si="26"/>
        <v>0</v>
      </c>
      <c r="M25" s="36">
        <f t="shared" si="26"/>
        <v>1274126</v>
      </c>
      <c r="N25" s="36">
        <f t="shared" si="26"/>
        <v>351752.06</v>
      </c>
      <c r="O25" s="37">
        <f>N25/$M25</f>
        <v>0.27607321410912267</v>
      </c>
      <c r="P25" s="36">
        <f>P38</f>
        <v>660404.57000000007</v>
      </c>
      <c r="Q25" s="37">
        <f>P25/$M25</f>
        <v>0.51831967168082282</v>
      </c>
      <c r="R25" s="36">
        <f>R38</f>
        <v>0</v>
      </c>
      <c r="S25" s="37">
        <f>R25/$M25</f>
        <v>0</v>
      </c>
      <c r="T25" s="36">
        <f>T38</f>
        <v>0</v>
      </c>
      <c r="U25" s="37">
        <f>T25/$M25</f>
        <v>0</v>
      </c>
      <c r="V25" s="36">
        <f>V38</f>
        <v>1403197</v>
      </c>
      <c r="W25" s="36">
        <f>W38</f>
        <v>1467816</v>
      </c>
    </row>
    <row r="26" spans="1:23" ht="13.9" customHeight="1" x14ac:dyDescent="0.25">
      <c r="A26" s="30"/>
      <c r="B26" s="31"/>
      <c r="C26" s="38" t="s">
        <v>29</v>
      </c>
      <c r="D26" s="39">
        <f t="shared" ref="D26:N26" si="27">SUM(D25)</f>
        <v>1369565.9800000002</v>
      </c>
      <c r="E26" s="39">
        <f t="shared" si="27"/>
        <v>1438143.04</v>
      </c>
      <c r="F26" s="39">
        <f t="shared" si="27"/>
        <v>1278745</v>
      </c>
      <c r="G26" s="39">
        <f t="shared" si="27"/>
        <v>1453015</v>
      </c>
      <c r="H26" s="39">
        <f t="shared" si="27"/>
        <v>1269078</v>
      </c>
      <c r="I26" s="39">
        <f t="shared" si="27"/>
        <v>0</v>
      </c>
      <c r="J26" s="39">
        <f t="shared" si="27"/>
        <v>5048</v>
      </c>
      <c r="K26" s="39">
        <f t="shared" si="27"/>
        <v>0</v>
      </c>
      <c r="L26" s="39">
        <f t="shared" si="27"/>
        <v>0</v>
      </c>
      <c r="M26" s="39">
        <f t="shared" si="27"/>
        <v>1274126</v>
      </c>
      <c r="N26" s="39">
        <f t="shared" si="27"/>
        <v>351752.06</v>
      </c>
      <c r="O26" s="40">
        <f>N26/$M26</f>
        <v>0.27607321410912267</v>
      </c>
      <c r="P26" s="39">
        <f>SUM(P25)</f>
        <v>660404.57000000007</v>
      </c>
      <c r="Q26" s="40">
        <f>P26/$M26</f>
        <v>0.51831967168082282</v>
      </c>
      <c r="R26" s="39">
        <f>SUM(R25)</f>
        <v>0</v>
      </c>
      <c r="S26" s="40">
        <f>R26/$M26</f>
        <v>0</v>
      </c>
      <c r="T26" s="39">
        <f>SUM(T25)</f>
        <v>0</v>
      </c>
      <c r="U26" s="40">
        <f>T26/$M26</f>
        <v>0</v>
      </c>
      <c r="V26" s="39">
        <f>SUM(V25)</f>
        <v>1403197</v>
      </c>
      <c r="W26" s="39">
        <f>SUM(W25)</f>
        <v>1467816</v>
      </c>
    </row>
    <row r="28" spans="1:23" ht="13.9" customHeight="1" x14ac:dyDescent="0.25">
      <c r="A28" s="41" t="s">
        <v>31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1"/>
      <c r="Q28" s="41"/>
      <c r="R28" s="41"/>
      <c r="S28" s="41"/>
      <c r="T28" s="41"/>
      <c r="U28" s="41"/>
      <c r="V28" s="41"/>
      <c r="W28" s="41"/>
    </row>
    <row r="29" spans="1:23" ht="13.9" customHeight="1" x14ac:dyDescent="0.25">
      <c r="A29" s="21" t="s">
        <v>32</v>
      </c>
      <c r="B29" s="21" t="s">
        <v>33</v>
      </c>
      <c r="C29" s="21" t="s">
        <v>34</v>
      </c>
      <c r="D29" s="21" t="s">
        <v>1</v>
      </c>
      <c r="E29" s="21" t="s">
        <v>2</v>
      </c>
      <c r="F29" s="21" t="s">
        <v>3</v>
      </c>
      <c r="G29" s="21" t="s">
        <v>4</v>
      </c>
      <c r="H29" s="21" t="s">
        <v>5</v>
      </c>
      <c r="I29" s="21" t="s">
        <v>6</v>
      </c>
      <c r="J29" s="21" t="s">
        <v>7</v>
      </c>
      <c r="K29" s="21" t="s">
        <v>8</v>
      </c>
      <c r="L29" s="21" t="s">
        <v>9</v>
      </c>
      <c r="M29" s="21" t="s">
        <v>10</v>
      </c>
      <c r="N29" s="21" t="s">
        <v>11</v>
      </c>
      <c r="O29" s="22" t="s">
        <v>12</v>
      </c>
      <c r="P29" s="21" t="s">
        <v>13</v>
      </c>
      <c r="Q29" s="22" t="s">
        <v>14</v>
      </c>
      <c r="R29" s="21" t="s">
        <v>15</v>
      </c>
      <c r="S29" s="22" t="s">
        <v>16</v>
      </c>
      <c r="T29" s="21" t="s">
        <v>17</v>
      </c>
      <c r="U29" s="22" t="s">
        <v>18</v>
      </c>
      <c r="V29" s="21" t="s">
        <v>19</v>
      </c>
      <c r="W29" s="21" t="s">
        <v>20</v>
      </c>
    </row>
    <row r="30" spans="1:23" ht="13.9" customHeight="1" x14ac:dyDescent="0.25">
      <c r="A30" s="13" t="s">
        <v>35</v>
      </c>
      <c r="B30" s="24">
        <v>111003</v>
      </c>
      <c r="C30" s="24" t="s">
        <v>36</v>
      </c>
      <c r="D30" s="25">
        <v>1241704.26</v>
      </c>
      <c r="E30" s="25">
        <v>1317161.19</v>
      </c>
      <c r="F30" s="25">
        <v>1102816</v>
      </c>
      <c r="G30" s="25">
        <v>1296896</v>
      </c>
      <c r="H30" s="25">
        <v>1111878</v>
      </c>
      <c r="I30" s="25"/>
      <c r="J30" s="25"/>
      <c r="K30" s="25"/>
      <c r="L30" s="25"/>
      <c r="M30" s="25">
        <f t="shared" ref="M30:M37" si="28">H30+SUM(I30:L30)</f>
        <v>1111878</v>
      </c>
      <c r="N30" s="25">
        <v>327908.61</v>
      </c>
      <c r="O30" s="26">
        <f t="shared" ref="O30:O38" si="29">IFERROR(N30/$M30,0)</f>
        <v>0.29491419921969853</v>
      </c>
      <c r="P30" s="25">
        <v>538120.61</v>
      </c>
      <c r="Q30" s="26">
        <f t="shared" ref="Q30:Q38" si="30">IFERROR(P30/$M30,0)</f>
        <v>0.48397450979334061</v>
      </c>
      <c r="R30" s="25"/>
      <c r="S30" s="26">
        <f t="shared" ref="S30:S38" si="31">IFERROR(R30/$M30,0)</f>
        <v>0</v>
      </c>
      <c r="T30" s="25"/>
      <c r="U30" s="26">
        <f t="shared" ref="U30:U38" si="32">IFERROR(T30/$M30,0)</f>
        <v>0</v>
      </c>
      <c r="V30" s="25">
        <v>1245997</v>
      </c>
      <c r="W30" s="25">
        <v>1310616</v>
      </c>
    </row>
    <row r="31" spans="1:23" ht="13.9" customHeight="1" x14ac:dyDescent="0.25">
      <c r="A31" s="13"/>
      <c r="B31" s="24">
        <v>121001</v>
      </c>
      <c r="C31" s="24" t="s">
        <v>37</v>
      </c>
      <c r="D31" s="25">
        <v>19723.59</v>
      </c>
      <c r="E31" s="25">
        <v>13255.73</v>
      </c>
      <c r="F31" s="25">
        <v>41809</v>
      </c>
      <c r="G31" s="25">
        <v>18669</v>
      </c>
      <c r="H31" s="25">
        <v>18700</v>
      </c>
      <c r="I31" s="25"/>
      <c r="J31" s="25"/>
      <c r="K31" s="25"/>
      <c r="L31" s="25"/>
      <c r="M31" s="25">
        <f t="shared" si="28"/>
        <v>18700</v>
      </c>
      <c r="N31" s="25">
        <v>9415.82</v>
      </c>
      <c r="O31" s="26">
        <f t="shared" si="29"/>
        <v>0.50351978609625669</v>
      </c>
      <c r="P31" s="25">
        <v>18951.990000000002</v>
      </c>
      <c r="Q31" s="26">
        <f t="shared" si="30"/>
        <v>1.0134754010695188</v>
      </c>
      <c r="R31" s="25"/>
      <c r="S31" s="26">
        <f t="shared" si="31"/>
        <v>0</v>
      </c>
      <c r="T31" s="25"/>
      <c r="U31" s="26">
        <f t="shared" si="32"/>
        <v>0</v>
      </c>
      <c r="V31" s="25">
        <f t="shared" ref="V31:V37" si="33">H31</f>
        <v>18700</v>
      </c>
      <c r="W31" s="25">
        <f t="shared" ref="W31:W37" si="34">V31</f>
        <v>18700</v>
      </c>
    </row>
    <row r="32" spans="1:23" ht="13.9" customHeight="1" x14ac:dyDescent="0.25">
      <c r="A32" s="13"/>
      <c r="B32" s="24">
        <v>121002</v>
      </c>
      <c r="C32" s="24" t="s">
        <v>38</v>
      </c>
      <c r="D32" s="25">
        <v>23788.01</v>
      </c>
      <c r="E32" s="25">
        <v>23618.99</v>
      </c>
      <c r="F32" s="25">
        <v>40525</v>
      </c>
      <c r="G32" s="25">
        <v>32379</v>
      </c>
      <c r="H32" s="25">
        <v>33400</v>
      </c>
      <c r="I32" s="25"/>
      <c r="J32" s="25"/>
      <c r="K32" s="25"/>
      <c r="L32" s="25"/>
      <c r="M32" s="25">
        <f t="shared" si="28"/>
        <v>33400</v>
      </c>
      <c r="N32" s="25">
        <v>4332.42</v>
      </c>
      <c r="O32" s="26">
        <f t="shared" si="29"/>
        <v>0.12971317365269461</v>
      </c>
      <c r="P32" s="25">
        <v>21124.02</v>
      </c>
      <c r="Q32" s="26">
        <f t="shared" si="30"/>
        <v>0.63245568862275447</v>
      </c>
      <c r="R32" s="25"/>
      <c r="S32" s="26">
        <f t="shared" si="31"/>
        <v>0</v>
      </c>
      <c r="T32" s="25"/>
      <c r="U32" s="26">
        <f t="shared" si="32"/>
        <v>0</v>
      </c>
      <c r="V32" s="25">
        <f t="shared" si="33"/>
        <v>33400</v>
      </c>
      <c r="W32" s="25">
        <f t="shared" si="34"/>
        <v>33400</v>
      </c>
    </row>
    <row r="33" spans="1:64" ht="13.9" customHeight="1" x14ac:dyDescent="0.25">
      <c r="A33" s="13"/>
      <c r="B33" s="24">
        <v>121003</v>
      </c>
      <c r="C33" s="24" t="s">
        <v>39</v>
      </c>
      <c r="D33" s="25">
        <v>111.54</v>
      </c>
      <c r="E33" s="25">
        <v>94.87</v>
      </c>
      <c r="F33" s="25">
        <v>188</v>
      </c>
      <c r="G33" s="25">
        <v>143</v>
      </c>
      <c r="H33" s="25">
        <v>150</v>
      </c>
      <c r="I33" s="25"/>
      <c r="J33" s="25"/>
      <c r="K33" s="25"/>
      <c r="L33" s="25"/>
      <c r="M33" s="25">
        <f t="shared" si="28"/>
        <v>150</v>
      </c>
      <c r="N33" s="25">
        <v>22.1</v>
      </c>
      <c r="O33" s="26">
        <f t="shared" si="29"/>
        <v>0.14733333333333334</v>
      </c>
      <c r="P33" s="25">
        <v>137.88999999999999</v>
      </c>
      <c r="Q33" s="26">
        <f t="shared" si="30"/>
        <v>0.91926666666666657</v>
      </c>
      <c r="R33" s="25"/>
      <c r="S33" s="26">
        <f t="shared" si="31"/>
        <v>0</v>
      </c>
      <c r="T33" s="25"/>
      <c r="U33" s="26">
        <f t="shared" si="32"/>
        <v>0</v>
      </c>
      <c r="V33" s="25">
        <f t="shared" si="33"/>
        <v>150</v>
      </c>
      <c r="W33" s="25">
        <f t="shared" si="34"/>
        <v>150</v>
      </c>
    </row>
    <row r="34" spans="1:64" ht="13.9" customHeight="1" x14ac:dyDescent="0.25">
      <c r="A34" s="13"/>
      <c r="B34" s="24">
        <v>133001</v>
      </c>
      <c r="C34" s="24" t="s">
        <v>40</v>
      </c>
      <c r="D34" s="25">
        <v>2578.1</v>
      </c>
      <c r="E34" s="25">
        <v>2289</v>
      </c>
      <c r="F34" s="25">
        <v>2890</v>
      </c>
      <c r="G34" s="25">
        <v>2859</v>
      </c>
      <c r="H34" s="25">
        <v>2850</v>
      </c>
      <c r="I34" s="25"/>
      <c r="J34" s="25"/>
      <c r="K34" s="25"/>
      <c r="L34" s="25"/>
      <c r="M34" s="25">
        <f t="shared" si="28"/>
        <v>2850</v>
      </c>
      <c r="N34" s="25">
        <v>346</v>
      </c>
      <c r="O34" s="26">
        <f t="shared" si="29"/>
        <v>0.12140350877192982</v>
      </c>
      <c r="P34" s="25">
        <v>2153.65</v>
      </c>
      <c r="Q34" s="26">
        <f t="shared" si="30"/>
        <v>0.75566666666666671</v>
      </c>
      <c r="R34" s="25"/>
      <c r="S34" s="26">
        <f t="shared" si="31"/>
        <v>0</v>
      </c>
      <c r="T34" s="25"/>
      <c r="U34" s="26">
        <f t="shared" si="32"/>
        <v>0</v>
      </c>
      <c r="V34" s="25">
        <f t="shared" si="33"/>
        <v>2850</v>
      </c>
      <c r="W34" s="25">
        <f t="shared" si="34"/>
        <v>2850</v>
      </c>
    </row>
    <row r="35" spans="1:64" ht="13.9" customHeight="1" x14ac:dyDescent="0.25">
      <c r="A35" s="13"/>
      <c r="B35" s="24">
        <v>133006</v>
      </c>
      <c r="C35" s="24" t="s">
        <v>41</v>
      </c>
      <c r="D35" s="25">
        <v>1169.0999999999999</v>
      </c>
      <c r="E35" s="25">
        <v>426.9</v>
      </c>
      <c r="F35" s="25">
        <v>427</v>
      </c>
      <c r="G35" s="25">
        <v>1944</v>
      </c>
      <c r="H35" s="25">
        <v>1950</v>
      </c>
      <c r="I35" s="25"/>
      <c r="J35" s="25"/>
      <c r="K35" s="25"/>
      <c r="L35" s="25"/>
      <c r="M35" s="25">
        <f t="shared" si="28"/>
        <v>1950</v>
      </c>
      <c r="N35" s="25">
        <v>672</v>
      </c>
      <c r="O35" s="26">
        <f t="shared" si="29"/>
        <v>0.3446153846153846</v>
      </c>
      <c r="P35" s="25">
        <v>1304</v>
      </c>
      <c r="Q35" s="26">
        <f t="shared" si="30"/>
        <v>0.66871794871794876</v>
      </c>
      <c r="R35" s="25"/>
      <c r="S35" s="26">
        <f t="shared" si="31"/>
        <v>0</v>
      </c>
      <c r="T35" s="25"/>
      <c r="U35" s="26">
        <f t="shared" si="32"/>
        <v>0</v>
      </c>
      <c r="V35" s="25">
        <f t="shared" si="33"/>
        <v>1950</v>
      </c>
      <c r="W35" s="25">
        <f t="shared" si="34"/>
        <v>1950</v>
      </c>
    </row>
    <row r="36" spans="1:64" ht="13.9" customHeight="1" x14ac:dyDescent="0.25">
      <c r="A36" s="13"/>
      <c r="B36" s="24">
        <v>133012</v>
      </c>
      <c r="C36" s="24" t="s">
        <v>42</v>
      </c>
      <c r="D36" s="25">
        <v>2243.4299999999998</v>
      </c>
      <c r="E36" s="25">
        <v>2839.24</v>
      </c>
      <c r="F36" s="25">
        <v>2993</v>
      </c>
      <c r="G36" s="25">
        <v>6488</v>
      </c>
      <c r="H36" s="25">
        <v>6500</v>
      </c>
      <c r="I36" s="25"/>
      <c r="J36" s="25"/>
      <c r="K36" s="25"/>
      <c r="L36" s="25"/>
      <c r="M36" s="25">
        <f t="shared" si="28"/>
        <v>6500</v>
      </c>
      <c r="N36" s="25">
        <v>234.53</v>
      </c>
      <c r="O36" s="26">
        <f t="shared" si="29"/>
        <v>3.6081538461538464E-2</v>
      </c>
      <c r="P36" s="25">
        <v>2876.8</v>
      </c>
      <c r="Q36" s="26">
        <f t="shared" si="30"/>
        <v>0.44258461538461541</v>
      </c>
      <c r="R36" s="25"/>
      <c r="S36" s="26">
        <f t="shared" si="31"/>
        <v>0</v>
      </c>
      <c r="T36" s="25"/>
      <c r="U36" s="26">
        <f t="shared" si="32"/>
        <v>0</v>
      </c>
      <c r="V36" s="25">
        <f t="shared" si="33"/>
        <v>6500</v>
      </c>
      <c r="W36" s="25">
        <f t="shared" si="34"/>
        <v>6500</v>
      </c>
    </row>
    <row r="37" spans="1:64" ht="13.9" customHeight="1" x14ac:dyDescent="0.25">
      <c r="A37" s="13"/>
      <c r="B37" s="24">
        <v>133013</v>
      </c>
      <c r="C37" s="24" t="s">
        <v>43</v>
      </c>
      <c r="D37" s="25">
        <v>78247.95</v>
      </c>
      <c r="E37" s="25">
        <v>78457.119999999995</v>
      </c>
      <c r="F37" s="25">
        <v>87097</v>
      </c>
      <c r="G37" s="25">
        <v>93637</v>
      </c>
      <c r="H37" s="25">
        <v>93650</v>
      </c>
      <c r="I37" s="25"/>
      <c r="J37" s="25">
        <v>5048</v>
      </c>
      <c r="K37" s="25"/>
      <c r="L37" s="25"/>
      <c r="M37" s="25">
        <f t="shared" si="28"/>
        <v>98698</v>
      </c>
      <c r="N37" s="25">
        <v>8820.58</v>
      </c>
      <c r="O37" s="26">
        <f t="shared" si="29"/>
        <v>8.936938945064743E-2</v>
      </c>
      <c r="P37" s="25">
        <v>75735.61</v>
      </c>
      <c r="Q37" s="26">
        <f t="shared" si="30"/>
        <v>0.76734695738515468</v>
      </c>
      <c r="R37" s="25"/>
      <c r="S37" s="26">
        <f t="shared" si="31"/>
        <v>0</v>
      </c>
      <c r="T37" s="25"/>
      <c r="U37" s="26">
        <f t="shared" si="32"/>
        <v>0</v>
      </c>
      <c r="V37" s="25">
        <f t="shared" si="33"/>
        <v>93650</v>
      </c>
      <c r="W37" s="25">
        <f t="shared" si="34"/>
        <v>93650</v>
      </c>
    </row>
    <row r="38" spans="1:64" ht="13.9" customHeight="1" x14ac:dyDescent="0.25">
      <c r="A38" s="27" t="s">
        <v>21</v>
      </c>
      <c r="B38" s="27">
        <v>41</v>
      </c>
      <c r="C38" s="27" t="s">
        <v>23</v>
      </c>
      <c r="D38" s="28">
        <f t="shared" ref="D38:N38" si="35">SUM(D30:D37)</f>
        <v>1369565.9800000002</v>
      </c>
      <c r="E38" s="28">
        <f t="shared" si="35"/>
        <v>1438143.04</v>
      </c>
      <c r="F38" s="28">
        <f t="shared" si="35"/>
        <v>1278745</v>
      </c>
      <c r="G38" s="28">
        <f t="shared" si="35"/>
        <v>1453015</v>
      </c>
      <c r="H38" s="28">
        <f t="shared" si="35"/>
        <v>1269078</v>
      </c>
      <c r="I38" s="28">
        <f t="shared" si="35"/>
        <v>0</v>
      </c>
      <c r="J38" s="28">
        <f t="shared" si="35"/>
        <v>5048</v>
      </c>
      <c r="K38" s="28">
        <f t="shared" si="35"/>
        <v>0</v>
      </c>
      <c r="L38" s="28">
        <f t="shared" si="35"/>
        <v>0</v>
      </c>
      <c r="M38" s="28">
        <f t="shared" si="35"/>
        <v>1274126</v>
      </c>
      <c r="N38" s="28">
        <f t="shared" si="35"/>
        <v>351752.06</v>
      </c>
      <c r="O38" s="29">
        <f t="shared" si="29"/>
        <v>0.27607321410912267</v>
      </c>
      <c r="P38" s="28">
        <f>SUM(P30:P37)</f>
        <v>660404.57000000007</v>
      </c>
      <c r="Q38" s="29">
        <f t="shared" si="30"/>
        <v>0.51831967168082282</v>
      </c>
      <c r="R38" s="28">
        <f>SUM(R30:R37)</f>
        <v>0</v>
      </c>
      <c r="S38" s="29">
        <f t="shared" si="31"/>
        <v>0</v>
      </c>
      <c r="T38" s="28">
        <f>SUM(T30:T37)</f>
        <v>0</v>
      </c>
      <c r="U38" s="29">
        <f t="shared" si="32"/>
        <v>0</v>
      </c>
      <c r="V38" s="28">
        <f>SUM(V30:V37)</f>
        <v>1403197</v>
      </c>
      <c r="W38" s="28">
        <f>SUM(W30:W37)</f>
        <v>1467816</v>
      </c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40" spans="1:64" ht="13.9" customHeight="1" x14ac:dyDescent="0.25">
      <c r="A40" s="32" t="s">
        <v>44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2"/>
      <c r="Q40" s="32"/>
      <c r="R40" s="32"/>
      <c r="S40" s="32"/>
      <c r="T40" s="32"/>
      <c r="U40" s="32"/>
      <c r="V40" s="32"/>
      <c r="W40" s="32"/>
    </row>
    <row r="41" spans="1:64" ht="13.9" customHeight="1" x14ac:dyDescent="0.25">
      <c r="A41" s="20"/>
      <c r="B41" s="20"/>
      <c r="C41" s="20"/>
      <c r="D41" s="21" t="s">
        <v>1</v>
      </c>
      <c r="E41" s="21" t="s">
        <v>2</v>
      </c>
      <c r="F41" s="21" t="s">
        <v>3</v>
      </c>
      <c r="G41" s="21" t="s">
        <v>4</v>
      </c>
      <c r="H41" s="21" t="s">
        <v>5</v>
      </c>
      <c r="I41" s="21" t="s">
        <v>6</v>
      </c>
      <c r="J41" s="21" t="s">
        <v>7</v>
      </c>
      <c r="K41" s="21" t="s">
        <v>8</v>
      </c>
      <c r="L41" s="21" t="s">
        <v>9</v>
      </c>
      <c r="M41" s="21" t="s">
        <v>10</v>
      </c>
      <c r="N41" s="21" t="s">
        <v>11</v>
      </c>
      <c r="O41" s="22" t="s">
        <v>12</v>
      </c>
      <c r="P41" s="21" t="s">
        <v>13</v>
      </c>
      <c r="Q41" s="22" t="s">
        <v>14</v>
      </c>
      <c r="R41" s="21" t="s">
        <v>15</v>
      </c>
      <c r="S41" s="22" t="s">
        <v>16</v>
      </c>
      <c r="T41" s="21" t="s">
        <v>17</v>
      </c>
      <c r="U41" s="22" t="s">
        <v>18</v>
      </c>
      <c r="V41" s="21" t="s">
        <v>19</v>
      </c>
      <c r="W41" s="21" t="s">
        <v>20</v>
      </c>
    </row>
    <row r="42" spans="1:64" ht="13.9" customHeight="1" x14ac:dyDescent="0.25">
      <c r="A42" s="12" t="s">
        <v>21</v>
      </c>
      <c r="B42" s="35">
        <v>111</v>
      </c>
      <c r="C42" s="35" t="s">
        <v>45</v>
      </c>
      <c r="D42" s="36">
        <f t="shared" ref="D42:N42" si="36">D51</f>
        <v>236.74</v>
      </c>
      <c r="E42" s="36">
        <f t="shared" si="36"/>
        <v>29.25</v>
      </c>
      <c r="F42" s="36">
        <f t="shared" si="36"/>
        <v>0</v>
      </c>
      <c r="G42" s="36">
        <f t="shared" si="36"/>
        <v>4037</v>
      </c>
      <c r="H42" s="36">
        <f t="shared" si="36"/>
        <v>0</v>
      </c>
      <c r="I42" s="36">
        <f t="shared" si="36"/>
        <v>735</v>
      </c>
      <c r="J42" s="36">
        <f t="shared" si="36"/>
        <v>0</v>
      </c>
      <c r="K42" s="36">
        <f t="shared" si="36"/>
        <v>0</v>
      </c>
      <c r="L42" s="36">
        <f t="shared" si="36"/>
        <v>0</v>
      </c>
      <c r="M42" s="36">
        <f t="shared" si="36"/>
        <v>735</v>
      </c>
      <c r="N42" s="36">
        <f t="shared" si="36"/>
        <v>734.92</v>
      </c>
      <c r="O42" s="37">
        <f>IFERROR(N42/$M42,0)</f>
        <v>0.99989115646258497</v>
      </c>
      <c r="P42" s="36">
        <f>P51</f>
        <v>734.92</v>
      </c>
      <c r="Q42" s="37">
        <f>IFERROR(P42/$M42,0)</f>
        <v>0.99989115646258497</v>
      </c>
      <c r="R42" s="36">
        <f>R51</f>
        <v>0</v>
      </c>
      <c r="S42" s="37">
        <f>IFERROR(R42/$M42,0)</f>
        <v>0</v>
      </c>
      <c r="T42" s="36">
        <f>T51</f>
        <v>0</v>
      </c>
      <c r="U42" s="37">
        <f>IFERROR(T42/$M42,0)</f>
        <v>0</v>
      </c>
      <c r="V42" s="36">
        <f>V51</f>
        <v>0</v>
      </c>
      <c r="W42" s="36">
        <f>W51</f>
        <v>0</v>
      </c>
    </row>
    <row r="43" spans="1:64" ht="13.9" customHeight="1" x14ac:dyDescent="0.25">
      <c r="A43" s="12" t="s">
        <v>21</v>
      </c>
      <c r="B43" s="35">
        <v>41</v>
      </c>
      <c r="C43" s="35" t="s">
        <v>23</v>
      </c>
      <c r="D43" s="36">
        <f t="shared" ref="D43:N43" si="37">D57</f>
        <v>101771.75</v>
      </c>
      <c r="E43" s="36">
        <f t="shared" si="37"/>
        <v>119589.51000000001</v>
      </c>
      <c r="F43" s="36">
        <f t="shared" si="37"/>
        <v>104527</v>
      </c>
      <c r="G43" s="36">
        <f t="shared" si="37"/>
        <v>123024</v>
      </c>
      <c r="H43" s="36">
        <f t="shared" si="37"/>
        <v>128170</v>
      </c>
      <c r="I43" s="36">
        <f t="shared" si="37"/>
        <v>3717</v>
      </c>
      <c r="J43" s="36">
        <f t="shared" si="37"/>
        <v>5301</v>
      </c>
      <c r="K43" s="36">
        <f t="shared" si="37"/>
        <v>0</v>
      </c>
      <c r="L43" s="36">
        <f t="shared" si="37"/>
        <v>0</v>
      </c>
      <c r="M43" s="36">
        <f t="shared" si="37"/>
        <v>137188</v>
      </c>
      <c r="N43" s="36">
        <f t="shared" si="37"/>
        <v>42767.700000000004</v>
      </c>
      <c r="O43" s="37">
        <f>IFERROR(N43/$M43,0)</f>
        <v>0.31174519637286063</v>
      </c>
      <c r="P43" s="36">
        <f>P57</f>
        <v>68538.63</v>
      </c>
      <c r="Q43" s="37">
        <f>IFERROR(P43/$M43,0)</f>
        <v>0.4995963932705485</v>
      </c>
      <c r="R43" s="36">
        <f>R57</f>
        <v>0</v>
      </c>
      <c r="S43" s="37">
        <f>IFERROR(R43/$M43,0)</f>
        <v>0</v>
      </c>
      <c r="T43" s="36">
        <f>T57</f>
        <v>0</v>
      </c>
      <c r="U43" s="37">
        <f>IFERROR(T43/$M43,0)</f>
        <v>0</v>
      </c>
      <c r="V43" s="36">
        <f>V57</f>
        <v>128170</v>
      </c>
      <c r="W43" s="36">
        <f>W57</f>
        <v>128170</v>
      </c>
    </row>
    <row r="44" spans="1:64" ht="13.9" customHeight="1" x14ac:dyDescent="0.25">
      <c r="A44" s="12"/>
      <c r="B44" s="35">
        <v>72</v>
      </c>
      <c r="C44" s="35" t="s">
        <v>25</v>
      </c>
      <c r="D44" s="36">
        <f t="shared" ref="D44:N44" si="38">D60</f>
        <v>78785.180000000008</v>
      </c>
      <c r="E44" s="36">
        <f t="shared" si="38"/>
        <v>100447.70999999999</v>
      </c>
      <c r="F44" s="36">
        <f t="shared" si="38"/>
        <v>100476</v>
      </c>
      <c r="G44" s="36">
        <f t="shared" si="38"/>
        <v>87662</v>
      </c>
      <c r="H44" s="36">
        <f t="shared" si="38"/>
        <v>92143</v>
      </c>
      <c r="I44" s="36">
        <f t="shared" si="38"/>
        <v>960</v>
      </c>
      <c r="J44" s="36">
        <f t="shared" si="38"/>
        <v>13484</v>
      </c>
      <c r="K44" s="36">
        <f t="shared" si="38"/>
        <v>0</v>
      </c>
      <c r="L44" s="36">
        <f t="shared" si="38"/>
        <v>0</v>
      </c>
      <c r="M44" s="36">
        <f t="shared" si="38"/>
        <v>106587</v>
      </c>
      <c r="N44" s="36">
        <f t="shared" si="38"/>
        <v>28802.47</v>
      </c>
      <c r="O44" s="37">
        <f>IFERROR(N44/$M44,0)</f>
        <v>0.27022498053233512</v>
      </c>
      <c r="P44" s="36">
        <f>P60</f>
        <v>61555.67</v>
      </c>
      <c r="Q44" s="37">
        <f>IFERROR(P44/$M44,0)</f>
        <v>0.57751573831705549</v>
      </c>
      <c r="R44" s="36">
        <f>R60</f>
        <v>0</v>
      </c>
      <c r="S44" s="37">
        <f>IFERROR(R44/$M44,0)</f>
        <v>0</v>
      </c>
      <c r="T44" s="36">
        <f>T60</f>
        <v>0</v>
      </c>
      <c r="U44" s="37">
        <f>IFERROR(T44/$M44,0)</f>
        <v>0</v>
      </c>
      <c r="V44" s="36">
        <f>V60</f>
        <v>92143</v>
      </c>
      <c r="W44" s="36">
        <f>W60</f>
        <v>92143</v>
      </c>
    </row>
    <row r="45" spans="1:64" ht="13.9" customHeight="1" x14ac:dyDescent="0.25">
      <c r="A45" s="30"/>
      <c r="B45" s="31"/>
      <c r="C45" s="38" t="s">
        <v>29</v>
      </c>
      <c r="D45" s="39">
        <f t="shared" ref="D45:N45" si="39">SUM(D42:D44)</f>
        <v>180793.67</v>
      </c>
      <c r="E45" s="39">
        <f t="shared" si="39"/>
        <v>220066.47</v>
      </c>
      <c r="F45" s="39">
        <f t="shared" si="39"/>
        <v>205003</v>
      </c>
      <c r="G45" s="39">
        <f t="shared" si="39"/>
        <v>214723</v>
      </c>
      <c r="H45" s="39">
        <f t="shared" si="39"/>
        <v>220313</v>
      </c>
      <c r="I45" s="39">
        <f t="shared" si="39"/>
        <v>5412</v>
      </c>
      <c r="J45" s="39">
        <f t="shared" si="39"/>
        <v>18785</v>
      </c>
      <c r="K45" s="39">
        <f t="shared" si="39"/>
        <v>0</v>
      </c>
      <c r="L45" s="39">
        <f t="shared" si="39"/>
        <v>0</v>
      </c>
      <c r="M45" s="39">
        <f t="shared" si="39"/>
        <v>244510</v>
      </c>
      <c r="N45" s="39">
        <f t="shared" si="39"/>
        <v>72305.09</v>
      </c>
      <c r="O45" s="40">
        <f>IFERROR(N45/$M45,0)</f>
        <v>0.29571424481616293</v>
      </c>
      <c r="P45" s="39">
        <f>SUM(P42:P44)</f>
        <v>130829.22</v>
      </c>
      <c r="Q45" s="40">
        <f>IFERROR(P45/$M45,0)</f>
        <v>0.53506695022698458</v>
      </c>
      <c r="R45" s="39">
        <f>SUM(R42:R44)</f>
        <v>0</v>
      </c>
      <c r="S45" s="40">
        <f>IFERROR(R45/$M45,0)</f>
        <v>0</v>
      </c>
      <c r="T45" s="39">
        <f>SUM(T42:T44)</f>
        <v>0</v>
      </c>
      <c r="U45" s="40">
        <f>IFERROR(T45/$M45,0)</f>
        <v>0</v>
      </c>
      <c r="V45" s="39">
        <f>SUM(V42:V44)</f>
        <v>220313</v>
      </c>
      <c r="W45" s="39">
        <f>SUM(W42:W44)</f>
        <v>220313</v>
      </c>
    </row>
    <row r="47" spans="1:64" ht="13.9" customHeight="1" x14ac:dyDescent="0.25">
      <c r="A47" s="41" t="s">
        <v>46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/>
      <c r="P47" s="41"/>
      <c r="Q47" s="41"/>
      <c r="R47" s="41"/>
      <c r="S47" s="41"/>
      <c r="T47" s="41"/>
      <c r="U47" s="41"/>
      <c r="V47" s="41"/>
      <c r="W47" s="41"/>
    </row>
    <row r="48" spans="1:64" ht="13.9" customHeight="1" x14ac:dyDescent="0.25">
      <c r="A48" s="21" t="s">
        <v>32</v>
      </c>
      <c r="B48" s="21" t="s">
        <v>33</v>
      </c>
      <c r="C48" s="21" t="s">
        <v>34</v>
      </c>
      <c r="D48" s="21" t="s">
        <v>1</v>
      </c>
      <c r="E48" s="21" t="s">
        <v>2</v>
      </c>
      <c r="F48" s="21" t="s">
        <v>3</v>
      </c>
      <c r="G48" s="21" t="s">
        <v>4</v>
      </c>
      <c r="H48" s="21" t="s">
        <v>5</v>
      </c>
      <c r="I48" s="21" t="s">
        <v>6</v>
      </c>
      <c r="J48" s="21" t="s">
        <v>7</v>
      </c>
      <c r="K48" s="21" t="s">
        <v>8</v>
      </c>
      <c r="L48" s="21" t="s">
        <v>9</v>
      </c>
      <c r="M48" s="21" t="s">
        <v>10</v>
      </c>
      <c r="N48" s="21" t="s">
        <v>11</v>
      </c>
      <c r="O48" s="22" t="s">
        <v>12</v>
      </c>
      <c r="P48" s="21" t="s">
        <v>13</v>
      </c>
      <c r="Q48" s="22" t="s">
        <v>14</v>
      </c>
      <c r="R48" s="21" t="s">
        <v>15</v>
      </c>
      <c r="S48" s="22" t="s">
        <v>16</v>
      </c>
      <c r="T48" s="21" t="s">
        <v>17</v>
      </c>
      <c r="U48" s="22" t="s">
        <v>18</v>
      </c>
      <c r="V48" s="21" t="s">
        <v>19</v>
      </c>
      <c r="W48" s="21" t="s">
        <v>20</v>
      </c>
    </row>
    <row r="49" spans="1:23" ht="13.9" customHeight="1" x14ac:dyDescent="0.25">
      <c r="A49" s="45" t="s">
        <v>47</v>
      </c>
      <c r="B49" s="24">
        <v>290</v>
      </c>
      <c r="C49" s="24" t="s">
        <v>48</v>
      </c>
      <c r="D49" s="46">
        <v>0</v>
      </c>
      <c r="E49" s="46">
        <v>0</v>
      </c>
      <c r="F49" s="46">
        <v>0</v>
      </c>
      <c r="G49" s="46">
        <v>4037</v>
      </c>
      <c r="H49" s="46">
        <v>0</v>
      </c>
      <c r="I49" s="46"/>
      <c r="J49" s="46"/>
      <c r="K49" s="46"/>
      <c r="L49" s="46"/>
      <c r="M49" s="46">
        <f>H49+SUM(I49:L49)</f>
        <v>0</v>
      </c>
      <c r="N49" s="46">
        <v>0</v>
      </c>
      <c r="O49" s="47">
        <f t="shared" ref="O49:O60" si="40">IFERROR(N49/$M49,0)</f>
        <v>0</v>
      </c>
      <c r="P49" s="46">
        <v>0</v>
      </c>
      <c r="Q49" s="47">
        <f t="shared" ref="Q49:Q60" si="41">IFERROR(P49/$M49,0)</f>
        <v>0</v>
      </c>
      <c r="R49" s="46"/>
      <c r="S49" s="47">
        <f t="shared" ref="S49:S60" si="42">IFERROR(R49/$M49,0)</f>
        <v>0</v>
      </c>
      <c r="T49" s="46"/>
      <c r="U49" s="47">
        <f t="shared" ref="U49:U60" si="43">IFERROR(T49/$M49,0)</f>
        <v>0</v>
      </c>
      <c r="V49" s="25">
        <f>H49</f>
        <v>0</v>
      </c>
      <c r="W49" s="25">
        <f>V49</f>
        <v>0</v>
      </c>
    </row>
    <row r="50" spans="1:23" ht="13.9" customHeight="1" x14ac:dyDescent="0.25">
      <c r="A50" s="45"/>
      <c r="B50" s="24" t="s">
        <v>49</v>
      </c>
      <c r="C50" s="24" t="s">
        <v>50</v>
      </c>
      <c r="D50" s="46">
        <v>236.74</v>
      </c>
      <c r="E50" s="46">
        <v>29.25</v>
      </c>
      <c r="F50" s="46">
        <v>0</v>
      </c>
      <c r="G50" s="46">
        <v>0</v>
      </c>
      <c r="H50" s="46">
        <v>0</v>
      </c>
      <c r="I50" s="46">
        <v>735</v>
      </c>
      <c r="J50" s="46"/>
      <c r="K50" s="46"/>
      <c r="L50" s="46"/>
      <c r="M50" s="46">
        <f>H50+SUM(I50:L50)</f>
        <v>735</v>
      </c>
      <c r="N50" s="46">
        <v>734.92</v>
      </c>
      <c r="O50" s="47">
        <f t="shared" si="40"/>
        <v>0.99989115646258497</v>
      </c>
      <c r="P50" s="46">
        <v>734.92</v>
      </c>
      <c r="Q50" s="47">
        <f t="shared" si="41"/>
        <v>0.99989115646258497</v>
      </c>
      <c r="R50" s="46"/>
      <c r="S50" s="47">
        <f t="shared" si="42"/>
        <v>0</v>
      </c>
      <c r="T50" s="46"/>
      <c r="U50" s="47">
        <f t="shared" si="43"/>
        <v>0</v>
      </c>
      <c r="V50" s="25">
        <f>H50</f>
        <v>0</v>
      </c>
      <c r="W50" s="25">
        <f>V50</f>
        <v>0</v>
      </c>
    </row>
    <row r="51" spans="1:23" ht="13.9" customHeight="1" x14ac:dyDescent="0.25">
      <c r="A51" s="48" t="s">
        <v>21</v>
      </c>
      <c r="B51" s="48">
        <v>111</v>
      </c>
      <c r="C51" s="48" t="s">
        <v>45</v>
      </c>
      <c r="D51" s="49">
        <f>SUM(D49:D50)</f>
        <v>236.74</v>
      </c>
      <c r="E51" s="49">
        <f>SUM(E50)</f>
        <v>29.25</v>
      </c>
      <c r="F51" s="49">
        <f t="shared" ref="F51:N51" si="44">SUM(F49:F50)</f>
        <v>0</v>
      </c>
      <c r="G51" s="49">
        <f t="shared" si="44"/>
        <v>4037</v>
      </c>
      <c r="H51" s="49">
        <f t="shared" si="44"/>
        <v>0</v>
      </c>
      <c r="I51" s="49">
        <f t="shared" si="44"/>
        <v>735</v>
      </c>
      <c r="J51" s="49">
        <f t="shared" si="44"/>
        <v>0</v>
      </c>
      <c r="K51" s="49">
        <f t="shared" si="44"/>
        <v>0</v>
      </c>
      <c r="L51" s="49">
        <f t="shared" si="44"/>
        <v>0</v>
      </c>
      <c r="M51" s="49">
        <f t="shared" si="44"/>
        <v>735</v>
      </c>
      <c r="N51" s="49">
        <f t="shared" si="44"/>
        <v>734.92</v>
      </c>
      <c r="O51" s="50">
        <f t="shared" si="40"/>
        <v>0.99989115646258497</v>
      </c>
      <c r="P51" s="49">
        <f>SUM(P49:P50)</f>
        <v>734.92</v>
      </c>
      <c r="Q51" s="50">
        <f t="shared" si="41"/>
        <v>0.99989115646258497</v>
      </c>
      <c r="R51" s="49">
        <f>SUM(R49:R50)</f>
        <v>0</v>
      </c>
      <c r="S51" s="50">
        <f t="shared" si="42"/>
        <v>0</v>
      </c>
      <c r="T51" s="49">
        <f>SUM(T49:T50)</f>
        <v>0</v>
      </c>
      <c r="U51" s="50">
        <f t="shared" si="43"/>
        <v>0</v>
      </c>
      <c r="V51" s="49">
        <f>SUM(V49:V50)</f>
        <v>0</v>
      </c>
      <c r="W51" s="49">
        <f>SUM(W49:W50)</f>
        <v>0</v>
      </c>
    </row>
    <row r="52" spans="1:23" ht="13.9" customHeight="1" x14ac:dyDescent="0.25">
      <c r="A52" s="11" t="s">
        <v>47</v>
      </c>
      <c r="B52" s="24">
        <v>210</v>
      </c>
      <c r="C52" s="24" t="s">
        <v>51</v>
      </c>
      <c r="D52" s="25">
        <v>3008.78</v>
      </c>
      <c r="E52" s="25">
        <v>5797.62</v>
      </c>
      <c r="F52" s="25">
        <v>3772</v>
      </c>
      <c r="G52" s="25">
        <v>5663</v>
      </c>
      <c r="H52" s="25">
        <v>5610</v>
      </c>
      <c r="I52" s="25">
        <v>110</v>
      </c>
      <c r="J52" s="25">
        <v>1600</v>
      </c>
      <c r="K52" s="25"/>
      <c r="L52" s="25"/>
      <c r="M52" s="25">
        <f>H52+SUM(I52:L52)</f>
        <v>7320</v>
      </c>
      <c r="N52" s="25">
        <v>3112.04</v>
      </c>
      <c r="O52" s="26">
        <f t="shared" si="40"/>
        <v>0.42514207650273222</v>
      </c>
      <c r="P52" s="25">
        <v>5931.85</v>
      </c>
      <c r="Q52" s="26">
        <f t="shared" si="41"/>
        <v>0.8103620218579235</v>
      </c>
      <c r="R52" s="25"/>
      <c r="S52" s="26">
        <f t="shared" si="42"/>
        <v>0</v>
      </c>
      <c r="T52" s="25"/>
      <c r="U52" s="26">
        <f t="shared" si="43"/>
        <v>0</v>
      </c>
      <c r="V52" s="25">
        <f>H52</f>
        <v>5610</v>
      </c>
      <c r="W52" s="25">
        <f>V52</f>
        <v>5610</v>
      </c>
    </row>
    <row r="53" spans="1:23" ht="13.9" customHeight="1" x14ac:dyDescent="0.25">
      <c r="A53" s="11"/>
      <c r="B53" s="24">
        <v>220</v>
      </c>
      <c r="C53" s="24" t="s">
        <v>52</v>
      </c>
      <c r="D53" s="25">
        <v>76775.839999999997</v>
      </c>
      <c r="E53" s="25">
        <v>75387.42</v>
      </c>
      <c r="F53" s="25">
        <v>89899</v>
      </c>
      <c r="G53" s="25">
        <v>95287</v>
      </c>
      <c r="H53" s="25">
        <v>111400</v>
      </c>
      <c r="I53" s="25"/>
      <c r="J53" s="25">
        <v>1628</v>
      </c>
      <c r="K53" s="25"/>
      <c r="L53" s="25"/>
      <c r="M53" s="25">
        <f>H53+SUM(I53:L53)</f>
        <v>113028</v>
      </c>
      <c r="N53" s="25">
        <v>33929.120000000003</v>
      </c>
      <c r="O53" s="26">
        <f t="shared" si="40"/>
        <v>0.30018331740807591</v>
      </c>
      <c r="P53" s="25">
        <v>51916.29</v>
      </c>
      <c r="Q53" s="26">
        <f t="shared" si="41"/>
        <v>0.4593223802951481</v>
      </c>
      <c r="R53" s="25"/>
      <c r="S53" s="26">
        <f t="shared" si="42"/>
        <v>0</v>
      </c>
      <c r="T53" s="25"/>
      <c r="U53" s="26">
        <f t="shared" si="43"/>
        <v>0</v>
      </c>
      <c r="V53" s="25">
        <f>H53</f>
        <v>111400</v>
      </c>
      <c r="W53" s="25">
        <f>V53</f>
        <v>111400</v>
      </c>
    </row>
    <row r="54" spans="1:23" ht="13.9" hidden="1" customHeight="1" x14ac:dyDescent="0.25">
      <c r="A54" s="11"/>
      <c r="B54" s="24">
        <v>230</v>
      </c>
      <c r="C54" s="24" t="s">
        <v>53</v>
      </c>
      <c r="D54" s="25">
        <v>6650</v>
      </c>
      <c r="E54" s="25">
        <v>3650</v>
      </c>
      <c r="F54" s="25">
        <v>0</v>
      </c>
      <c r="G54" s="25">
        <v>0</v>
      </c>
      <c r="H54" s="25">
        <v>0</v>
      </c>
      <c r="I54" s="25"/>
      <c r="J54" s="25"/>
      <c r="K54" s="25"/>
      <c r="L54" s="25"/>
      <c r="M54" s="25">
        <f>H54+SUM(I54:L54)</f>
        <v>0</v>
      </c>
      <c r="N54" s="25">
        <v>0</v>
      </c>
      <c r="O54" s="26">
        <f t="shared" si="40"/>
        <v>0</v>
      </c>
      <c r="P54" s="25"/>
      <c r="Q54" s="26">
        <f t="shared" si="41"/>
        <v>0</v>
      </c>
      <c r="R54" s="25"/>
      <c r="S54" s="26">
        <f t="shared" si="42"/>
        <v>0</v>
      </c>
      <c r="T54" s="25"/>
      <c r="U54" s="26">
        <f t="shared" si="43"/>
        <v>0</v>
      </c>
      <c r="V54" s="25">
        <f>H54</f>
        <v>0</v>
      </c>
      <c r="W54" s="25">
        <f>V54</f>
        <v>0</v>
      </c>
    </row>
    <row r="55" spans="1:23" ht="13.9" customHeight="1" x14ac:dyDescent="0.25">
      <c r="A55" s="11"/>
      <c r="B55" s="24">
        <v>240</v>
      </c>
      <c r="C55" s="24" t="s">
        <v>54</v>
      </c>
      <c r="D55" s="25">
        <v>0</v>
      </c>
      <c r="E55" s="25">
        <v>11.99</v>
      </c>
      <c r="F55" s="25">
        <v>10</v>
      </c>
      <c r="G55" s="25">
        <v>223</v>
      </c>
      <c r="H55" s="25">
        <v>220</v>
      </c>
      <c r="I55" s="25">
        <v>42</v>
      </c>
      <c r="J55" s="25">
        <v>301</v>
      </c>
      <c r="K55" s="25"/>
      <c r="L55" s="25"/>
      <c r="M55" s="25">
        <f>H55+SUM(I55:L55)</f>
        <v>563</v>
      </c>
      <c r="N55" s="25">
        <v>245.68</v>
      </c>
      <c r="O55" s="26">
        <f t="shared" si="40"/>
        <v>0.43637655417406751</v>
      </c>
      <c r="P55" s="25">
        <v>509.18</v>
      </c>
      <c r="Q55" s="26">
        <f t="shared" si="41"/>
        <v>0.90440497335701597</v>
      </c>
      <c r="R55" s="25"/>
      <c r="S55" s="26">
        <f t="shared" si="42"/>
        <v>0</v>
      </c>
      <c r="T55" s="25"/>
      <c r="U55" s="26">
        <f t="shared" si="43"/>
        <v>0</v>
      </c>
      <c r="V55" s="25">
        <f>H55</f>
        <v>220</v>
      </c>
      <c r="W55" s="25">
        <f>V55</f>
        <v>220</v>
      </c>
    </row>
    <row r="56" spans="1:23" ht="13.9" customHeight="1" x14ac:dyDescent="0.25">
      <c r="A56" s="11"/>
      <c r="B56" s="24">
        <v>290</v>
      </c>
      <c r="C56" s="24" t="s">
        <v>48</v>
      </c>
      <c r="D56" s="25">
        <v>15337.13</v>
      </c>
      <c r="E56" s="25">
        <v>34742.480000000003</v>
      </c>
      <c r="F56" s="25">
        <v>10846</v>
      </c>
      <c r="G56" s="25">
        <v>21851</v>
      </c>
      <c r="H56" s="25">
        <v>10940</v>
      </c>
      <c r="I56" s="25">
        <v>3565</v>
      </c>
      <c r="J56" s="25">
        <v>1772</v>
      </c>
      <c r="K56" s="25"/>
      <c r="L56" s="25"/>
      <c r="M56" s="25">
        <f>H56+SUM(I56:L56)</f>
        <v>16277</v>
      </c>
      <c r="N56" s="25">
        <v>5480.86</v>
      </c>
      <c r="O56" s="26">
        <f t="shared" si="40"/>
        <v>0.33672421207839281</v>
      </c>
      <c r="P56" s="25">
        <v>10181.31</v>
      </c>
      <c r="Q56" s="26">
        <f t="shared" si="41"/>
        <v>0.62550285679179207</v>
      </c>
      <c r="R56" s="25"/>
      <c r="S56" s="26">
        <f t="shared" si="42"/>
        <v>0</v>
      </c>
      <c r="T56" s="25"/>
      <c r="U56" s="26">
        <f t="shared" si="43"/>
        <v>0</v>
      </c>
      <c r="V56" s="25">
        <f>H56</f>
        <v>10940</v>
      </c>
      <c r="W56" s="25">
        <f>V56</f>
        <v>10940</v>
      </c>
    </row>
    <row r="57" spans="1:23" ht="13.9" customHeight="1" x14ac:dyDescent="0.25">
      <c r="A57" s="48" t="s">
        <v>21</v>
      </c>
      <c r="B57" s="48">
        <v>41</v>
      </c>
      <c r="C57" s="48" t="s">
        <v>23</v>
      </c>
      <c r="D57" s="49">
        <f t="shared" ref="D57:N57" si="45">SUM(D52:D56)</f>
        <v>101771.75</v>
      </c>
      <c r="E57" s="49">
        <f t="shared" si="45"/>
        <v>119589.51000000001</v>
      </c>
      <c r="F57" s="49">
        <f t="shared" si="45"/>
        <v>104527</v>
      </c>
      <c r="G57" s="49">
        <f t="shared" si="45"/>
        <v>123024</v>
      </c>
      <c r="H57" s="49">
        <f t="shared" si="45"/>
        <v>128170</v>
      </c>
      <c r="I57" s="49">
        <f t="shared" si="45"/>
        <v>3717</v>
      </c>
      <c r="J57" s="49">
        <f t="shared" si="45"/>
        <v>5301</v>
      </c>
      <c r="K57" s="49">
        <f t="shared" si="45"/>
        <v>0</v>
      </c>
      <c r="L57" s="49">
        <f t="shared" si="45"/>
        <v>0</v>
      </c>
      <c r="M57" s="49">
        <f t="shared" si="45"/>
        <v>137188</v>
      </c>
      <c r="N57" s="49">
        <f t="shared" si="45"/>
        <v>42767.700000000004</v>
      </c>
      <c r="O57" s="50">
        <f t="shared" si="40"/>
        <v>0.31174519637286063</v>
      </c>
      <c r="P57" s="49">
        <f>SUM(P52:P56)</f>
        <v>68538.63</v>
      </c>
      <c r="Q57" s="50">
        <f t="shared" si="41"/>
        <v>0.4995963932705485</v>
      </c>
      <c r="R57" s="49">
        <f>SUM(R52:R56)</f>
        <v>0</v>
      </c>
      <c r="S57" s="50">
        <f t="shared" si="42"/>
        <v>0</v>
      </c>
      <c r="T57" s="49">
        <f>SUM(T52:T56)</f>
        <v>0</v>
      </c>
      <c r="U57" s="50">
        <f t="shared" si="43"/>
        <v>0</v>
      </c>
      <c r="V57" s="49">
        <f>SUM(V52:V56)</f>
        <v>128170</v>
      </c>
      <c r="W57" s="49">
        <f>SUM(W52:W56)</f>
        <v>128170</v>
      </c>
    </row>
    <row r="58" spans="1:23" ht="13.9" customHeight="1" x14ac:dyDescent="0.25">
      <c r="A58" s="13" t="s">
        <v>47</v>
      </c>
      <c r="B58" s="24">
        <v>290</v>
      </c>
      <c r="C58" s="24" t="s">
        <v>48</v>
      </c>
      <c r="D58" s="25">
        <v>3032.57</v>
      </c>
      <c r="E58" s="25">
        <v>2376.81</v>
      </c>
      <c r="F58" s="25">
        <v>2576</v>
      </c>
      <c r="G58" s="25">
        <v>2287</v>
      </c>
      <c r="H58" s="25">
        <v>2943</v>
      </c>
      <c r="I58" s="25"/>
      <c r="J58" s="25"/>
      <c r="K58" s="25"/>
      <c r="L58" s="25"/>
      <c r="M58" s="25">
        <f>H58+SUM(I58:L58)</f>
        <v>2943</v>
      </c>
      <c r="N58" s="25">
        <v>675.84</v>
      </c>
      <c r="O58" s="26">
        <f t="shared" si="40"/>
        <v>0.22964322120285424</v>
      </c>
      <c r="P58" s="25">
        <v>1477.13</v>
      </c>
      <c r="Q58" s="26">
        <f t="shared" si="41"/>
        <v>0.50191301393136256</v>
      </c>
      <c r="R58" s="25"/>
      <c r="S58" s="26">
        <f t="shared" si="42"/>
        <v>0</v>
      </c>
      <c r="T58" s="25"/>
      <c r="U58" s="26">
        <f t="shared" si="43"/>
        <v>0</v>
      </c>
      <c r="V58" s="25">
        <f>H58</f>
        <v>2943</v>
      </c>
      <c r="W58" s="25">
        <f>V58</f>
        <v>2943</v>
      </c>
    </row>
    <row r="59" spans="1:23" ht="13.9" customHeight="1" x14ac:dyDescent="0.25">
      <c r="A59" s="13"/>
      <c r="B59" s="24" t="s">
        <v>49</v>
      </c>
      <c r="C59" s="24" t="s">
        <v>50</v>
      </c>
      <c r="D59" s="46">
        <v>75752.61</v>
      </c>
      <c r="E59" s="46">
        <v>98070.9</v>
      </c>
      <c r="F59" s="46">
        <v>97900</v>
      </c>
      <c r="G59" s="46">
        <v>85375</v>
      </c>
      <c r="H59" s="46">
        <v>89200</v>
      </c>
      <c r="I59" s="46">
        <v>960</v>
      </c>
      <c r="J59" s="46">
        <v>13484</v>
      </c>
      <c r="K59" s="46"/>
      <c r="L59" s="46"/>
      <c r="M59" s="46">
        <f>H59+SUM(I59:L59)</f>
        <v>103644</v>
      </c>
      <c r="N59" s="46">
        <v>28126.63</v>
      </c>
      <c r="O59" s="47">
        <f t="shared" si="40"/>
        <v>0.27137731079464322</v>
      </c>
      <c r="P59" s="46">
        <v>60078.54</v>
      </c>
      <c r="Q59" s="47">
        <f t="shared" si="41"/>
        <v>0.57966249855273821</v>
      </c>
      <c r="R59" s="46"/>
      <c r="S59" s="47">
        <f t="shared" si="42"/>
        <v>0</v>
      </c>
      <c r="T59" s="46"/>
      <c r="U59" s="47">
        <f t="shared" si="43"/>
        <v>0</v>
      </c>
      <c r="V59" s="25">
        <f>H59</f>
        <v>89200</v>
      </c>
      <c r="W59" s="25">
        <f>V59</f>
        <v>89200</v>
      </c>
    </row>
    <row r="60" spans="1:23" ht="13.9" customHeight="1" x14ac:dyDescent="0.25">
      <c r="A60" s="48" t="s">
        <v>21</v>
      </c>
      <c r="B60" s="48">
        <v>72</v>
      </c>
      <c r="C60" s="48" t="s">
        <v>25</v>
      </c>
      <c r="D60" s="49">
        <f t="shared" ref="D60:N60" si="46">SUM(D58:D59)</f>
        <v>78785.180000000008</v>
      </c>
      <c r="E60" s="49">
        <f t="shared" si="46"/>
        <v>100447.70999999999</v>
      </c>
      <c r="F60" s="49">
        <f t="shared" si="46"/>
        <v>100476</v>
      </c>
      <c r="G60" s="49">
        <f t="shared" si="46"/>
        <v>87662</v>
      </c>
      <c r="H60" s="49">
        <f t="shared" si="46"/>
        <v>92143</v>
      </c>
      <c r="I60" s="49">
        <f t="shared" si="46"/>
        <v>960</v>
      </c>
      <c r="J60" s="49">
        <f t="shared" si="46"/>
        <v>13484</v>
      </c>
      <c r="K60" s="49">
        <f t="shared" si="46"/>
        <v>0</v>
      </c>
      <c r="L60" s="49">
        <f t="shared" si="46"/>
        <v>0</v>
      </c>
      <c r="M60" s="49">
        <f t="shared" si="46"/>
        <v>106587</v>
      </c>
      <c r="N60" s="49">
        <f t="shared" si="46"/>
        <v>28802.47</v>
      </c>
      <c r="O60" s="50">
        <f t="shared" si="40"/>
        <v>0.27022498053233512</v>
      </c>
      <c r="P60" s="49">
        <f>SUM(P58:P59)</f>
        <v>61555.67</v>
      </c>
      <c r="Q60" s="50">
        <f t="shared" si="41"/>
        <v>0.57751573831705549</v>
      </c>
      <c r="R60" s="49">
        <f>SUM(R58:R59)</f>
        <v>0</v>
      </c>
      <c r="S60" s="50">
        <f t="shared" si="42"/>
        <v>0</v>
      </c>
      <c r="T60" s="49">
        <f>SUM(T58:T59)</f>
        <v>0</v>
      </c>
      <c r="U60" s="50">
        <f t="shared" si="43"/>
        <v>0</v>
      </c>
      <c r="V60" s="49">
        <f>SUM(V58:V59)</f>
        <v>92143</v>
      </c>
      <c r="W60" s="49">
        <f>SUM(W58:W59)</f>
        <v>92143</v>
      </c>
    </row>
    <row r="62" spans="1:23" ht="13.9" customHeight="1" x14ac:dyDescent="0.25">
      <c r="B62" s="52" t="s">
        <v>55</v>
      </c>
      <c r="C62" s="30" t="s">
        <v>56</v>
      </c>
      <c r="D62" s="53">
        <v>3008.78</v>
      </c>
      <c r="E62" s="53">
        <v>5797.62</v>
      </c>
      <c r="F62" s="53">
        <v>3742</v>
      </c>
      <c r="G62" s="53">
        <v>5657</v>
      </c>
      <c r="H62" s="53">
        <v>5600</v>
      </c>
      <c r="I62" s="53"/>
      <c r="J62" s="53">
        <v>1600</v>
      </c>
      <c r="K62" s="53"/>
      <c r="L62" s="53"/>
      <c r="M62" s="53">
        <f t="shared" ref="M62:M71" si="47">H62+SUM(I62:L62)</f>
        <v>7200</v>
      </c>
      <c r="N62" s="53">
        <v>2992.04</v>
      </c>
      <c r="O62" s="54">
        <f t="shared" ref="O62:O71" si="48">IFERROR(N62/$M62,0)</f>
        <v>0.4155611111111111</v>
      </c>
      <c r="P62" s="53">
        <v>5811.85</v>
      </c>
      <c r="Q62" s="54">
        <f t="shared" ref="Q62:Q71" si="49">IFERROR(P62/$M62,0)</f>
        <v>0.80720138888888893</v>
      </c>
      <c r="R62" s="53"/>
      <c r="S62" s="54">
        <f t="shared" ref="S62:S71" si="50">IFERROR(R62/$M62,0)</f>
        <v>0</v>
      </c>
      <c r="T62" s="53"/>
      <c r="U62" s="55">
        <f t="shared" ref="U62:U71" si="51">IFERROR(T62/$M62,0)</f>
        <v>0</v>
      </c>
      <c r="V62" s="53">
        <f>H62</f>
        <v>5600</v>
      </c>
      <c r="W62" s="56">
        <f t="shared" ref="W62:W68" si="52">V62</f>
        <v>5600</v>
      </c>
    </row>
    <row r="63" spans="1:23" ht="13.9" customHeight="1" x14ac:dyDescent="0.25">
      <c r="B63" s="57"/>
      <c r="C63" s="58" t="s">
        <v>57</v>
      </c>
      <c r="D63" s="59">
        <v>8042.5</v>
      </c>
      <c r="E63" s="59">
        <v>6504</v>
      </c>
      <c r="F63" s="59">
        <v>6781</v>
      </c>
      <c r="G63" s="59">
        <v>8135</v>
      </c>
      <c r="H63" s="59">
        <v>8150</v>
      </c>
      <c r="I63" s="59"/>
      <c r="J63" s="59"/>
      <c r="K63" s="59"/>
      <c r="L63" s="59"/>
      <c r="M63" s="59">
        <f t="shared" si="47"/>
        <v>8150</v>
      </c>
      <c r="N63" s="59">
        <v>1905</v>
      </c>
      <c r="O63" s="16">
        <f t="shared" si="48"/>
        <v>0.23374233128834357</v>
      </c>
      <c r="P63" s="59">
        <v>4434</v>
      </c>
      <c r="Q63" s="16">
        <f t="shared" si="49"/>
        <v>0.54404907975460126</v>
      </c>
      <c r="R63" s="59"/>
      <c r="S63" s="16">
        <f t="shared" si="50"/>
        <v>0</v>
      </c>
      <c r="T63" s="59"/>
      <c r="U63" s="60">
        <f t="shared" si="51"/>
        <v>0</v>
      </c>
      <c r="V63" s="59">
        <f>H63</f>
        <v>8150</v>
      </c>
      <c r="W63" s="61">
        <f t="shared" si="52"/>
        <v>8150</v>
      </c>
    </row>
    <row r="64" spans="1:23" ht="13.9" customHeight="1" x14ac:dyDescent="0.25">
      <c r="B64" s="57"/>
      <c r="C64" s="58" t="s">
        <v>58</v>
      </c>
      <c r="D64" s="59">
        <v>22067.42</v>
      </c>
      <c r="E64" s="59">
        <v>15034.52</v>
      </c>
      <c r="F64" s="59">
        <v>29399</v>
      </c>
      <c r="G64" s="59">
        <v>13986</v>
      </c>
      <c r="H64" s="59">
        <v>14000</v>
      </c>
      <c r="I64" s="59"/>
      <c r="J64" s="59">
        <v>260</v>
      </c>
      <c r="K64" s="59"/>
      <c r="L64" s="59"/>
      <c r="M64" s="59">
        <f t="shared" si="47"/>
        <v>14260</v>
      </c>
      <c r="N64" s="59">
        <v>3699.3</v>
      </c>
      <c r="O64" s="16">
        <f t="shared" si="48"/>
        <v>0.25941795231416553</v>
      </c>
      <c r="P64" s="59">
        <v>4792.5</v>
      </c>
      <c r="Q64" s="16">
        <f t="shared" si="49"/>
        <v>0.33607994389901824</v>
      </c>
      <c r="R64" s="59"/>
      <c r="S64" s="16">
        <f t="shared" si="50"/>
        <v>0</v>
      </c>
      <c r="T64" s="59"/>
      <c r="U64" s="60">
        <f t="shared" si="51"/>
        <v>0</v>
      </c>
      <c r="V64" s="59">
        <f>H64</f>
        <v>14000</v>
      </c>
      <c r="W64" s="61">
        <f t="shared" si="52"/>
        <v>14000</v>
      </c>
    </row>
    <row r="65" spans="1:23" ht="13.9" customHeight="1" x14ac:dyDescent="0.25">
      <c r="B65" s="57"/>
      <c r="C65" s="58" t="s">
        <v>59</v>
      </c>
      <c r="D65" s="62">
        <v>41391.19</v>
      </c>
      <c r="E65" s="62">
        <v>42810.92</v>
      </c>
      <c r="F65" s="62">
        <v>48600</v>
      </c>
      <c r="G65" s="62">
        <v>49309</v>
      </c>
      <c r="H65" s="62">
        <v>54050</v>
      </c>
      <c r="I65" s="62"/>
      <c r="J65" s="62"/>
      <c r="K65" s="62"/>
      <c r="L65" s="62"/>
      <c r="M65" s="62">
        <f t="shared" si="47"/>
        <v>54050</v>
      </c>
      <c r="N65" s="62">
        <v>11729.77</v>
      </c>
      <c r="O65" s="63">
        <f t="shared" si="48"/>
        <v>0.21701702127659575</v>
      </c>
      <c r="P65" s="62">
        <v>24271.8</v>
      </c>
      <c r="Q65" s="63">
        <f t="shared" si="49"/>
        <v>0.44906197964847361</v>
      </c>
      <c r="R65" s="62"/>
      <c r="S65" s="63">
        <f t="shared" si="50"/>
        <v>0</v>
      </c>
      <c r="T65" s="62"/>
      <c r="U65" s="64">
        <f t="shared" si="51"/>
        <v>0</v>
      </c>
      <c r="V65" s="59">
        <f>H65</f>
        <v>54050</v>
      </c>
      <c r="W65" s="61">
        <f t="shared" si="52"/>
        <v>54050</v>
      </c>
    </row>
    <row r="66" spans="1:23" ht="13.9" customHeight="1" x14ac:dyDescent="0.25">
      <c r="B66" s="57"/>
      <c r="C66" s="58" t="s">
        <v>60</v>
      </c>
      <c r="D66" s="62">
        <v>0</v>
      </c>
      <c r="E66" s="62">
        <v>500</v>
      </c>
      <c r="F66" s="62">
        <v>0</v>
      </c>
      <c r="G66" s="62">
        <v>15000</v>
      </c>
      <c r="H66" s="62">
        <v>28000</v>
      </c>
      <c r="I66" s="62"/>
      <c r="J66" s="62"/>
      <c r="K66" s="62"/>
      <c r="L66" s="62"/>
      <c r="M66" s="62">
        <f t="shared" si="47"/>
        <v>28000</v>
      </c>
      <c r="N66" s="62">
        <v>14867.6</v>
      </c>
      <c r="O66" s="63">
        <f t="shared" si="48"/>
        <v>0.53098571428571428</v>
      </c>
      <c r="P66" s="62">
        <v>14867.6</v>
      </c>
      <c r="Q66" s="63">
        <f t="shared" si="49"/>
        <v>0.53098571428571428</v>
      </c>
      <c r="R66" s="62"/>
      <c r="S66" s="63">
        <f t="shared" si="50"/>
        <v>0</v>
      </c>
      <c r="T66" s="62"/>
      <c r="U66" s="64">
        <f t="shared" si="51"/>
        <v>0</v>
      </c>
      <c r="V66" s="59">
        <v>0</v>
      </c>
      <c r="W66" s="61">
        <f t="shared" si="52"/>
        <v>0</v>
      </c>
    </row>
    <row r="67" spans="1:23" ht="13.9" customHeight="1" x14ac:dyDescent="0.25">
      <c r="B67" s="57"/>
      <c r="C67" s="58" t="s">
        <v>61</v>
      </c>
      <c r="D67" s="62">
        <v>1195</v>
      </c>
      <c r="E67" s="62">
        <v>1718</v>
      </c>
      <c r="F67" s="62">
        <v>1444</v>
      </c>
      <c r="G67" s="62">
        <v>3200</v>
      </c>
      <c r="H67" s="62">
        <v>3200</v>
      </c>
      <c r="I67" s="62"/>
      <c r="J67" s="62"/>
      <c r="K67" s="62"/>
      <c r="L67" s="62"/>
      <c r="M67" s="62">
        <f t="shared" si="47"/>
        <v>3200</v>
      </c>
      <c r="N67" s="62">
        <v>545</v>
      </c>
      <c r="O67" s="63">
        <f t="shared" si="48"/>
        <v>0.17031250000000001</v>
      </c>
      <c r="P67" s="62">
        <v>745</v>
      </c>
      <c r="Q67" s="63">
        <f t="shared" si="49"/>
        <v>0.23281250000000001</v>
      </c>
      <c r="R67" s="62"/>
      <c r="S67" s="63">
        <f t="shared" si="50"/>
        <v>0</v>
      </c>
      <c r="T67" s="62"/>
      <c r="U67" s="64">
        <f t="shared" si="51"/>
        <v>0</v>
      </c>
      <c r="V67" s="59">
        <f>H67</f>
        <v>3200</v>
      </c>
      <c r="W67" s="61">
        <f t="shared" si="52"/>
        <v>3200</v>
      </c>
    </row>
    <row r="68" spans="1:23" ht="13.9" hidden="1" customHeight="1" x14ac:dyDescent="0.25">
      <c r="B68" s="57"/>
      <c r="C68" s="58" t="s">
        <v>62</v>
      </c>
      <c r="D68" s="62">
        <v>6650</v>
      </c>
      <c r="E68" s="62">
        <v>0</v>
      </c>
      <c r="F68" s="62">
        <v>0</v>
      </c>
      <c r="G68" s="62">
        <v>0</v>
      </c>
      <c r="H68" s="62">
        <v>0</v>
      </c>
      <c r="I68" s="62"/>
      <c r="J68" s="62"/>
      <c r="K68" s="62"/>
      <c r="L68" s="62"/>
      <c r="M68" s="62">
        <f t="shared" si="47"/>
        <v>0</v>
      </c>
      <c r="N68" s="62"/>
      <c r="O68" s="63">
        <f t="shared" si="48"/>
        <v>0</v>
      </c>
      <c r="P68" s="62"/>
      <c r="Q68" s="63">
        <f t="shared" si="49"/>
        <v>0</v>
      </c>
      <c r="R68" s="62"/>
      <c r="S68" s="63">
        <f t="shared" si="50"/>
        <v>0</v>
      </c>
      <c r="T68" s="62"/>
      <c r="U68" s="64">
        <f t="shared" si="51"/>
        <v>0</v>
      </c>
      <c r="V68" s="59">
        <f>H68</f>
        <v>0</v>
      </c>
      <c r="W68" s="61">
        <f t="shared" si="52"/>
        <v>0</v>
      </c>
    </row>
    <row r="69" spans="1:23" ht="13.9" customHeight="1" x14ac:dyDescent="0.25">
      <c r="B69" s="57"/>
      <c r="C69" s="58" t="s">
        <v>63</v>
      </c>
      <c r="D69" s="62">
        <v>3111.51</v>
      </c>
      <c r="E69" s="62">
        <v>16975.27</v>
      </c>
      <c r="F69" s="62">
        <v>1470</v>
      </c>
      <c r="G69" s="62">
        <v>3413</v>
      </c>
      <c r="H69" s="62">
        <v>1600</v>
      </c>
      <c r="I69" s="62">
        <v>411</v>
      </c>
      <c r="J69" s="62">
        <v>241</v>
      </c>
      <c r="K69" s="62"/>
      <c r="L69" s="62"/>
      <c r="M69" s="62">
        <f t="shared" si="47"/>
        <v>2252</v>
      </c>
      <c r="N69" s="62">
        <v>1951.39</v>
      </c>
      <c r="O69" s="63">
        <f t="shared" si="48"/>
        <v>0.86651420959147429</v>
      </c>
      <c r="P69" s="62">
        <v>2132.2399999999998</v>
      </c>
      <c r="Q69" s="63">
        <f t="shared" si="49"/>
        <v>0.94682060390763756</v>
      </c>
      <c r="R69" s="62"/>
      <c r="S69" s="63">
        <f t="shared" si="50"/>
        <v>0</v>
      </c>
      <c r="T69" s="62"/>
      <c r="U69" s="64">
        <f t="shared" si="51"/>
        <v>0</v>
      </c>
      <c r="V69" s="59">
        <v>0</v>
      </c>
      <c r="W69" s="61">
        <v>0</v>
      </c>
    </row>
    <row r="70" spans="1:23" ht="13.9" customHeight="1" x14ac:dyDescent="0.25">
      <c r="B70" s="57"/>
      <c r="C70" s="58" t="s">
        <v>64</v>
      </c>
      <c r="D70" s="59">
        <v>4334.43</v>
      </c>
      <c r="E70" s="59">
        <v>7990.73</v>
      </c>
      <c r="F70" s="59">
        <v>0</v>
      </c>
      <c r="G70" s="59">
        <v>11037</v>
      </c>
      <c r="H70" s="59">
        <v>0</v>
      </c>
      <c r="I70" s="59">
        <v>2955</v>
      </c>
      <c r="J70" s="59"/>
      <c r="K70" s="59"/>
      <c r="L70" s="59"/>
      <c r="M70" s="59">
        <f t="shared" si="47"/>
        <v>2955</v>
      </c>
      <c r="N70" s="59">
        <v>1685.62</v>
      </c>
      <c r="O70" s="16">
        <f t="shared" si="48"/>
        <v>0.57042978003384093</v>
      </c>
      <c r="P70" s="59">
        <v>2954.16</v>
      </c>
      <c r="Q70" s="16">
        <f t="shared" si="49"/>
        <v>0.99971573604060904</v>
      </c>
      <c r="R70" s="59"/>
      <c r="S70" s="16">
        <f t="shared" si="50"/>
        <v>0</v>
      </c>
      <c r="T70" s="59"/>
      <c r="U70" s="60">
        <f t="shared" si="51"/>
        <v>0</v>
      </c>
      <c r="V70" s="59">
        <v>0</v>
      </c>
      <c r="W70" s="61">
        <f>V70</f>
        <v>0</v>
      </c>
    </row>
    <row r="71" spans="1:23" ht="13.9" customHeight="1" x14ac:dyDescent="0.25">
      <c r="B71" s="65"/>
      <c r="C71" s="66" t="s">
        <v>65</v>
      </c>
      <c r="D71" s="67">
        <v>6397.79</v>
      </c>
      <c r="E71" s="67">
        <v>8156.72</v>
      </c>
      <c r="F71" s="67">
        <v>9375</v>
      </c>
      <c r="G71" s="67">
        <v>9293</v>
      </c>
      <c r="H71" s="67">
        <v>9340</v>
      </c>
      <c r="I71" s="67"/>
      <c r="J71" s="67"/>
      <c r="K71" s="67"/>
      <c r="L71" s="67"/>
      <c r="M71" s="67">
        <f t="shared" si="47"/>
        <v>9340</v>
      </c>
      <c r="N71" s="67">
        <v>1696</v>
      </c>
      <c r="O71" s="68">
        <f t="shared" si="48"/>
        <v>0.1815845824411135</v>
      </c>
      <c r="P71" s="67">
        <v>3408</v>
      </c>
      <c r="Q71" s="68">
        <f t="shared" si="49"/>
        <v>0.36488222698072803</v>
      </c>
      <c r="R71" s="67"/>
      <c r="S71" s="68">
        <f t="shared" si="50"/>
        <v>0</v>
      </c>
      <c r="T71" s="67"/>
      <c r="U71" s="69">
        <f t="shared" si="51"/>
        <v>0</v>
      </c>
      <c r="V71" s="67">
        <f>H71</f>
        <v>9340</v>
      </c>
      <c r="W71" s="70">
        <f>V71</f>
        <v>9340</v>
      </c>
    </row>
    <row r="73" spans="1:23" ht="13.9" customHeight="1" x14ac:dyDescent="0.25">
      <c r="A73" s="32" t="s">
        <v>66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  <c r="P73" s="32"/>
      <c r="Q73" s="32"/>
      <c r="R73" s="32"/>
      <c r="S73" s="32"/>
      <c r="T73" s="32"/>
      <c r="U73" s="32"/>
      <c r="V73" s="32"/>
      <c r="W73" s="32"/>
    </row>
    <row r="74" spans="1:23" ht="13.9" customHeight="1" x14ac:dyDescent="0.25">
      <c r="A74" s="20"/>
      <c r="B74" s="20"/>
      <c r="C74" s="20"/>
      <c r="D74" s="21" t="s">
        <v>1</v>
      </c>
      <c r="E74" s="21" t="s">
        <v>2</v>
      </c>
      <c r="F74" s="21" t="s">
        <v>3</v>
      </c>
      <c r="G74" s="21" t="s">
        <v>4</v>
      </c>
      <c r="H74" s="21" t="s">
        <v>5</v>
      </c>
      <c r="I74" s="21" t="s">
        <v>6</v>
      </c>
      <c r="J74" s="21" t="s">
        <v>7</v>
      </c>
      <c r="K74" s="21" t="s">
        <v>8</v>
      </c>
      <c r="L74" s="21" t="s">
        <v>9</v>
      </c>
      <c r="M74" s="21" t="s">
        <v>10</v>
      </c>
      <c r="N74" s="21" t="s">
        <v>11</v>
      </c>
      <c r="O74" s="22" t="s">
        <v>12</v>
      </c>
      <c r="P74" s="21" t="s">
        <v>13</v>
      </c>
      <c r="Q74" s="22" t="s">
        <v>14</v>
      </c>
      <c r="R74" s="21" t="s">
        <v>15</v>
      </c>
      <c r="S74" s="22" t="s">
        <v>16</v>
      </c>
      <c r="T74" s="21" t="s">
        <v>17</v>
      </c>
      <c r="U74" s="22" t="s">
        <v>18</v>
      </c>
      <c r="V74" s="21" t="s">
        <v>19</v>
      </c>
      <c r="W74" s="21" t="s">
        <v>20</v>
      </c>
    </row>
    <row r="75" spans="1:23" ht="13.9" customHeight="1" x14ac:dyDescent="0.25">
      <c r="A75" s="12" t="s">
        <v>21</v>
      </c>
      <c r="B75" s="35">
        <v>111</v>
      </c>
      <c r="C75" s="35" t="s">
        <v>22</v>
      </c>
      <c r="D75" s="71">
        <f t="shared" ref="D75:N75" si="53">D121</f>
        <v>946857.87</v>
      </c>
      <c r="E75" s="71">
        <f t="shared" si="53"/>
        <v>1489256.4100000004</v>
      </c>
      <c r="F75" s="71">
        <f t="shared" si="53"/>
        <v>1876891</v>
      </c>
      <c r="G75" s="71">
        <f t="shared" si="53"/>
        <v>1266175</v>
      </c>
      <c r="H75" s="71">
        <f t="shared" si="53"/>
        <v>2079025</v>
      </c>
      <c r="I75" s="71">
        <f t="shared" si="53"/>
        <v>30939</v>
      </c>
      <c r="J75" s="71">
        <f t="shared" si="53"/>
        <v>89475</v>
      </c>
      <c r="K75" s="71">
        <f t="shared" si="53"/>
        <v>0</v>
      </c>
      <c r="L75" s="71">
        <f t="shared" si="53"/>
        <v>0</v>
      </c>
      <c r="M75" s="71">
        <f t="shared" si="53"/>
        <v>2199439</v>
      </c>
      <c r="N75" s="71">
        <f t="shared" si="53"/>
        <v>410847.48</v>
      </c>
      <c r="O75" s="72">
        <f>IFERROR(N75/$M75,0)</f>
        <v>0.18679648764980525</v>
      </c>
      <c r="P75" s="71">
        <f>P121</f>
        <v>1028827.8900000001</v>
      </c>
      <c r="Q75" s="72">
        <f>IFERROR(P75/$M75,0)</f>
        <v>0.46776832183115791</v>
      </c>
      <c r="R75" s="71">
        <f>R121</f>
        <v>0</v>
      </c>
      <c r="S75" s="72">
        <f>IFERROR(R75/$M75,0)</f>
        <v>0</v>
      </c>
      <c r="T75" s="71">
        <f>T121</f>
        <v>0</v>
      </c>
      <c r="U75" s="72">
        <f>IFERROR(T75/$M75,0)</f>
        <v>0</v>
      </c>
      <c r="V75" s="71">
        <f>V121</f>
        <v>1203821</v>
      </c>
      <c r="W75" s="71">
        <f>W121</f>
        <v>1206776</v>
      </c>
    </row>
    <row r="76" spans="1:23" ht="13.9" customHeight="1" x14ac:dyDescent="0.25">
      <c r="A76" s="12" t="s">
        <v>21</v>
      </c>
      <c r="B76" s="35">
        <v>71</v>
      </c>
      <c r="C76" s="35" t="s">
        <v>24</v>
      </c>
      <c r="D76" s="36">
        <f t="shared" ref="D76:N76" si="54">D124</f>
        <v>3000</v>
      </c>
      <c r="E76" s="36">
        <f t="shared" si="54"/>
        <v>3000</v>
      </c>
      <c r="F76" s="36">
        <f t="shared" si="54"/>
        <v>3000</v>
      </c>
      <c r="G76" s="36">
        <f t="shared" si="54"/>
        <v>3000</v>
      </c>
      <c r="H76" s="36">
        <f t="shared" si="54"/>
        <v>9000</v>
      </c>
      <c r="I76" s="36">
        <f t="shared" si="54"/>
        <v>0</v>
      </c>
      <c r="J76" s="36">
        <f t="shared" si="54"/>
        <v>0</v>
      </c>
      <c r="K76" s="36">
        <f t="shared" si="54"/>
        <v>0</v>
      </c>
      <c r="L76" s="36">
        <f t="shared" si="54"/>
        <v>0</v>
      </c>
      <c r="M76" s="36">
        <f t="shared" si="54"/>
        <v>9000</v>
      </c>
      <c r="N76" s="36">
        <f t="shared" si="54"/>
        <v>0</v>
      </c>
      <c r="O76" s="37">
        <f>IFERROR(N76/$M76,0)</f>
        <v>0</v>
      </c>
      <c r="P76" s="36">
        <f>P124</f>
        <v>3000</v>
      </c>
      <c r="Q76" s="37">
        <f>IFERROR(P76/$M76,0)</f>
        <v>0.33333333333333331</v>
      </c>
      <c r="R76" s="36">
        <f>R124</f>
        <v>0</v>
      </c>
      <c r="S76" s="37">
        <f>IFERROR(R76/$M76,0)</f>
        <v>0</v>
      </c>
      <c r="T76" s="36">
        <f>T124</f>
        <v>0</v>
      </c>
      <c r="U76" s="37">
        <f>IFERROR(T76/$M76,0)</f>
        <v>0</v>
      </c>
      <c r="V76" s="36">
        <f>V124</f>
        <v>3000</v>
      </c>
      <c r="W76" s="36">
        <f>W124</f>
        <v>3000</v>
      </c>
    </row>
    <row r="77" spans="1:23" ht="13.9" customHeight="1" x14ac:dyDescent="0.25">
      <c r="A77" s="12" t="s">
        <v>21</v>
      </c>
      <c r="B77" s="35">
        <v>72</v>
      </c>
      <c r="C77" s="35" t="s">
        <v>25</v>
      </c>
      <c r="D77" s="36">
        <f t="shared" ref="D77:N77" si="55">D126</f>
        <v>4347.1400000000003</v>
      </c>
      <c r="E77" s="36">
        <f t="shared" si="55"/>
        <v>5986.24</v>
      </c>
      <c r="F77" s="36">
        <f t="shared" si="55"/>
        <v>0</v>
      </c>
      <c r="G77" s="36">
        <f t="shared" si="55"/>
        <v>11</v>
      </c>
      <c r="H77" s="36">
        <f t="shared" si="55"/>
        <v>2000</v>
      </c>
      <c r="I77" s="36">
        <f t="shared" si="55"/>
        <v>0</v>
      </c>
      <c r="J77" s="36">
        <f t="shared" si="55"/>
        <v>0</v>
      </c>
      <c r="K77" s="36">
        <f t="shared" si="55"/>
        <v>0</v>
      </c>
      <c r="L77" s="36">
        <f t="shared" si="55"/>
        <v>0</v>
      </c>
      <c r="M77" s="36">
        <f t="shared" si="55"/>
        <v>2000</v>
      </c>
      <c r="N77" s="36">
        <f t="shared" si="55"/>
        <v>0</v>
      </c>
      <c r="O77" s="37">
        <f>IFERROR(N77/$M77,0)</f>
        <v>0</v>
      </c>
      <c r="P77" s="36">
        <f>P126</f>
        <v>0</v>
      </c>
      <c r="Q77" s="37">
        <f>IFERROR(P77/$M77,0)</f>
        <v>0</v>
      </c>
      <c r="R77" s="36">
        <f>R126</f>
        <v>0</v>
      </c>
      <c r="S77" s="37">
        <f>IFERROR(R77/$M77,0)</f>
        <v>0</v>
      </c>
      <c r="T77" s="36">
        <f>T126</f>
        <v>0</v>
      </c>
      <c r="U77" s="37">
        <f>IFERROR(T77/$M77,0)</f>
        <v>0</v>
      </c>
      <c r="V77" s="36">
        <f>V126</f>
        <v>2000</v>
      </c>
      <c r="W77" s="36">
        <f>W126</f>
        <v>2000</v>
      </c>
    </row>
    <row r="78" spans="1:23" ht="13.9" customHeight="1" x14ac:dyDescent="0.25">
      <c r="A78" s="30"/>
      <c r="B78" s="31"/>
      <c r="C78" s="38" t="s">
        <v>29</v>
      </c>
      <c r="D78" s="39">
        <f t="shared" ref="D78:N78" si="56">SUM(D75:D77)</f>
        <v>954205.01</v>
      </c>
      <c r="E78" s="39">
        <f t="shared" si="56"/>
        <v>1498242.6500000004</v>
      </c>
      <c r="F78" s="39">
        <f t="shared" si="56"/>
        <v>1879891</v>
      </c>
      <c r="G78" s="39">
        <f t="shared" si="56"/>
        <v>1269186</v>
      </c>
      <c r="H78" s="39">
        <f t="shared" si="56"/>
        <v>2090025</v>
      </c>
      <c r="I78" s="39">
        <f t="shared" si="56"/>
        <v>30939</v>
      </c>
      <c r="J78" s="39">
        <f t="shared" si="56"/>
        <v>89475</v>
      </c>
      <c r="K78" s="39">
        <f t="shared" si="56"/>
        <v>0</v>
      </c>
      <c r="L78" s="39">
        <f t="shared" si="56"/>
        <v>0</v>
      </c>
      <c r="M78" s="39">
        <f t="shared" si="56"/>
        <v>2210439</v>
      </c>
      <c r="N78" s="39">
        <f t="shared" si="56"/>
        <v>410847.48</v>
      </c>
      <c r="O78" s="40">
        <f>IFERROR(N78/$M78,0)</f>
        <v>0.18586691602889741</v>
      </c>
      <c r="P78" s="39">
        <f>SUM(P75:P77)</f>
        <v>1031827.8900000001</v>
      </c>
      <c r="Q78" s="40">
        <f>IFERROR(P78/$M78,0)</f>
        <v>0.46679772208145087</v>
      </c>
      <c r="R78" s="39">
        <f>SUM(R75:R77)</f>
        <v>0</v>
      </c>
      <c r="S78" s="40">
        <f>IFERROR(R78/$M78,0)</f>
        <v>0</v>
      </c>
      <c r="T78" s="39">
        <f>SUM(T75:T77)</f>
        <v>0</v>
      </c>
      <c r="U78" s="40">
        <f>IFERROR(T78/$M78,0)</f>
        <v>0</v>
      </c>
      <c r="V78" s="39">
        <f>SUM(V75:V77)</f>
        <v>1208821</v>
      </c>
      <c r="W78" s="39">
        <f>SUM(W75:W77)</f>
        <v>1211776</v>
      </c>
    </row>
    <row r="80" spans="1:23" ht="13.9" customHeight="1" x14ac:dyDescent="0.25">
      <c r="A80" s="73" t="s">
        <v>67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3"/>
      <c r="Q80" s="73"/>
      <c r="R80" s="73"/>
      <c r="S80" s="73"/>
      <c r="T80" s="73"/>
      <c r="U80" s="73"/>
      <c r="V80" s="73"/>
      <c r="W80" s="73"/>
    </row>
    <row r="81" spans="1:23" ht="13.9" customHeight="1" x14ac:dyDescent="0.25">
      <c r="A81" s="21" t="s">
        <v>32</v>
      </c>
      <c r="B81" s="21" t="s">
        <v>33</v>
      </c>
      <c r="C81" s="21" t="s">
        <v>34</v>
      </c>
      <c r="D81" s="21" t="s">
        <v>1</v>
      </c>
      <c r="E81" s="21" t="s">
        <v>2</v>
      </c>
      <c r="F81" s="21" t="s">
        <v>3</v>
      </c>
      <c r="G81" s="21" t="s">
        <v>4</v>
      </c>
      <c r="H81" s="21" t="s">
        <v>5</v>
      </c>
      <c r="I81" s="21" t="s">
        <v>6</v>
      </c>
      <c r="J81" s="21" t="s">
        <v>7</v>
      </c>
      <c r="K81" s="21" t="s">
        <v>8</v>
      </c>
      <c r="L81" s="21" t="s">
        <v>9</v>
      </c>
      <c r="M81" s="21" t="s">
        <v>10</v>
      </c>
      <c r="N81" s="21" t="s">
        <v>11</v>
      </c>
      <c r="O81" s="22" t="s">
        <v>12</v>
      </c>
      <c r="P81" s="21" t="s">
        <v>13</v>
      </c>
      <c r="Q81" s="22" t="s">
        <v>14</v>
      </c>
      <c r="R81" s="21" t="s">
        <v>15</v>
      </c>
      <c r="S81" s="22" t="s">
        <v>16</v>
      </c>
      <c r="T81" s="21" t="s">
        <v>17</v>
      </c>
      <c r="U81" s="22" t="s">
        <v>18</v>
      </c>
      <c r="V81" s="21" t="s">
        <v>19</v>
      </c>
      <c r="W81" s="21" t="s">
        <v>20</v>
      </c>
    </row>
    <row r="82" spans="1:23" ht="13.9" hidden="1" customHeight="1" x14ac:dyDescent="0.25">
      <c r="A82" s="11" t="s">
        <v>68</v>
      </c>
      <c r="B82" s="24">
        <v>311</v>
      </c>
      <c r="C82" s="24" t="s">
        <v>69</v>
      </c>
      <c r="D82" s="75">
        <v>0</v>
      </c>
      <c r="E82" s="75">
        <v>16648</v>
      </c>
      <c r="F82" s="75">
        <v>0</v>
      </c>
      <c r="G82" s="75">
        <v>0</v>
      </c>
      <c r="H82" s="75">
        <v>0</v>
      </c>
      <c r="I82" s="75"/>
      <c r="J82" s="75"/>
      <c r="K82" s="75"/>
      <c r="L82" s="75"/>
      <c r="M82" s="75">
        <f t="shared" ref="M82:M120" si="57">H82+SUM(I82:L82)</f>
        <v>0</v>
      </c>
      <c r="N82" s="75">
        <v>0</v>
      </c>
      <c r="O82" s="76">
        <f t="shared" ref="O82:O126" si="58">IFERROR(N82/$M82,0)</f>
        <v>0</v>
      </c>
      <c r="P82" s="75">
        <v>0</v>
      </c>
      <c r="Q82" s="76">
        <f t="shared" ref="Q82:Q126" si="59">IFERROR(P82/$M82,0)</f>
        <v>0</v>
      </c>
      <c r="R82" s="75"/>
      <c r="S82" s="76">
        <f t="shared" ref="S82:S126" si="60">IFERROR(R82/$M82,0)</f>
        <v>0</v>
      </c>
      <c r="T82" s="75"/>
      <c r="U82" s="76">
        <f t="shared" ref="U82:U126" si="61">IFERROR(T82/$M82,0)</f>
        <v>0</v>
      </c>
      <c r="V82" s="77">
        <f t="shared" ref="V82:V90" si="62">H82</f>
        <v>0</v>
      </c>
      <c r="W82" s="77">
        <f t="shared" ref="W82:W90" si="63">V82</f>
        <v>0</v>
      </c>
    </row>
    <row r="83" spans="1:23" ht="13.9" customHeight="1" x14ac:dyDescent="0.25">
      <c r="A83" s="11"/>
      <c r="B83" s="24">
        <v>312001</v>
      </c>
      <c r="C83" s="24" t="s">
        <v>70</v>
      </c>
      <c r="D83" s="75">
        <v>572208</v>
      </c>
      <c r="E83" s="75">
        <v>677361</v>
      </c>
      <c r="F83" s="75">
        <v>614500</v>
      </c>
      <c r="G83" s="75">
        <v>669400</v>
      </c>
      <c r="H83" s="75">
        <v>648560</v>
      </c>
      <c r="I83" s="75">
        <v>16856</v>
      </c>
      <c r="J83" s="75">
        <v>39335</v>
      </c>
      <c r="K83" s="75"/>
      <c r="L83" s="75"/>
      <c r="M83" s="75">
        <f t="shared" si="57"/>
        <v>704751</v>
      </c>
      <c r="N83" s="75">
        <v>166504</v>
      </c>
      <c r="O83" s="76">
        <f t="shared" si="58"/>
        <v>0.23625933130992366</v>
      </c>
      <c r="P83" s="75">
        <v>372192</v>
      </c>
      <c r="Q83" s="76">
        <f t="shared" si="59"/>
        <v>0.52811844183264722</v>
      </c>
      <c r="R83" s="75"/>
      <c r="S83" s="76">
        <f t="shared" si="60"/>
        <v>0</v>
      </c>
      <c r="T83" s="75"/>
      <c r="U83" s="76">
        <f t="shared" si="61"/>
        <v>0</v>
      </c>
      <c r="V83" s="77">
        <f t="shared" si="62"/>
        <v>648560</v>
      </c>
      <c r="W83" s="77">
        <f t="shared" si="63"/>
        <v>648560</v>
      </c>
    </row>
    <row r="84" spans="1:23" ht="13.9" customHeight="1" x14ac:dyDescent="0.25">
      <c r="A84" s="11"/>
      <c r="B84" s="24">
        <v>312001</v>
      </c>
      <c r="C84" s="24" t="s">
        <v>71</v>
      </c>
      <c r="D84" s="75">
        <v>2220</v>
      </c>
      <c r="E84" s="75">
        <v>1250</v>
      </c>
      <c r="F84" s="75">
        <v>1250</v>
      </c>
      <c r="G84" s="75">
        <v>650</v>
      </c>
      <c r="H84" s="75">
        <v>1250</v>
      </c>
      <c r="I84" s="75"/>
      <c r="J84" s="75"/>
      <c r="K84" s="75"/>
      <c r="L84" s="75"/>
      <c r="M84" s="75">
        <f t="shared" si="57"/>
        <v>1250</v>
      </c>
      <c r="N84" s="75">
        <v>300</v>
      </c>
      <c r="O84" s="76">
        <f t="shared" si="58"/>
        <v>0.24</v>
      </c>
      <c r="P84" s="75">
        <v>300</v>
      </c>
      <c r="Q84" s="76">
        <f t="shared" si="59"/>
        <v>0.24</v>
      </c>
      <c r="R84" s="75"/>
      <c r="S84" s="76">
        <f t="shared" si="60"/>
        <v>0</v>
      </c>
      <c r="T84" s="75"/>
      <c r="U84" s="76">
        <f t="shared" si="61"/>
        <v>0</v>
      </c>
      <c r="V84" s="77">
        <f t="shared" si="62"/>
        <v>1250</v>
      </c>
      <c r="W84" s="77">
        <f t="shared" si="63"/>
        <v>1250</v>
      </c>
    </row>
    <row r="85" spans="1:23" ht="13.9" customHeight="1" x14ac:dyDescent="0.25">
      <c r="A85" s="11"/>
      <c r="B85" s="24">
        <v>312001</v>
      </c>
      <c r="C85" s="24" t="s">
        <v>72</v>
      </c>
      <c r="D85" s="75">
        <v>19805</v>
      </c>
      <c r="E85" s="75">
        <v>23002</v>
      </c>
      <c r="F85" s="75">
        <v>24768</v>
      </c>
      <c r="G85" s="75">
        <v>43952</v>
      </c>
      <c r="H85" s="75">
        <v>51372</v>
      </c>
      <c r="I85" s="75"/>
      <c r="J85" s="75"/>
      <c r="K85" s="75"/>
      <c r="L85" s="75"/>
      <c r="M85" s="75">
        <f t="shared" si="57"/>
        <v>51372</v>
      </c>
      <c r="N85" s="75">
        <v>51732</v>
      </c>
      <c r="O85" s="76">
        <f t="shared" si="58"/>
        <v>1.0070077084793272</v>
      </c>
      <c r="P85" s="75">
        <v>51732</v>
      </c>
      <c r="Q85" s="76">
        <f t="shared" si="59"/>
        <v>1.0070077084793272</v>
      </c>
      <c r="R85" s="75"/>
      <c r="S85" s="76">
        <f t="shared" si="60"/>
        <v>0</v>
      </c>
      <c r="T85" s="75"/>
      <c r="U85" s="76">
        <f t="shared" si="61"/>
        <v>0</v>
      </c>
      <c r="V85" s="77">
        <f t="shared" si="62"/>
        <v>51372</v>
      </c>
      <c r="W85" s="77">
        <f t="shared" si="63"/>
        <v>51372</v>
      </c>
    </row>
    <row r="86" spans="1:23" ht="13.9" customHeight="1" x14ac:dyDescent="0.25">
      <c r="A86" s="11"/>
      <c r="B86" s="24">
        <v>312001</v>
      </c>
      <c r="C86" s="24" t="s">
        <v>73</v>
      </c>
      <c r="D86" s="75">
        <v>6938</v>
      </c>
      <c r="E86" s="75">
        <v>6893</v>
      </c>
      <c r="F86" s="75">
        <v>6880</v>
      </c>
      <c r="G86" s="75">
        <v>6925</v>
      </c>
      <c r="H86" s="75">
        <v>6880</v>
      </c>
      <c r="I86" s="75"/>
      <c r="J86" s="75"/>
      <c r="K86" s="75"/>
      <c r="L86" s="75"/>
      <c r="M86" s="75">
        <f t="shared" si="57"/>
        <v>6880</v>
      </c>
      <c r="N86" s="75">
        <v>2083</v>
      </c>
      <c r="O86" s="76">
        <f t="shared" si="58"/>
        <v>0.30276162790697675</v>
      </c>
      <c r="P86" s="75">
        <v>4166</v>
      </c>
      <c r="Q86" s="76">
        <f t="shared" si="59"/>
        <v>0.6055232558139535</v>
      </c>
      <c r="R86" s="75"/>
      <c r="S86" s="76">
        <f t="shared" si="60"/>
        <v>0</v>
      </c>
      <c r="T86" s="75"/>
      <c r="U86" s="76">
        <f t="shared" si="61"/>
        <v>0</v>
      </c>
      <c r="V86" s="77">
        <f t="shared" si="62"/>
        <v>6880</v>
      </c>
      <c r="W86" s="77">
        <f t="shared" si="63"/>
        <v>6880</v>
      </c>
    </row>
    <row r="87" spans="1:23" ht="13.9" customHeight="1" x14ac:dyDescent="0.25">
      <c r="A87" s="11"/>
      <c r="B87" s="24">
        <v>312001</v>
      </c>
      <c r="C87" s="24" t="s">
        <v>74</v>
      </c>
      <c r="D87" s="75">
        <v>5787.6</v>
      </c>
      <c r="E87" s="75">
        <v>41022.800000000003</v>
      </c>
      <c r="F87" s="75">
        <v>71250</v>
      </c>
      <c r="G87" s="75">
        <v>69303</v>
      </c>
      <c r="H87" s="75">
        <v>71250</v>
      </c>
      <c r="I87" s="75"/>
      <c r="J87" s="75"/>
      <c r="K87" s="75"/>
      <c r="L87" s="75"/>
      <c r="M87" s="75">
        <f t="shared" si="57"/>
        <v>71250</v>
      </c>
      <c r="N87" s="75">
        <v>52284.5</v>
      </c>
      <c r="O87" s="76">
        <f t="shared" si="58"/>
        <v>0.73381754385964915</v>
      </c>
      <c r="P87" s="75">
        <v>52284.5</v>
      </c>
      <c r="Q87" s="76">
        <f t="shared" si="59"/>
        <v>0.73381754385964915</v>
      </c>
      <c r="R87" s="75"/>
      <c r="S87" s="76">
        <f t="shared" si="60"/>
        <v>0</v>
      </c>
      <c r="T87" s="75"/>
      <c r="U87" s="76">
        <f t="shared" si="61"/>
        <v>0</v>
      </c>
      <c r="V87" s="77">
        <f t="shared" si="62"/>
        <v>71250</v>
      </c>
      <c r="W87" s="77">
        <f t="shared" si="63"/>
        <v>71250</v>
      </c>
    </row>
    <row r="88" spans="1:23" ht="13.9" customHeight="1" x14ac:dyDescent="0.25">
      <c r="A88" s="11"/>
      <c r="B88" s="24">
        <v>312001</v>
      </c>
      <c r="C88" s="24" t="s">
        <v>75</v>
      </c>
      <c r="D88" s="75">
        <v>415</v>
      </c>
      <c r="E88" s="75">
        <v>315.39999999999998</v>
      </c>
      <c r="F88" s="75">
        <v>415</v>
      </c>
      <c r="G88" s="75">
        <v>199</v>
      </c>
      <c r="H88" s="75">
        <v>415</v>
      </c>
      <c r="I88" s="75"/>
      <c r="J88" s="75"/>
      <c r="K88" s="75"/>
      <c r="L88" s="75"/>
      <c r="M88" s="75">
        <f t="shared" si="57"/>
        <v>415</v>
      </c>
      <c r="N88" s="75">
        <v>66.400000000000006</v>
      </c>
      <c r="O88" s="76">
        <f t="shared" si="58"/>
        <v>0.16</v>
      </c>
      <c r="P88" s="75">
        <v>66.400000000000006</v>
      </c>
      <c r="Q88" s="76">
        <f t="shared" si="59"/>
        <v>0.16</v>
      </c>
      <c r="R88" s="75"/>
      <c r="S88" s="76">
        <f t="shared" si="60"/>
        <v>0</v>
      </c>
      <c r="T88" s="75"/>
      <c r="U88" s="76">
        <f t="shared" si="61"/>
        <v>0</v>
      </c>
      <c r="V88" s="77">
        <f t="shared" si="62"/>
        <v>415</v>
      </c>
      <c r="W88" s="77">
        <f t="shared" si="63"/>
        <v>415</v>
      </c>
    </row>
    <row r="89" spans="1:23" ht="13.9" customHeight="1" x14ac:dyDescent="0.25">
      <c r="A89" s="11"/>
      <c r="B89" s="24">
        <v>312001</v>
      </c>
      <c r="C89" s="24" t="s">
        <v>76</v>
      </c>
      <c r="D89" s="75">
        <f>9960+14756+376+450</f>
        <v>25542</v>
      </c>
      <c r="E89" s="75">
        <v>30417.64</v>
      </c>
      <c r="F89" s="75">
        <v>8750</v>
      </c>
      <c r="G89" s="75">
        <v>20372</v>
      </c>
      <c r="H89" s="75">
        <v>31630</v>
      </c>
      <c r="I89" s="75"/>
      <c r="J89" s="75">
        <v>1701</v>
      </c>
      <c r="K89" s="75"/>
      <c r="L89" s="75"/>
      <c r="M89" s="75">
        <f t="shared" si="57"/>
        <v>33331</v>
      </c>
      <c r="N89" s="75">
        <v>21812</v>
      </c>
      <c r="O89" s="76">
        <f t="shared" si="58"/>
        <v>0.65440580840658846</v>
      </c>
      <c r="P89" s="75">
        <v>28513</v>
      </c>
      <c r="Q89" s="76">
        <f t="shared" si="59"/>
        <v>0.85544988149170442</v>
      </c>
      <c r="R89" s="75"/>
      <c r="S89" s="76">
        <f t="shared" si="60"/>
        <v>0</v>
      </c>
      <c r="T89" s="75"/>
      <c r="U89" s="76">
        <f t="shared" si="61"/>
        <v>0</v>
      </c>
      <c r="V89" s="77">
        <f t="shared" si="62"/>
        <v>31630</v>
      </c>
      <c r="W89" s="77">
        <f t="shared" si="63"/>
        <v>31630</v>
      </c>
    </row>
    <row r="90" spans="1:23" ht="13.9" customHeight="1" x14ac:dyDescent="0.25">
      <c r="A90" s="11"/>
      <c r="B90" s="24">
        <v>312001</v>
      </c>
      <c r="C90" s="24" t="s">
        <v>77</v>
      </c>
      <c r="D90" s="75">
        <v>0</v>
      </c>
      <c r="E90" s="75">
        <v>0</v>
      </c>
      <c r="F90" s="75">
        <v>0</v>
      </c>
      <c r="G90" s="75">
        <v>287</v>
      </c>
      <c r="H90" s="75">
        <v>0</v>
      </c>
      <c r="I90" s="75"/>
      <c r="J90" s="75">
        <v>978</v>
      </c>
      <c r="K90" s="75"/>
      <c r="L90" s="75"/>
      <c r="M90" s="75">
        <f t="shared" si="57"/>
        <v>978</v>
      </c>
      <c r="N90" s="75">
        <v>0</v>
      </c>
      <c r="O90" s="76">
        <f t="shared" si="58"/>
        <v>0</v>
      </c>
      <c r="P90" s="75">
        <v>978</v>
      </c>
      <c r="Q90" s="76">
        <f t="shared" si="59"/>
        <v>1</v>
      </c>
      <c r="R90" s="75"/>
      <c r="S90" s="76">
        <f t="shared" si="60"/>
        <v>0</v>
      </c>
      <c r="T90" s="75"/>
      <c r="U90" s="76">
        <f t="shared" si="61"/>
        <v>0</v>
      </c>
      <c r="V90" s="77">
        <f t="shared" si="62"/>
        <v>0</v>
      </c>
      <c r="W90" s="77">
        <f t="shared" si="63"/>
        <v>0</v>
      </c>
    </row>
    <row r="91" spans="1:23" ht="13.9" customHeight="1" x14ac:dyDescent="0.25">
      <c r="A91" s="11"/>
      <c r="B91" s="24">
        <v>312001</v>
      </c>
      <c r="C91" s="24" t="s">
        <v>78</v>
      </c>
      <c r="D91" s="75">
        <v>0</v>
      </c>
      <c r="E91" s="75">
        <v>0</v>
      </c>
      <c r="F91" s="75">
        <v>34575</v>
      </c>
      <c r="G91" s="75">
        <v>31656</v>
      </c>
      <c r="H91" s="75">
        <v>15432</v>
      </c>
      <c r="I91" s="75"/>
      <c r="J91" s="75"/>
      <c r="K91" s="75"/>
      <c r="L91" s="75"/>
      <c r="M91" s="75">
        <f t="shared" si="57"/>
        <v>15432</v>
      </c>
      <c r="N91" s="75">
        <v>2572</v>
      </c>
      <c r="O91" s="76">
        <f t="shared" si="58"/>
        <v>0.16666666666666666</v>
      </c>
      <c r="P91" s="75">
        <v>6430</v>
      </c>
      <c r="Q91" s="76">
        <f t="shared" si="59"/>
        <v>0.41666666666666669</v>
      </c>
      <c r="R91" s="75"/>
      <c r="S91" s="76">
        <f t="shared" si="60"/>
        <v>0</v>
      </c>
      <c r="T91" s="75"/>
      <c r="U91" s="76">
        <f t="shared" si="61"/>
        <v>0</v>
      </c>
      <c r="V91" s="77">
        <v>0</v>
      </c>
      <c r="W91" s="77">
        <v>0</v>
      </c>
    </row>
    <row r="92" spans="1:23" ht="13.9" hidden="1" customHeight="1" x14ac:dyDescent="0.25">
      <c r="A92" s="11"/>
      <c r="B92" s="24">
        <v>312001</v>
      </c>
      <c r="C92" s="24" t="s">
        <v>79</v>
      </c>
      <c r="D92" s="75">
        <v>15975</v>
      </c>
      <c r="E92" s="75">
        <v>22348</v>
      </c>
      <c r="F92" s="75">
        <v>17612</v>
      </c>
      <c r="G92" s="75">
        <v>33226</v>
      </c>
      <c r="H92" s="75">
        <v>0</v>
      </c>
      <c r="I92" s="75"/>
      <c r="J92" s="75"/>
      <c r="K92" s="75"/>
      <c r="L92" s="75"/>
      <c r="M92" s="75">
        <f t="shared" si="57"/>
        <v>0</v>
      </c>
      <c r="N92" s="75"/>
      <c r="O92" s="76">
        <f t="shared" si="58"/>
        <v>0</v>
      </c>
      <c r="P92" s="75"/>
      <c r="Q92" s="76">
        <f t="shared" si="59"/>
        <v>0</v>
      </c>
      <c r="R92" s="75"/>
      <c r="S92" s="76">
        <f t="shared" si="60"/>
        <v>0</v>
      </c>
      <c r="T92" s="75"/>
      <c r="U92" s="76">
        <f t="shared" si="61"/>
        <v>0</v>
      </c>
      <c r="V92" s="77">
        <f>H92</f>
        <v>0</v>
      </c>
      <c r="W92" s="77">
        <f>V92</f>
        <v>0</v>
      </c>
    </row>
    <row r="93" spans="1:23" ht="13.9" customHeight="1" x14ac:dyDescent="0.25">
      <c r="A93" s="11"/>
      <c r="B93" s="24">
        <v>312001</v>
      </c>
      <c r="C93" s="24" t="s">
        <v>80</v>
      </c>
      <c r="D93" s="75">
        <v>0</v>
      </c>
      <c r="E93" s="75">
        <v>0</v>
      </c>
      <c r="F93" s="75">
        <v>0</v>
      </c>
      <c r="G93" s="75">
        <v>0</v>
      </c>
      <c r="H93" s="75">
        <v>315254</v>
      </c>
      <c r="I93" s="75">
        <v>10193</v>
      </c>
      <c r="J93" s="75"/>
      <c r="K93" s="75"/>
      <c r="L93" s="75"/>
      <c r="M93" s="75">
        <f t="shared" si="57"/>
        <v>325447</v>
      </c>
      <c r="N93" s="75">
        <v>82837</v>
      </c>
      <c r="O93" s="76">
        <f t="shared" si="58"/>
        <v>0.25453299615605612</v>
      </c>
      <c r="P93" s="75">
        <v>161824</v>
      </c>
      <c r="Q93" s="76">
        <f t="shared" si="59"/>
        <v>0.49723610910532284</v>
      </c>
      <c r="R93" s="75"/>
      <c r="S93" s="76">
        <f t="shared" si="60"/>
        <v>0</v>
      </c>
      <c r="T93" s="75"/>
      <c r="U93" s="76">
        <f t="shared" si="61"/>
        <v>0</v>
      </c>
      <c r="V93" s="77">
        <v>268877</v>
      </c>
      <c r="W93" s="77">
        <v>274977</v>
      </c>
    </row>
    <row r="94" spans="1:23" ht="13.9" customHeight="1" x14ac:dyDescent="0.25">
      <c r="A94" s="11"/>
      <c r="B94" s="24">
        <v>312001</v>
      </c>
      <c r="C94" s="24" t="s">
        <v>81</v>
      </c>
      <c r="D94" s="75">
        <v>0</v>
      </c>
      <c r="E94" s="75">
        <v>0</v>
      </c>
      <c r="F94" s="75">
        <v>0</v>
      </c>
      <c r="G94" s="75">
        <v>0</v>
      </c>
      <c r="H94" s="75">
        <f>25686+4860</f>
        <v>30546</v>
      </c>
      <c r="I94" s="75"/>
      <c r="J94" s="75"/>
      <c r="K94" s="75"/>
      <c r="L94" s="75"/>
      <c r="M94" s="75">
        <f t="shared" si="57"/>
        <v>30546</v>
      </c>
      <c r="N94" s="75">
        <v>0</v>
      </c>
      <c r="O94" s="76">
        <f t="shared" si="58"/>
        <v>0</v>
      </c>
      <c r="P94" s="75">
        <v>0</v>
      </c>
      <c r="Q94" s="76">
        <f t="shared" si="59"/>
        <v>0</v>
      </c>
      <c r="R94" s="75"/>
      <c r="S94" s="76">
        <f t="shared" si="60"/>
        <v>0</v>
      </c>
      <c r="T94" s="75"/>
      <c r="U94" s="76">
        <f t="shared" si="61"/>
        <v>0</v>
      </c>
      <c r="V94" s="77">
        <f>H94</f>
        <v>30546</v>
      </c>
      <c r="W94" s="77">
        <f>V94</f>
        <v>30546</v>
      </c>
    </row>
    <row r="95" spans="1:23" ht="13.9" customHeight="1" x14ac:dyDescent="0.25">
      <c r="A95" s="11"/>
      <c r="B95" s="24">
        <v>312001</v>
      </c>
      <c r="C95" s="24" t="s">
        <v>82</v>
      </c>
      <c r="D95" s="75">
        <v>7879.27</v>
      </c>
      <c r="E95" s="75">
        <v>9209.2999999999993</v>
      </c>
      <c r="F95" s="75">
        <v>2880</v>
      </c>
      <c r="G95" s="75">
        <v>3420</v>
      </c>
      <c r="H95" s="75">
        <v>3600</v>
      </c>
      <c r="I95" s="75"/>
      <c r="J95" s="75"/>
      <c r="K95" s="75"/>
      <c r="L95" s="75"/>
      <c r="M95" s="75">
        <f t="shared" si="57"/>
        <v>3600</v>
      </c>
      <c r="N95" s="75">
        <v>900</v>
      </c>
      <c r="O95" s="76">
        <f t="shared" si="58"/>
        <v>0.25</v>
      </c>
      <c r="P95" s="75">
        <v>1800</v>
      </c>
      <c r="Q95" s="76">
        <f t="shared" si="59"/>
        <v>0.5</v>
      </c>
      <c r="R95" s="75"/>
      <c r="S95" s="76">
        <f t="shared" si="60"/>
        <v>0</v>
      </c>
      <c r="T95" s="75"/>
      <c r="U95" s="76">
        <f t="shared" si="61"/>
        <v>0</v>
      </c>
      <c r="V95" s="77">
        <f>H95</f>
        <v>3600</v>
      </c>
      <c r="W95" s="77">
        <f>V95</f>
        <v>3600</v>
      </c>
    </row>
    <row r="96" spans="1:23" ht="13.9" hidden="1" customHeight="1" x14ac:dyDescent="0.25">
      <c r="A96" s="11"/>
      <c r="B96" s="24">
        <v>312001</v>
      </c>
      <c r="C96" s="24" t="s">
        <v>83</v>
      </c>
      <c r="D96" s="75">
        <v>5697.82</v>
      </c>
      <c r="E96" s="75">
        <v>3232.62</v>
      </c>
      <c r="F96" s="75">
        <v>4500</v>
      </c>
      <c r="G96" s="75">
        <v>7643</v>
      </c>
      <c r="H96" s="75">
        <v>0</v>
      </c>
      <c r="I96" s="75"/>
      <c r="J96" s="75"/>
      <c r="K96" s="75"/>
      <c r="L96" s="75"/>
      <c r="M96" s="75">
        <f t="shared" si="57"/>
        <v>0</v>
      </c>
      <c r="N96" s="75"/>
      <c r="O96" s="76">
        <f t="shared" si="58"/>
        <v>0</v>
      </c>
      <c r="P96" s="75"/>
      <c r="Q96" s="76">
        <f t="shared" si="59"/>
        <v>0</v>
      </c>
      <c r="R96" s="75"/>
      <c r="S96" s="76">
        <f t="shared" si="60"/>
        <v>0</v>
      </c>
      <c r="T96" s="75"/>
      <c r="U96" s="76">
        <f t="shared" si="61"/>
        <v>0</v>
      </c>
      <c r="V96" s="77">
        <v>7645</v>
      </c>
      <c r="W96" s="77">
        <v>4500</v>
      </c>
    </row>
    <row r="97" spans="1:23" ht="13.9" customHeight="1" x14ac:dyDescent="0.25">
      <c r="A97" s="11"/>
      <c r="B97" s="24">
        <v>312001</v>
      </c>
      <c r="C97" s="24" t="s">
        <v>84</v>
      </c>
      <c r="D97" s="75">
        <f>50112+4234.33+3600</f>
        <v>57946.33</v>
      </c>
      <c r="E97" s="75">
        <f>45574.27+16000</f>
        <v>61574.27</v>
      </c>
      <c r="F97" s="75">
        <v>57120</v>
      </c>
      <c r="G97" s="75">
        <v>57120</v>
      </c>
      <c r="H97" s="75">
        <v>72936</v>
      </c>
      <c r="I97" s="75"/>
      <c r="J97" s="75"/>
      <c r="K97" s="75"/>
      <c r="L97" s="75"/>
      <c r="M97" s="75">
        <f t="shared" si="57"/>
        <v>72936</v>
      </c>
      <c r="N97" s="75">
        <v>17984.22</v>
      </c>
      <c r="O97" s="76">
        <f t="shared" si="58"/>
        <v>0.24657535373478121</v>
      </c>
      <c r="P97" s="75">
        <v>36168.269999999997</v>
      </c>
      <c r="Q97" s="76">
        <f t="shared" si="59"/>
        <v>0.49589050674563995</v>
      </c>
      <c r="R97" s="75"/>
      <c r="S97" s="76">
        <f t="shared" si="60"/>
        <v>0</v>
      </c>
      <c r="T97" s="75"/>
      <c r="U97" s="76">
        <f t="shared" si="61"/>
        <v>0</v>
      </c>
      <c r="V97" s="77">
        <f>H97</f>
        <v>72936</v>
      </c>
      <c r="W97" s="77">
        <f t="shared" ref="W97:W110" si="64">V97</f>
        <v>72936</v>
      </c>
    </row>
    <row r="98" spans="1:23" ht="13.9" hidden="1" customHeight="1" x14ac:dyDescent="0.25">
      <c r="A98" s="11"/>
      <c r="B98" s="24">
        <v>312001</v>
      </c>
      <c r="C98" s="24" t="s">
        <v>85</v>
      </c>
      <c r="D98" s="75">
        <v>6454.99</v>
      </c>
      <c r="E98" s="75">
        <v>1835.3</v>
      </c>
      <c r="F98" s="75">
        <v>0</v>
      </c>
      <c r="G98" s="75">
        <v>0</v>
      </c>
      <c r="H98" s="75">
        <v>0</v>
      </c>
      <c r="I98" s="75"/>
      <c r="J98" s="75"/>
      <c r="K98" s="75"/>
      <c r="L98" s="75"/>
      <c r="M98" s="75">
        <f t="shared" si="57"/>
        <v>0</v>
      </c>
      <c r="N98" s="75"/>
      <c r="O98" s="76">
        <f t="shared" si="58"/>
        <v>0</v>
      </c>
      <c r="P98" s="75"/>
      <c r="Q98" s="76">
        <f t="shared" si="59"/>
        <v>0</v>
      </c>
      <c r="R98" s="75"/>
      <c r="S98" s="76">
        <f t="shared" si="60"/>
        <v>0</v>
      </c>
      <c r="T98" s="75"/>
      <c r="U98" s="76">
        <f t="shared" si="61"/>
        <v>0</v>
      </c>
      <c r="V98" s="75">
        <f>výdaje!Y349</f>
        <v>0</v>
      </c>
      <c r="W98" s="77">
        <f t="shared" si="64"/>
        <v>0</v>
      </c>
    </row>
    <row r="99" spans="1:23" ht="13.9" hidden="1" customHeight="1" x14ac:dyDescent="0.25">
      <c r="A99" s="11"/>
      <c r="B99" s="24">
        <v>312001</v>
      </c>
      <c r="C99" s="24" t="s">
        <v>86</v>
      </c>
      <c r="D99" s="75">
        <v>0</v>
      </c>
      <c r="E99" s="75">
        <v>18765.39</v>
      </c>
      <c r="F99" s="75">
        <v>6255</v>
      </c>
      <c r="G99" s="75">
        <v>7671</v>
      </c>
      <c r="H99" s="75">
        <v>0</v>
      </c>
      <c r="I99" s="75"/>
      <c r="J99" s="75"/>
      <c r="K99" s="75"/>
      <c r="L99" s="75"/>
      <c r="M99" s="75">
        <f t="shared" si="57"/>
        <v>0</v>
      </c>
      <c r="N99" s="75"/>
      <c r="O99" s="76">
        <f t="shared" si="58"/>
        <v>0</v>
      </c>
      <c r="P99" s="75"/>
      <c r="Q99" s="76">
        <f t="shared" si="59"/>
        <v>0</v>
      </c>
      <c r="R99" s="75"/>
      <c r="S99" s="76">
        <f t="shared" si="60"/>
        <v>0</v>
      </c>
      <c r="T99" s="75"/>
      <c r="U99" s="76">
        <f t="shared" si="61"/>
        <v>0</v>
      </c>
      <c r="V99" s="75">
        <v>0</v>
      </c>
      <c r="W99" s="77">
        <f t="shared" si="64"/>
        <v>0</v>
      </c>
    </row>
    <row r="100" spans="1:23" ht="13.9" customHeight="1" x14ac:dyDescent="0.25">
      <c r="A100" s="11"/>
      <c r="B100" s="24">
        <v>312001</v>
      </c>
      <c r="C100" s="24" t="s">
        <v>87</v>
      </c>
      <c r="D100" s="75">
        <v>22985.5</v>
      </c>
      <c r="E100" s="75">
        <v>53518</v>
      </c>
      <c r="F100" s="75">
        <v>4000</v>
      </c>
      <c r="G100" s="75">
        <v>49716</v>
      </c>
      <c r="H100" s="75">
        <v>0</v>
      </c>
      <c r="I100" s="75">
        <v>3816</v>
      </c>
      <c r="J100" s="75">
        <v>1680</v>
      </c>
      <c r="K100" s="75"/>
      <c r="L100" s="75"/>
      <c r="M100" s="75">
        <f t="shared" si="57"/>
        <v>5496</v>
      </c>
      <c r="N100" s="75">
        <v>3816</v>
      </c>
      <c r="O100" s="76">
        <f t="shared" si="58"/>
        <v>0.69432314410480345</v>
      </c>
      <c r="P100" s="75">
        <v>5496</v>
      </c>
      <c r="Q100" s="76">
        <f t="shared" si="59"/>
        <v>1</v>
      </c>
      <c r="R100" s="75"/>
      <c r="S100" s="76">
        <f t="shared" si="60"/>
        <v>0</v>
      </c>
      <c r="T100" s="75"/>
      <c r="U100" s="76">
        <f t="shared" si="61"/>
        <v>0</v>
      </c>
      <c r="V100" s="75">
        <v>0</v>
      </c>
      <c r="W100" s="77">
        <f t="shared" si="64"/>
        <v>0</v>
      </c>
    </row>
    <row r="101" spans="1:23" ht="13.9" hidden="1" customHeight="1" x14ac:dyDescent="0.25">
      <c r="A101" s="11"/>
      <c r="B101" s="24">
        <v>312001</v>
      </c>
      <c r="C101" s="24" t="s">
        <v>88</v>
      </c>
      <c r="D101" s="75">
        <v>0</v>
      </c>
      <c r="E101" s="75">
        <v>59800</v>
      </c>
      <c r="F101" s="75">
        <v>0</v>
      </c>
      <c r="G101" s="75">
        <v>0</v>
      </c>
      <c r="H101" s="75">
        <v>0</v>
      </c>
      <c r="I101" s="75"/>
      <c r="J101" s="75"/>
      <c r="K101" s="75"/>
      <c r="L101" s="75"/>
      <c r="M101" s="75">
        <f t="shared" si="57"/>
        <v>0</v>
      </c>
      <c r="N101" s="75"/>
      <c r="O101" s="76">
        <f t="shared" si="58"/>
        <v>0</v>
      </c>
      <c r="P101" s="75"/>
      <c r="Q101" s="76">
        <f t="shared" si="59"/>
        <v>0</v>
      </c>
      <c r="R101" s="75"/>
      <c r="S101" s="76">
        <f t="shared" si="60"/>
        <v>0</v>
      </c>
      <c r="T101" s="75"/>
      <c r="U101" s="76">
        <f t="shared" si="61"/>
        <v>0</v>
      </c>
      <c r="V101" s="75">
        <v>0</v>
      </c>
      <c r="W101" s="77">
        <f t="shared" si="64"/>
        <v>0</v>
      </c>
    </row>
    <row r="102" spans="1:23" ht="13.9" customHeight="1" x14ac:dyDescent="0.25">
      <c r="A102" s="11"/>
      <c r="B102" s="24">
        <v>312001</v>
      </c>
      <c r="C102" s="24" t="s">
        <v>89</v>
      </c>
      <c r="D102" s="75">
        <v>0</v>
      </c>
      <c r="E102" s="75">
        <v>40900.31</v>
      </c>
      <c r="F102" s="75">
        <v>0</v>
      </c>
      <c r="G102" s="75">
        <v>24494</v>
      </c>
      <c r="H102" s="75">
        <v>0</v>
      </c>
      <c r="I102" s="75"/>
      <c r="J102" s="75">
        <v>25976</v>
      </c>
      <c r="K102" s="75"/>
      <c r="L102" s="75"/>
      <c r="M102" s="75">
        <f t="shared" si="57"/>
        <v>25976</v>
      </c>
      <c r="N102" s="75">
        <v>0</v>
      </c>
      <c r="O102" s="76">
        <f t="shared" si="58"/>
        <v>0</v>
      </c>
      <c r="P102" s="75">
        <v>25976</v>
      </c>
      <c r="Q102" s="76">
        <f t="shared" si="59"/>
        <v>1</v>
      </c>
      <c r="R102" s="75"/>
      <c r="S102" s="76">
        <f t="shared" si="60"/>
        <v>0</v>
      </c>
      <c r="T102" s="75"/>
      <c r="U102" s="76">
        <f t="shared" si="61"/>
        <v>0</v>
      </c>
      <c r="V102" s="75">
        <v>0</v>
      </c>
      <c r="W102" s="77">
        <f t="shared" si="64"/>
        <v>0</v>
      </c>
    </row>
    <row r="103" spans="1:23" ht="13.9" customHeight="1" x14ac:dyDescent="0.25">
      <c r="A103" s="11"/>
      <c r="B103" s="24">
        <v>312001</v>
      </c>
      <c r="C103" s="24" t="s">
        <v>90</v>
      </c>
      <c r="D103" s="75">
        <v>0</v>
      </c>
      <c r="E103" s="75">
        <v>0</v>
      </c>
      <c r="F103" s="75">
        <v>0</v>
      </c>
      <c r="G103" s="75">
        <v>214</v>
      </c>
      <c r="H103" s="75">
        <v>214</v>
      </c>
      <c r="I103" s="75"/>
      <c r="J103" s="75"/>
      <c r="K103" s="75"/>
      <c r="L103" s="75"/>
      <c r="M103" s="75">
        <f t="shared" si="57"/>
        <v>214</v>
      </c>
      <c r="N103" s="75">
        <v>106.8</v>
      </c>
      <c r="O103" s="76">
        <f t="shared" si="58"/>
        <v>0.49906542056074765</v>
      </c>
      <c r="P103" s="75">
        <v>106.8</v>
      </c>
      <c r="Q103" s="76">
        <f t="shared" si="59"/>
        <v>0.49906542056074765</v>
      </c>
      <c r="R103" s="75"/>
      <c r="S103" s="76">
        <f t="shared" si="60"/>
        <v>0</v>
      </c>
      <c r="T103" s="75"/>
      <c r="U103" s="76">
        <f t="shared" si="61"/>
        <v>0</v>
      </c>
      <c r="V103" s="75">
        <f>H103</f>
        <v>214</v>
      </c>
      <c r="W103" s="77">
        <f t="shared" si="64"/>
        <v>214</v>
      </c>
    </row>
    <row r="104" spans="1:23" ht="13.9" hidden="1" customHeight="1" x14ac:dyDescent="0.25">
      <c r="A104" s="11"/>
      <c r="B104" s="24">
        <v>312012</v>
      </c>
      <c r="C104" s="24" t="s">
        <v>91</v>
      </c>
      <c r="D104" s="75">
        <v>1349.5</v>
      </c>
      <c r="E104" s="75">
        <v>0</v>
      </c>
      <c r="F104" s="75">
        <v>0</v>
      </c>
      <c r="G104" s="75">
        <v>0</v>
      </c>
      <c r="H104" s="75">
        <v>0</v>
      </c>
      <c r="I104" s="75"/>
      <c r="J104" s="75"/>
      <c r="K104" s="75"/>
      <c r="L104" s="75"/>
      <c r="M104" s="75">
        <f t="shared" si="57"/>
        <v>0</v>
      </c>
      <c r="N104" s="75"/>
      <c r="O104" s="76">
        <f t="shared" si="58"/>
        <v>0</v>
      </c>
      <c r="P104" s="75"/>
      <c r="Q104" s="76">
        <f t="shared" si="59"/>
        <v>0</v>
      </c>
      <c r="R104" s="75"/>
      <c r="S104" s="76">
        <f t="shared" si="60"/>
        <v>0</v>
      </c>
      <c r="T104" s="75"/>
      <c r="U104" s="76">
        <f t="shared" si="61"/>
        <v>0</v>
      </c>
      <c r="V104" s="75">
        <v>0</v>
      </c>
      <c r="W104" s="77">
        <f t="shared" si="64"/>
        <v>0</v>
      </c>
    </row>
    <row r="105" spans="1:23" ht="13.9" customHeight="1" x14ac:dyDescent="0.25">
      <c r="A105" s="11"/>
      <c r="B105" s="24">
        <v>312012</v>
      </c>
      <c r="C105" s="24" t="s">
        <v>92</v>
      </c>
      <c r="D105" s="75">
        <v>4116.1499999999996</v>
      </c>
      <c r="E105" s="75">
        <v>4829.17</v>
      </c>
      <c r="F105" s="75">
        <v>4829</v>
      </c>
      <c r="G105" s="75">
        <v>0</v>
      </c>
      <c r="H105" s="75">
        <v>0</v>
      </c>
      <c r="I105" s="75"/>
      <c r="J105" s="75">
        <v>5261</v>
      </c>
      <c r="K105" s="75"/>
      <c r="L105" s="75"/>
      <c r="M105" s="75">
        <f t="shared" si="57"/>
        <v>5261</v>
      </c>
      <c r="N105" s="75">
        <v>0</v>
      </c>
      <c r="O105" s="76">
        <f t="shared" si="58"/>
        <v>0</v>
      </c>
      <c r="P105" s="75">
        <v>5261.43</v>
      </c>
      <c r="Q105" s="76">
        <f t="shared" si="59"/>
        <v>1.0000817335107395</v>
      </c>
      <c r="R105" s="75"/>
      <c r="S105" s="76">
        <f t="shared" si="60"/>
        <v>0</v>
      </c>
      <c r="T105" s="75"/>
      <c r="U105" s="76">
        <f t="shared" si="61"/>
        <v>0</v>
      </c>
      <c r="V105" s="77">
        <f t="shared" ref="V105:V110" si="65">H105</f>
        <v>0</v>
      </c>
      <c r="W105" s="77">
        <f t="shared" si="64"/>
        <v>0</v>
      </c>
    </row>
    <row r="106" spans="1:23" ht="13.9" customHeight="1" x14ac:dyDescent="0.25">
      <c r="A106" s="11"/>
      <c r="B106" s="24">
        <v>312012</v>
      </c>
      <c r="C106" s="24" t="s">
        <v>93</v>
      </c>
      <c r="D106" s="75">
        <v>137.29</v>
      </c>
      <c r="E106" s="75">
        <v>137.55000000000001</v>
      </c>
      <c r="F106" s="75">
        <v>138</v>
      </c>
      <c r="G106" s="75">
        <v>139</v>
      </c>
      <c r="H106" s="75">
        <v>139</v>
      </c>
      <c r="I106" s="75"/>
      <c r="J106" s="75"/>
      <c r="K106" s="75"/>
      <c r="L106" s="75"/>
      <c r="M106" s="75">
        <f t="shared" si="57"/>
        <v>139</v>
      </c>
      <c r="N106" s="75">
        <v>0</v>
      </c>
      <c r="O106" s="76">
        <f t="shared" si="58"/>
        <v>0</v>
      </c>
      <c r="P106" s="75">
        <v>138.66999999999999</v>
      </c>
      <c r="Q106" s="76">
        <f t="shared" si="59"/>
        <v>0.99762589928057543</v>
      </c>
      <c r="R106" s="75"/>
      <c r="S106" s="76">
        <f t="shared" si="60"/>
        <v>0</v>
      </c>
      <c r="T106" s="75"/>
      <c r="U106" s="76">
        <f t="shared" si="61"/>
        <v>0</v>
      </c>
      <c r="V106" s="77">
        <f t="shared" si="65"/>
        <v>139</v>
      </c>
      <c r="W106" s="77">
        <f t="shared" si="64"/>
        <v>139</v>
      </c>
    </row>
    <row r="107" spans="1:23" ht="13.9" customHeight="1" x14ac:dyDescent="0.25">
      <c r="A107" s="11"/>
      <c r="B107" s="24">
        <v>312012</v>
      </c>
      <c r="C107" s="24" t="s">
        <v>94</v>
      </c>
      <c r="D107" s="75">
        <v>318.27</v>
      </c>
      <c r="E107" s="75">
        <v>352.33</v>
      </c>
      <c r="F107" s="75">
        <v>352</v>
      </c>
      <c r="G107" s="75">
        <v>390</v>
      </c>
      <c r="H107" s="75">
        <v>390</v>
      </c>
      <c r="I107" s="75">
        <v>30</v>
      </c>
      <c r="J107" s="75"/>
      <c r="K107" s="75"/>
      <c r="L107" s="75"/>
      <c r="M107" s="75">
        <f t="shared" si="57"/>
        <v>420</v>
      </c>
      <c r="N107" s="75">
        <v>0</v>
      </c>
      <c r="O107" s="76">
        <f t="shared" si="58"/>
        <v>0</v>
      </c>
      <c r="P107" s="75">
        <v>419.56</v>
      </c>
      <c r="Q107" s="76">
        <f t="shared" si="59"/>
        <v>0.99895238095238093</v>
      </c>
      <c r="R107" s="75"/>
      <c r="S107" s="76">
        <f t="shared" si="60"/>
        <v>0</v>
      </c>
      <c r="T107" s="75"/>
      <c r="U107" s="76">
        <f t="shared" si="61"/>
        <v>0</v>
      </c>
      <c r="V107" s="77">
        <f t="shared" si="65"/>
        <v>390</v>
      </c>
      <c r="W107" s="77">
        <f t="shared" si="64"/>
        <v>390</v>
      </c>
    </row>
    <row r="108" spans="1:23" ht="13.9" customHeight="1" x14ac:dyDescent="0.25">
      <c r="A108" s="11"/>
      <c r="B108" s="24">
        <v>312012</v>
      </c>
      <c r="C108" s="24" t="s">
        <v>95</v>
      </c>
      <c r="D108" s="75">
        <v>5546.76</v>
      </c>
      <c r="E108" s="75">
        <v>6082.83</v>
      </c>
      <c r="F108" s="75">
        <v>6083</v>
      </c>
      <c r="G108" s="75">
        <v>6707</v>
      </c>
      <c r="H108" s="75">
        <v>6707</v>
      </c>
      <c r="I108" s="75">
        <v>52</v>
      </c>
      <c r="J108" s="75">
        <v>544</v>
      </c>
      <c r="K108" s="75"/>
      <c r="L108" s="75"/>
      <c r="M108" s="75">
        <f t="shared" si="57"/>
        <v>7303</v>
      </c>
      <c r="N108" s="75">
        <v>6759.46</v>
      </c>
      <c r="O108" s="76">
        <f t="shared" si="58"/>
        <v>0.92557305217034092</v>
      </c>
      <c r="P108" s="75">
        <v>6759.46</v>
      </c>
      <c r="Q108" s="76">
        <f t="shared" si="59"/>
        <v>0.92557305217034092</v>
      </c>
      <c r="R108" s="75"/>
      <c r="S108" s="76">
        <f t="shared" si="60"/>
        <v>0</v>
      </c>
      <c r="T108" s="75"/>
      <c r="U108" s="76">
        <f t="shared" si="61"/>
        <v>0</v>
      </c>
      <c r="V108" s="77">
        <f t="shared" si="65"/>
        <v>6707</v>
      </c>
      <c r="W108" s="77">
        <f t="shared" si="64"/>
        <v>6707</v>
      </c>
    </row>
    <row r="109" spans="1:23" ht="13.9" customHeight="1" x14ac:dyDescent="0.25">
      <c r="A109" s="11"/>
      <c r="B109" s="24">
        <v>312012</v>
      </c>
      <c r="C109" s="24" t="s">
        <v>96</v>
      </c>
      <c r="D109" s="75">
        <v>1084.3399999999999</v>
      </c>
      <c r="E109" s="75">
        <v>1094.32</v>
      </c>
      <c r="F109" s="75">
        <v>1094</v>
      </c>
      <c r="G109" s="75">
        <v>1098</v>
      </c>
      <c r="H109" s="75">
        <v>1098</v>
      </c>
      <c r="I109" s="75">
        <v>-8</v>
      </c>
      <c r="J109" s="75"/>
      <c r="K109" s="75"/>
      <c r="L109" s="75"/>
      <c r="M109" s="75">
        <f t="shared" si="57"/>
        <v>1090</v>
      </c>
      <c r="N109" s="75">
        <v>1090.0999999999999</v>
      </c>
      <c r="O109" s="76">
        <f t="shared" si="58"/>
        <v>1.000091743119266</v>
      </c>
      <c r="P109" s="75">
        <v>1090.0999999999999</v>
      </c>
      <c r="Q109" s="76">
        <f t="shared" si="59"/>
        <v>1.000091743119266</v>
      </c>
      <c r="R109" s="75"/>
      <c r="S109" s="76">
        <f t="shared" si="60"/>
        <v>0</v>
      </c>
      <c r="T109" s="75"/>
      <c r="U109" s="76">
        <f t="shared" si="61"/>
        <v>0</v>
      </c>
      <c r="V109" s="77">
        <f t="shared" si="65"/>
        <v>1098</v>
      </c>
      <c r="W109" s="77">
        <f t="shared" si="64"/>
        <v>1098</v>
      </c>
    </row>
    <row r="110" spans="1:23" ht="13.9" customHeight="1" x14ac:dyDescent="0.25">
      <c r="A110" s="11"/>
      <c r="B110" s="24">
        <v>312012</v>
      </c>
      <c r="C110" s="24" t="s">
        <v>97</v>
      </c>
      <c r="D110" s="75">
        <v>311.89</v>
      </c>
      <c r="E110" s="75">
        <v>6035.42</v>
      </c>
      <c r="F110" s="75">
        <v>312</v>
      </c>
      <c r="G110" s="75">
        <v>312</v>
      </c>
      <c r="H110" s="75">
        <v>312</v>
      </c>
      <c r="I110" s="75"/>
      <c r="J110" s="75"/>
      <c r="K110" s="75"/>
      <c r="L110" s="75"/>
      <c r="M110" s="75">
        <f t="shared" si="57"/>
        <v>312</v>
      </c>
      <c r="N110" s="75">
        <v>0</v>
      </c>
      <c r="O110" s="76">
        <f t="shared" si="58"/>
        <v>0</v>
      </c>
      <c r="P110" s="75">
        <v>0</v>
      </c>
      <c r="Q110" s="76">
        <f t="shared" si="59"/>
        <v>0</v>
      </c>
      <c r="R110" s="75"/>
      <c r="S110" s="76">
        <f t="shared" si="60"/>
        <v>0</v>
      </c>
      <c r="T110" s="75"/>
      <c r="U110" s="76">
        <f t="shared" si="61"/>
        <v>0</v>
      </c>
      <c r="V110" s="77">
        <f t="shared" si="65"/>
        <v>312</v>
      </c>
      <c r="W110" s="77">
        <f t="shared" si="64"/>
        <v>312</v>
      </c>
    </row>
    <row r="111" spans="1:23" ht="13.9" hidden="1" customHeight="1" x14ac:dyDescent="0.25">
      <c r="A111" s="11"/>
      <c r="B111" s="24">
        <v>322001</v>
      </c>
      <c r="C111" s="24" t="s">
        <v>98</v>
      </c>
      <c r="D111" s="75">
        <v>184139.16</v>
      </c>
      <c r="E111" s="75">
        <v>0</v>
      </c>
      <c r="F111" s="75">
        <v>0</v>
      </c>
      <c r="G111" s="75">
        <v>0</v>
      </c>
      <c r="H111" s="75">
        <v>0</v>
      </c>
      <c r="I111" s="75"/>
      <c r="J111" s="75"/>
      <c r="K111" s="75"/>
      <c r="L111" s="75"/>
      <c r="M111" s="75">
        <f t="shared" si="57"/>
        <v>0</v>
      </c>
      <c r="N111" s="75"/>
      <c r="O111" s="76">
        <f t="shared" si="58"/>
        <v>0</v>
      </c>
      <c r="P111" s="75"/>
      <c r="Q111" s="76">
        <f t="shared" si="59"/>
        <v>0</v>
      </c>
      <c r="R111" s="75"/>
      <c r="S111" s="76">
        <f t="shared" si="60"/>
        <v>0</v>
      </c>
      <c r="T111" s="75"/>
      <c r="U111" s="76">
        <f t="shared" si="61"/>
        <v>0</v>
      </c>
      <c r="V111" s="77">
        <v>0</v>
      </c>
      <c r="W111" s="77">
        <v>0</v>
      </c>
    </row>
    <row r="112" spans="1:23" ht="13.9" hidden="1" customHeight="1" x14ac:dyDescent="0.25">
      <c r="A112" s="11"/>
      <c r="B112" s="24">
        <v>322001</v>
      </c>
      <c r="C112" s="24" t="s">
        <v>99</v>
      </c>
      <c r="D112" s="77">
        <v>0</v>
      </c>
      <c r="E112" s="77">
        <v>247170.43</v>
      </c>
      <c r="F112" s="77">
        <v>250000</v>
      </c>
      <c r="G112" s="77">
        <v>0</v>
      </c>
      <c r="H112" s="77">
        <v>0</v>
      </c>
      <c r="I112" s="77"/>
      <c r="J112" s="77"/>
      <c r="K112" s="77"/>
      <c r="L112" s="77"/>
      <c r="M112" s="77">
        <f t="shared" si="57"/>
        <v>0</v>
      </c>
      <c r="N112" s="77"/>
      <c r="O112" s="78">
        <f t="shared" si="58"/>
        <v>0</v>
      </c>
      <c r="P112" s="77"/>
      <c r="Q112" s="78">
        <f t="shared" si="59"/>
        <v>0</v>
      </c>
      <c r="R112" s="77"/>
      <c r="S112" s="78">
        <f t="shared" si="60"/>
        <v>0</v>
      </c>
      <c r="T112" s="77"/>
      <c r="U112" s="78">
        <f t="shared" si="61"/>
        <v>0</v>
      </c>
      <c r="V112" s="77">
        <v>0</v>
      </c>
      <c r="W112" s="77">
        <v>0</v>
      </c>
    </row>
    <row r="113" spans="1:23" ht="13.9" hidden="1" customHeight="1" x14ac:dyDescent="0.25">
      <c r="A113" s="11"/>
      <c r="B113" s="24">
        <v>322001</v>
      </c>
      <c r="C113" s="24" t="s">
        <v>100</v>
      </c>
      <c r="D113" s="77">
        <v>0</v>
      </c>
      <c r="E113" s="77">
        <v>0</v>
      </c>
      <c r="F113" s="77">
        <v>304000</v>
      </c>
      <c r="G113" s="77">
        <v>0</v>
      </c>
      <c r="H113" s="77">
        <v>0</v>
      </c>
      <c r="I113" s="77"/>
      <c r="J113" s="77"/>
      <c r="K113" s="77"/>
      <c r="L113" s="77"/>
      <c r="M113" s="77">
        <f t="shared" si="57"/>
        <v>0</v>
      </c>
      <c r="N113" s="77"/>
      <c r="O113" s="78">
        <f t="shared" si="58"/>
        <v>0</v>
      </c>
      <c r="P113" s="77"/>
      <c r="Q113" s="78">
        <f t="shared" si="59"/>
        <v>0</v>
      </c>
      <c r="R113" s="77"/>
      <c r="S113" s="78">
        <f t="shared" si="60"/>
        <v>0</v>
      </c>
      <c r="T113" s="77"/>
      <c r="U113" s="78">
        <f t="shared" si="61"/>
        <v>0</v>
      </c>
      <c r="V113" s="77">
        <v>0</v>
      </c>
      <c r="W113" s="77">
        <v>0</v>
      </c>
    </row>
    <row r="114" spans="1:23" ht="13.9" customHeight="1" x14ac:dyDescent="0.25">
      <c r="A114" s="11"/>
      <c r="B114" s="24">
        <v>322001</v>
      </c>
      <c r="C114" s="24" t="s">
        <v>101</v>
      </c>
      <c r="D114" s="77">
        <v>0</v>
      </c>
      <c r="E114" s="77">
        <v>0</v>
      </c>
      <c r="F114" s="77">
        <v>0</v>
      </c>
      <c r="G114" s="77">
        <v>0</v>
      </c>
      <c r="H114" s="77">
        <v>138109</v>
      </c>
      <c r="I114" s="77"/>
      <c r="J114" s="77"/>
      <c r="K114" s="77"/>
      <c r="L114" s="77"/>
      <c r="M114" s="77">
        <f t="shared" si="57"/>
        <v>138109</v>
      </c>
      <c r="N114" s="77">
        <v>0</v>
      </c>
      <c r="O114" s="78">
        <f t="shared" si="58"/>
        <v>0</v>
      </c>
      <c r="P114" s="77">
        <v>0</v>
      </c>
      <c r="Q114" s="78">
        <f t="shared" si="59"/>
        <v>0</v>
      </c>
      <c r="R114" s="77"/>
      <c r="S114" s="78">
        <f t="shared" si="60"/>
        <v>0</v>
      </c>
      <c r="T114" s="77"/>
      <c r="U114" s="78">
        <f t="shared" si="61"/>
        <v>0</v>
      </c>
      <c r="V114" s="77">
        <v>0</v>
      </c>
      <c r="W114" s="77">
        <v>0</v>
      </c>
    </row>
    <row r="115" spans="1:23" ht="13.9" hidden="1" customHeight="1" x14ac:dyDescent="0.25">
      <c r="A115" s="11"/>
      <c r="B115" s="24">
        <v>322001</v>
      </c>
      <c r="C115" s="24" t="s">
        <v>102</v>
      </c>
      <c r="D115" s="77">
        <v>0</v>
      </c>
      <c r="E115" s="77">
        <v>0</v>
      </c>
      <c r="F115" s="77">
        <v>46828</v>
      </c>
      <c r="G115" s="77">
        <v>46092</v>
      </c>
      <c r="H115" s="77">
        <v>0</v>
      </c>
      <c r="I115" s="77"/>
      <c r="J115" s="77"/>
      <c r="K115" s="77"/>
      <c r="L115" s="77"/>
      <c r="M115" s="77">
        <f t="shared" si="57"/>
        <v>0</v>
      </c>
      <c r="N115" s="77"/>
      <c r="O115" s="78">
        <f t="shared" si="58"/>
        <v>0</v>
      </c>
      <c r="P115" s="77"/>
      <c r="Q115" s="78">
        <f t="shared" si="59"/>
        <v>0</v>
      </c>
      <c r="R115" s="77"/>
      <c r="S115" s="78">
        <f t="shared" si="60"/>
        <v>0</v>
      </c>
      <c r="T115" s="77"/>
      <c r="U115" s="78">
        <f t="shared" si="61"/>
        <v>0</v>
      </c>
      <c r="V115" s="77">
        <v>0</v>
      </c>
      <c r="W115" s="77">
        <v>0</v>
      </c>
    </row>
    <row r="116" spans="1:23" ht="13.9" customHeight="1" x14ac:dyDescent="0.25">
      <c r="A116" s="11"/>
      <c r="B116" s="24">
        <v>322001</v>
      </c>
      <c r="C116" s="24" t="s">
        <v>103</v>
      </c>
      <c r="D116" s="77">
        <v>0</v>
      </c>
      <c r="E116" s="77">
        <v>0</v>
      </c>
      <c r="F116" s="77">
        <v>0</v>
      </c>
      <c r="G116" s="77">
        <v>0</v>
      </c>
      <c r="H116" s="77">
        <v>14850</v>
      </c>
      <c r="I116" s="77"/>
      <c r="J116" s="77"/>
      <c r="K116" s="77"/>
      <c r="L116" s="77"/>
      <c r="M116" s="77">
        <f t="shared" si="57"/>
        <v>14850</v>
      </c>
      <c r="N116" s="77">
        <v>0</v>
      </c>
      <c r="O116" s="78">
        <f t="shared" si="58"/>
        <v>0</v>
      </c>
      <c r="P116" s="77">
        <v>0</v>
      </c>
      <c r="Q116" s="78">
        <f t="shared" si="59"/>
        <v>0</v>
      </c>
      <c r="R116" s="77"/>
      <c r="S116" s="78">
        <f t="shared" si="60"/>
        <v>0</v>
      </c>
      <c r="T116" s="77"/>
      <c r="U116" s="78">
        <f t="shared" si="61"/>
        <v>0</v>
      </c>
      <c r="V116" s="77">
        <v>0</v>
      </c>
      <c r="W116" s="77">
        <v>0</v>
      </c>
    </row>
    <row r="117" spans="1:23" ht="13.9" customHeight="1" x14ac:dyDescent="0.25">
      <c r="A117" s="11"/>
      <c r="B117" s="24">
        <v>322001</v>
      </c>
      <c r="C117" s="24" t="s">
        <v>104</v>
      </c>
      <c r="D117" s="77">
        <v>0</v>
      </c>
      <c r="E117" s="77">
        <v>0</v>
      </c>
      <c r="F117" s="77">
        <v>0</v>
      </c>
      <c r="G117" s="77">
        <v>0</v>
      </c>
      <c r="H117" s="77">
        <v>409438</v>
      </c>
      <c r="I117" s="77"/>
      <c r="J117" s="77"/>
      <c r="K117" s="77"/>
      <c r="L117" s="77"/>
      <c r="M117" s="77">
        <f t="shared" si="57"/>
        <v>409438</v>
      </c>
      <c r="N117" s="77">
        <v>0</v>
      </c>
      <c r="O117" s="78">
        <f t="shared" si="58"/>
        <v>0</v>
      </c>
      <c r="P117" s="77">
        <v>0</v>
      </c>
      <c r="Q117" s="78">
        <f t="shared" si="59"/>
        <v>0</v>
      </c>
      <c r="R117" s="77"/>
      <c r="S117" s="78">
        <f t="shared" si="60"/>
        <v>0</v>
      </c>
      <c r="T117" s="77"/>
      <c r="U117" s="78">
        <f t="shared" si="61"/>
        <v>0</v>
      </c>
      <c r="V117" s="77">
        <v>0</v>
      </c>
      <c r="W117" s="77">
        <v>0</v>
      </c>
    </row>
    <row r="118" spans="1:23" ht="13.9" hidden="1" customHeight="1" x14ac:dyDescent="0.25">
      <c r="A118" s="11"/>
      <c r="B118" s="24">
        <v>322001</v>
      </c>
      <c r="C118" s="24" t="s">
        <v>105</v>
      </c>
      <c r="D118" s="77">
        <v>0</v>
      </c>
      <c r="E118" s="77">
        <v>155461.32999999999</v>
      </c>
      <c r="F118" s="77">
        <v>0</v>
      </c>
      <c r="G118" s="77">
        <v>0</v>
      </c>
      <c r="H118" s="77">
        <v>0</v>
      </c>
      <c r="I118" s="77"/>
      <c r="J118" s="77"/>
      <c r="K118" s="77"/>
      <c r="L118" s="77"/>
      <c r="M118" s="77">
        <f t="shared" si="57"/>
        <v>0</v>
      </c>
      <c r="N118" s="77"/>
      <c r="O118" s="78">
        <f t="shared" si="58"/>
        <v>0</v>
      </c>
      <c r="P118" s="77"/>
      <c r="Q118" s="78">
        <f t="shared" si="59"/>
        <v>0</v>
      </c>
      <c r="R118" s="77"/>
      <c r="S118" s="78">
        <f t="shared" si="60"/>
        <v>0</v>
      </c>
      <c r="T118" s="77"/>
      <c r="U118" s="78">
        <f t="shared" si="61"/>
        <v>0</v>
      </c>
      <c r="V118" s="77">
        <v>0</v>
      </c>
      <c r="W118" s="77">
        <v>0</v>
      </c>
    </row>
    <row r="119" spans="1:23" ht="13.9" customHeight="1" x14ac:dyDescent="0.25">
      <c r="A119" s="11"/>
      <c r="B119" s="24">
        <v>322001</v>
      </c>
      <c r="C119" s="24" t="s">
        <v>106</v>
      </c>
      <c r="D119" s="77">
        <v>0</v>
      </c>
      <c r="E119" s="77">
        <v>0</v>
      </c>
      <c r="F119" s="77">
        <v>408500</v>
      </c>
      <c r="G119" s="77">
        <v>185189</v>
      </c>
      <c r="H119" s="77">
        <f>443831-7656-177532</f>
        <v>258643</v>
      </c>
      <c r="I119" s="77"/>
      <c r="J119" s="77"/>
      <c r="K119" s="77"/>
      <c r="L119" s="77"/>
      <c r="M119" s="77">
        <f t="shared" si="57"/>
        <v>258643</v>
      </c>
      <c r="N119" s="77">
        <v>0</v>
      </c>
      <c r="O119" s="78">
        <f t="shared" si="58"/>
        <v>0</v>
      </c>
      <c r="P119" s="77">
        <v>253125.7</v>
      </c>
      <c r="Q119" s="78">
        <f t="shared" si="59"/>
        <v>0.9786682802163601</v>
      </c>
      <c r="R119" s="77"/>
      <c r="S119" s="78">
        <f t="shared" si="60"/>
        <v>0</v>
      </c>
      <c r="T119" s="77"/>
      <c r="U119" s="78">
        <f t="shared" si="61"/>
        <v>0</v>
      </c>
      <c r="V119" s="77">
        <v>0</v>
      </c>
      <c r="W119" s="77">
        <v>0</v>
      </c>
    </row>
    <row r="120" spans="1:23" ht="13.9" customHeight="1" x14ac:dyDescent="0.25">
      <c r="A120" s="11"/>
      <c r="B120" s="24">
        <v>322001</v>
      </c>
      <c r="C120" s="24" t="s">
        <v>107</v>
      </c>
      <c r="D120" s="77"/>
      <c r="E120" s="77"/>
      <c r="F120" s="77"/>
      <c r="G120" s="77"/>
      <c r="H120" s="77">
        <v>0</v>
      </c>
      <c r="I120" s="77"/>
      <c r="J120" s="77">
        <v>14000</v>
      </c>
      <c r="K120" s="77"/>
      <c r="L120" s="77"/>
      <c r="M120" s="77">
        <f t="shared" si="57"/>
        <v>14000</v>
      </c>
      <c r="N120" s="77">
        <v>0</v>
      </c>
      <c r="O120" s="78">
        <f t="shared" si="58"/>
        <v>0</v>
      </c>
      <c r="P120" s="77">
        <v>14000</v>
      </c>
      <c r="Q120" s="78">
        <f t="shared" si="59"/>
        <v>1</v>
      </c>
      <c r="R120" s="77"/>
      <c r="S120" s="78">
        <f t="shared" si="60"/>
        <v>0</v>
      </c>
      <c r="T120" s="77"/>
      <c r="U120" s="78">
        <f t="shared" si="61"/>
        <v>0</v>
      </c>
      <c r="V120" s="77">
        <v>0</v>
      </c>
      <c r="W120" s="77">
        <v>0</v>
      </c>
    </row>
    <row r="121" spans="1:23" ht="13.9" customHeight="1" x14ac:dyDescent="0.25">
      <c r="A121" s="79" t="s">
        <v>108</v>
      </c>
      <c r="B121" s="48">
        <v>111</v>
      </c>
      <c r="C121" s="48" t="s">
        <v>22</v>
      </c>
      <c r="D121" s="49">
        <f>SUM(D82:D119)</f>
        <v>946857.87</v>
      </c>
      <c r="E121" s="49">
        <f>SUM(E82:E119)</f>
        <v>1489256.4100000004</v>
      </c>
      <c r="F121" s="49">
        <f>SUM(F82:F119)</f>
        <v>1876891</v>
      </c>
      <c r="G121" s="49">
        <f>SUM(G82:G119)</f>
        <v>1266175</v>
      </c>
      <c r="H121" s="49">
        <f t="shared" ref="H121:N121" si="66">SUM(H82:H120)</f>
        <v>2079025</v>
      </c>
      <c r="I121" s="49">
        <f t="shared" si="66"/>
        <v>30939</v>
      </c>
      <c r="J121" s="49">
        <f t="shared" si="66"/>
        <v>89475</v>
      </c>
      <c r="K121" s="49">
        <f t="shared" si="66"/>
        <v>0</v>
      </c>
      <c r="L121" s="49">
        <f t="shared" si="66"/>
        <v>0</v>
      </c>
      <c r="M121" s="49">
        <f t="shared" si="66"/>
        <v>2199439</v>
      </c>
      <c r="N121" s="49">
        <f t="shared" si="66"/>
        <v>410847.48</v>
      </c>
      <c r="O121" s="50">
        <f t="shared" si="58"/>
        <v>0.18679648764980525</v>
      </c>
      <c r="P121" s="49">
        <f>SUM(P82:P120)</f>
        <v>1028827.8900000001</v>
      </c>
      <c r="Q121" s="50">
        <f t="shared" si="59"/>
        <v>0.46776832183115791</v>
      </c>
      <c r="R121" s="49">
        <f>SUM(R82:R120)</f>
        <v>0</v>
      </c>
      <c r="S121" s="50">
        <f t="shared" si="60"/>
        <v>0</v>
      </c>
      <c r="T121" s="49">
        <f>SUM(T82:T120)</f>
        <v>0</v>
      </c>
      <c r="U121" s="50">
        <f t="shared" si="61"/>
        <v>0</v>
      </c>
      <c r="V121" s="49">
        <f>SUM(V82:V120)</f>
        <v>1203821</v>
      </c>
      <c r="W121" s="49">
        <f>SUM(W82:W120)</f>
        <v>1206776</v>
      </c>
    </row>
    <row r="122" spans="1:23" ht="13.9" customHeight="1" x14ac:dyDescent="0.25">
      <c r="A122" s="11" t="s">
        <v>68</v>
      </c>
      <c r="B122" s="24">
        <v>311</v>
      </c>
      <c r="C122" s="24" t="s">
        <v>109</v>
      </c>
      <c r="D122" s="75">
        <v>3000</v>
      </c>
      <c r="E122" s="75">
        <v>3000</v>
      </c>
      <c r="F122" s="75">
        <v>3000</v>
      </c>
      <c r="G122" s="75">
        <v>3000</v>
      </c>
      <c r="H122" s="75">
        <v>3000</v>
      </c>
      <c r="I122" s="75"/>
      <c r="J122" s="75"/>
      <c r="K122" s="75"/>
      <c r="L122" s="75"/>
      <c r="M122" s="75">
        <f>H122+SUM(I122:L122)</f>
        <v>3000</v>
      </c>
      <c r="N122" s="75">
        <v>0</v>
      </c>
      <c r="O122" s="76">
        <f t="shared" si="58"/>
        <v>0</v>
      </c>
      <c r="P122" s="75">
        <v>3000</v>
      </c>
      <c r="Q122" s="76">
        <f t="shared" si="59"/>
        <v>1</v>
      </c>
      <c r="R122" s="75"/>
      <c r="S122" s="76">
        <f t="shared" si="60"/>
        <v>0</v>
      </c>
      <c r="T122" s="75"/>
      <c r="U122" s="76">
        <f t="shared" si="61"/>
        <v>0</v>
      </c>
      <c r="V122" s="77">
        <v>3000</v>
      </c>
      <c r="W122" s="77">
        <f>V122</f>
        <v>3000</v>
      </c>
    </row>
    <row r="123" spans="1:23" ht="13.9" customHeight="1" x14ac:dyDescent="0.25">
      <c r="A123" s="11"/>
      <c r="B123" s="24">
        <v>321</v>
      </c>
      <c r="C123" s="24" t="s">
        <v>109</v>
      </c>
      <c r="D123" s="75"/>
      <c r="E123" s="75"/>
      <c r="F123" s="75"/>
      <c r="G123" s="75"/>
      <c r="H123" s="75">
        <v>6000</v>
      </c>
      <c r="I123" s="75"/>
      <c r="J123" s="75"/>
      <c r="K123" s="75"/>
      <c r="L123" s="75"/>
      <c r="M123" s="75">
        <f>H123+SUM(I123:L123)</f>
        <v>6000</v>
      </c>
      <c r="N123" s="75">
        <v>0</v>
      </c>
      <c r="O123" s="76">
        <f t="shared" si="58"/>
        <v>0</v>
      </c>
      <c r="P123" s="75">
        <v>0</v>
      </c>
      <c r="Q123" s="76">
        <f t="shared" si="59"/>
        <v>0</v>
      </c>
      <c r="R123" s="75"/>
      <c r="S123" s="76">
        <f t="shared" si="60"/>
        <v>0</v>
      </c>
      <c r="T123" s="75"/>
      <c r="U123" s="76">
        <f t="shared" si="61"/>
        <v>0</v>
      </c>
      <c r="V123" s="77"/>
      <c r="W123" s="77"/>
    </row>
    <row r="124" spans="1:23" ht="13.9" customHeight="1" x14ac:dyDescent="0.25">
      <c r="A124" s="79" t="s">
        <v>108</v>
      </c>
      <c r="B124" s="48">
        <v>71</v>
      </c>
      <c r="C124" s="48" t="s">
        <v>24</v>
      </c>
      <c r="D124" s="49">
        <f>SUM(D122)</f>
        <v>3000</v>
      </c>
      <c r="E124" s="49">
        <f>SUM(E122)</f>
        <v>3000</v>
      </c>
      <c r="F124" s="49">
        <f>SUM(F122)</f>
        <v>3000</v>
      </c>
      <c r="G124" s="49">
        <f>SUM(G122)</f>
        <v>3000</v>
      </c>
      <c r="H124" s="49">
        <f t="shared" ref="H124:N124" si="67">SUM(H122:H123)</f>
        <v>9000</v>
      </c>
      <c r="I124" s="49">
        <f t="shared" si="67"/>
        <v>0</v>
      </c>
      <c r="J124" s="49">
        <f t="shared" si="67"/>
        <v>0</v>
      </c>
      <c r="K124" s="49">
        <f t="shared" si="67"/>
        <v>0</v>
      </c>
      <c r="L124" s="49">
        <f t="shared" si="67"/>
        <v>0</v>
      </c>
      <c r="M124" s="49">
        <f t="shared" si="67"/>
        <v>9000</v>
      </c>
      <c r="N124" s="49">
        <f t="shared" si="67"/>
        <v>0</v>
      </c>
      <c r="O124" s="50">
        <f t="shared" si="58"/>
        <v>0</v>
      </c>
      <c r="P124" s="49">
        <f>SUM(P122:P123)</f>
        <v>3000</v>
      </c>
      <c r="Q124" s="50">
        <f t="shared" si="59"/>
        <v>0.33333333333333331</v>
      </c>
      <c r="R124" s="49">
        <f>SUM(R122:R123)</f>
        <v>0</v>
      </c>
      <c r="S124" s="50">
        <f t="shared" si="60"/>
        <v>0</v>
      </c>
      <c r="T124" s="49">
        <f>SUM(T122:T123)</f>
        <v>0</v>
      </c>
      <c r="U124" s="50">
        <f t="shared" si="61"/>
        <v>0</v>
      </c>
      <c r="V124" s="49">
        <f>SUM(V122)</f>
        <v>3000</v>
      </c>
      <c r="W124" s="49">
        <f>SUM(W122)</f>
        <v>3000</v>
      </c>
    </row>
    <row r="125" spans="1:23" ht="13.9" customHeight="1" x14ac:dyDescent="0.25">
      <c r="A125" s="51" t="s">
        <v>68</v>
      </c>
      <c r="B125" s="24">
        <v>311</v>
      </c>
      <c r="C125" s="24" t="s">
        <v>110</v>
      </c>
      <c r="D125" s="75">
        <v>4347.1400000000003</v>
      </c>
      <c r="E125" s="75">
        <v>5986.24</v>
      </c>
      <c r="F125" s="75">
        <v>0</v>
      </c>
      <c r="G125" s="75">
        <v>11</v>
      </c>
      <c r="H125" s="75">
        <v>2000</v>
      </c>
      <c r="I125" s="75"/>
      <c r="J125" s="75"/>
      <c r="K125" s="75"/>
      <c r="L125" s="75"/>
      <c r="M125" s="75">
        <f>H125+SUM(I125:L125)</f>
        <v>2000</v>
      </c>
      <c r="N125" s="75">
        <v>0</v>
      </c>
      <c r="O125" s="76">
        <f t="shared" si="58"/>
        <v>0</v>
      </c>
      <c r="P125" s="75">
        <v>0</v>
      </c>
      <c r="Q125" s="76">
        <f t="shared" si="59"/>
        <v>0</v>
      </c>
      <c r="R125" s="75"/>
      <c r="S125" s="76">
        <f t="shared" si="60"/>
        <v>0</v>
      </c>
      <c r="T125" s="75"/>
      <c r="U125" s="76">
        <f t="shared" si="61"/>
        <v>0</v>
      </c>
      <c r="V125" s="77">
        <f>H125</f>
        <v>2000</v>
      </c>
      <c r="W125" s="77">
        <f>V125</f>
        <v>2000</v>
      </c>
    </row>
    <row r="126" spans="1:23" ht="13.9" customHeight="1" x14ac:dyDescent="0.25">
      <c r="A126" s="79" t="s">
        <v>108</v>
      </c>
      <c r="B126" s="48">
        <v>72</v>
      </c>
      <c r="C126" s="48" t="s">
        <v>25</v>
      </c>
      <c r="D126" s="49">
        <f t="shared" ref="D126:N126" si="68">SUM(D125)</f>
        <v>4347.1400000000003</v>
      </c>
      <c r="E126" s="49">
        <f t="shared" si="68"/>
        <v>5986.24</v>
      </c>
      <c r="F126" s="49">
        <f t="shared" si="68"/>
        <v>0</v>
      </c>
      <c r="G126" s="49">
        <f t="shared" si="68"/>
        <v>11</v>
      </c>
      <c r="H126" s="49">
        <f t="shared" si="68"/>
        <v>2000</v>
      </c>
      <c r="I126" s="49">
        <f t="shared" si="68"/>
        <v>0</v>
      </c>
      <c r="J126" s="49">
        <f t="shared" si="68"/>
        <v>0</v>
      </c>
      <c r="K126" s="49">
        <f t="shared" si="68"/>
        <v>0</v>
      </c>
      <c r="L126" s="49">
        <f t="shared" si="68"/>
        <v>0</v>
      </c>
      <c r="M126" s="49">
        <f t="shared" si="68"/>
        <v>2000</v>
      </c>
      <c r="N126" s="49">
        <f t="shared" si="68"/>
        <v>0</v>
      </c>
      <c r="O126" s="50">
        <f t="shared" si="58"/>
        <v>0</v>
      </c>
      <c r="P126" s="49">
        <f>SUM(P125)</f>
        <v>0</v>
      </c>
      <c r="Q126" s="50">
        <f t="shared" si="59"/>
        <v>0</v>
      </c>
      <c r="R126" s="49">
        <f>SUM(R125)</f>
        <v>0</v>
      </c>
      <c r="S126" s="50">
        <f t="shared" si="60"/>
        <v>0</v>
      </c>
      <c r="T126" s="49">
        <f>SUM(T125)</f>
        <v>0</v>
      </c>
      <c r="U126" s="50">
        <f t="shared" si="61"/>
        <v>0</v>
      </c>
      <c r="V126" s="49">
        <f>SUM(V125)</f>
        <v>2000</v>
      </c>
      <c r="W126" s="49">
        <f>SUM(W125)</f>
        <v>2000</v>
      </c>
    </row>
    <row r="128" spans="1:23" ht="13.9" customHeight="1" x14ac:dyDescent="0.25">
      <c r="A128" s="32" t="s">
        <v>111</v>
      </c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/>
      <c r="P128" s="32"/>
      <c r="Q128" s="32"/>
      <c r="R128" s="32"/>
      <c r="S128" s="32"/>
      <c r="T128" s="32"/>
      <c r="U128" s="32"/>
      <c r="V128" s="32"/>
      <c r="W128" s="32"/>
    </row>
    <row r="129" spans="1:23" ht="13.9" customHeight="1" x14ac:dyDescent="0.25">
      <c r="A129" s="20"/>
      <c r="B129" s="20"/>
      <c r="C129" s="20"/>
      <c r="D129" s="21" t="s">
        <v>1</v>
      </c>
      <c r="E129" s="21" t="s">
        <v>2</v>
      </c>
      <c r="F129" s="21" t="s">
        <v>3</v>
      </c>
      <c r="G129" s="21" t="s">
        <v>4</v>
      </c>
      <c r="H129" s="21" t="s">
        <v>5</v>
      </c>
      <c r="I129" s="21" t="s">
        <v>6</v>
      </c>
      <c r="J129" s="21" t="s">
        <v>7</v>
      </c>
      <c r="K129" s="21" t="s">
        <v>8</v>
      </c>
      <c r="L129" s="21" t="s">
        <v>9</v>
      </c>
      <c r="M129" s="21" t="s">
        <v>10</v>
      </c>
      <c r="N129" s="21" t="s">
        <v>11</v>
      </c>
      <c r="O129" s="22" t="s">
        <v>12</v>
      </c>
      <c r="P129" s="21" t="s">
        <v>13</v>
      </c>
      <c r="Q129" s="22" t="s">
        <v>14</v>
      </c>
      <c r="R129" s="21" t="s">
        <v>15</v>
      </c>
      <c r="S129" s="22" t="s">
        <v>16</v>
      </c>
      <c r="T129" s="21" t="s">
        <v>17</v>
      </c>
      <c r="U129" s="22" t="s">
        <v>18</v>
      </c>
      <c r="V129" s="21" t="s">
        <v>19</v>
      </c>
      <c r="W129" s="21" t="s">
        <v>20</v>
      </c>
    </row>
    <row r="130" spans="1:23" ht="13.9" customHeight="1" x14ac:dyDescent="0.25">
      <c r="A130" s="12" t="s">
        <v>21</v>
      </c>
      <c r="B130" s="35">
        <v>131</v>
      </c>
      <c r="C130" s="35" t="s">
        <v>45</v>
      </c>
      <c r="D130" s="36">
        <f t="shared" ref="D130:N130" si="69">D136</f>
        <v>69416.210000000006</v>
      </c>
      <c r="E130" s="36">
        <f t="shared" si="69"/>
        <v>32325.77</v>
      </c>
      <c r="F130" s="36">
        <f t="shared" si="69"/>
        <v>0</v>
      </c>
      <c r="G130" s="36">
        <f t="shared" si="69"/>
        <v>326950</v>
      </c>
      <c r="H130" s="36">
        <f t="shared" si="69"/>
        <v>177532</v>
      </c>
      <c r="I130" s="36">
        <f t="shared" si="69"/>
        <v>27250</v>
      </c>
      <c r="J130" s="36">
        <f t="shared" si="69"/>
        <v>0</v>
      </c>
      <c r="K130" s="36">
        <f t="shared" si="69"/>
        <v>0</v>
      </c>
      <c r="L130" s="36">
        <f t="shared" si="69"/>
        <v>0</v>
      </c>
      <c r="M130" s="36">
        <f t="shared" si="69"/>
        <v>204782</v>
      </c>
      <c r="N130" s="36">
        <f t="shared" si="69"/>
        <v>204781.27</v>
      </c>
      <c r="O130" s="37">
        <f>IFERROR(N130/$M130,0)</f>
        <v>0.99999643523356541</v>
      </c>
      <c r="P130" s="36">
        <f>P136</f>
        <v>204781.27</v>
      </c>
      <c r="Q130" s="37">
        <f>IFERROR(P130/$M130,0)</f>
        <v>0.99999643523356541</v>
      </c>
      <c r="R130" s="36">
        <f>R136</f>
        <v>0</v>
      </c>
      <c r="S130" s="37">
        <f>IFERROR(R130/$M130,0)</f>
        <v>0</v>
      </c>
      <c r="T130" s="36">
        <f>T136</f>
        <v>0</v>
      </c>
      <c r="U130" s="37">
        <f>IFERROR(T130/$M130,0)</f>
        <v>0</v>
      </c>
      <c r="V130" s="36">
        <f>V136</f>
        <v>0</v>
      </c>
      <c r="W130" s="36">
        <f>W136</f>
        <v>0</v>
      </c>
    </row>
    <row r="131" spans="1:23" ht="13.9" customHeight="1" x14ac:dyDescent="0.25">
      <c r="A131" s="12"/>
      <c r="B131" s="35">
        <v>41</v>
      </c>
      <c r="C131" s="35" t="s">
        <v>23</v>
      </c>
      <c r="D131" s="36">
        <f>D137+D140</f>
        <v>403699.06</v>
      </c>
      <c r="E131" s="36">
        <f>E137+E140</f>
        <v>112421.69</v>
      </c>
      <c r="F131" s="36">
        <f>F137+F140</f>
        <v>195876</v>
      </c>
      <c r="G131" s="36">
        <f>G137+G140</f>
        <v>74201</v>
      </c>
      <c r="H131" s="36">
        <f t="shared" ref="H131:N131" si="70">H138+H140</f>
        <v>150000</v>
      </c>
      <c r="I131" s="36">
        <f t="shared" si="70"/>
        <v>0</v>
      </c>
      <c r="J131" s="36">
        <f t="shared" si="70"/>
        <v>0</v>
      </c>
      <c r="K131" s="36">
        <f t="shared" si="70"/>
        <v>0</v>
      </c>
      <c r="L131" s="36">
        <f t="shared" si="70"/>
        <v>0</v>
      </c>
      <c r="M131" s="36">
        <f t="shared" si="70"/>
        <v>150000</v>
      </c>
      <c r="N131" s="36">
        <f t="shared" si="70"/>
        <v>411034.08999999997</v>
      </c>
      <c r="O131" s="37">
        <f>IFERROR(N131/$M131,0)</f>
        <v>2.7402272666666665</v>
      </c>
      <c r="P131" s="36">
        <f>P138+P140</f>
        <v>411034.08999999997</v>
      </c>
      <c r="Q131" s="37">
        <f>IFERROR(P131/$M131,0)</f>
        <v>2.7402272666666665</v>
      </c>
      <c r="R131" s="36">
        <f>R138+R140</f>
        <v>0</v>
      </c>
      <c r="S131" s="37">
        <f>IFERROR(R131/$M131,0)</f>
        <v>0</v>
      </c>
      <c r="T131" s="36">
        <f>T138+T140</f>
        <v>0</v>
      </c>
      <c r="U131" s="37">
        <f>IFERROR(T131/$M131,0)</f>
        <v>0</v>
      </c>
      <c r="V131" s="36">
        <f>V137+V140</f>
        <v>0</v>
      </c>
      <c r="W131" s="36">
        <f>W137+W140</f>
        <v>0</v>
      </c>
    </row>
    <row r="132" spans="1:23" ht="13.9" customHeight="1" x14ac:dyDescent="0.25">
      <c r="A132" s="12"/>
      <c r="B132" s="35">
        <v>71</v>
      </c>
      <c r="C132" s="35" t="s">
        <v>24</v>
      </c>
      <c r="D132" s="36">
        <f>D141</f>
        <v>4060.3</v>
      </c>
      <c r="E132" s="36">
        <f>E141</f>
        <v>30067.64</v>
      </c>
      <c r="F132" s="36">
        <f>F141</f>
        <v>0</v>
      </c>
      <c r="G132" s="36">
        <f>G141</f>
        <v>49900</v>
      </c>
      <c r="H132" s="36">
        <f t="shared" ref="H132:N132" si="71">H141+H137</f>
        <v>6000</v>
      </c>
      <c r="I132" s="36">
        <f t="shared" si="71"/>
        <v>0</v>
      </c>
      <c r="J132" s="36">
        <f t="shared" si="71"/>
        <v>20670</v>
      </c>
      <c r="K132" s="36">
        <f t="shared" si="71"/>
        <v>0</v>
      </c>
      <c r="L132" s="36">
        <f t="shared" si="71"/>
        <v>0</v>
      </c>
      <c r="M132" s="36">
        <f t="shared" si="71"/>
        <v>26670</v>
      </c>
      <c r="N132" s="36">
        <f t="shared" si="71"/>
        <v>4047.64</v>
      </c>
      <c r="O132" s="37">
        <f>IFERROR(N132/$M132,0)</f>
        <v>0.15176752905886765</v>
      </c>
      <c r="P132" s="36">
        <f>P141+P137</f>
        <v>25217.64</v>
      </c>
      <c r="Q132" s="37">
        <f>IFERROR(P132/$M132,0)</f>
        <v>0.94554330708661416</v>
      </c>
      <c r="R132" s="36">
        <f>R141+R137</f>
        <v>0</v>
      </c>
      <c r="S132" s="37">
        <f>IFERROR(R132/$M132,0)</f>
        <v>0</v>
      </c>
      <c r="T132" s="36">
        <f>T141+T137</f>
        <v>0</v>
      </c>
      <c r="U132" s="37">
        <f>IFERROR(T132/$M132,0)</f>
        <v>0</v>
      </c>
      <c r="V132" s="36">
        <f>V141+V137</f>
        <v>0</v>
      </c>
      <c r="W132" s="36">
        <f>W141+W137</f>
        <v>0</v>
      </c>
    </row>
    <row r="133" spans="1:23" ht="13.9" customHeight="1" x14ac:dyDescent="0.25">
      <c r="A133" s="12"/>
      <c r="B133" s="35">
        <v>72</v>
      </c>
      <c r="C133" s="35" t="s">
        <v>25</v>
      </c>
      <c r="D133" s="36">
        <f t="shared" ref="D133:N133" si="72">D139</f>
        <v>0</v>
      </c>
      <c r="E133" s="36">
        <f t="shared" si="72"/>
        <v>0</v>
      </c>
      <c r="F133" s="36">
        <f t="shared" si="72"/>
        <v>0</v>
      </c>
      <c r="G133" s="36">
        <f t="shared" si="72"/>
        <v>0</v>
      </c>
      <c r="H133" s="36">
        <f t="shared" si="72"/>
        <v>0</v>
      </c>
      <c r="I133" s="36">
        <f t="shared" si="72"/>
        <v>12850</v>
      </c>
      <c r="J133" s="36">
        <f t="shared" si="72"/>
        <v>11962</v>
      </c>
      <c r="K133" s="36">
        <f t="shared" si="72"/>
        <v>0</v>
      </c>
      <c r="L133" s="36">
        <f t="shared" si="72"/>
        <v>0</v>
      </c>
      <c r="M133" s="36">
        <f t="shared" si="72"/>
        <v>24812</v>
      </c>
      <c r="N133" s="36">
        <f t="shared" si="72"/>
        <v>12849.56</v>
      </c>
      <c r="O133" s="37">
        <f>IFERROR(N133/$M133,0)</f>
        <v>0.51787683379010152</v>
      </c>
      <c r="P133" s="36">
        <f>P139</f>
        <v>12849.56</v>
      </c>
      <c r="Q133" s="37">
        <f>IFERROR(P133/$M133,0)</f>
        <v>0.51787683379010152</v>
      </c>
      <c r="R133" s="36">
        <f>R139</f>
        <v>0</v>
      </c>
      <c r="S133" s="37">
        <f>IFERROR(R133/$M133,0)</f>
        <v>0</v>
      </c>
      <c r="T133" s="36">
        <f>T139</f>
        <v>0</v>
      </c>
      <c r="U133" s="37">
        <f>IFERROR(T133/$M133,0)</f>
        <v>0</v>
      </c>
      <c r="V133" s="36">
        <f>V139</f>
        <v>0</v>
      </c>
      <c r="W133" s="36">
        <f>W139</f>
        <v>0</v>
      </c>
    </row>
    <row r="134" spans="1:23" ht="13.9" customHeight="1" x14ac:dyDescent="0.25">
      <c r="A134" s="30"/>
      <c r="B134" s="31"/>
      <c r="C134" s="38" t="s">
        <v>29</v>
      </c>
      <c r="D134" s="39">
        <f t="shared" ref="D134:N134" si="73">SUM(D130:D133)</f>
        <v>477175.57</v>
      </c>
      <c r="E134" s="39">
        <f t="shared" si="73"/>
        <v>174815.09999999998</v>
      </c>
      <c r="F134" s="39">
        <f t="shared" si="73"/>
        <v>195876</v>
      </c>
      <c r="G134" s="39">
        <f t="shared" si="73"/>
        <v>451051</v>
      </c>
      <c r="H134" s="39">
        <f t="shared" si="73"/>
        <v>333532</v>
      </c>
      <c r="I134" s="39">
        <f t="shared" si="73"/>
        <v>40100</v>
      </c>
      <c r="J134" s="39">
        <f t="shared" si="73"/>
        <v>32632</v>
      </c>
      <c r="K134" s="39">
        <f t="shared" si="73"/>
        <v>0</v>
      </c>
      <c r="L134" s="39">
        <f t="shared" si="73"/>
        <v>0</v>
      </c>
      <c r="M134" s="39">
        <f t="shared" si="73"/>
        <v>406264</v>
      </c>
      <c r="N134" s="39">
        <f t="shared" si="73"/>
        <v>632712.56000000006</v>
      </c>
      <c r="O134" s="40">
        <f>IFERROR(N134/$M134,0)</f>
        <v>1.5573926313923951</v>
      </c>
      <c r="P134" s="39">
        <f>SUM(P130:P133)</f>
        <v>653882.56000000006</v>
      </c>
      <c r="Q134" s="40">
        <f>IFERROR(P134/$M134,0)</f>
        <v>1.6095016048677708</v>
      </c>
      <c r="R134" s="39">
        <f>SUM(R130:R133)</f>
        <v>0</v>
      </c>
      <c r="S134" s="40">
        <f>IFERROR(R134/$M134,0)</f>
        <v>0</v>
      </c>
      <c r="T134" s="39">
        <f>SUM(T130:T133)</f>
        <v>0</v>
      </c>
      <c r="U134" s="40">
        <f>IFERROR(T134/$M134,0)</f>
        <v>0</v>
      </c>
      <c r="V134" s="39">
        <f>SUM(V130:V133)</f>
        <v>0</v>
      </c>
      <c r="W134" s="39">
        <f>SUM(W130:W133)</f>
        <v>0</v>
      </c>
    </row>
    <row r="136" spans="1:23" ht="13.9" customHeight="1" x14ac:dyDescent="0.25">
      <c r="B136" s="52" t="s">
        <v>55</v>
      </c>
      <c r="C136" s="30" t="s">
        <v>112</v>
      </c>
      <c r="D136" s="53">
        <v>69416.210000000006</v>
      </c>
      <c r="E136" s="53">
        <v>32325.77</v>
      </c>
      <c r="F136" s="53">
        <v>0</v>
      </c>
      <c r="G136" s="53">
        <v>326950</v>
      </c>
      <c r="H136" s="53">
        <v>177532</v>
      </c>
      <c r="I136" s="53">
        <v>27250</v>
      </c>
      <c r="J136" s="53"/>
      <c r="K136" s="53"/>
      <c r="L136" s="53"/>
      <c r="M136" s="53">
        <f t="shared" ref="M136:M141" si="74">H136+SUM(I136:L136)</f>
        <v>204782</v>
      </c>
      <c r="N136" s="53">
        <v>204781.27</v>
      </c>
      <c r="O136" s="54">
        <f t="shared" ref="O136:O141" si="75">IFERROR(N136/$M136,0)</f>
        <v>0.99999643523356541</v>
      </c>
      <c r="P136" s="53">
        <v>204781.27</v>
      </c>
      <c r="Q136" s="54">
        <f t="shared" ref="Q136:Q141" si="76">IFERROR(P136/$M136,0)</f>
        <v>0.99999643523356541</v>
      </c>
      <c r="R136" s="53"/>
      <c r="S136" s="54">
        <f t="shared" ref="S136:S141" si="77">IFERROR(R136/$M136,0)</f>
        <v>0</v>
      </c>
      <c r="T136" s="53"/>
      <c r="U136" s="55">
        <f t="shared" ref="U136:U141" si="78">IFERROR(T136/$M136,0)</f>
        <v>0</v>
      </c>
      <c r="V136" s="53"/>
      <c r="W136" s="56"/>
    </row>
    <row r="137" spans="1:23" ht="13.9" customHeight="1" x14ac:dyDescent="0.25">
      <c r="B137" s="57"/>
      <c r="C137" s="15" t="s">
        <v>113</v>
      </c>
      <c r="D137" s="59">
        <v>12705.67</v>
      </c>
      <c r="E137" s="59">
        <v>112421.69</v>
      </c>
      <c r="F137" s="59">
        <v>195876</v>
      </c>
      <c r="G137" s="59">
        <v>74201</v>
      </c>
      <c r="H137" s="59">
        <v>4000</v>
      </c>
      <c r="I137" s="59"/>
      <c r="J137" s="59"/>
      <c r="K137" s="59"/>
      <c r="L137" s="59"/>
      <c r="M137" s="59">
        <f t="shared" si="74"/>
        <v>4000</v>
      </c>
      <c r="N137" s="59">
        <v>4000</v>
      </c>
      <c r="O137" s="16">
        <f t="shared" si="75"/>
        <v>1</v>
      </c>
      <c r="P137" s="59">
        <v>4000</v>
      </c>
      <c r="Q137" s="16">
        <f t="shared" si="76"/>
        <v>1</v>
      </c>
      <c r="R137" s="59"/>
      <c r="S137" s="16">
        <f t="shared" si="77"/>
        <v>0</v>
      </c>
      <c r="T137" s="59"/>
      <c r="U137" s="60">
        <f t="shared" si="78"/>
        <v>0</v>
      </c>
      <c r="V137" s="59"/>
      <c r="W137" s="61"/>
    </row>
    <row r="138" spans="1:23" ht="13.9" customHeight="1" x14ac:dyDescent="0.25">
      <c r="B138" s="57"/>
      <c r="C138" s="15" t="s">
        <v>114</v>
      </c>
      <c r="D138" s="59"/>
      <c r="E138" s="59"/>
      <c r="F138" s="59"/>
      <c r="G138" s="59"/>
      <c r="H138" s="59">
        <v>0</v>
      </c>
      <c r="I138" s="59"/>
      <c r="J138" s="59"/>
      <c r="K138" s="59"/>
      <c r="L138" s="59"/>
      <c r="M138" s="59">
        <f t="shared" si="74"/>
        <v>0</v>
      </c>
      <c r="N138" s="59">
        <f>261034.09</f>
        <v>261034.09</v>
      </c>
      <c r="O138" s="16">
        <f t="shared" si="75"/>
        <v>0</v>
      </c>
      <c r="P138" s="59">
        <v>261034.09</v>
      </c>
      <c r="Q138" s="16">
        <f t="shared" si="76"/>
        <v>0</v>
      </c>
      <c r="R138" s="59"/>
      <c r="S138" s="16">
        <f t="shared" si="77"/>
        <v>0</v>
      </c>
      <c r="T138" s="59"/>
      <c r="U138" s="60">
        <f t="shared" si="78"/>
        <v>0</v>
      </c>
      <c r="V138" s="59"/>
      <c r="W138" s="61"/>
    </row>
    <row r="139" spans="1:23" ht="13.9" customHeight="1" x14ac:dyDescent="0.25">
      <c r="B139" s="57"/>
      <c r="C139" s="15" t="s">
        <v>115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v>12850</v>
      </c>
      <c r="J139" s="59">
        <v>11962</v>
      </c>
      <c r="K139" s="59"/>
      <c r="L139" s="59"/>
      <c r="M139" s="59">
        <f t="shared" si="74"/>
        <v>24812</v>
      </c>
      <c r="N139" s="59">
        <v>12849.56</v>
      </c>
      <c r="O139" s="16">
        <f t="shared" si="75"/>
        <v>0.51787683379010152</v>
      </c>
      <c r="P139" s="59">
        <v>12849.56</v>
      </c>
      <c r="Q139" s="16">
        <f t="shared" si="76"/>
        <v>0.51787683379010152</v>
      </c>
      <c r="R139" s="59"/>
      <c r="S139" s="16">
        <f t="shared" si="77"/>
        <v>0</v>
      </c>
      <c r="T139" s="59"/>
      <c r="U139" s="60">
        <f t="shared" si="78"/>
        <v>0</v>
      </c>
      <c r="V139" s="59"/>
      <c r="W139" s="61"/>
    </row>
    <row r="140" spans="1:23" ht="13.9" customHeight="1" x14ac:dyDescent="0.25">
      <c r="B140" s="57"/>
      <c r="C140" s="58" t="s">
        <v>116</v>
      </c>
      <c r="D140" s="59">
        <v>390993.39</v>
      </c>
      <c r="E140" s="59">
        <v>0</v>
      </c>
      <c r="F140" s="59">
        <v>0</v>
      </c>
      <c r="G140" s="59">
        <v>0</v>
      </c>
      <c r="H140" s="59">
        <v>150000</v>
      </c>
      <c r="I140" s="59"/>
      <c r="J140" s="59"/>
      <c r="K140" s="59"/>
      <c r="L140" s="59"/>
      <c r="M140" s="59">
        <f t="shared" si="74"/>
        <v>150000</v>
      </c>
      <c r="N140" s="59">
        <v>150000</v>
      </c>
      <c r="O140" s="16">
        <f t="shared" si="75"/>
        <v>1</v>
      </c>
      <c r="P140" s="59">
        <v>150000</v>
      </c>
      <c r="Q140" s="16">
        <f t="shared" si="76"/>
        <v>1</v>
      </c>
      <c r="R140" s="59"/>
      <c r="S140" s="16">
        <f t="shared" si="77"/>
        <v>0</v>
      </c>
      <c r="T140" s="59"/>
      <c r="U140" s="60">
        <f t="shared" si="78"/>
        <v>0</v>
      </c>
      <c r="V140" s="59"/>
      <c r="W140" s="61"/>
    </row>
    <row r="141" spans="1:23" ht="13.9" customHeight="1" x14ac:dyDescent="0.25">
      <c r="B141" s="65"/>
      <c r="C141" s="66" t="s">
        <v>117</v>
      </c>
      <c r="D141" s="67">
        <v>4060.3</v>
      </c>
      <c r="E141" s="67">
        <v>30067.64</v>
      </c>
      <c r="F141" s="67">
        <v>0</v>
      </c>
      <c r="G141" s="67">
        <v>49900</v>
      </c>
      <c r="H141" s="67">
        <v>2000</v>
      </c>
      <c r="I141" s="67"/>
      <c r="J141" s="67">
        <v>20670</v>
      </c>
      <c r="K141" s="67"/>
      <c r="L141" s="67"/>
      <c r="M141" s="67">
        <f t="shared" si="74"/>
        <v>22670</v>
      </c>
      <c r="N141" s="67">
        <v>47.64</v>
      </c>
      <c r="O141" s="68">
        <f t="shared" si="75"/>
        <v>2.101455668284076E-3</v>
      </c>
      <c r="P141" s="67">
        <v>21217.64</v>
      </c>
      <c r="Q141" s="68">
        <f t="shared" si="76"/>
        <v>0.93593471548301721</v>
      </c>
      <c r="R141" s="67"/>
      <c r="S141" s="68">
        <f t="shared" si="77"/>
        <v>0</v>
      </c>
      <c r="T141" s="67"/>
      <c r="U141" s="69">
        <f t="shared" si="78"/>
        <v>0</v>
      </c>
      <c r="V141" s="67"/>
      <c r="W141" s="70"/>
    </row>
    <row r="143" spans="1:23" ht="13.9" customHeight="1" x14ac:dyDescent="0.25">
      <c r="A143" s="32" t="s">
        <v>118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/>
      <c r="P143" s="32"/>
      <c r="Q143" s="32"/>
      <c r="R143" s="32"/>
      <c r="S143" s="32"/>
      <c r="T143" s="32"/>
      <c r="U143" s="32"/>
      <c r="V143" s="32"/>
      <c r="W143" s="32"/>
    </row>
    <row r="144" spans="1:23" ht="13.9" customHeight="1" x14ac:dyDescent="0.25">
      <c r="A144" s="20"/>
      <c r="B144" s="20"/>
      <c r="C144" s="20"/>
      <c r="D144" s="21" t="s">
        <v>1</v>
      </c>
      <c r="E144" s="21" t="s">
        <v>2</v>
      </c>
      <c r="F144" s="21" t="s">
        <v>3</v>
      </c>
      <c r="G144" s="21" t="s">
        <v>4</v>
      </c>
      <c r="H144" s="21" t="s">
        <v>5</v>
      </c>
      <c r="I144" s="21" t="s">
        <v>6</v>
      </c>
      <c r="J144" s="21" t="s">
        <v>7</v>
      </c>
      <c r="K144" s="21" t="s">
        <v>8</v>
      </c>
      <c r="L144" s="21" t="s">
        <v>9</v>
      </c>
      <c r="M144" s="21" t="s">
        <v>10</v>
      </c>
      <c r="N144" s="21" t="s">
        <v>11</v>
      </c>
      <c r="O144" s="22" t="s">
        <v>12</v>
      </c>
      <c r="P144" s="21" t="s">
        <v>13</v>
      </c>
      <c r="Q144" s="22" t="s">
        <v>14</v>
      </c>
      <c r="R144" s="21" t="s">
        <v>15</v>
      </c>
      <c r="S144" s="22" t="s">
        <v>16</v>
      </c>
      <c r="T144" s="21" t="s">
        <v>17</v>
      </c>
      <c r="U144" s="22" t="s">
        <v>18</v>
      </c>
      <c r="V144" s="21" t="s">
        <v>19</v>
      </c>
      <c r="W144" s="21" t="s">
        <v>20</v>
      </c>
    </row>
    <row r="145" spans="2:23" ht="13.9" customHeight="1" x14ac:dyDescent="0.25">
      <c r="D145" s="36">
        <f>D21-výdaje!G18</f>
        <v>239175.43999999994</v>
      </c>
      <c r="E145" s="36">
        <f>E21-výdaje!H18</f>
        <v>573390.06000000099</v>
      </c>
      <c r="F145" s="36">
        <f>F21-výdaje!I18</f>
        <v>0</v>
      </c>
      <c r="G145" s="36">
        <f>G21-výdaje!J18</f>
        <v>502045</v>
      </c>
      <c r="H145" s="36">
        <f>H21-výdaje!K18</f>
        <v>0</v>
      </c>
      <c r="I145" s="36">
        <f>I21-výdaje!L18</f>
        <v>0</v>
      </c>
      <c r="J145" s="36">
        <f>J21-výdaje!M18</f>
        <v>0</v>
      </c>
      <c r="K145" s="36">
        <f>K21-výdaje!N18</f>
        <v>0</v>
      </c>
      <c r="L145" s="36">
        <f>L21-výdaje!O18</f>
        <v>0</v>
      </c>
      <c r="M145" s="36">
        <f>M21-výdaje!P18</f>
        <v>0</v>
      </c>
      <c r="N145" s="36">
        <f>N21-výdaje!Q18</f>
        <v>874359.22</v>
      </c>
      <c r="O145" s="37" t="e">
        <f>N145/$M145</f>
        <v>#DIV/0!</v>
      </c>
      <c r="P145" s="36">
        <f>P21-výdaje!S18</f>
        <v>940349.73</v>
      </c>
      <c r="Q145" s="37" t="e">
        <f>P145/$M145</f>
        <v>#DIV/0!</v>
      </c>
      <c r="R145" s="36">
        <f>R21-výdaje!U18</f>
        <v>0</v>
      </c>
      <c r="S145" s="37" t="e">
        <f>R145/$M145</f>
        <v>#DIV/0!</v>
      </c>
      <c r="T145" s="36">
        <f>T21-výdaje!W18</f>
        <v>0</v>
      </c>
      <c r="U145" s="37" t="e">
        <f>T145/$M145</f>
        <v>#DIV/0!</v>
      </c>
      <c r="V145" s="36">
        <f>V21-výdaje!Y18</f>
        <v>0</v>
      </c>
      <c r="W145" s="36">
        <f>W21-výdaje!Z18</f>
        <v>0</v>
      </c>
    </row>
    <row r="147" spans="2:23" ht="13.9" customHeight="1" x14ac:dyDescent="0.25">
      <c r="B147" s="80" t="s">
        <v>119</v>
      </c>
      <c r="C147" s="81"/>
      <c r="D147" s="82">
        <v>0</v>
      </c>
      <c r="E147" s="82">
        <v>180448.92</v>
      </c>
      <c r="F147" s="82">
        <f>E147+45857.86</f>
        <v>226306.78000000003</v>
      </c>
      <c r="G147" s="82">
        <v>92206</v>
      </c>
      <c r="H147" s="82">
        <f>318513-H140</f>
        <v>168513</v>
      </c>
      <c r="I147" s="82"/>
      <c r="J147" s="82"/>
      <c r="K147" s="82"/>
      <c r="L147" s="82"/>
      <c r="M147" s="82">
        <f>H147+SUM(I147:L147)</f>
        <v>168513</v>
      </c>
      <c r="N147" s="82"/>
      <c r="O147" s="82"/>
      <c r="P147" s="82"/>
      <c r="Q147" s="82"/>
      <c r="R147" s="82"/>
      <c r="S147" s="82"/>
      <c r="T147" s="82"/>
      <c r="U147" s="83"/>
      <c r="V147" s="82">
        <v>0</v>
      </c>
      <c r="W147" s="83">
        <v>0</v>
      </c>
    </row>
    <row r="1048575" ht="12.75" customHeight="1" x14ac:dyDescent="0.25"/>
    <row r="1048576" ht="12.75" customHeight="1" x14ac:dyDescent="0.25"/>
  </sheetData>
  <mergeCells count="9">
    <mergeCell ref="A75:A77"/>
    <mergeCell ref="A82:A120"/>
    <mergeCell ref="A122:A123"/>
    <mergeCell ref="A130:A133"/>
    <mergeCell ref="A3:A20"/>
    <mergeCell ref="A30:A37"/>
    <mergeCell ref="A42:A44"/>
    <mergeCell ref="A52:A56"/>
    <mergeCell ref="A58:A59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2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topLeftCell="D1" zoomScaleNormal="100" workbookViewId="0">
      <pane ySplit="2" topLeftCell="A3" activePane="bottomLeft" state="frozen"/>
      <selection activeCell="D1" sqref="D1"/>
      <selection pane="bottomLeft" activeCell="D3" sqref="D3:D17"/>
    </sheetView>
  </sheetViews>
  <sheetFormatPr defaultColWidth="11.5703125" defaultRowHeight="13.9" customHeight="1" x14ac:dyDescent="0.25"/>
  <cols>
    <col min="1" max="1" width="2.7109375" style="15" hidden="1" customWidth="1"/>
    <col min="2" max="2" width="3.140625" style="15" hidden="1" customWidth="1"/>
    <col min="3" max="3" width="3" style="15" hidden="1" customWidth="1"/>
    <col min="4" max="4" width="11.5703125" style="15" customWidth="1"/>
    <col min="5" max="5" width="8.7109375" style="15" customWidth="1"/>
    <col min="6" max="6" width="18.140625" style="15" customWidth="1"/>
    <col min="7" max="10" width="11" style="15" hidden="1" customWidth="1"/>
    <col min="11" max="11" width="11.7109375" style="15" customWidth="1"/>
    <col min="12" max="15" width="11" style="15" hidden="1" customWidth="1"/>
    <col min="16" max="17" width="11.7109375" style="15" customWidth="1"/>
    <col min="18" max="18" width="6.7109375" style="16" customWidth="1"/>
    <col min="19" max="19" width="11.7109375" style="15" customWidth="1"/>
    <col min="20" max="20" width="6.7109375" style="16" customWidth="1"/>
    <col min="21" max="21" width="11.7109375" style="15" customWidth="1"/>
    <col min="22" max="22" width="6.7109375" style="16" customWidth="1"/>
    <col min="23" max="23" width="11.7109375" style="15" customWidth="1"/>
    <col min="24" max="24" width="6.7109375" style="16" customWidth="1"/>
    <col min="25" max="26" width="11" style="15" hidden="1" customWidth="1"/>
    <col min="27" max="64" width="8.7109375" style="15" customWidth="1"/>
  </cols>
  <sheetData>
    <row r="1" spans="1:26" ht="13.9" customHeight="1" x14ac:dyDescent="0.25">
      <c r="A1" s="15" t="s">
        <v>120</v>
      </c>
      <c r="B1" s="15" t="s">
        <v>121</v>
      </c>
      <c r="C1" s="15" t="s">
        <v>122</v>
      </c>
      <c r="D1" s="17" t="s">
        <v>123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8"/>
      <c r="T1" s="19"/>
      <c r="U1" s="18"/>
      <c r="V1" s="19"/>
      <c r="W1" s="18"/>
      <c r="X1" s="19"/>
      <c r="Y1" s="18"/>
      <c r="Z1" s="18"/>
    </row>
    <row r="2" spans="1:26" ht="13.9" customHeight="1" x14ac:dyDescent="0.25">
      <c r="D2" s="20"/>
      <c r="E2" s="20"/>
      <c r="F2" s="20"/>
      <c r="G2" s="21" t="s">
        <v>1</v>
      </c>
      <c r="H2" s="21" t="s">
        <v>2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21" t="s">
        <v>9</v>
      </c>
      <c r="P2" s="21" t="s">
        <v>124</v>
      </c>
      <c r="Q2" s="21" t="s">
        <v>11</v>
      </c>
      <c r="R2" s="22" t="s">
        <v>12</v>
      </c>
      <c r="S2" s="21" t="s">
        <v>13</v>
      </c>
      <c r="T2" s="22" t="s">
        <v>14</v>
      </c>
      <c r="U2" s="21" t="s">
        <v>15</v>
      </c>
      <c r="V2" s="22" t="s">
        <v>16</v>
      </c>
      <c r="W2" s="21" t="s">
        <v>17</v>
      </c>
      <c r="X2" s="22" t="s">
        <v>18</v>
      </c>
      <c r="Y2" s="21" t="s">
        <v>19</v>
      </c>
      <c r="Z2" s="21" t="s">
        <v>20</v>
      </c>
    </row>
    <row r="3" spans="1:26" ht="13.9" customHeight="1" x14ac:dyDescent="0.25">
      <c r="D3" s="10" t="s">
        <v>21</v>
      </c>
      <c r="E3" s="24">
        <v>111</v>
      </c>
      <c r="F3" s="24" t="s">
        <v>22</v>
      </c>
      <c r="G3" s="25">
        <f t="shared" ref="G3:Q3" si="0">G22+G159+G191+G220+G259+G360+G460</f>
        <v>791685.4800000001</v>
      </c>
      <c r="H3" s="25">
        <f t="shared" si="0"/>
        <v>968449.97000000009</v>
      </c>
      <c r="I3" s="25">
        <f t="shared" si="0"/>
        <v>862751</v>
      </c>
      <c r="J3" s="25">
        <f t="shared" si="0"/>
        <v>1054822</v>
      </c>
      <c r="K3" s="25">
        <f t="shared" si="0"/>
        <v>1257583</v>
      </c>
      <c r="L3" s="25">
        <f t="shared" si="0"/>
        <v>57489</v>
      </c>
      <c r="M3" s="25">
        <f t="shared" si="0"/>
        <v>76031</v>
      </c>
      <c r="N3" s="25">
        <f t="shared" si="0"/>
        <v>0</v>
      </c>
      <c r="O3" s="25">
        <f t="shared" si="0"/>
        <v>0</v>
      </c>
      <c r="P3" s="25">
        <f t="shared" si="0"/>
        <v>1391103</v>
      </c>
      <c r="Q3" s="25">
        <f t="shared" si="0"/>
        <v>232556.58000000002</v>
      </c>
      <c r="R3" s="26">
        <f t="shared" ref="R3:R18" si="1">IFERROR(Q3/$P3,0)</f>
        <v>0.16717423512133897</v>
      </c>
      <c r="S3" s="25">
        <f>S22+S159+S191+S220+S259+S360+S460</f>
        <v>638412.15</v>
      </c>
      <c r="T3" s="26">
        <f t="shared" ref="T3:T18" si="2">IFERROR(S3/$P3,0)</f>
        <v>0.45892514788624567</v>
      </c>
      <c r="U3" s="25">
        <f>U22+U159+U191+U220+U259+U360+U460</f>
        <v>0</v>
      </c>
      <c r="V3" s="26">
        <f t="shared" ref="V3:V18" si="3">IFERROR(U3/$P3,0)</f>
        <v>0</v>
      </c>
      <c r="W3" s="25">
        <f>W22+W159+W191+W220+W259+W360+W460</f>
        <v>0</v>
      </c>
      <c r="X3" s="26">
        <f t="shared" ref="X3:X18" si="4">IFERROR(W3/$P3,0)</f>
        <v>0</v>
      </c>
      <c r="Y3" s="25">
        <f>Y22+Y159+Y191+Y220+Y259+Y360+Y460</f>
        <v>1203419</v>
      </c>
      <c r="Z3" s="25">
        <f>Z22+Z159+Z191+Z220+Z259+Z360+Z460</f>
        <v>1206374</v>
      </c>
    </row>
    <row r="4" spans="1:26" ht="13.9" customHeight="1" x14ac:dyDescent="0.25">
      <c r="D4" s="10"/>
      <c r="E4" s="24">
        <v>41</v>
      </c>
      <c r="F4" s="24" t="s">
        <v>23</v>
      </c>
      <c r="G4" s="25">
        <f t="shared" ref="G4:Q4" si="5">G23+G160+G192+G221+G260+G361+G461</f>
        <v>905801.05</v>
      </c>
      <c r="H4" s="25">
        <f t="shared" si="5"/>
        <v>916930.86999999988</v>
      </c>
      <c r="I4" s="25">
        <f t="shared" si="5"/>
        <v>1118736</v>
      </c>
      <c r="J4" s="25">
        <f t="shared" si="5"/>
        <v>1107243</v>
      </c>
      <c r="K4" s="25">
        <f t="shared" si="5"/>
        <v>880115</v>
      </c>
      <c r="L4" s="25">
        <f t="shared" si="5"/>
        <v>6052</v>
      </c>
      <c r="M4" s="25">
        <f t="shared" si="5"/>
        <v>8619</v>
      </c>
      <c r="N4" s="25">
        <f t="shared" si="5"/>
        <v>0</v>
      </c>
      <c r="O4" s="25">
        <f t="shared" si="5"/>
        <v>0</v>
      </c>
      <c r="P4" s="25">
        <f t="shared" si="5"/>
        <v>894786</v>
      </c>
      <c r="Q4" s="25">
        <f t="shared" si="5"/>
        <v>186700.01</v>
      </c>
      <c r="R4" s="26">
        <f t="shared" si="1"/>
        <v>0.20865325340360713</v>
      </c>
      <c r="S4" s="25">
        <f>S23+S160+S192+S221+S260+S361+S461</f>
        <v>403514.34</v>
      </c>
      <c r="T4" s="26">
        <f t="shared" si="2"/>
        <v>0.45096183892014408</v>
      </c>
      <c r="U4" s="25">
        <f>U23+U160+U192+U221+U260+U361+U461</f>
        <v>0</v>
      </c>
      <c r="V4" s="26">
        <f t="shared" si="3"/>
        <v>0</v>
      </c>
      <c r="W4" s="25">
        <f>W23+W160+W192+W221+W260+W361+W461</f>
        <v>0</v>
      </c>
      <c r="X4" s="26">
        <f t="shared" si="4"/>
        <v>0</v>
      </c>
      <c r="Y4" s="25">
        <f>Y23+Y160+Y192+Y221+Y260+Y361+Y461</f>
        <v>903889</v>
      </c>
      <c r="Z4" s="25">
        <f>Z23+Z160+Z192+Z221+Z260+Z361+Z461</f>
        <v>929566</v>
      </c>
    </row>
    <row r="5" spans="1:26" ht="13.9" customHeight="1" x14ac:dyDescent="0.25">
      <c r="D5" s="10"/>
      <c r="E5" s="24">
        <v>71</v>
      </c>
      <c r="F5" s="24" t="s">
        <v>24</v>
      </c>
      <c r="G5" s="25">
        <f t="shared" ref="G5:Q5" si="6">G261</f>
        <v>3000</v>
      </c>
      <c r="H5" s="25">
        <f t="shared" si="6"/>
        <v>3000</v>
      </c>
      <c r="I5" s="25">
        <f t="shared" si="6"/>
        <v>3000</v>
      </c>
      <c r="J5" s="25">
        <f t="shared" si="6"/>
        <v>3000</v>
      </c>
      <c r="K5" s="25">
        <f t="shared" si="6"/>
        <v>3000</v>
      </c>
      <c r="L5" s="25">
        <f t="shared" si="6"/>
        <v>0</v>
      </c>
      <c r="M5" s="25">
        <f t="shared" si="6"/>
        <v>0</v>
      </c>
      <c r="N5" s="25">
        <f t="shared" si="6"/>
        <v>0</v>
      </c>
      <c r="O5" s="25">
        <f t="shared" si="6"/>
        <v>0</v>
      </c>
      <c r="P5" s="25">
        <f t="shared" si="6"/>
        <v>3000</v>
      </c>
      <c r="Q5" s="25">
        <f t="shared" si="6"/>
        <v>0</v>
      </c>
      <c r="R5" s="26">
        <f t="shared" si="1"/>
        <v>0</v>
      </c>
      <c r="S5" s="25">
        <f>S261</f>
        <v>1851.16</v>
      </c>
      <c r="T5" s="26">
        <f t="shared" si="2"/>
        <v>0.61705333333333334</v>
      </c>
      <c r="U5" s="25">
        <f>U261</f>
        <v>0</v>
      </c>
      <c r="V5" s="26">
        <f t="shared" si="3"/>
        <v>0</v>
      </c>
      <c r="W5" s="25">
        <f>W261</f>
        <v>0</v>
      </c>
      <c r="X5" s="26">
        <f t="shared" si="4"/>
        <v>0</v>
      </c>
      <c r="Y5" s="25">
        <f>Y261</f>
        <v>3000</v>
      </c>
      <c r="Z5" s="25">
        <f>Z261</f>
        <v>3000</v>
      </c>
    </row>
    <row r="6" spans="1:26" ht="13.9" customHeight="1" x14ac:dyDescent="0.25">
      <c r="D6" s="10"/>
      <c r="E6" s="24">
        <v>72</v>
      </c>
      <c r="F6" s="24" t="s">
        <v>25</v>
      </c>
      <c r="G6" s="25">
        <f t="shared" ref="G6:Q6" si="7">G24+G161+G193+G222+G262+G462</f>
        <v>74248.110000000015</v>
      </c>
      <c r="H6" s="25">
        <f t="shared" si="7"/>
        <v>100119.76</v>
      </c>
      <c r="I6" s="25">
        <f t="shared" si="7"/>
        <v>100528</v>
      </c>
      <c r="J6" s="25">
        <f t="shared" si="7"/>
        <v>92625</v>
      </c>
      <c r="K6" s="25">
        <f t="shared" si="7"/>
        <v>95222</v>
      </c>
      <c r="L6" s="25">
        <f t="shared" si="7"/>
        <v>12910</v>
      </c>
      <c r="M6" s="25">
        <f t="shared" si="7"/>
        <v>25446</v>
      </c>
      <c r="N6" s="25">
        <f t="shared" si="7"/>
        <v>0</v>
      </c>
      <c r="O6" s="25">
        <f t="shared" si="7"/>
        <v>0</v>
      </c>
      <c r="P6" s="25">
        <f t="shared" si="7"/>
        <v>133578</v>
      </c>
      <c r="Q6" s="25">
        <f t="shared" si="7"/>
        <v>11177.83</v>
      </c>
      <c r="R6" s="26">
        <f t="shared" si="1"/>
        <v>8.3680171884591772E-2</v>
      </c>
      <c r="S6" s="25">
        <f>S24+S161+S193+S222+S262+S462</f>
        <v>34087.599999999999</v>
      </c>
      <c r="T6" s="26">
        <f t="shared" si="2"/>
        <v>0.25518872868286691</v>
      </c>
      <c r="U6" s="25">
        <f>U24+U161+U193+U222+U262+U462</f>
        <v>0</v>
      </c>
      <c r="V6" s="26">
        <f t="shared" si="3"/>
        <v>0</v>
      </c>
      <c r="W6" s="25">
        <f>W24+W161+W193+W222+W262+W462</f>
        <v>0</v>
      </c>
      <c r="X6" s="26">
        <f t="shared" si="4"/>
        <v>0</v>
      </c>
      <c r="Y6" s="25">
        <f>Y24+Y161+Y193+Y222+Y262+Y462</f>
        <v>95795</v>
      </c>
      <c r="Z6" s="25">
        <f>Z24+Z161+Z193+Z222+Z262+Z462</f>
        <v>95795</v>
      </c>
    </row>
    <row r="7" spans="1:26" ht="13.9" customHeight="1" x14ac:dyDescent="0.25">
      <c r="D7" s="10"/>
      <c r="E7" s="24"/>
      <c r="F7" s="27" t="s">
        <v>125</v>
      </c>
      <c r="G7" s="28">
        <f t="shared" ref="G7:Q7" si="8">SUM(G3:G6)</f>
        <v>1774734.6400000004</v>
      </c>
      <c r="H7" s="28">
        <f t="shared" si="8"/>
        <v>1988500.5999999999</v>
      </c>
      <c r="I7" s="28">
        <f t="shared" si="8"/>
        <v>2085015</v>
      </c>
      <c r="J7" s="28">
        <f t="shared" si="8"/>
        <v>2257690</v>
      </c>
      <c r="K7" s="28">
        <f t="shared" si="8"/>
        <v>2235920</v>
      </c>
      <c r="L7" s="28">
        <f t="shared" si="8"/>
        <v>76451</v>
      </c>
      <c r="M7" s="28">
        <f t="shared" si="8"/>
        <v>110096</v>
      </c>
      <c r="N7" s="28">
        <f t="shared" si="8"/>
        <v>0</v>
      </c>
      <c r="O7" s="28">
        <f t="shared" si="8"/>
        <v>0</v>
      </c>
      <c r="P7" s="28">
        <f t="shared" si="8"/>
        <v>2422467</v>
      </c>
      <c r="Q7" s="28">
        <f t="shared" si="8"/>
        <v>430434.42000000004</v>
      </c>
      <c r="R7" s="29">
        <f t="shared" si="1"/>
        <v>0.17768432758836344</v>
      </c>
      <c r="S7" s="28">
        <f>SUM(S3:S6)</f>
        <v>1077865.25</v>
      </c>
      <c r="T7" s="29">
        <f t="shared" si="2"/>
        <v>0.44494527686032465</v>
      </c>
      <c r="U7" s="28">
        <f>SUM(U3:U6)</f>
        <v>0</v>
      </c>
      <c r="V7" s="29">
        <f t="shared" si="3"/>
        <v>0</v>
      </c>
      <c r="W7" s="28">
        <f>SUM(W3:W6)</f>
        <v>0</v>
      </c>
      <c r="X7" s="29">
        <f t="shared" si="4"/>
        <v>0</v>
      </c>
      <c r="Y7" s="28">
        <f>SUM(Y3:Y6)</f>
        <v>2206103</v>
      </c>
      <c r="Z7" s="28">
        <f>SUM(Z3:Z6)</f>
        <v>2234735</v>
      </c>
    </row>
    <row r="8" spans="1:26" ht="13.9" customHeight="1" x14ac:dyDescent="0.25">
      <c r="D8" s="10"/>
      <c r="E8" s="24">
        <v>111</v>
      </c>
      <c r="F8" s="24" t="s">
        <v>22</v>
      </c>
      <c r="G8" s="25">
        <f t="shared" ref="G8:Q8" si="9">G528</f>
        <v>190577.56</v>
      </c>
      <c r="H8" s="25">
        <f t="shared" si="9"/>
        <v>150933.32999999999</v>
      </c>
      <c r="I8" s="25">
        <f t="shared" si="9"/>
        <v>962500</v>
      </c>
      <c r="J8" s="25">
        <f t="shared" si="9"/>
        <v>199376</v>
      </c>
      <c r="K8" s="25">
        <f t="shared" si="9"/>
        <v>998572</v>
      </c>
      <c r="L8" s="25">
        <f t="shared" si="9"/>
        <v>0</v>
      </c>
      <c r="M8" s="25">
        <f t="shared" si="9"/>
        <v>14000</v>
      </c>
      <c r="N8" s="25">
        <f t="shared" si="9"/>
        <v>0</v>
      </c>
      <c r="O8" s="25">
        <f t="shared" si="9"/>
        <v>0</v>
      </c>
      <c r="P8" s="25">
        <f t="shared" si="9"/>
        <v>1012572</v>
      </c>
      <c r="Q8" s="25">
        <f t="shared" si="9"/>
        <v>161491.31</v>
      </c>
      <c r="R8" s="26">
        <f t="shared" si="1"/>
        <v>0.15948624887909205</v>
      </c>
      <c r="S8" s="25">
        <f>S528</f>
        <v>447406.22</v>
      </c>
      <c r="T8" s="26">
        <f t="shared" si="2"/>
        <v>0.44185126588529011</v>
      </c>
      <c r="U8" s="25">
        <f>U528</f>
        <v>0</v>
      </c>
      <c r="V8" s="26">
        <f t="shared" si="3"/>
        <v>0</v>
      </c>
      <c r="W8" s="25">
        <f>W528</f>
        <v>0</v>
      </c>
      <c r="X8" s="26">
        <f t="shared" si="4"/>
        <v>0</v>
      </c>
      <c r="Y8" s="25">
        <f t="shared" ref="Y8:Z10" si="10">Y528</f>
        <v>0</v>
      </c>
      <c r="Z8" s="25">
        <f t="shared" si="10"/>
        <v>0</v>
      </c>
    </row>
    <row r="9" spans="1:26" ht="13.9" customHeight="1" x14ac:dyDescent="0.25">
      <c r="D9" s="10"/>
      <c r="E9" s="24">
        <v>41</v>
      </c>
      <c r="F9" s="24" t="s">
        <v>23</v>
      </c>
      <c r="G9" s="25">
        <f t="shared" ref="G9:Q9" si="11">G529</f>
        <v>776952.59000000008</v>
      </c>
      <c r="H9" s="25">
        <f t="shared" si="11"/>
        <v>614423.27</v>
      </c>
      <c r="I9" s="25">
        <f t="shared" si="11"/>
        <v>512000</v>
      </c>
      <c r="J9" s="25">
        <f t="shared" si="11"/>
        <v>378964</v>
      </c>
      <c r="K9" s="25">
        <f t="shared" si="11"/>
        <v>666456</v>
      </c>
      <c r="L9" s="25">
        <f t="shared" si="11"/>
        <v>0</v>
      </c>
      <c r="M9" s="25">
        <f t="shared" si="11"/>
        <v>1174</v>
      </c>
      <c r="N9" s="25">
        <f t="shared" si="11"/>
        <v>0</v>
      </c>
      <c r="O9" s="25">
        <f t="shared" si="11"/>
        <v>0</v>
      </c>
      <c r="P9" s="25">
        <f t="shared" si="11"/>
        <v>667630</v>
      </c>
      <c r="Q9" s="25">
        <f t="shared" si="11"/>
        <v>1284.6000000000058</v>
      </c>
      <c r="R9" s="26">
        <f t="shared" si="1"/>
        <v>1.9241196471099348E-3</v>
      </c>
      <c r="S9" s="25">
        <f>S529</f>
        <v>10775.400000000041</v>
      </c>
      <c r="T9" s="26">
        <f t="shared" si="2"/>
        <v>1.6139778020760064E-2</v>
      </c>
      <c r="U9" s="25">
        <f>U529</f>
        <v>0</v>
      </c>
      <c r="V9" s="26">
        <f t="shared" si="3"/>
        <v>0</v>
      </c>
      <c r="W9" s="25">
        <f>W529</f>
        <v>0</v>
      </c>
      <c r="X9" s="26">
        <f t="shared" si="4"/>
        <v>0</v>
      </c>
      <c r="Y9" s="25">
        <f t="shared" si="10"/>
        <v>626228</v>
      </c>
      <c r="Z9" s="25">
        <f t="shared" si="10"/>
        <v>665170</v>
      </c>
    </row>
    <row r="10" spans="1:26" ht="13.9" customHeight="1" x14ac:dyDescent="0.25">
      <c r="D10" s="10"/>
      <c r="E10" s="24">
        <v>71</v>
      </c>
      <c r="F10" s="24" t="s">
        <v>24</v>
      </c>
      <c r="G10" s="25">
        <f t="shared" ref="G10:Q10" si="12">G530</f>
        <v>0</v>
      </c>
      <c r="H10" s="25">
        <f t="shared" si="12"/>
        <v>0</v>
      </c>
      <c r="I10" s="25">
        <f t="shared" si="12"/>
        <v>0</v>
      </c>
      <c r="J10" s="25">
        <f t="shared" si="12"/>
        <v>0</v>
      </c>
      <c r="K10" s="25">
        <f t="shared" si="12"/>
        <v>6000</v>
      </c>
      <c r="L10" s="25">
        <f t="shared" si="12"/>
        <v>0</v>
      </c>
      <c r="M10" s="25">
        <f t="shared" si="12"/>
        <v>0</v>
      </c>
      <c r="N10" s="25">
        <f t="shared" si="12"/>
        <v>0</v>
      </c>
      <c r="O10" s="25">
        <f t="shared" si="12"/>
        <v>0</v>
      </c>
      <c r="P10" s="25">
        <f t="shared" si="12"/>
        <v>6000</v>
      </c>
      <c r="Q10" s="25">
        <f t="shared" si="12"/>
        <v>0</v>
      </c>
      <c r="R10" s="26">
        <f t="shared" si="1"/>
        <v>0</v>
      </c>
      <c r="S10" s="25">
        <f>S530</f>
        <v>0</v>
      </c>
      <c r="T10" s="26">
        <f t="shared" si="2"/>
        <v>0</v>
      </c>
      <c r="U10" s="25">
        <f>U530</f>
        <v>0</v>
      </c>
      <c r="V10" s="26">
        <f t="shared" si="3"/>
        <v>0</v>
      </c>
      <c r="W10" s="25">
        <f>W530</f>
        <v>0</v>
      </c>
      <c r="X10" s="26">
        <f t="shared" si="4"/>
        <v>0</v>
      </c>
      <c r="Y10" s="25">
        <f t="shared" si="10"/>
        <v>0</v>
      </c>
      <c r="Z10" s="25">
        <f t="shared" si="10"/>
        <v>0</v>
      </c>
    </row>
    <row r="11" spans="1:26" ht="13.9" customHeight="1" x14ac:dyDescent="0.25">
      <c r="D11" s="10"/>
      <c r="E11" s="24"/>
      <c r="F11" s="27" t="s">
        <v>126</v>
      </c>
      <c r="G11" s="28">
        <f t="shared" ref="G11:Q11" si="13">SUM(G8:G10)</f>
        <v>967530.15000000014</v>
      </c>
      <c r="H11" s="28">
        <f t="shared" si="13"/>
        <v>765356.6</v>
      </c>
      <c r="I11" s="28">
        <f t="shared" si="13"/>
        <v>1474500</v>
      </c>
      <c r="J11" s="28">
        <f t="shared" si="13"/>
        <v>578340</v>
      </c>
      <c r="K11" s="28">
        <f t="shared" si="13"/>
        <v>1671028</v>
      </c>
      <c r="L11" s="28">
        <f t="shared" si="13"/>
        <v>0</v>
      </c>
      <c r="M11" s="28">
        <f t="shared" si="13"/>
        <v>15174</v>
      </c>
      <c r="N11" s="28">
        <f t="shared" si="13"/>
        <v>0</v>
      </c>
      <c r="O11" s="28">
        <f t="shared" si="13"/>
        <v>0</v>
      </c>
      <c r="P11" s="28">
        <f t="shared" si="13"/>
        <v>1686202</v>
      </c>
      <c r="Q11" s="28">
        <f t="shared" si="13"/>
        <v>162775.91</v>
      </c>
      <c r="R11" s="29">
        <f t="shared" si="1"/>
        <v>9.6534051080475539E-2</v>
      </c>
      <c r="S11" s="28">
        <f>SUM(S8:S10)</f>
        <v>458181.62</v>
      </c>
      <c r="T11" s="29">
        <f t="shared" si="2"/>
        <v>0.27172404018023938</v>
      </c>
      <c r="U11" s="28">
        <f>SUM(U8:U10)</f>
        <v>0</v>
      </c>
      <c r="V11" s="29">
        <f t="shared" si="3"/>
        <v>0</v>
      </c>
      <c r="W11" s="28">
        <f>SUM(W8:W10)</f>
        <v>0</v>
      </c>
      <c r="X11" s="29">
        <f t="shared" si="4"/>
        <v>0</v>
      </c>
      <c r="Y11" s="28">
        <f>SUM(Y8:Y10)</f>
        <v>626228</v>
      </c>
      <c r="Z11" s="28">
        <f>SUM(Z8:Z10)</f>
        <v>665170</v>
      </c>
    </row>
    <row r="12" spans="1:26" ht="13.9" customHeight="1" x14ac:dyDescent="0.25">
      <c r="D12" s="10"/>
      <c r="E12" s="24">
        <v>71</v>
      </c>
      <c r="F12" s="24" t="s">
        <v>24</v>
      </c>
      <c r="G12" s="25">
        <f t="shared" ref="G12:Q12" si="14">G633</f>
        <v>300</v>
      </c>
      <c r="H12" s="25">
        <f t="shared" si="14"/>
        <v>4020</v>
      </c>
      <c r="I12" s="25">
        <f t="shared" si="14"/>
        <v>0</v>
      </c>
      <c r="J12" s="25">
        <f t="shared" si="14"/>
        <v>49900</v>
      </c>
      <c r="K12" s="25">
        <f t="shared" si="14"/>
        <v>6000</v>
      </c>
      <c r="L12" s="25">
        <f t="shared" si="14"/>
        <v>0</v>
      </c>
      <c r="M12" s="25">
        <f t="shared" si="14"/>
        <v>20670</v>
      </c>
      <c r="N12" s="25">
        <f t="shared" si="14"/>
        <v>0</v>
      </c>
      <c r="O12" s="25">
        <f t="shared" si="14"/>
        <v>0</v>
      </c>
      <c r="P12" s="25">
        <f t="shared" si="14"/>
        <v>26670</v>
      </c>
      <c r="Q12" s="25">
        <f t="shared" si="14"/>
        <v>47.64</v>
      </c>
      <c r="R12" s="26">
        <f t="shared" si="1"/>
        <v>1.7862767154105737E-3</v>
      </c>
      <c r="S12" s="25">
        <f>S633</f>
        <v>547.64</v>
      </c>
      <c r="T12" s="26">
        <f t="shared" si="2"/>
        <v>2.0533933258342706E-2</v>
      </c>
      <c r="U12" s="25">
        <f>U633</f>
        <v>0</v>
      </c>
      <c r="V12" s="26">
        <f t="shared" si="3"/>
        <v>0</v>
      </c>
      <c r="W12" s="25">
        <f>W633</f>
        <v>0</v>
      </c>
      <c r="X12" s="26">
        <f t="shared" si="4"/>
        <v>0</v>
      </c>
      <c r="Y12" s="25">
        <f>Y633</f>
        <v>0</v>
      </c>
      <c r="Z12" s="25">
        <f>Z633</f>
        <v>0</v>
      </c>
    </row>
    <row r="13" spans="1:26" ht="13.9" customHeight="1" x14ac:dyDescent="0.25">
      <c r="D13" s="10"/>
      <c r="E13" s="24"/>
      <c r="F13" s="27" t="s">
        <v>28</v>
      </c>
      <c r="G13" s="28">
        <f t="shared" ref="G13:Q13" si="15">SUM(G12)</f>
        <v>300</v>
      </c>
      <c r="H13" s="28">
        <f t="shared" si="15"/>
        <v>4020</v>
      </c>
      <c r="I13" s="28">
        <f t="shared" si="15"/>
        <v>0</v>
      </c>
      <c r="J13" s="28">
        <f t="shared" si="15"/>
        <v>49900</v>
      </c>
      <c r="K13" s="28">
        <f t="shared" si="15"/>
        <v>6000</v>
      </c>
      <c r="L13" s="28">
        <f t="shared" si="15"/>
        <v>0</v>
      </c>
      <c r="M13" s="28">
        <f t="shared" si="15"/>
        <v>20670</v>
      </c>
      <c r="N13" s="28">
        <f t="shared" si="15"/>
        <v>0</v>
      </c>
      <c r="O13" s="28">
        <f t="shared" si="15"/>
        <v>0</v>
      </c>
      <c r="P13" s="28">
        <f t="shared" si="15"/>
        <v>26670</v>
      </c>
      <c r="Q13" s="28">
        <f t="shared" si="15"/>
        <v>47.64</v>
      </c>
      <c r="R13" s="29">
        <f t="shared" si="1"/>
        <v>1.7862767154105737E-3</v>
      </c>
      <c r="S13" s="28">
        <f>SUM(S12)</f>
        <v>547.64</v>
      </c>
      <c r="T13" s="29">
        <f t="shared" si="2"/>
        <v>2.0533933258342706E-2</v>
      </c>
      <c r="U13" s="28">
        <f>SUM(U12)</f>
        <v>0</v>
      </c>
      <c r="V13" s="29">
        <f t="shared" si="3"/>
        <v>0</v>
      </c>
      <c r="W13" s="28">
        <f>SUM(W12)</f>
        <v>0</v>
      </c>
      <c r="X13" s="29">
        <f t="shared" si="4"/>
        <v>0</v>
      </c>
      <c r="Y13" s="28">
        <f>SUM(Y12)</f>
        <v>0</v>
      </c>
      <c r="Z13" s="28">
        <f>SUM(Z12)</f>
        <v>0</v>
      </c>
    </row>
    <row r="14" spans="1:26" ht="13.9" customHeight="1" x14ac:dyDescent="0.25">
      <c r="D14" s="10"/>
      <c r="E14" s="24">
        <v>111</v>
      </c>
      <c r="F14" s="24" t="s">
        <v>22</v>
      </c>
      <c r="G14" s="25">
        <f t="shared" ref="G14:Q14" si="16">G3+G8</f>
        <v>982263.04</v>
      </c>
      <c r="H14" s="25">
        <f t="shared" si="16"/>
        <v>1119383.3</v>
      </c>
      <c r="I14" s="25">
        <f t="shared" si="16"/>
        <v>1825251</v>
      </c>
      <c r="J14" s="25">
        <f t="shared" si="16"/>
        <v>1254198</v>
      </c>
      <c r="K14" s="25">
        <f t="shared" si="16"/>
        <v>2256155</v>
      </c>
      <c r="L14" s="25">
        <f t="shared" si="16"/>
        <v>57489</v>
      </c>
      <c r="M14" s="25">
        <f t="shared" si="16"/>
        <v>90031</v>
      </c>
      <c r="N14" s="25">
        <f t="shared" si="16"/>
        <v>0</v>
      </c>
      <c r="O14" s="25">
        <f t="shared" si="16"/>
        <v>0</v>
      </c>
      <c r="P14" s="25">
        <f t="shared" si="16"/>
        <v>2403675</v>
      </c>
      <c r="Q14" s="25">
        <f t="shared" si="16"/>
        <v>394047.89</v>
      </c>
      <c r="R14" s="26">
        <f t="shared" si="1"/>
        <v>0.16393559445432515</v>
      </c>
      <c r="S14" s="25">
        <f>S3+S8</f>
        <v>1085818.3700000001</v>
      </c>
      <c r="T14" s="26">
        <f t="shared" si="2"/>
        <v>0.45173260528149611</v>
      </c>
      <c r="U14" s="25">
        <f>U3+U8</f>
        <v>0</v>
      </c>
      <c r="V14" s="26">
        <f t="shared" si="3"/>
        <v>0</v>
      </c>
      <c r="W14" s="25">
        <f>W3+W8</f>
        <v>0</v>
      </c>
      <c r="X14" s="26">
        <f t="shared" si="4"/>
        <v>0</v>
      </c>
      <c r="Y14" s="25">
        <f>Y3+Y8</f>
        <v>1203419</v>
      </c>
      <c r="Z14" s="25">
        <f>Z3+Z8</f>
        <v>1206374</v>
      </c>
    </row>
    <row r="15" spans="1:26" ht="13.9" customHeight="1" x14ac:dyDescent="0.25">
      <c r="D15" s="10"/>
      <c r="E15" s="24">
        <v>41</v>
      </c>
      <c r="F15" s="24" t="s">
        <v>23</v>
      </c>
      <c r="G15" s="25">
        <f t="shared" ref="G15:Q15" si="17">G4+G9</f>
        <v>1682753.6400000001</v>
      </c>
      <c r="H15" s="25">
        <f t="shared" si="17"/>
        <v>1531354.14</v>
      </c>
      <c r="I15" s="25">
        <f t="shared" si="17"/>
        <v>1630736</v>
      </c>
      <c r="J15" s="25">
        <f t="shared" si="17"/>
        <v>1486207</v>
      </c>
      <c r="K15" s="25">
        <f t="shared" si="17"/>
        <v>1546571</v>
      </c>
      <c r="L15" s="25">
        <f t="shared" si="17"/>
        <v>6052</v>
      </c>
      <c r="M15" s="25">
        <f t="shared" si="17"/>
        <v>9793</v>
      </c>
      <c r="N15" s="25">
        <f t="shared" si="17"/>
        <v>0</v>
      </c>
      <c r="O15" s="25">
        <f t="shared" si="17"/>
        <v>0</v>
      </c>
      <c r="P15" s="25">
        <f t="shared" si="17"/>
        <v>1562416</v>
      </c>
      <c r="Q15" s="25">
        <f t="shared" si="17"/>
        <v>187984.61000000002</v>
      </c>
      <c r="R15" s="26">
        <f t="shared" si="1"/>
        <v>0.1203166186214171</v>
      </c>
      <c r="S15" s="25">
        <f>S4+S9</f>
        <v>414289.74000000005</v>
      </c>
      <c r="T15" s="26">
        <f t="shared" si="2"/>
        <v>0.26515968858485833</v>
      </c>
      <c r="U15" s="25">
        <f>U4+U9</f>
        <v>0</v>
      </c>
      <c r="V15" s="26">
        <f t="shared" si="3"/>
        <v>0</v>
      </c>
      <c r="W15" s="25">
        <f>W4+W9</f>
        <v>0</v>
      </c>
      <c r="X15" s="26">
        <f t="shared" si="4"/>
        <v>0</v>
      </c>
      <c r="Y15" s="25">
        <f>Y4+Y9</f>
        <v>1530117</v>
      </c>
      <c r="Z15" s="25">
        <f>Z4+Z9</f>
        <v>1594736</v>
      </c>
    </row>
    <row r="16" spans="1:26" ht="13.9" customHeight="1" x14ac:dyDescent="0.25">
      <c r="D16" s="10"/>
      <c r="E16" s="24">
        <v>71</v>
      </c>
      <c r="F16" s="24" t="s">
        <v>24</v>
      </c>
      <c r="G16" s="25">
        <f t="shared" ref="G16:Q16" si="18">G5+G10+G12</f>
        <v>3300</v>
      </c>
      <c r="H16" s="25">
        <f t="shared" si="18"/>
        <v>7020</v>
      </c>
      <c r="I16" s="25">
        <f t="shared" si="18"/>
        <v>3000</v>
      </c>
      <c r="J16" s="25">
        <f t="shared" si="18"/>
        <v>52900</v>
      </c>
      <c r="K16" s="25">
        <f t="shared" si="18"/>
        <v>15000</v>
      </c>
      <c r="L16" s="25">
        <f t="shared" si="18"/>
        <v>0</v>
      </c>
      <c r="M16" s="25">
        <f t="shared" si="18"/>
        <v>20670</v>
      </c>
      <c r="N16" s="25">
        <f t="shared" si="18"/>
        <v>0</v>
      </c>
      <c r="O16" s="25">
        <f t="shared" si="18"/>
        <v>0</v>
      </c>
      <c r="P16" s="25">
        <f t="shared" si="18"/>
        <v>35670</v>
      </c>
      <c r="Q16" s="25">
        <f t="shared" si="18"/>
        <v>47.64</v>
      </c>
      <c r="R16" s="26">
        <f t="shared" si="1"/>
        <v>1.3355761143818334E-3</v>
      </c>
      <c r="S16" s="25">
        <f>S5+S10+S12</f>
        <v>2398.8000000000002</v>
      </c>
      <c r="T16" s="26">
        <f t="shared" si="2"/>
        <v>6.7249789739276714E-2</v>
      </c>
      <c r="U16" s="25">
        <f>U5+U10+U12</f>
        <v>0</v>
      </c>
      <c r="V16" s="26">
        <f t="shared" si="3"/>
        <v>0</v>
      </c>
      <c r="W16" s="25">
        <f>W5+W10+W12</f>
        <v>0</v>
      </c>
      <c r="X16" s="26">
        <f t="shared" si="4"/>
        <v>0</v>
      </c>
      <c r="Y16" s="25">
        <f>Y5+Y10+Y12</f>
        <v>3000</v>
      </c>
      <c r="Z16" s="25">
        <f>Z5+Z10+Z12</f>
        <v>3000</v>
      </c>
    </row>
    <row r="17" spans="1:26" ht="13.9" customHeight="1" x14ac:dyDescent="0.25">
      <c r="D17" s="10"/>
      <c r="E17" s="24">
        <v>72</v>
      </c>
      <c r="F17" s="24" t="s">
        <v>25</v>
      </c>
      <c r="G17" s="25">
        <f t="shared" ref="G17:Q17" si="19">G6</f>
        <v>74248.110000000015</v>
      </c>
      <c r="H17" s="25">
        <f t="shared" si="19"/>
        <v>100119.76</v>
      </c>
      <c r="I17" s="25">
        <f t="shared" si="19"/>
        <v>100528</v>
      </c>
      <c r="J17" s="25">
        <f t="shared" si="19"/>
        <v>92625</v>
      </c>
      <c r="K17" s="25">
        <f t="shared" si="19"/>
        <v>95222</v>
      </c>
      <c r="L17" s="25">
        <f t="shared" si="19"/>
        <v>12910</v>
      </c>
      <c r="M17" s="25">
        <f t="shared" si="19"/>
        <v>25446</v>
      </c>
      <c r="N17" s="25">
        <f t="shared" si="19"/>
        <v>0</v>
      </c>
      <c r="O17" s="25">
        <f t="shared" si="19"/>
        <v>0</v>
      </c>
      <c r="P17" s="25">
        <f t="shared" si="19"/>
        <v>133578</v>
      </c>
      <c r="Q17" s="25">
        <f t="shared" si="19"/>
        <v>11177.83</v>
      </c>
      <c r="R17" s="26">
        <f t="shared" si="1"/>
        <v>8.3680171884591772E-2</v>
      </c>
      <c r="S17" s="25">
        <f>S6</f>
        <v>34087.599999999999</v>
      </c>
      <c r="T17" s="26">
        <f t="shared" si="2"/>
        <v>0.25518872868286691</v>
      </c>
      <c r="U17" s="25">
        <f>U6</f>
        <v>0</v>
      </c>
      <c r="V17" s="26">
        <f t="shared" si="3"/>
        <v>0</v>
      </c>
      <c r="W17" s="25">
        <f>W6</f>
        <v>0</v>
      </c>
      <c r="X17" s="26">
        <f t="shared" si="4"/>
        <v>0</v>
      </c>
      <c r="Y17" s="25">
        <f>Y6</f>
        <v>95795</v>
      </c>
      <c r="Z17" s="25">
        <f>Z6</f>
        <v>95795</v>
      </c>
    </row>
    <row r="18" spans="1:26" ht="13.9" customHeight="1" x14ac:dyDescent="0.25">
      <c r="D18" s="30"/>
      <c r="E18" s="31"/>
      <c r="F18" s="27" t="s">
        <v>127</v>
      </c>
      <c r="G18" s="28">
        <f t="shared" ref="G18:Q18" si="20">SUM(G14:G17)</f>
        <v>2742564.79</v>
      </c>
      <c r="H18" s="28">
        <f t="shared" si="20"/>
        <v>2757877.1999999997</v>
      </c>
      <c r="I18" s="28">
        <f t="shared" si="20"/>
        <v>3559515</v>
      </c>
      <c r="J18" s="28">
        <f t="shared" si="20"/>
        <v>2885930</v>
      </c>
      <c r="K18" s="28">
        <f t="shared" si="20"/>
        <v>3912948</v>
      </c>
      <c r="L18" s="28">
        <f t="shared" si="20"/>
        <v>76451</v>
      </c>
      <c r="M18" s="28">
        <f t="shared" si="20"/>
        <v>145940</v>
      </c>
      <c r="N18" s="28">
        <f t="shared" si="20"/>
        <v>0</v>
      </c>
      <c r="O18" s="28">
        <f t="shared" si="20"/>
        <v>0</v>
      </c>
      <c r="P18" s="28">
        <f t="shared" si="20"/>
        <v>4135339</v>
      </c>
      <c r="Q18" s="28">
        <f t="shared" si="20"/>
        <v>593257.97</v>
      </c>
      <c r="R18" s="29">
        <f t="shared" si="1"/>
        <v>0.14346054096169625</v>
      </c>
      <c r="S18" s="28">
        <f>SUM(S14:S17)</f>
        <v>1536594.5100000002</v>
      </c>
      <c r="T18" s="29">
        <f t="shared" si="2"/>
        <v>0.37157643182336447</v>
      </c>
      <c r="U18" s="28">
        <f>SUM(U14:U17)</f>
        <v>0</v>
      </c>
      <c r="V18" s="29">
        <f t="shared" si="3"/>
        <v>0</v>
      </c>
      <c r="W18" s="28">
        <f>SUM(W14:W17)</f>
        <v>0</v>
      </c>
      <c r="X18" s="29">
        <f t="shared" si="4"/>
        <v>0</v>
      </c>
      <c r="Y18" s="28">
        <f>SUM(Y14:Y17)</f>
        <v>2832331</v>
      </c>
      <c r="Z18" s="28">
        <f>SUM(Z14:Z17)</f>
        <v>2899905</v>
      </c>
    </row>
    <row r="20" spans="1:26" ht="13.9" customHeight="1" x14ac:dyDescent="0.25">
      <c r="D20" s="9" t="s">
        <v>128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9" customHeight="1" x14ac:dyDescent="0.25">
      <c r="D21" s="20"/>
      <c r="E21" s="20"/>
      <c r="F21" s="20"/>
      <c r="G21" s="21" t="s">
        <v>1</v>
      </c>
      <c r="H21" s="21" t="s">
        <v>2</v>
      </c>
      <c r="I21" s="21" t="s">
        <v>3</v>
      </c>
      <c r="J21" s="21" t="s">
        <v>4</v>
      </c>
      <c r="K21" s="21" t="s">
        <v>5</v>
      </c>
      <c r="L21" s="21" t="s">
        <v>6</v>
      </c>
      <c r="M21" s="21" t="s">
        <v>7</v>
      </c>
      <c r="N21" s="21" t="s">
        <v>8</v>
      </c>
      <c r="O21" s="21" t="s">
        <v>9</v>
      </c>
      <c r="P21" s="21" t="s">
        <v>124</v>
      </c>
      <c r="Q21" s="21" t="s">
        <v>11</v>
      </c>
      <c r="R21" s="22" t="s">
        <v>12</v>
      </c>
      <c r="S21" s="21" t="s">
        <v>13</v>
      </c>
      <c r="T21" s="22" t="s">
        <v>14</v>
      </c>
      <c r="U21" s="21" t="s">
        <v>15</v>
      </c>
      <c r="V21" s="22" t="s">
        <v>16</v>
      </c>
      <c r="W21" s="21" t="s">
        <v>17</v>
      </c>
      <c r="X21" s="22" t="s">
        <v>18</v>
      </c>
      <c r="Y21" s="21" t="s">
        <v>19</v>
      </c>
      <c r="Z21" s="21" t="s">
        <v>20</v>
      </c>
    </row>
    <row r="22" spans="1:26" ht="13.9" customHeight="1" x14ac:dyDescent="0.25">
      <c r="A22" s="15">
        <v>1</v>
      </c>
      <c r="D22" s="8" t="s">
        <v>21</v>
      </c>
      <c r="E22" s="35">
        <v>111</v>
      </c>
      <c r="F22" s="35" t="s">
        <v>45</v>
      </c>
      <c r="G22" s="36">
        <f t="shared" ref="G22:Q22" si="21">G29+G129+G138+G154</f>
        <v>20286.989999999998</v>
      </c>
      <c r="H22" s="36">
        <f t="shared" si="21"/>
        <v>24550.83</v>
      </c>
      <c r="I22" s="36">
        <f t="shared" si="21"/>
        <v>16858</v>
      </c>
      <c r="J22" s="36">
        <f t="shared" si="21"/>
        <v>15979</v>
      </c>
      <c r="K22" s="36">
        <f t="shared" si="21"/>
        <v>8334</v>
      </c>
      <c r="L22" s="36">
        <f t="shared" si="21"/>
        <v>74</v>
      </c>
      <c r="M22" s="36">
        <f t="shared" si="21"/>
        <v>12412</v>
      </c>
      <c r="N22" s="36">
        <f t="shared" si="21"/>
        <v>0</v>
      </c>
      <c r="O22" s="36">
        <f t="shared" si="21"/>
        <v>0</v>
      </c>
      <c r="P22" s="36">
        <f t="shared" si="21"/>
        <v>20820</v>
      </c>
      <c r="Q22" s="36">
        <f t="shared" si="21"/>
        <v>1685.02</v>
      </c>
      <c r="R22" s="37">
        <f>IFERROR(Q22/$P22,0)</f>
        <v>8.0932756964457259E-2</v>
      </c>
      <c r="S22" s="36">
        <f>S29+S129+S138+S154</f>
        <v>11626.230000000001</v>
      </c>
      <c r="T22" s="37">
        <f>IFERROR(S22/$P22,0)</f>
        <v>0.55841642651296841</v>
      </c>
      <c r="U22" s="36">
        <f>U29+U129+U138+U154</f>
        <v>0</v>
      </c>
      <c r="V22" s="37">
        <f>IFERROR(U22/$P22,0)</f>
        <v>0</v>
      </c>
      <c r="W22" s="36">
        <f>W29+W129+W138+W154</f>
        <v>0</v>
      </c>
      <c r="X22" s="37">
        <f>IFERROR(W22/$P22,0)</f>
        <v>0</v>
      </c>
      <c r="Y22" s="36">
        <f>Y29+Y129+Y138+Y154</f>
        <v>15979</v>
      </c>
      <c r="Z22" s="36">
        <f>Z29+Z129+Z138+Z154</f>
        <v>12834</v>
      </c>
    </row>
    <row r="23" spans="1:26" ht="13.9" customHeight="1" x14ac:dyDescent="0.25">
      <c r="A23" s="15">
        <v>1</v>
      </c>
      <c r="D23" s="8"/>
      <c r="E23" s="35">
        <v>41</v>
      </c>
      <c r="F23" s="35" t="s">
        <v>23</v>
      </c>
      <c r="G23" s="36">
        <f t="shared" ref="G23:Q23" si="22">G30+G132+G141</f>
        <v>261912.26000000004</v>
      </c>
      <c r="H23" s="36">
        <f t="shared" si="22"/>
        <v>286839.79000000004</v>
      </c>
      <c r="I23" s="36">
        <f t="shared" si="22"/>
        <v>355120</v>
      </c>
      <c r="J23" s="36">
        <f t="shared" si="22"/>
        <v>338160</v>
      </c>
      <c r="K23" s="36">
        <f t="shared" si="22"/>
        <v>367242</v>
      </c>
      <c r="L23" s="36">
        <f t="shared" si="22"/>
        <v>5352</v>
      </c>
      <c r="M23" s="36">
        <f t="shared" si="22"/>
        <v>301</v>
      </c>
      <c r="N23" s="36">
        <f t="shared" si="22"/>
        <v>0</v>
      </c>
      <c r="O23" s="36">
        <f t="shared" si="22"/>
        <v>0</v>
      </c>
      <c r="P23" s="36">
        <f t="shared" si="22"/>
        <v>372895</v>
      </c>
      <c r="Q23" s="36">
        <f t="shared" si="22"/>
        <v>86988.62</v>
      </c>
      <c r="R23" s="37">
        <f>IFERROR(Q23/$P23,0)</f>
        <v>0.23327912683195001</v>
      </c>
      <c r="S23" s="36">
        <f>S30+S132+S141</f>
        <v>175388.01</v>
      </c>
      <c r="T23" s="37">
        <f>IFERROR(S23/$P23,0)</f>
        <v>0.47034154386623583</v>
      </c>
      <c r="U23" s="36">
        <f>U30+U132+U141</f>
        <v>0</v>
      </c>
      <c r="V23" s="37">
        <f>IFERROR(U23/$P23,0)</f>
        <v>0</v>
      </c>
      <c r="W23" s="36">
        <f>W30+W132+W141</f>
        <v>0</v>
      </c>
      <c r="X23" s="37">
        <f>IFERROR(W23/$P23,0)</f>
        <v>0</v>
      </c>
      <c r="Y23" s="36">
        <f>Y30+Y132+Y141</f>
        <v>380533</v>
      </c>
      <c r="Z23" s="36">
        <f>Z30+Z132+Z141</f>
        <v>398264</v>
      </c>
    </row>
    <row r="24" spans="1:26" ht="13.9" customHeight="1" x14ac:dyDescent="0.25">
      <c r="A24" s="15">
        <v>1</v>
      </c>
      <c r="D24" s="8"/>
      <c r="E24" s="35">
        <v>72</v>
      </c>
      <c r="F24" s="35" t="s">
        <v>25</v>
      </c>
      <c r="G24" s="36">
        <f t="shared" ref="G24:Q24" si="23">G31</f>
        <v>1134.96</v>
      </c>
      <c r="H24" s="36">
        <f t="shared" si="23"/>
        <v>1184.8699999999999</v>
      </c>
      <c r="I24" s="36">
        <f t="shared" si="23"/>
        <v>1233</v>
      </c>
      <c r="J24" s="36">
        <f t="shared" si="23"/>
        <v>1198</v>
      </c>
      <c r="K24" s="36">
        <f t="shared" si="23"/>
        <v>1405</v>
      </c>
      <c r="L24" s="36">
        <f t="shared" si="23"/>
        <v>0</v>
      </c>
      <c r="M24" s="36">
        <f t="shared" si="23"/>
        <v>0</v>
      </c>
      <c r="N24" s="36">
        <f t="shared" si="23"/>
        <v>0</v>
      </c>
      <c r="O24" s="36">
        <f t="shared" si="23"/>
        <v>0</v>
      </c>
      <c r="P24" s="36">
        <f t="shared" si="23"/>
        <v>1405</v>
      </c>
      <c r="Q24" s="36">
        <f t="shared" si="23"/>
        <v>0</v>
      </c>
      <c r="R24" s="37">
        <f>IFERROR(Q24/$P24,0)</f>
        <v>0</v>
      </c>
      <c r="S24" s="36">
        <f>S31</f>
        <v>0</v>
      </c>
      <c r="T24" s="37">
        <f>IFERROR(S24/$P24,0)</f>
        <v>0</v>
      </c>
      <c r="U24" s="36">
        <f>U31</f>
        <v>0</v>
      </c>
      <c r="V24" s="37">
        <f>IFERROR(U24/$P24,0)</f>
        <v>0</v>
      </c>
      <c r="W24" s="36">
        <f>W31</f>
        <v>0</v>
      </c>
      <c r="X24" s="37">
        <f>IFERROR(W24/$P24,0)</f>
        <v>0</v>
      </c>
      <c r="Y24" s="36">
        <f>Y31</f>
        <v>1405</v>
      </c>
      <c r="Z24" s="36">
        <f>Z31</f>
        <v>1405</v>
      </c>
    </row>
    <row r="25" spans="1:26" ht="13.9" customHeight="1" x14ac:dyDescent="0.25">
      <c r="A25" s="15">
        <v>1</v>
      </c>
      <c r="D25" s="30"/>
      <c r="E25" s="31"/>
      <c r="F25" s="38" t="s">
        <v>127</v>
      </c>
      <c r="G25" s="39">
        <f t="shared" ref="G25:Q25" si="24">SUM(G22:G24)</f>
        <v>283334.21000000008</v>
      </c>
      <c r="H25" s="39">
        <f t="shared" si="24"/>
        <v>312575.49000000005</v>
      </c>
      <c r="I25" s="39">
        <f t="shared" si="24"/>
        <v>373211</v>
      </c>
      <c r="J25" s="39">
        <f t="shared" si="24"/>
        <v>355337</v>
      </c>
      <c r="K25" s="39">
        <f t="shared" si="24"/>
        <v>376981</v>
      </c>
      <c r="L25" s="39">
        <f t="shared" si="24"/>
        <v>5426</v>
      </c>
      <c r="M25" s="39">
        <f t="shared" si="24"/>
        <v>12713</v>
      </c>
      <c r="N25" s="39">
        <f t="shared" si="24"/>
        <v>0</v>
      </c>
      <c r="O25" s="39">
        <f t="shared" si="24"/>
        <v>0</v>
      </c>
      <c r="P25" s="39">
        <f t="shared" si="24"/>
        <v>395120</v>
      </c>
      <c r="Q25" s="39">
        <f t="shared" si="24"/>
        <v>88673.64</v>
      </c>
      <c r="R25" s="40">
        <f>IFERROR(Q25/$P25,0)</f>
        <v>0.22442204899777282</v>
      </c>
      <c r="S25" s="39">
        <f>SUM(S22:S24)</f>
        <v>187014.24000000002</v>
      </c>
      <c r="T25" s="40">
        <f>IFERROR(S25/$P25,0)</f>
        <v>0.47330998177768785</v>
      </c>
      <c r="U25" s="39">
        <f>SUM(U22:U24)</f>
        <v>0</v>
      </c>
      <c r="V25" s="40">
        <f>IFERROR(U25/$P25,0)</f>
        <v>0</v>
      </c>
      <c r="W25" s="39">
        <f>SUM(W22:W24)</f>
        <v>0</v>
      </c>
      <c r="X25" s="40">
        <f>IFERROR(W25/$P25,0)</f>
        <v>0</v>
      </c>
      <c r="Y25" s="39">
        <f>SUM(Y22:Y24)</f>
        <v>397917</v>
      </c>
      <c r="Z25" s="39">
        <f>SUM(Z22:Z24)</f>
        <v>412503</v>
      </c>
    </row>
    <row r="27" spans="1:26" ht="13.9" customHeight="1" x14ac:dyDescent="0.25">
      <c r="D27" s="7" t="s">
        <v>129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9" customHeight="1" x14ac:dyDescent="0.25">
      <c r="D28" s="21"/>
      <c r="E28" s="21"/>
      <c r="F28" s="21"/>
      <c r="G28" s="21" t="s">
        <v>1</v>
      </c>
      <c r="H28" s="21" t="s">
        <v>2</v>
      </c>
      <c r="I28" s="21" t="s">
        <v>3</v>
      </c>
      <c r="J28" s="21" t="s">
        <v>4</v>
      </c>
      <c r="K28" s="21" t="s">
        <v>5</v>
      </c>
      <c r="L28" s="21" t="s">
        <v>6</v>
      </c>
      <c r="M28" s="21" t="s">
        <v>7</v>
      </c>
      <c r="N28" s="21" t="s">
        <v>8</v>
      </c>
      <c r="O28" s="21" t="s">
        <v>9</v>
      </c>
      <c r="P28" s="21" t="s">
        <v>124</v>
      </c>
      <c r="Q28" s="21" t="s">
        <v>11</v>
      </c>
      <c r="R28" s="22" t="s">
        <v>12</v>
      </c>
      <c r="S28" s="21" t="s">
        <v>13</v>
      </c>
      <c r="T28" s="22" t="s">
        <v>14</v>
      </c>
      <c r="U28" s="21" t="s">
        <v>15</v>
      </c>
      <c r="V28" s="22" t="s">
        <v>16</v>
      </c>
      <c r="W28" s="21" t="s">
        <v>17</v>
      </c>
      <c r="X28" s="22" t="s">
        <v>18</v>
      </c>
      <c r="Y28" s="21" t="s">
        <v>19</v>
      </c>
      <c r="Z28" s="21" t="s">
        <v>20</v>
      </c>
    </row>
    <row r="29" spans="1:26" ht="13.9" customHeight="1" x14ac:dyDescent="0.25">
      <c r="A29" s="15">
        <v>1</v>
      </c>
      <c r="B29" s="15">
        <v>1</v>
      </c>
      <c r="D29" s="13" t="s">
        <v>21</v>
      </c>
      <c r="E29" s="24">
        <v>111</v>
      </c>
      <c r="F29" s="24" t="s">
        <v>45</v>
      </c>
      <c r="G29" s="25">
        <f t="shared" ref="G29:Q29" si="25">G49+G72+G90+G116</f>
        <v>8543.7099999999991</v>
      </c>
      <c r="H29" s="25">
        <f t="shared" si="25"/>
        <v>14841.88</v>
      </c>
      <c r="I29" s="25">
        <f t="shared" si="25"/>
        <v>7529</v>
      </c>
      <c r="J29" s="25">
        <f t="shared" si="25"/>
        <v>8195</v>
      </c>
      <c r="K29" s="25">
        <f t="shared" si="25"/>
        <v>8195</v>
      </c>
      <c r="L29" s="25">
        <f t="shared" si="25"/>
        <v>74</v>
      </c>
      <c r="M29" s="25">
        <f t="shared" si="25"/>
        <v>7151</v>
      </c>
      <c r="N29" s="25">
        <f t="shared" si="25"/>
        <v>0</v>
      </c>
      <c r="O29" s="25">
        <f t="shared" si="25"/>
        <v>0</v>
      </c>
      <c r="P29" s="25">
        <f t="shared" si="25"/>
        <v>15420</v>
      </c>
      <c r="Q29" s="25">
        <f t="shared" si="25"/>
        <v>1685.02</v>
      </c>
      <c r="R29" s="26">
        <f>IFERROR(Q29/$P29,0)</f>
        <v>0.10927496757457847</v>
      </c>
      <c r="S29" s="25">
        <f>S49+S72+S90+S116</f>
        <v>11487.560000000001</v>
      </c>
      <c r="T29" s="26">
        <f>IFERROR(S29/$P29,0)</f>
        <v>0.74497795071335937</v>
      </c>
      <c r="U29" s="25">
        <f>U49+U72+U90+U116</f>
        <v>0</v>
      </c>
      <c r="V29" s="26">
        <f>IFERROR(U29/$P29,0)</f>
        <v>0</v>
      </c>
      <c r="W29" s="25">
        <f>W49+W72+W90+W116</f>
        <v>0</v>
      </c>
      <c r="X29" s="26">
        <f>IFERROR(W29/$P29,0)</f>
        <v>0</v>
      </c>
      <c r="Y29" s="25">
        <f>Y49+Y72+Y90+Y116</f>
        <v>8195</v>
      </c>
      <c r="Z29" s="25">
        <f>Z49+Z72+Z90+Z116</f>
        <v>8195</v>
      </c>
    </row>
    <row r="30" spans="1:26" ht="13.9" customHeight="1" x14ac:dyDescent="0.25">
      <c r="A30" s="15">
        <v>1</v>
      </c>
      <c r="B30" s="15">
        <v>1</v>
      </c>
      <c r="D30" s="13"/>
      <c r="E30" s="24">
        <v>41</v>
      </c>
      <c r="F30" s="24" t="s">
        <v>23</v>
      </c>
      <c r="G30" s="25">
        <f t="shared" ref="G30:Q30" si="26">G40+G54+G64+G76+G94+G108+G121</f>
        <v>247481.76000000004</v>
      </c>
      <c r="H30" s="25">
        <f t="shared" si="26"/>
        <v>275698.64</v>
      </c>
      <c r="I30" s="25">
        <f t="shared" si="26"/>
        <v>333427</v>
      </c>
      <c r="J30" s="25">
        <f t="shared" si="26"/>
        <v>317520</v>
      </c>
      <c r="K30" s="25">
        <f t="shared" si="26"/>
        <v>335985</v>
      </c>
      <c r="L30" s="25">
        <f t="shared" si="26"/>
        <v>3134</v>
      </c>
      <c r="M30" s="25">
        <f t="shared" si="26"/>
        <v>301</v>
      </c>
      <c r="N30" s="25">
        <f t="shared" si="26"/>
        <v>0</v>
      </c>
      <c r="O30" s="25">
        <f t="shared" si="26"/>
        <v>0</v>
      </c>
      <c r="P30" s="25">
        <f t="shared" si="26"/>
        <v>339420</v>
      </c>
      <c r="Q30" s="25">
        <f t="shared" si="26"/>
        <v>82931.079999999987</v>
      </c>
      <c r="R30" s="26">
        <f>IFERROR(Q30/$P30,0)</f>
        <v>0.24433174238406691</v>
      </c>
      <c r="S30" s="25">
        <f>S40+S54+S64+S76+S94+S108+S121</f>
        <v>164006.51</v>
      </c>
      <c r="T30" s="26">
        <f>IFERROR(S30/$P30,0)</f>
        <v>0.48319636438630609</v>
      </c>
      <c r="U30" s="25">
        <f>U40+U54+U64+U76+U94+U108+U121</f>
        <v>0</v>
      </c>
      <c r="V30" s="26">
        <f>IFERROR(U30/$P30,0)</f>
        <v>0</v>
      </c>
      <c r="W30" s="25">
        <f>W40+W54+W64+W76+W94+W108+W121</f>
        <v>0</v>
      </c>
      <c r="X30" s="26">
        <f>IFERROR(W30/$P30,0)</f>
        <v>0</v>
      </c>
      <c r="Y30" s="25">
        <f>Y40+Y54+Y64+Y76+Y94+Y108+Y121</f>
        <v>344298</v>
      </c>
      <c r="Z30" s="25">
        <f>Z40+Z54+Z64+Z76+Z94+Z108+Z121</f>
        <v>362029</v>
      </c>
    </row>
    <row r="31" spans="1:26" ht="13.9" customHeight="1" x14ac:dyDescent="0.25">
      <c r="A31" s="15">
        <v>1</v>
      </c>
      <c r="B31" s="15">
        <v>1</v>
      </c>
      <c r="D31" s="13"/>
      <c r="E31" s="24">
        <v>72</v>
      </c>
      <c r="F31" s="24" t="s">
        <v>25</v>
      </c>
      <c r="G31" s="25">
        <f t="shared" ref="G31:Q31" si="27">G42+G56+G66+G96+G123</f>
        <v>1134.96</v>
      </c>
      <c r="H31" s="25">
        <f t="shared" si="27"/>
        <v>1184.8699999999999</v>
      </c>
      <c r="I31" s="25">
        <f t="shared" si="27"/>
        <v>1233</v>
      </c>
      <c r="J31" s="25">
        <f t="shared" si="27"/>
        <v>1198</v>
      </c>
      <c r="K31" s="25">
        <f t="shared" si="27"/>
        <v>1405</v>
      </c>
      <c r="L31" s="25">
        <f t="shared" si="27"/>
        <v>0</v>
      </c>
      <c r="M31" s="25">
        <f t="shared" si="27"/>
        <v>0</v>
      </c>
      <c r="N31" s="25">
        <f t="shared" si="27"/>
        <v>0</v>
      </c>
      <c r="O31" s="25">
        <f t="shared" si="27"/>
        <v>0</v>
      </c>
      <c r="P31" s="25">
        <f t="shared" si="27"/>
        <v>1405</v>
      </c>
      <c r="Q31" s="25">
        <f t="shared" si="27"/>
        <v>0</v>
      </c>
      <c r="R31" s="26">
        <f>IFERROR(Q31/$P31,0)</f>
        <v>0</v>
      </c>
      <c r="S31" s="25">
        <f>S42+S56+S66+S96+S123</f>
        <v>0</v>
      </c>
      <c r="T31" s="26">
        <f>IFERROR(S31/$P31,0)</f>
        <v>0</v>
      </c>
      <c r="U31" s="25">
        <f>U42+U56+U66+U96+U123</f>
        <v>0</v>
      </c>
      <c r="V31" s="26">
        <f>IFERROR(U31/$P31,0)</f>
        <v>0</v>
      </c>
      <c r="W31" s="25">
        <f>W42+W56+W66+W96+W123</f>
        <v>0</v>
      </c>
      <c r="X31" s="26">
        <f>IFERROR(W31/$P31,0)</f>
        <v>0</v>
      </c>
      <c r="Y31" s="25">
        <f>Y42+Y56+Y66+Y96+Y123</f>
        <v>1405</v>
      </c>
      <c r="Z31" s="25">
        <f>Z42+Z56+Z66+Z96+Z123</f>
        <v>1405</v>
      </c>
    </row>
    <row r="32" spans="1:26" ht="13.9" customHeight="1" x14ac:dyDescent="0.25">
      <c r="A32" s="15">
        <v>1</v>
      </c>
      <c r="B32" s="15">
        <v>1</v>
      </c>
      <c r="D32" s="30"/>
      <c r="E32" s="31"/>
      <c r="F32" s="27" t="s">
        <v>127</v>
      </c>
      <c r="G32" s="28">
        <f t="shared" ref="G32:Q32" si="28">SUM(G29:G31)</f>
        <v>257160.43000000002</v>
      </c>
      <c r="H32" s="28">
        <f t="shared" si="28"/>
        <v>291725.39</v>
      </c>
      <c r="I32" s="28">
        <f t="shared" si="28"/>
        <v>342189</v>
      </c>
      <c r="J32" s="28">
        <f t="shared" si="28"/>
        <v>326913</v>
      </c>
      <c r="K32" s="28">
        <f t="shared" si="28"/>
        <v>345585</v>
      </c>
      <c r="L32" s="28">
        <f t="shared" si="28"/>
        <v>3208</v>
      </c>
      <c r="M32" s="28">
        <f t="shared" si="28"/>
        <v>7452</v>
      </c>
      <c r="N32" s="28">
        <f t="shared" si="28"/>
        <v>0</v>
      </c>
      <c r="O32" s="28">
        <f t="shared" si="28"/>
        <v>0</v>
      </c>
      <c r="P32" s="28">
        <f t="shared" si="28"/>
        <v>356245</v>
      </c>
      <c r="Q32" s="28">
        <f t="shared" si="28"/>
        <v>84616.099999999991</v>
      </c>
      <c r="R32" s="29">
        <f>IFERROR(Q32/$P32,0)</f>
        <v>0.23752221083804684</v>
      </c>
      <c r="S32" s="28">
        <f>SUM(S29:S31)</f>
        <v>175494.07</v>
      </c>
      <c r="T32" s="29">
        <f>IFERROR(S32/$P32,0)</f>
        <v>0.49262184732417297</v>
      </c>
      <c r="U32" s="28">
        <f>SUM(U29:U31)</f>
        <v>0</v>
      </c>
      <c r="V32" s="29">
        <f>IFERROR(U32/$P32,0)</f>
        <v>0</v>
      </c>
      <c r="W32" s="28">
        <f>SUM(W29:W31)</f>
        <v>0</v>
      </c>
      <c r="X32" s="29">
        <f>IFERROR(W32/$P32,0)</f>
        <v>0</v>
      </c>
      <c r="Y32" s="28">
        <f>SUM(Y29:Y31)</f>
        <v>353898</v>
      </c>
      <c r="Z32" s="28">
        <f>SUM(Z29:Z31)</f>
        <v>371629</v>
      </c>
    </row>
    <row r="34" spans="1:26" ht="13.9" customHeight="1" x14ac:dyDescent="0.25">
      <c r="D34" s="6" t="s">
        <v>130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9" customHeight="1" x14ac:dyDescent="0.25">
      <c r="D35" s="21" t="s">
        <v>32</v>
      </c>
      <c r="E35" s="21" t="s">
        <v>33</v>
      </c>
      <c r="F35" s="21" t="s">
        <v>34</v>
      </c>
      <c r="G35" s="21" t="s">
        <v>1</v>
      </c>
      <c r="H35" s="21" t="s">
        <v>2</v>
      </c>
      <c r="I35" s="21" t="s">
        <v>3</v>
      </c>
      <c r="J35" s="21" t="s">
        <v>4</v>
      </c>
      <c r="K35" s="21" t="s">
        <v>5</v>
      </c>
      <c r="L35" s="21" t="s">
        <v>6</v>
      </c>
      <c r="M35" s="21" t="s">
        <v>7</v>
      </c>
      <c r="N35" s="21" t="s">
        <v>8</v>
      </c>
      <c r="O35" s="21" t="s">
        <v>9</v>
      </c>
      <c r="P35" s="21" t="s">
        <v>124</v>
      </c>
      <c r="Q35" s="21" t="s">
        <v>11</v>
      </c>
      <c r="R35" s="22" t="s">
        <v>12</v>
      </c>
      <c r="S35" s="21" t="s">
        <v>13</v>
      </c>
      <c r="T35" s="22" t="s">
        <v>14</v>
      </c>
      <c r="U35" s="21" t="s">
        <v>15</v>
      </c>
      <c r="V35" s="22" t="s">
        <v>16</v>
      </c>
      <c r="W35" s="21" t="s">
        <v>17</v>
      </c>
      <c r="X35" s="22" t="s">
        <v>18</v>
      </c>
      <c r="Y35" s="21" t="s">
        <v>19</v>
      </c>
      <c r="Z35" s="21" t="s">
        <v>20</v>
      </c>
    </row>
    <row r="36" spans="1:26" ht="13.9" customHeight="1" x14ac:dyDescent="0.25">
      <c r="A36" s="15">
        <v>1</v>
      </c>
      <c r="B36" s="15">
        <v>1</v>
      </c>
      <c r="C36" s="15">
        <v>1</v>
      </c>
      <c r="D36" s="5" t="s">
        <v>131</v>
      </c>
      <c r="E36" s="24">
        <v>610</v>
      </c>
      <c r="F36" s="24" t="s">
        <v>132</v>
      </c>
      <c r="G36" s="46">
        <v>52112.15</v>
      </c>
      <c r="H36" s="46">
        <v>56165.73</v>
      </c>
      <c r="I36" s="46">
        <v>60738</v>
      </c>
      <c r="J36" s="46">
        <v>61428</v>
      </c>
      <c r="K36" s="46">
        <v>67739</v>
      </c>
      <c r="L36" s="46"/>
      <c r="M36" s="46"/>
      <c r="N36" s="46"/>
      <c r="O36" s="46"/>
      <c r="P36" s="46">
        <f>K36+SUM(L36:O36)</f>
        <v>67739</v>
      </c>
      <c r="Q36" s="46">
        <v>16155.71</v>
      </c>
      <c r="R36" s="47">
        <f t="shared" ref="R36:R43" si="29">IFERROR(Q36/$P36,0)</f>
        <v>0.2384993873544044</v>
      </c>
      <c r="S36" s="46">
        <v>32612.99</v>
      </c>
      <c r="T36" s="47">
        <f t="shared" ref="T36:T43" si="30">IFERROR(S36/$P36,0)</f>
        <v>0.48145071524527971</v>
      </c>
      <c r="U36" s="46"/>
      <c r="V36" s="47">
        <f t="shared" ref="V36:V43" si="31">IFERROR(U36/$P36,0)</f>
        <v>0</v>
      </c>
      <c r="W36" s="46"/>
      <c r="X36" s="47">
        <f t="shared" ref="X36:X43" si="32">IFERROR(W36/$P36,0)</f>
        <v>0</v>
      </c>
      <c r="Y36" s="25">
        <v>74513</v>
      </c>
      <c r="Z36" s="25">
        <v>81964</v>
      </c>
    </row>
    <row r="37" spans="1:26" ht="13.9" customHeight="1" x14ac:dyDescent="0.25">
      <c r="A37" s="15">
        <v>1</v>
      </c>
      <c r="B37" s="15">
        <v>1</v>
      </c>
      <c r="C37" s="15">
        <v>1</v>
      </c>
      <c r="D37" s="5"/>
      <c r="E37" s="24">
        <v>620</v>
      </c>
      <c r="F37" s="24" t="s">
        <v>133</v>
      </c>
      <c r="G37" s="25">
        <v>21535.56</v>
      </c>
      <c r="H37" s="25">
        <v>23483.96</v>
      </c>
      <c r="I37" s="25">
        <v>28830</v>
      </c>
      <c r="J37" s="25">
        <v>28512</v>
      </c>
      <c r="K37" s="25">
        <v>31513</v>
      </c>
      <c r="L37" s="25"/>
      <c r="M37" s="25"/>
      <c r="N37" s="25"/>
      <c r="O37" s="25"/>
      <c r="P37" s="25">
        <f>K37+SUM(L37:O37)</f>
        <v>31513</v>
      </c>
      <c r="Q37" s="25">
        <v>8775.3799999999992</v>
      </c>
      <c r="R37" s="26">
        <f t="shared" si="29"/>
        <v>0.27846856852727442</v>
      </c>
      <c r="S37" s="25">
        <v>15832.06</v>
      </c>
      <c r="T37" s="26">
        <f t="shared" si="30"/>
        <v>0.50239774061498432</v>
      </c>
      <c r="U37" s="25"/>
      <c r="V37" s="26">
        <f t="shared" si="31"/>
        <v>0</v>
      </c>
      <c r="W37" s="25"/>
      <c r="X37" s="26">
        <f t="shared" si="32"/>
        <v>0</v>
      </c>
      <c r="Y37" s="25">
        <v>34083</v>
      </c>
      <c r="Z37" s="25">
        <v>36910</v>
      </c>
    </row>
    <row r="38" spans="1:26" ht="13.9" customHeight="1" x14ac:dyDescent="0.25">
      <c r="A38" s="15">
        <v>1</v>
      </c>
      <c r="B38" s="15">
        <v>1</v>
      </c>
      <c r="C38" s="15">
        <v>1</v>
      </c>
      <c r="D38" s="5"/>
      <c r="E38" s="24">
        <v>630</v>
      </c>
      <c r="F38" s="24" t="s">
        <v>134</v>
      </c>
      <c r="G38" s="46">
        <v>10452.84</v>
      </c>
      <c r="H38" s="46">
        <v>10925.91</v>
      </c>
      <c r="I38" s="46">
        <f>20208+1544</f>
        <v>21752</v>
      </c>
      <c r="J38" s="46">
        <v>18723</v>
      </c>
      <c r="K38" s="46">
        <f>18182+1478</f>
        <v>19660</v>
      </c>
      <c r="L38" s="46">
        <v>1000</v>
      </c>
      <c r="M38" s="46"/>
      <c r="N38" s="46"/>
      <c r="O38" s="46"/>
      <c r="P38" s="46">
        <f>K38+SUM(L38:O38)</f>
        <v>20660</v>
      </c>
      <c r="Q38" s="46">
        <v>10458.34</v>
      </c>
      <c r="R38" s="47">
        <f t="shared" si="29"/>
        <v>0.50621200387221688</v>
      </c>
      <c r="S38" s="46">
        <v>13355.51</v>
      </c>
      <c r="T38" s="47">
        <f t="shared" si="30"/>
        <v>0.64644288480154888</v>
      </c>
      <c r="U38" s="46"/>
      <c r="V38" s="47">
        <f t="shared" si="31"/>
        <v>0</v>
      </c>
      <c r="W38" s="46"/>
      <c r="X38" s="47">
        <f t="shared" si="32"/>
        <v>0</v>
      </c>
      <c r="Y38" s="25">
        <f>18258+1478</f>
        <v>19736</v>
      </c>
      <c r="Z38" s="25">
        <f>18336+1478</f>
        <v>19814</v>
      </c>
    </row>
    <row r="39" spans="1:26" ht="13.9" hidden="1" customHeight="1" x14ac:dyDescent="0.25">
      <c r="A39" s="15">
        <v>1</v>
      </c>
      <c r="B39" s="15">
        <v>1</v>
      </c>
      <c r="C39" s="15">
        <v>1</v>
      </c>
      <c r="D39" s="5"/>
      <c r="E39" s="24">
        <v>640</v>
      </c>
      <c r="F39" s="24" t="s">
        <v>135</v>
      </c>
      <c r="G39" s="46">
        <v>0</v>
      </c>
      <c r="H39" s="46">
        <v>90.83</v>
      </c>
      <c r="I39" s="46">
        <v>0</v>
      </c>
      <c r="J39" s="46">
        <v>0</v>
      </c>
      <c r="K39" s="46">
        <v>0</v>
      </c>
      <c r="L39" s="46"/>
      <c r="M39" s="46"/>
      <c r="N39" s="46"/>
      <c r="O39" s="46"/>
      <c r="P39" s="46">
        <f>K39+SUM(L39:O39)</f>
        <v>0</v>
      </c>
      <c r="Q39" s="46"/>
      <c r="R39" s="47">
        <f t="shared" si="29"/>
        <v>0</v>
      </c>
      <c r="S39" s="46"/>
      <c r="T39" s="47">
        <f t="shared" si="30"/>
        <v>0</v>
      </c>
      <c r="U39" s="46"/>
      <c r="V39" s="47">
        <f t="shared" si="31"/>
        <v>0</v>
      </c>
      <c r="W39" s="46"/>
      <c r="X39" s="47">
        <f t="shared" si="32"/>
        <v>0</v>
      </c>
      <c r="Y39" s="25">
        <v>0</v>
      </c>
      <c r="Z39" s="25">
        <v>0</v>
      </c>
    </row>
    <row r="40" spans="1:26" ht="13.9" customHeight="1" x14ac:dyDescent="0.25">
      <c r="A40" s="15">
        <v>1</v>
      </c>
      <c r="B40" s="15">
        <v>1</v>
      </c>
      <c r="C40" s="15">
        <v>1</v>
      </c>
      <c r="D40" s="79" t="s">
        <v>21</v>
      </c>
      <c r="E40" s="48">
        <v>41</v>
      </c>
      <c r="F40" s="48" t="s">
        <v>23</v>
      </c>
      <c r="G40" s="49">
        <f t="shared" ref="G40:Q40" si="33">SUM(G36:G39)</f>
        <v>84100.55</v>
      </c>
      <c r="H40" s="49">
        <f t="shared" si="33"/>
        <v>90666.430000000008</v>
      </c>
      <c r="I40" s="49">
        <f t="shared" si="33"/>
        <v>111320</v>
      </c>
      <c r="J40" s="49">
        <f t="shared" si="33"/>
        <v>108663</v>
      </c>
      <c r="K40" s="49">
        <f t="shared" si="33"/>
        <v>118912</v>
      </c>
      <c r="L40" s="49">
        <f t="shared" si="33"/>
        <v>1000</v>
      </c>
      <c r="M40" s="49">
        <f t="shared" si="33"/>
        <v>0</v>
      </c>
      <c r="N40" s="49">
        <f t="shared" si="33"/>
        <v>0</v>
      </c>
      <c r="O40" s="49">
        <f t="shared" si="33"/>
        <v>0</v>
      </c>
      <c r="P40" s="49">
        <f t="shared" si="33"/>
        <v>119912</v>
      </c>
      <c r="Q40" s="49">
        <f t="shared" si="33"/>
        <v>35389.429999999993</v>
      </c>
      <c r="R40" s="50">
        <f t="shared" si="29"/>
        <v>0.29512834411902056</v>
      </c>
      <c r="S40" s="49">
        <f>SUM(S36:S39)</f>
        <v>61800.560000000005</v>
      </c>
      <c r="T40" s="50">
        <f t="shared" si="30"/>
        <v>0.51538261391687246</v>
      </c>
      <c r="U40" s="49">
        <f>SUM(U36:U39)</f>
        <v>0</v>
      </c>
      <c r="V40" s="50">
        <f t="shared" si="31"/>
        <v>0</v>
      </c>
      <c r="W40" s="49">
        <f>SUM(W36:W39)</f>
        <v>0</v>
      </c>
      <c r="X40" s="50">
        <f t="shared" si="32"/>
        <v>0</v>
      </c>
      <c r="Y40" s="49">
        <f>SUM(Y36:Y39)</f>
        <v>128332</v>
      </c>
      <c r="Z40" s="49">
        <f>SUM(Z36:Z39)</f>
        <v>138688</v>
      </c>
    </row>
    <row r="41" spans="1:26" ht="13.9" customHeight="1" x14ac:dyDescent="0.25">
      <c r="A41" s="15">
        <v>1</v>
      </c>
      <c r="B41" s="15">
        <v>1</v>
      </c>
      <c r="C41" s="15">
        <v>1</v>
      </c>
      <c r="D41" s="24" t="s">
        <v>131</v>
      </c>
      <c r="E41" s="24">
        <v>640</v>
      </c>
      <c r="F41" s="24" t="s">
        <v>135</v>
      </c>
      <c r="G41" s="25">
        <v>180.3</v>
      </c>
      <c r="H41" s="25">
        <v>171.74</v>
      </c>
      <c r="I41" s="25">
        <v>158</v>
      </c>
      <c r="J41" s="25">
        <v>164</v>
      </c>
      <c r="K41" s="25">
        <v>179</v>
      </c>
      <c r="L41" s="25"/>
      <c r="M41" s="25"/>
      <c r="N41" s="25"/>
      <c r="O41" s="25"/>
      <c r="P41" s="25">
        <f>K41+SUM(L41:O41)</f>
        <v>179</v>
      </c>
      <c r="Q41" s="25">
        <v>0</v>
      </c>
      <c r="R41" s="26">
        <f t="shared" si="29"/>
        <v>0</v>
      </c>
      <c r="S41" s="25">
        <v>0</v>
      </c>
      <c r="T41" s="26">
        <f t="shared" si="30"/>
        <v>0</v>
      </c>
      <c r="U41" s="25"/>
      <c r="V41" s="26">
        <f t="shared" si="31"/>
        <v>0</v>
      </c>
      <c r="W41" s="25"/>
      <c r="X41" s="26">
        <f t="shared" si="32"/>
        <v>0</v>
      </c>
      <c r="Y41" s="25">
        <f>K41</f>
        <v>179</v>
      </c>
      <c r="Z41" s="25">
        <f>Y41</f>
        <v>179</v>
      </c>
    </row>
    <row r="42" spans="1:26" ht="13.9" customHeight="1" x14ac:dyDescent="0.25">
      <c r="A42" s="15">
        <v>1</v>
      </c>
      <c r="B42" s="15">
        <v>1</v>
      </c>
      <c r="C42" s="15">
        <v>1</v>
      </c>
      <c r="D42" s="79" t="s">
        <v>21</v>
      </c>
      <c r="E42" s="85">
        <v>72</v>
      </c>
      <c r="F42" s="48" t="s">
        <v>25</v>
      </c>
      <c r="G42" s="49">
        <f t="shared" ref="G42:Q42" si="34">SUM(G41)</f>
        <v>180.3</v>
      </c>
      <c r="H42" s="49">
        <f t="shared" si="34"/>
        <v>171.74</v>
      </c>
      <c r="I42" s="49">
        <f t="shared" si="34"/>
        <v>158</v>
      </c>
      <c r="J42" s="49">
        <f t="shared" si="34"/>
        <v>164</v>
      </c>
      <c r="K42" s="49">
        <f t="shared" si="34"/>
        <v>179</v>
      </c>
      <c r="L42" s="49">
        <f t="shared" si="34"/>
        <v>0</v>
      </c>
      <c r="M42" s="49">
        <f t="shared" si="34"/>
        <v>0</v>
      </c>
      <c r="N42" s="49">
        <f t="shared" si="34"/>
        <v>0</v>
      </c>
      <c r="O42" s="49">
        <f t="shared" si="34"/>
        <v>0</v>
      </c>
      <c r="P42" s="49">
        <f t="shared" si="34"/>
        <v>179</v>
      </c>
      <c r="Q42" s="49">
        <f t="shared" si="34"/>
        <v>0</v>
      </c>
      <c r="R42" s="50">
        <f t="shared" si="29"/>
        <v>0</v>
      </c>
      <c r="S42" s="49">
        <f>SUM(S41)</f>
        <v>0</v>
      </c>
      <c r="T42" s="50">
        <f t="shared" si="30"/>
        <v>0</v>
      </c>
      <c r="U42" s="49">
        <f>SUM(U41)</f>
        <v>0</v>
      </c>
      <c r="V42" s="50">
        <f t="shared" si="31"/>
        <v>0</v>
      </c>
      <c r="W42" s="49">
        <f>SUM(W41)</f>
        <v>0</v>
      </c>
      <c r="X42" s="50">
        <f t="shared" si="32"/>
        <v>0</v>
      </c>
      <c r="Y42" s="49">
        <f>SUM(Y41)</f>
        <v>179</v>
      </c>
      <c r="Z42" s="49">
        <f>SUM(Z41)</f>
        <v>179</v>
      </c>
    </row>
    <row r="43" spans="1:26" ht="13.9" customHeight="1" x14ac:dyDescent="0.25">
      <c r="A43" s="15">
        <v>1</v>
      </c>
      <c r="B43" s="15">
        <v>1</v>
      </c>
      <c r="C43" s="15">
        <v>1</v>
      </c>
      <c r="D43" s="86"/>
      <c r="E43" s="87"/>
      <c r="F43" s="27" t="s">
        <v>127</v>
      </c>
      <c r="G43" s="28">
        <f t="shared" ref="G43:Q43" si="35">G40+G42</f>
        <v>84280.85</v>
      </c>
      <c r="H43" s="28">
        <f t="shared" si="35"/>
        <v>90838.170000000013</v>
      </c>
      <c r="I43" s="28">
        <f t="shared" si="35"/>
        <v>111478</v>
      </c>
      <c r="J43" s="28">
        <f t="shared" si="35"/>
        <v>108827</v>
      </c>
      <c r="K43" s="28">
        <f t="shared" si="35"/>
        <v>119091</v>
      </c>
      <c r="L43" s="28">
        <f t="shared" si="35"/>
        <v>1000</v>
      </c>
      <c r="M43" s="28">
        <f t="shared" si="35"/>
        <v>0</v>
      </c>
      <c r="N43" s="28">
        <f t="shared" si="35"/>
        <v>0</v>
      </c>
      <c r="O43" s="28">
        <f t="shared" si="35"/>
        <v>0</v>
      </c>
      <c r="P43" s="28">
        <f t="shared" si="35"/>
        <v>120091</v>
      </c>
      <c r="Q43" s="28">
        <f t="shared" si="35"/>
        <v>35389.429999999993</v>
      </c>
      <c r="R43" s="29">
        <f t="shared" si="29"/>
        <v>0.29468844459618115</v>
      </c>
      <c r="S43" s="28">
        <f>S40+S42</f>
        <v>61800.560000000005</v>
      </c>
      <c r="T43" s="29">
        <f t="shared" si="30"/>
        <v>0.51461441740013825</v>
      </c>
      <c r="U43" s="28">
        <f>U40+U42</f>
        <v>0</v>
      </c>
      <c r="V43" s="29">
        <f t="shared" si="31"/>
        <v>0</v>
      </c>
      <c r="W43" s="28">
        <f>W40+W42</f>
        <v>0</v>
      </c>
      <c r="X43" s="29">
        <f t="shared" si="32"/>
        <v>0</v>
      </c>
      <c r="Y43" s="28">
        <f>Y40+Y42</f>
        <v>128511</v>
      </c>
      <c r="Z43" s="28">
        <f>Z40+Z42</f>
        <v>138867</v>
      </c>
    </row>
    <row r="44" spans="1:26" ht="13.9" customHeight="1" x14ac:dyDescent="0.25">
      <c r="D44" s="88"/>
      <c r="E44" s="44"/>
      <c r="F44" s="44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90"/>
      <c r="S44" s="89"/>
      <c r="T44" s="90"/>
      <c r="U44" s="89"/>
      <c r="V44" s="90"/>
      <c r="W44" s="89"/>
      <c r="X44" s="90"/>
      <c r="Y44" s="89"/>
      <c r="Z44" s="89"/>
    </row>
    <row r="45" spans="1:26" ht="13.9" customHeight="1" x14ac:dyDescent="0.25">
      <c r="D45" s="6" t="s">
        <v>136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9" customHeight="1" x14ac:dyDescent="0.25">
      <c r="D46" s="21" t="s">
        <v>32</v>
      </c>
      <c r="E46" s="21" t="s">
        <v>33</v>
      </c>
      <c r="F46" s="21" t="s">
        <v>34</v>
      </c>
      <c r="G46" s="21" t="s">
        <v>1</v>
      </c>
      <c r="H46" s="21" t="s">
        <v>2</v>
      </c>
      <c r="I46" s="21" t="s">
        <v>3</v>
      </c>
      <c r="J46" s="21" t="s">
        <v>4</v>
      </c>
      <c r="K46" s="21" t="s">
        <v>5</v>
      </c>
      <c r="L46" s="21" t="s">
        <v>6</v>
      </c>
      <c r="M46" s="21" t="s">
        <v>7</v>
      </c>
      <c r="N46" s="21" t="s">
        <v>8</v>
      </c>
      <c r="O46" s="21" t="s">
        <v>9</v>
      </c>
      <c r="P46" s="21" t="s">
        <v>124</v>
      </c>
      <c r="Q46" s="21" t="s">
        <v>11</v>
      </c>
      <c r="R46" s="22" t="s">
        <v>12</v>
      </c>
      <c r="S46" s="21" t="s">
        <v>13</v>
      </c>
      <c r="T46" s="22" t="s">
        <v>14</v>
      </c>
      <c r="U46" s="21" t="s">
        <v>15</v>
      </c>
      <c r="V46" s="22" t="s">
        <v>16</v>
      </c>
      <c r="W46" s="21" t="s">
        <v>17</v>
      </c>
      <c r="X46" s="22" t="s">
        <v>18</v>
      </c>
      <c r="Y46" s="21" t="s">
        <v>19</v>
      </c>
      <c r="Z46" s="21" t="s">
        <v>20</v>
      </c>
    </row>
    <row r="47" spans="1:26" ht="13.9" customHeight="1" x14ac:dyDescent="0.25">
      <c r="A47" s="15">
        <v>1</v>
      </c>
      <c r="B47" s="15">
        <v>1</v>
      </c>
      <c r="C47" s="15">
        <v>2</v>
      </c>
      <c r="D47" s="13" t="s">
        <v>131</v>
      </c>
      <c r="E47" s="24">
        <v>610</v>
      </c>
      <c r="F47" s="24" t="s">
        <v>132</v>
      </c>
      <c r="G47" s="25">
        <v>1318.27</v>
      </c>
      <c r="H47" s="25">
        <v>352.33</v>
      </c>
      <c r="I47" s="25">
        <f>príjmy!F107</f>
        <v>352</v>
      </c>
      <c r="J47" s="25">
        <v>390</v>
      </c>
      <c r="K47" s="25">
        <f>príjmy!H107</f>
        <v>390</v>
      </c>
      <c r="L47" s="25">
        <v>30</v>
      </c>
      <c r="M47" s="25">
        <v>4000</v>
      </c>
      <c r="N47" s="25"/>
      <c r="O47" s="25"/>
      <c r="P47" s="25">
        <f>K47+SUM(L47:O47)</f>
        <v>4420</v>
      </c>
      <c r="Q47" s="25">
        <v>0</v>
      </c>
      <c r="R47" s="26">
        <f t="shared" ref="R47:R57" si="36">IFERROR(Q47/$P47,0)</f>
        <v>0</v>
      </c>
      <c r="S47" s="25">
        <v>4419.5600000000004</v>
      </c>
      <c r="T47" s="26">
        <f t="shared" ref="T47:T57" si="37">IFERROR(S47/$P47,0)</f>
        <v>0.99990045248868786</v>
      </c>
      <c r="U47" s="25"/>
      <c r="V47" s="26">
        <f t="shared" ref="V47:V57" si="38">IFERROR(U47/$P47,0)</f>
        <v>0</v>
      </c>
      <c r="W47" s="25"/>
      <c r="X47" s="26">
        <f t="shared" ref="X47:X57" si="39">IFERROR(W47/$P47,0)</f>
        <v>0</v>
      </c>
      <c r="Y47" s="25">
        <f>príjmy!V107</f>
        <v>390</v>
      </c>
      <c r="Z47" s="25">
        <f>príjmy!W107</f>
        <v>390</v>
      </c>
    </row>
    <row r="48" spans="1:26" ht="13.9" customHeight="1" x14ac:dyDescent="0.25">
      <c r="A48" s="15">
        <v>1</v>
      </c>
      <c r="B48" s="15">
        <v>1</v>
      </c>
      <c r="C48" s="15">
        <v>2</v>
      </c>
      <c r="D48" s="13"/>
      <c r="E48" s="24">
        <v>620</v>
      </c>
      <c r="F48" s="24" t="s">
        <v>133</v>
      </c>
      <c r="G48" s="25">
        <v>349.5</v>
      </c>
      <c r="H48" s="25">
        <v>0</v>
      </c>
      <c r="I48" s="25">
        <v>0</v>
      </c>
      <c r="J48" s="25">
        <v>0</v>
      </c>
      <c r="K48" s="25">
        <v>0</v>
      </c>
      <c r="L48" s="25"/>
      <c r="M48" s="25">
        <v>1438</v>
      </c>
      <c r="N48" s="25"/>
      <c r="O48" s="25"/>
      <c r="P48" s="25">
        <f>K48+SUM(L48:O48)</f>
        <v>1438</v>
      </c>
      <c r="Q48" s="25">
        <v>0</v>
      </c>
      <c r="R48" s="26">
        <f t="shared" si="36"/>
        <v>0</v>
      </c>
      <c r="S48" s="25">
        <v>1438</v>
      </c>
      <c r="T48" s="26">
        <f t="shared" si="37"/>
        <v>1</v>
      </c>
      <c r="U48" s="25"/>
      <c r="V48" s="26">
        <f t="shared" si="38"/>
        <v>0</v>
      </c>
      <c r="W48" s="25"/>
      <c r="X48" s="26">
        <f t="shared" si="39"/>
        <v>0</v>
      </c>
      <c r="Y48" s="25">
        <v>0</v>
      </c>
      <c r="Z48" s="25">
        <v>0</v>
      </c>
    </row>
    <row r="49" spans="1:26" ht="13.9" customHeight="1" x14ac:dyDescent="0.25">
      <c r="A49" s="15">
        <v>1</v>
      </c>
      <c r="B49" s="15">
        <v>1</v>
      </c>
      <c r="C49" s="15">
        <v>2</v>
      </c>
      <c r="D49" s="79" t="s">
        <v>21</v>
      </c>
      <c r="E49" s="48">
        <v>111</v>
      </c>
      <c r="F49" s="48" t="s">
        <v>137</v>
      </c>
      <c r="G49" s="49">
        <f t="shared" ref="G49:Q49" si="40">SUM(G47:G48)</f>
        <v>1667.77</v>
      </c>
      <c r="H49" s="49">
        <f t="shared" si="40"/>
        <v>352.33</v>
      </c>
      <c r="I49" s="49">
        <f t="shared" si="40"/>
        <v>352</v>
      </c>
      <c r="J49" s="49">
        <f t="shared" si="40"/>
        <v>390</v>
      </c>
      <c r="K49" s="49">
        <f t="shared" si="40"/>
        <v>390</v>
      </c>
      <c r="L49" s="49">
        <f t="shared" si="40"/>
        <v>30</v>
      </c>
      <c r="M49" s="49">
        <f t="shared" si="40"/>
        <v>5438</v>
      </c>
      <c r="N49" s="49">
        <f t="shared" si="40"/>
        <v>0</v>
      </c>
      <c r="O49" s="49">
        <f t="shared" si="40"/>
        <v>0</v>
      </c>
      <c r="P49" s="49">
        <f t="shared" si="40"/>
        <v>5858</v>
      </c>
      <c r="Q49" s="49">
        <f t="shared" si="40"/>
        <v>0</v>
      </c>
      <c r="R49" s="50">
        <f t="shared" si="36"/>
        <v>0</v>
      </c>
      <c r="S49" s="49">
        <f>SUM(S47:S48)</f>
        <v>5857.56</v>
      </c>
      <c r="T49" s="50">
        <f t="shared" si="37"/>
        <v>0.99992488904062826</v>
      </c>
      <c r="U49" s="49">
        <f>SUM(U47:U48)</f>
        <v>0</v>
      </c>
      <c r="V49" s="50">
        <f t="shared" si="38"/>
        <v>0</v>
      </c>
      <c r="W49" s="49">
        <f>SUM(W47:W48)</f>
        <v>0</v>
      </c>
      <c r="X49" s="50">
        <f t="shared" si="39"/>
        <v>0</v>
      </c>
      <c r="Y49" s="49">
        <f>SUM(Y47:Y48)</f>
        <v>390</v>
      </c>
      <c r="Z49" s="49">
        <f>SUM(Z47:Z48)</f>
        <v>390</v>
      </c>
    </row>
    <row r="50" spans="1:26" ht="13.9" customHeight="1" x14ac:dyDescent="0.25">
      <c r="A50" s="15">
        <v>1</v>
      </c>
      <c r="B50" s="15">
        <v>1</v>
      </c>
      <c r="C50" s="15">
        <v>2</v>
      </c>
      <c r="D50" s="5" t="s">
        <v>131</v>
      </c>
      <c r="E50" s="24">
        <v>610</v>
      </c>
      <c r="F50" s="24" t="s">
        <v>132</v>
      </c>
      <c r="G50" s="46">
        <v>63568.65</v>
      </c>
      <c r="H50" s="46">
        <v>69536.92</v>
      </c>
      <c r="I50" s="46">
        <f>81477-I47</f>
        <v>81125</v>
      </c>
      <c r="J50" s="46">
        <v>78780</v>
      </c>
      <c r="K50" s="46">
        <v>86469</v>
      </c>
      <c r="L50" s="46"/>
      <c r="M50" s="46"/>
      <c r="N50" s="46"/>
      <c r="O50" s="46"/>
      <c r="P50" s="46">
        <f>K50+SUM(L50:O50)</f>
        <v>86469</v>
      </c>
      <c r="Q50" s="46">
        <v>19282.16</v>
      </c>
      <c r="R50" s="47">
        <f t="shared" si="36"/>
        <v>0.22299506181406054</v>
      </c>
      <c r="S50" s="46">
        <v>38172.1</v>
      </c>
      <c r="T50" s="47">
        <f t="shared" si="37"/>
        <v>0.44145416276353372</v>
      </c>
      <c r="U50" s="46"/>
      <c r="V50" s="47">
        <f t="shared" si="38"/>
        <v>0</v>
      </c>
      <c r="W50" s="46"/>
      <c r="X50" s="47">
        <f t="shared" si="39"/>
        <v>0</v>
      </c>
      <c r="Y50" s="46">
        <v>85538</v>
      </c>
      <c r="Z50" s="46">
        <v>89600</v>
      </c>
    </row>
    <row r="51" spans="1:26" ht="13.9" customHeight="1" x14ac:dyDescent="0.25">
      <c r="A51" s="15">
        <v>1</v>
      </c>
      <c r="B51" s="15">
        <v>1</v>
      </c>
      <c r="C51" s="15">
        <v>2</v>
      </c>
      <c r="D51" s="5"/>
      <c r="E51" s="24">
        <v>620</v>
      </c>
      <c r="F51" s="24" t="s">
        <v>133</v>
      </c>
      <c r="G51" s="25">
        <v>23647.39</v>
      </c>
      <c r="H51" s="25">
        <v>25792.63</v>
      </c>
      <c r="I51" s="25">
        <v>30328</v>
      </c>
      <c r="J51" s="25">
        <v>30214</v>
      </c>
      <c r="K51" s="25">
        <v>32815</v>
      </c>
      <c r="L51" s="25"/>
      <c r="M51" s="25"/>
      <c r="N51" s="25"/>
      <c r="O51" s="25"/>
      <c r="P51" s="25">
        <f>K51+SUM(L51:O51)</f>
        <v>32815</v>
      </c>
      <c r="Q51" s="25">
        <v>7301.23</v>
      </c>
      <c r="R51" s="26">
        <f t="shared" si="36"/>
        <v>0.2224967240591193</v>
      </c>
      <c r="S51" s="25">
        <v>14683.93</v>
      </c>
      <c r="T51" s="26">
        <f t="shared" si="37"/>
        <v>0.44747615419777542</v>
      </c>
      <c r="U51" s="25"/>
      <c r="V51" s="26">
        <f t="shared" si="38"/>
        <v>0</v>
      </c>
      <c r="W51" s="25"/>
      <c r="X51" s="26">
        <f t="shared" si="39"/>
        <v>0</v>
      </c>
      <c r="Y51" s="25">
        <v>32461</v>
      </c>
      <c r="Z51" s="25">
        <v>34003</v>
      </c>
    </row>
    <row r="52" spans="1:26" ht="13.9" customHeight="1" x14ac:dyDescent="0.25">
      <c r="A52" s="15">
        <v>1</v>
      </c>
      <c r="B52" s="15">
        <v>1</v>
      </c>
      <c r="C52" s="15">
        <v>2</v>
      </c>
      <c r="D52" s="5"/>
      <c r="E52" s="24">
        <v>630</v>
      </c>
      <c r="F52" s="24" t="s">
        <v>134</v>
      </c>
      <c r="G52" s="25">
        <v>5608.13</v>
      </c>
      <c r="H52" s="25">
        <v>7464.93</v>
      </c>
      <c r="I52" s="25">
        <f>7320+1900</f>
        <v>9220</v>
      </c>
      <c r="J52" s="25">
        <v>8240</v>
      </c>
      <c r="K52" s="25">
        <f>7611+1600</f>
        <v>9211</v>
      </c>
      <c r="L52" s="25"/>
      <c r="M52" s="25"/>
      <c r="N52" s="25"/>
      <c r="O52" s="25"/>
      <c r="P52" s="25">
        <f>K52+SUM(L52:O52)</f>
        <v>9211</v>
      </c>
      <c r="Q52" s="25">
        <v>2756.22</v>
      </c>
      <c r="R52" s="26">
        <f t="shared" si="36"/>
        <v>0.29923135381608945</v>
      </c>
      <c r="S52" s="25">
        <v>4910.95</v>
      </c>
      <c r="T52" s="26">
        <f t="shared" si="37"/>
        <v>0.53316143741179023</v>
      </c>
      <c r="U52" s="25"/>
      <c r="V52" s="26">
        <f t="shared" si="38"/>
        <v>0</v>
      </c>
      <c r="W52" s="25"/>
      <c r="X52" s="26">
        <f t="shared" si="39"/>
        <v>0</v>
      </c>
      <c r="Y52" s="25">
        <f>6978+1600</f>
        <v>8578</v>
      </c>
      <c r="Z52" s="25">
        <f>7044+1600</f>
        <v>8644</v>
      </c>
    </row>
    <row r="53" spans="1:26" ht="13.9" hidden="1" customHeight="1" x14ac:dyDescent="0.25">
      <c r="A53" s="15">
        <v>1</v>
      </c>
      <c r="B53" s="15">
        <v>1</v>
      </c>
      <c r="C53" s="15">
        <v>2</v>
      </c>
      <c r="D53" s="5"/>
      <c r="E53" s="24">
        <v>640</v>
      </c>
      <c r="F53" s="24" t="s">
        <v>135</v>
      </c>
      <c r="G53" s="25">
        <v>134.83000000000001</v>
      </c>
      <c r="H53" s="25">
        <v>134.83000000000001</v>
      </c>
      <c r="I53" s="25">
        <v>0</v>
      </c>
      <c r="J53" s="25">
        <v>0</v>
      </c>
      <c r="K53" s="25">
        <v>0</v>
      </c>
      <c r="L53" s="25"/>
      <c r="M53" s="25"/>
      <c r="N53" s="25"/>
      <c r="O53" s="25"/>
      <c r="P53" s="25">
        <f>K53+SUM(L53:O53)</f>
        <v>0</v>
      </c>
      <c r="Q53" s="25"/>
      <c r="R53" s="26">
        <f t="shared" si="36"/>
        <v>0</v>
      </c>
      <c r="S53" s="25"/>
      <c r="T53" s="26">
        <f t="shared" si="37"/>
        <v>0</v>
      </c>
      <c r="U53" s="25"/>
      <c r="V53" s="26">
        <f t="shared" si="38"/>
        <v>0</v>
      </c>
      <c r="W53" s="25"/>
      <c r="X53" s="26">
        <f t="shared" si="39"/>
        <v>0</v>
      </c>
      <c r="Y53" s="25">
        <v>0</v>
      </c>
      <c r="Z53" s="25">
        <v>0</v>
      </c>
    </row>
    <row r="54" spans="1:26" ht="13.9" customHeight="1" x14ac:dyDescent="0.25">
      <c r="A54" s="15">
        <v>1</v>
      </c>
      <c r="B54" s="15">
        <v>1</v>
      </c>
      <c r="C54" s="15">
        <v>2</v>
      </c>
      <c r="D54" s="79" t="s">
        <v>21</v>
      </c>
      <c r="E54" s="48">
        <v>41</v>
      </c>
      <c r="F54" s="48" t="s">
        <v>23</v>
      </c>
      <c r="G54" s="49">
        <f t="shared" ref="G54:Q54" si="41">SUM(G50:G53)</f>
        <v>92959.000000000015</v>
      </c>
      <c r="H54" s="49">
        <f t="shared" si="41"/>
        <v>102929.31000000001</v>
      </c>
      <c r="I54" s="49">
        <f t="shared" si="41"/>
        <v>120673</v>
      </c>
      <c r="J54" s="49">
        <f t="shared" si="41"/>
        <v>117234</v>
      </c>
      <c r="K54" s="49">
        <f t="shared" si="41"/>
        <v>128495</v>
      </c>
      <c r="L54" s="49">
        <f t="shared" si="41"/>
        <v>0</v>
      </c>
      <c r="M54" s="49">
        <f t="shared" si="41"/>
        <v>0</v>
      </c>
      <c r="N54" s="49">
        <f t="shared" si="41"/>
        <v>0</v>
      </c>
      <c r="O54" s="49">
        <f t="shared" si="41"/>
        <v>0</v>
      </c>
      <c r="P54" s="49">
        <f t="shared" si="41"/>
        <v>128495</v>
      </c>
      <c r="Q54" s="49">
        <f t="shared" si="41"/>
        <v>29339.61</v>
      </c>
      <c r="R54" s="50">
        <f t="shared" si="36"/>
        <v>0.22833269777034126</v>
      </c>
      <c r="S54" s="49">
        <f>SUM(S50:S53)</f>
        <v>57766.979999999996</v>
      </c>
      <c r="T54" s="50">
        <f t="shared" si="37"/>
        <v>0.44956597532977932</v>
      </c>
      <c r="U54" s="49">
        <f>SUM(U50:U53)</f>
        <v>0</v>
      </c>
      <c r="V54" s="50">
        <f t="shared" si="38"/>
        <v>0</v>
      </c>
      <c r="W54" s="49">
        <f>SUM(W50:W53)</f>
        <v>0</v>
      </c>
      <c r="X54" s="50">
        <f t="shared" si="39"/>
        <v>0</v>
      </c>
      <c r="Y54" s="49">
        <f>SUM(Y50:Y53)</f>
        <v>126577</v>
      </c>
      <c r="Z54" s="49">
        <f>SUM(Z50:Z53)</f>
        <v>132247</v>
      </c>
    </row>
    <row r="55" spans="1:26" ht="13.9" customHeight="1" x14ac:dyDescent="0.25">
      <c r="A55" s="15">
        <v>1</v>
      </c>
      <c r="B55" s="15">
        <v>1</v>
      </c>
      <c r="C55" s="15">
        <v>2</v>
      </c>
      <c r="D55" s="24" t="s">
        <v>131</v>
      </c>
      <c r="E55" s="24">
        <v>640</v>
      </c>
      <c r="F55" s="24" t="s">
        <v>135</v>
      </c>
      <c r="G55" s="25">
        <v>688.32</v>
      </c>
      <c r="H55" s="25">
        <v>687.73</v>
      </c>
      <c r="I55" s="25">
        <v>696</v>
      </c>
      <c r="J55" s="25">
        <v>717</v>
      </c>
      <c r="K55" s="25">
        <v>895</v>
      </c>
      <c r="L55" s="25"/>
      <c r="M55" s="25"/>
      <c r="N55" s="25"/>
      <c r="O55" s="25"/>
      <c r="P55" s="25">
        <f>K55+SUM(L55:O55)</f>
        <v>895</v>
      </c>
      <c r="Q55" s="25">
        <v>0</v>
      </c>
      <c r="R55" s="26">
        <f t="shared" si="36"/>
        <v>0</v>
      </c>
      <c r="S55" s="25">
        <v>0</v>
      </c>
      <c r="T55" s="26">
        <f t="shared" si="37"/>
        <v>0</v>
      </c>
      <c r="U55" s="25"/>
      <c r="V55" s="26">
        <f t="shared" si="38"/>
        <v>0</v>
      </c>
      <c r="W55" s="25"/>
      <c r="X55" s="26">
        <f t="shared" si="39"/>
        <v>0</v>
      </c>
      <c r="Y55" s="25">
        <f>K55</f>
        <v>895</v>
      </c>
      <c r="Z55" s="25">
        <f>Y55</f>
        <v>895</v>
      </c>
    </row>
    <row r="56" spans="1:26" ht="13.9" customHeight="1" x14ac:dyDescent="0.25">
      <c r="A56" s="15">
        <v>1</v>
      </c>
      <c r="B56" s="15">
        <v>1</v>
      </c>
      <c r="C56" s="15">
        <v>2</v>
      </c>
      <c r="D56" s="79" t="s">
        <v>21</v>
      </c>
      <c r="E56" s="85">
        <v>72</v>
      </c>
      <c r="F56" s="48" t="s">
        <v>25</v>
      </c>
      <c r="G56" s="49">
        <f t="shared" ref="G56:Q56" si="42">SUM(G55)</f>
        <v>688.32</v>
      </c>
      <c r="H56" s="49">
        <f t="shared" si="42"/>
        <v>687.73</v>
      </c>
      <c r="I56" s="49">
        <f t="shared" si="42"/>
        <v>696</v>
      </c>
      <c r="J56" s="49">
        <f t="shared" si="42"/>
        <v>717</v>
      </c>
      <c r="K56" s="49">
        <f t="shared" si="42"/>
        <v>895</v>
      </c>
      <c r="L56" s="49">
        <f t="shared" si="42"/>
        <v>0</v>
      </c>
      <c r="M56" s="49">
        <f t="shared" si="42"/>
        <v>0</v>
      </c>
      <c r="N56" s="49">
        <f t="shared" si="42"/>
        <v>0</v>
      </c>
      <c r="O56" s="49">
        <f t="shared" si="42"/>
        <v>0</v>
      </c>
      <c r="P56" s="49">
        <f t="shared" si="42"/>
        <v>895</v>
      </c>
      <c r="Q56" s="49">
        <f t="shared" si="42"/>
        <v>0</v>
      </c>
      <c r="R56" s="50">
        <f t="shared" si="36"/>
        <v>0</v>
      </c>
      <c r="S56" s="49">
        <f>SUM(S55)</f>
        <v>0</v>
      </c>
      <c r="T56" s="50">
        <f t="shared" si="37"/>
        <v>0</v>
      </c>
      <c r="U56" s="49">
        <f>SUM(U55)</f>
        <v>0</v>
      </c>
      <c r="V56" s="50">
        <f t="shared" si="38"/>
        <v>0</v>
      </c>
      <c r="W56" s="49">
        <f>SUM(W55)</f>
        <v>0</v>
      </c>
      <c r="X56" s="50">
        <f t="shared" si="39"/>
        <v>0</v>
      </c>
      <c r="Y56" s="49">
        <f>SUM(Y55)</f>
        <v>895</v>
      </c>
      <c r="Z56" s="49">
        <f>SUM(Z55)</f>
        <v>895</v>
      </c>
    </row>
    <row r="57" spans="1:26" ht="13.9" customHeight="1" x14ac:dyDescent="0.25">
      <c r="A57" s="15">
        <v>1</v>
      </c>
      <c r="B57" s="15">
        <v>1</v>
      </c>
      <c r="C57" s="15">
        <v>2</v>
      </c>
      <c r="D57" s="86"/>
      <c r="E57" s="87"/>
      <c r="F57" s="27" t="s">
        <v>127</v>
      </c>
      <c r="G57" s="28">
        <f t="shared" ref="G57:Q57" si="43">G49+G54+G56</f>
        <v>95315.090000000026</v>
      </c>
      <c r="H57" s="28">
        <f t="shared" si="43"/>
        <v>103969.37000000001</v>
      </c>
      <c r="I57" s="28">
        <f t="shared" si="43"/>
        <v>121721</v>
      </c>
      <c r="J57" s="28">
        <f t="shared" si="43"/>
        <v>118341</v>
      </c>
      <c r="K57" s="28">
        <f t="shared" si="43"/>
        <v>129780</v>
      </c>
      <c r="L57" s="28">
        <f t="shared" si="43"/>
        <v>30</v>
      </c>
      <c r="M57" s="28">
        <f t="shared" si="43"/>
        <v>5438</v>
      </c>
      <c r="N57" s="28">
        <f t="shared" si="43"/>
        <v>0</v>
      </c>
      <c r="O57" s="28">
        <f t="shared" si="43"/>
        <v>0</v>
      </c>
      <c r="P57" s="28">
        <f t="shared" si="43"/>
        <v>135248</v>
      </c>
      <c r="Q57" s="28">
        <f t="shared" si="43"/>
        <v>29339.61</v>
      </c>
      <c r="R57" s="29">
        <f t="shared" si="36"/>
        <v>0.21693193245001774</v>
      </c>
      <c r="S57" s="28">
        <f>S49+S54+S56</f>
        <v>63624.539999999994</v>
      </c>
      <c r="T57" s="29">
        <f t="shared" si="37"/>
        <v>0.47042869395480891</v>
      </c>
      <c r="U57" s="28">
        <f>U49+U54+U56</f>
        <v>0</v>
      </c>
      <c r="V57" s="29">
        <f t="shared" si="38"/>
        <v>0</v>
      </c>
      <c r="W57" s="28">
        <f>W49+W54+W56</f>
        <v>0</v>
      </c>
      <c r="X57" s="29">
        <f t="shared" si="39"/>
        <v>0</v>
      </c>
      <c r="Y57" s="28">
        <f>Y49+Y54+Y56</f>
        <v>127862</v>
      </c>
      <c r="Z57" s="28">
        <f>Z49+Z54+Z56</f>
        <v>133532</v>
      </c>
    </row>
    <row r="58" spans="1:26" ht="13.9" customHeight="1" x14ac:dyDescent="0.25">
      <c r="D58" s="88"/>
      <c r="E58" s="44"/>
      <c r="F58" s="44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90"/>
      <c r="S58" s="89"/>
      <c r="T58" s="90"/>
      <c r="U58" s="89"/>
      <c r="V58" s="90"/>
      <c r="W58" s="89"/>
      <c r="X58" s="90"/>
      <c r="Y58" s="89"/>
      <c r="Z58" s="89"/>
    </row>
    <row r="59" spans="1:26" ht="13.9" customHeight="1" x14ac:dyDescent="0.25">
      <c r="D59" s="6" t="s">
        <v>138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9" customHeight="1" x14ac:dyDescent="0.25">
      <c r="D60" s="21" t="s">
        <v>32</v>
      </c>
      <c r="E60" s="21" t="s">
        <v>33</v>
      </c>
      <c r="F60" s="21" t="s">
        <v>34</v>
      </c>
      <c r="G60" s="21" t="s">
        <v>1</v>
      </c>
      <c r="H60" s="21" t="s">
        <v>2</v>
      </c>
      <c r="I60" s="21" t="s">
        <v>3</v>
      </c>
      <c r="J60" s="21" t="s">
        <v>4</v>
      </c>
      <c r="K60" s="21" t="s">
        <v>5</v>
      </c>
      <c r="L60" s="21" t="s">
        <v>6</v>
      </c>
      <c r="M60" s="21" t="s">
        <v>7</v>
      </c>
      <c r="N60" s="21" t="s">
        <v>8</v>
      </c>
      <c r="O60" s="21" t="s">
        <v>9</v>
      </c>
      <c r="P60" s="21" t="s">
        <v>124</v>
      </c>
      <c r="Q60" s="21" t="s">
        <v>11</v>
      </c>
      <c r="R60" s="22" t="s">
        <v>12</v>
      </c>
      <c r="S60" s="21" t="s">
        <v>13</v>
      </c>
      <c r="T60" s="22" t="s">
        <v>14</v>
      </c>
      <c r="U60" s="21" t="s">
        <v>15</v>
      </c>
      <c r="V60" s="22" t="s">
        <v>16</v>
      </c>
      <c r="W60" s="21" t="s">
        <v>17</v>
      </c>
      <c r="X60" s="22" t="s">
        <v>18</v>
      </c>
      <c r="Y60" s="21" t="s">
        <v>19</v>
      </c>
      <c r="Z60" s="21" t="s">
        <v>20</v>
      </c>
    </row>
    <row r="61" spans="1:26" ht="13.9" customHeight="1" x14ac:dyDescent="0.25">
      <c r="A61" s="15">
        <v>1</v>
      </c>
      <c r="B61" s="15">
        <v>1</v>
      </c>
      <c r="C61" s="15">
        <v>3</v>
      </c>
      <c r="D61" s="5" t="s">
        <v>139</v>
      </c>
      <c r="E61" s="24">
        <v>610</v>
      </c>
      <c r="F61" s="24" t="s">
        <v>132</v>
      </c>
      <c r="G61" s="25">
        <v>8114</v>
      </c>
      <c r="H61" s="46">
        <v>10461</v>
      </c>
      <c r="I61" s="25">
        <v>11296</v>
      </c>
      <c r="J61" s="25">
        <v>11434</v>
      </c>
      <c r="K61" s="25">
        <v>12589</v>
      </c>
      <c r="L61" s="25"/>
      <c r="M61" s="25"/>
      <c r="N61" s="25"/>
      <c r="O61" s="25"/>
      <c r="P61" s="46">
        <f>K61+SUM(L61:O61)</f>
        <v>12589</v>
      </c>
      <c r="Q61" s="46">
        <v>3011</v>
      </c>
      <c r="R61" s="47">
        <f t="shared" ref="R61:R67" si="44">IFERROR(Q61/$P61,0)</f>
        <v>0.23917705933751687</v>
      </c>
      <c r="S61" s="46">
        <v>5574</v>
      </c>
      <c r="T61" s="47">
        <f t="shared" ref="T61:T67" si="45">IFERROR(S61/$P61,0)</f>
        <v>0.44276749543252047</v>
      </c>
      <c r="U61" s="46"/>
      <c r="V61" s="47">
        <f t="shared" ref="V61:V67" si="46">IFERROR(U61/$P61,0)</f>
        <v>0</v>
      </c>
      <c r="W61" s="46"/>
      <c r="X61" s="47">
        <f t="shared" ref="X61:X67" si="47">IFERROR(W61/$P61,0)</f>
        <v>0</v>
      </c>
      <c r="Y61" s="25">
        <v>13848</v>
      </c>
      <c r="Z61" s="25">
        <v>14540</v>
      </c>
    </row>
    <row r="62" spans="1:26" ht="13.9" customHeight="1" x14ac:dyDescent="0.25">
      <c r="A62" s="15">
        <v>1</v>
      </c>
      <c r="B62" s="15">
        <v>1</v>
      </c>
      <c r="C62" s="15">
        <v>3</v>
      </c>
      <c r="D62" s="5"/>
      <c r="E62" s="24">
        <v>620</v>
      </c>
      <c r="F62" s="24" t="s">
        <v>133</v>
      </c>
      <c r="G62" s="25">
        <v>2545.6999999999998</v>
      </c>
      <c r="H62" s="46">
        <v>3289.72</v>
      </c>
      <c r="I62" s="25">
        <v>3552</v>
      </c>
      <c r="J62" s="25">
        <v>3707</v>
      </c>
      <c r="K62" s="25">
        <v>4085</v>
      </c>
      <c r="L62" s="25"/>
      <c r="M62" s="25"/>
      <c r="N62" s="25"/>
      <c r="O62" s="25"/>
      <c r="P62" s="46">
        <f>K62+SUM(L62:O62)</f>
        <v>4085</v>
      </c>
      <c r="Q62" s="46">
        <v>977</v>
      </c>
      <c r="R62" s="47">
        <f t="shared" si="44"/>
        <v>0.23916768665850674</v>
      </c>
      <c r="S62" s="46">
        <v>1808.65</v>
      </c>
      <c r="T62" s="47">
        <f t="shared" si="45"/>
        <v>0.44275397796817628</v>
      </c>
      <c r="U62" s="46"/>
      <c r="V62" s="47">
        <f t="shared" si="46"/>
        <v>0</v>
      </c>
      <c r="W62" s="46"/>
      <c r="X62" s="47">
        <f t="shared" si="47"/>
        <v>0</v>
      </c>
      <c r="Y62" s="25">
        <v>4494</v>
      </c>
      <c r="Z62" s="25">
        <v>4719</v>
      </c>
    </row>
    <row r="63" spans="1:26" ht="13.9" customHeight="1" x14ac:dyDescent="0.25">
      <c r="A63" s="15">
        <v>1</v>
      </c>
      <c r="B63" s="15">
        <v>1</v>
      </c>
      <c r="C63" s="15">
        <v>3</v>
      </c>
      <c r="D63" s="5"/>
      <c r="E63" s="24">
        <v>630</v>
      </c>
      <c r="F63" s="24" t="s">
        <v>134</v>
      </c>
      <c r="G63" s="25">
        <v>2407.87</v>
      </c>
      <c r="H63" s="46">
        <v>2065.62</v>
      </c>
      <c r="I63" s="25">
        <f>698+1750</f>
        <v>2448</v>
      </c>
      <c r="J63" s="25">
        <v>3070</v>
      </c>
      <c r="K63" s="25">
        <f>735+2100</f>
        <v>2835</v>
      </c>
      <c r="L63" s="25"/>
      <c r="M63" s="25"/>
      <c r="N63" s="25"/>
      <c r="O63" s="25"/>
      <c r="P63" s="46">
        <f>K63+SUM(L63:O63)</f>
        <v>2835</v>
      </c>
      <c r="Q63" s="46">
        <v>474.9</v>
      </c>
      <c r="R63" s="47">
        <f t="shared" si="44"/>
        <v>0.1675132275132275</v>
      </c>
      <c r="S63" s="46">
        <v>611.16</v>
      </c>
      <c r="T63" s="47">
        <f t="shared" si="45"/>
        <v>0.21557671957671956</v>
      </c>
      <c r="U63" s="46"/>
      <c r="V63" s="47">
        <f t="shared" si="46"/>
        <v>0</v>
      </c>
      <c r="W63" s="46"/>
      <c r="X63" s="47">
        <f t="shared" si="47"/>
        <v>0</v>
      </c>
      <c r="Y63" s="25">
        <f>747+2100</f>
        <v>2847</v>
      </c>
      <c r="Z63" s="25">
        <f>753+2100</f>
        <v>2853</v>
      </c>
    </row>
    <row r="64" spans="1:26" ht="13.9" customHeight="1" x14ac:dyDescent="0.25">
      <c r="A64" s="15">
        <v>1</v>
      </c>
      <c r="B64" s="15">
        <v>1</v>
      </c>
      <c r="C64" s="15">
        <v>3</v>
      </c>
      <c r="D64" s="79" t="s">
        <v>21</v>
      </c>
      <c r="E64" s="48">
        <v>41</v>
      </c>
      <c r="F64" s="48" t="s">
        <v>23</v>
      </c>
      <c r="G64" s="49">
        <f t="shared" ref="G64:Q64" si="48">SUM(G61:G63)</f>
        <v>13067.57</v>
      </c>
      <c r="H64" s="49">
        <f t="shared" si="48"/>
        <v>15816.34</v>
      </c>
      <c r="I64" s="49">
        <f t="shared" si="48"/>
        <v>17296</v>
      </c>
      <c r="J64" s="49">
        <f t="shared" si="48"/>
        <v>18211</v>
      </c>
      <c r="K64" s="49">
        <f t="shared" si="48"/>
        <v>19509</v>
      </c>
      <c r="L64" s="49">
        <f t="shared" si="48"/>
        <v>0</v>
      </c>
      <c r="M64" s="49">
        <f t="shared" si="48"/>
        <v>0</v>
      </c>
      <c r="N64" s="49">
        <f t="shared" si="48"/>
        <v>0</v>
      </c>
      <c r="O64" s="49">
        <f t="shared" si="48"/>
        <v>0</v>
      </c>
      <c r="P64" s="49">
        <f t="shared" si="48"/>
        <v>19509</v>
      </c>
      <c r="Q64" s="49">
        <f t="shared" si="48"/>
        <v>4462.8999999999996</v>
      </c>
      <c r="R64" s="50">
        <f t="shared" si="44"/>
        <v>0.22876108462760775</v>
      </c>
      <c r="S64" s="49">
        <f>SUM(S61:S63)</f>
        <v>7993.8099999999995</v>
      </c>
      <c r="T64" s="50">
        <f t="shared" si="45"/>
        <v>0.40974985903941769</v>
      </c>
      <c r="U64" s="49">
        <f>SUM(U61:U63)</f>
        <v>0</v>
      </c>
      <c r="V64" s="50">
        <f t="shared" si="46"/>
        <v>0</v>
      </c>
      <c r="W64" s="49">
        <f>SUM(W61:W63)</f>
        <v>0</v>
      </c>
      <c r="X64" s="50">
        <f t="shared" si="47"/>
        <v>0</v>
      </c>
      <c r="Y64" s="49">
        <f>SUM(Y61:Y63)</f>
        <v>21189</v>
      </c>
      <c r="Z64" s="49">
        <f>SUM(Z61:Z63)</f>
        <v>22112</v>
      </c>
    </row>
    <row r="65" spans="1:26" ht="13.9" customHeight="1" x14ac:dyDescent="0.25">
      <c r="A65" s="15">
        <v>2</v>
      </c>
      <c r="B65" s="15">
        <v>2</v>
      </c>
      <c r="C65" s="15">
        <v>4</v>
      </c>
      <c r="D65" s="91" t="s">
        <v>139</v>
      </c>
      <c r="E65" s="24">
        <v>640</v>
      </c>
      <c r="F65" s="24" t="s">
        <v>135</v>
      </c>
      <c r="G65" s="25">
        <v>65.790000000000006</v>
      </c>
      <c r="H65" s="25">
        <v>61.14</v>
      </c>
      <c r="I65" s="25">
        <v>69</v>
      </c>
      <c r="J65" s="25">
        <v>69</v>
      </c>
      <c r="K65" s="25">
        <v>76</v>
      </c>
      <c r="L65" s="25"/>
      <c r="M65" s="25"/>
      <c r="N65" s="25"/>
      <c r="O65" s="25"/>
      <c r="P65" s="25">
        <f>K65+SUM(L65:O65)</f>
        <v>76</v>
      </c>
      <c r="Q65" s="25">
        <v>0</v>
      </c>
      <c r="R65" s="26">
        <f t="shared" si="44"/>
        <v>0</v>
      </c>
      <c r="S65" s="25">
        <v>0</v>
      </c>
      <c r="T65" s="26">
        <f t="shared" si="45"/>
        <v>0</v>
      </c>
      <c r="U65" s="25"/>
      <c r="V65" s="26">
        <f t="shared" si="46"/>
        <v>0</v>
      </c>
      <c r="W65" s="25"/>
      <c r="X65" s="26">
        <f t="shared" si="47"/>
        <v>0</v>
      </c>
      <c r="Y65" s="25">
        <f>K65</f>
        <v>76</v>
      </c>
      <c r="Z65" s="25">
        <f>Y65</f>
        <v>76</v>
      </c>
    </row>
    <row r="66" spans="1:26" ht="13.9" customHeight="1" x14ac:dyDescent="0.25">
      <c r="A66" s="15">
        <v>3</v>
      </c>
      <c r="B66" s="15">
        <v>3</v>
      </c>
      <c r="C66" s="15">
        <v>5</v>
      </c>
      <c r="D66" s="79" t="s">
        <v>21</v>
      </c>
      <c r="E66" s="48">
        <v>72</v>
      </c>
      <c r="F66" s="48" t="s">
        <v>25</v>
      </c>
      <c r="G66" s="49">
        <f t="shared" ref="G66:Q66" si="49">SUM(G65)</f>
        <v>65.790000000000006</v>
      </c>
      <c r="H66" s="49">
        <f t="shared" si="49"/>
        <v>61.14</v>
      </c>
      <c r="I66" s="49">
        <f t="shared" si="49"/>
        <v>69</v>
      </c>
      <c r="J66" s="49">
        <f t="shared" si="49"/>
        <v>69</v>
      </c>
      <c r="K66" s="49">
        <f t="shared" si="49"/>
        <v>76</v>
      </c>
      <c r="L66" s="49">
        <f t="shared" si="49"/>
        <v>0</v>
      </c>
      <c r="M66" s="49">
        <f t="shared" si="49"/>
        <v>0</v>
      </c>
      <c r="N66" s="49">
        <f t="shared" si="49"/>
        <v>0</v>
      </c>
      <c r="O66" s="49">
        <f t="shared" si="49"/>
        <v>0</v>
      </c>
      <c r="P66" s="49">
        <f t="shared" si="49"/>
        <v>76</v>
      </c>
      <c r="Q66" s="49">
        <f t="shared" si="49"/>
        <v>0</v>
      </c>
      <c r="R66" s="50">
        <f t="shared" si="44"/>
        <v>0</v>
      </c>
      <c r="S66" s="49">
        <f>SUM(S65)</f>
        <v>0</v>
      </c>
      <c r="T66" s="50">
        <f t="shared" si="45"/>
        <v>0</v>
      </c>
      <c r="U66" s="49">
        <f>SUM(U65)</f>
        <v>0</v>
      </c>
      <c r="V66" s="50">
        <f t="shared" si="46"/>
        <v>0</v>
      </c>
      <c r="W66" s="49">
        <f>SUM(W65)</f>
        <v>0</v>
      </c>
      <c r="X66" s="50">
        <f t="shared" si="47"/>
        <v>0</v>
      </c>
      <c r="Y66" s="49">
        <f>SUM(Y65)</f>
        <v>76</v>
      </c>
      <c r="Z66" s="49">
        <f>SUM(Z65)</f>
        <v>76</v>
      </c>
    </row>
    <row r="67" spans="1:26" ht="13.9" customHeight="1" x14ac:dyDescent="0.25">
      <c r="A67" s="15">
        <v>4</v>
      </c>
      <c r="B67" s="15">
        <v>4</v>
      </c>
      <c r="C67" s="15">
        <v>6</v>
      </c>
      <c r="D67" s="86"/>
      <c r="E67" s="87"/>
      <c r="F67" s="27" t="s">
        <v>127</v>
      </c>
      <c r="G67" s="28">
        <f t="shared" ref="G67:Q67" si="50">G64+G66</f>
        <v>13133.36</v>
      </c>
      <c r="H67" s="28">
        <f t="shared" si="50"/>
        <v>15877.48</v>
      </c>
      <c r="I67" s="28">
        <f t="shared" si="50"/>
        <v>17365</v>
      </c>
      <c r="J67" s="28">
        <f t="shared" si="50"/>
        <v>18280</v>
      </c>
      <c r="K67" s="28">
        <f t="shared" si="50"/>
        <v>19585</v>
      </c>
      <c r="L67" s="28">
        <f t="shared" si="50"/>
        <v>0</v>
      </c>
      <c r="M67" s="28">
        <f t="shared" si="50"/>
        <v>0</v>
      </c>
      <c r="N67" s="28">
        <f t="shared" si="50"/>
        <v>0</v>
      </c>
      <c r="O67" s="28">
        <f t="shared" si="50"/>
        <v>0</v>
      </c>
      <c r="P67" s="28">
        <f t="shared" si="50"/>
        <v>19585</v>
      </c>
      <c r="Q67" s="28">
        <f t="shared" si="50"/>
        <v>4462.8999999999996</v>
      </c>
      <c r="R67" s="29">
        <f t="shared" si="44"/>
        <v>0.22787337247893794</v>
      </c>
      <c r="S67" s="28">
        <f>S64+S66</f>
        <v>7993.8099999999995</v>
      </c>
      <c r="T67" s="29">
        <f t="shared" si="45"/>
        <v>0.40815981618585651</v>
      </c>
      <c r="U67" s="28">
        <f>U64+U66</f>
        <v>0</v>
      </c>
      <c r="V67" s="29">
        <f t="shared" si="46"/>
        <v>0</v>
      </c>
      <c r="W67" s="28">
        <f>W64+W66</f>
        <v>0</v>
      </c>
      <c r="X67" s="29">
        <f t="shared" si="47"/>
        <v>0</v>
      </c>
      <c r="Y67" s="28">
        <f>Y64+Y66</f>
        <v>21265</v>
      </c>
      <c r="Z67" s="28">
        <f>Z64+Z66</f>
        <v>22188</v>
      </c>
    </row>
    <row r="68" spans="1:26" ht="13.9" customHeight="1" x14ac:dyDescent="0.25">
      <c r="D68" s="88"/>
      <c r="E68" s="44"/>
      <c r="F68" s="44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90"/>
      <c r="S68" s="89"/>
      <c r="T68" s="90"/>
      <c r="U68" s="89"/>
      <c r="V68" s="90"/>
      <c r="W68" s="89"/>
      <c r="X68" s="90"/>
      <c r="Y68" s="89"/>
      <c r="Z68" s="89"/>
    </row>
    <row r="69" spans="1:26" ht="13.9" customHeight="1" x14ac:dyDescent="0.25">
      <c r="D69" s="6" t="s">
        <v>140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9" customHeight="1" x14ac:dyDescent="0.25">
      <c r="D70" s="21" t="s">
        <v>32</v>
      </c>
      <c r="E70" s="21" t="s">
        <v>33</v>
      </c>
      <c r="F70" s="21" t="s">
        <v>34</v>
      </c>
      <c r="G70" s="21" t="s">
        <v>1</v>
      </c>
      <c r="H70" s="21" t="s">
        <v>2</v>
      </c>
      <c r="I70" s="21" t="s">
        <v>3</v>
      </c>
      <c r="J70" s="21" t="s">
        <v>4</v>
      </c>
      <c r="K70" s="21" t="s">
        <v>5</v>
      </c>
      <c r="L70" s="21" t="s">
        <v>6</v>
      </c>
      <c r="M70" s="21" t="s">
        <v>7</v>
      </c>
      <c r="N70" s="21" t="s">
        <v>8</v>
      </c>
      <c r="O70" s="21" t="s">
        <v>9</v>
      </c>
      <c r="P70" s="21" t="s">
        <v>124</v>
      </c>
      <c r="Q70" s="21" t="s">
        <v>11</v>
      </c>
      <c r="R70" s="22" t="s">
        <v>12</v>
      </c>
      <c r="S70" s="21" t="s">
        <v>13</v>
      </c>
      <c r="T70" s="22" t="s">
        <v>14</v>
      </c>
      <c r="U70" s="21" t="s">
        <v>15</v>
      </c>
      <c r="V70" s="22" t="s">
        <v>16</v>
      </c>
      <c r="W70" s="21" t="s">
        <v>17</v>
      </c>
      <c r="X70" s="22" t="s">
        <v>18</v>
      </c>
      <c r="Y70" s="21" t="s">
        <v>19</v>
      </c>
      <c r="Z70" s="21" t="s">
        <v>20</v>
      </c>
    </row>
    <row r="71" spans="1:26" ht="13.9" customHeight="1" x14ac:dyDescent="0.25">
      <c r="D71" s="51" t="s">
        <v>131</v>
      </c>
      <c r="E71" s="24">
        <v>630</v>
      </c>
      <c r="F71" s="24" t="s">
        <v>134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/>
      <c r="M71" s="25">
        <v>110</v>
      </c>
      <c r="N71" s="25"/>
      <c r="O71" s="25"/>
      <c r="P71" s="25">
        <f>K71+SUM(L71:O71)</f>
        <v>110</v>
      </c>
      <c r="Q71" s="25">
        <v>0</v>
      </c>
      <c r="R71" s="26">
        <f t="shared" ref="R71:R77" si="51">IFERROR(Q71/$P71,0)</f>
        <v>0</v>
      </c>
      <c r="S71" s="25">
        <v>0</v>
      </c>
      <c r="T71" s="26">
        <f t="shared" ref="T71:T77" si="52">IFERROR(S71/$P71,0)</f>
        <v>0</v>
      </c>
      <c r="U71" s="25"/>
      <c r="V71" s="26">
        <f t="shared" ref="V71:V77" si="53">IFERROR(U71/$P71,0)</f>
        <v>0</v>
      </c>
      <c r="W71" s="25"/>
      <c r="X71" s="26">
        <f t="shared" ref="X71:X77" si="54">IFERROR(W71/$P71,0)</f>
        <v>0</v>
      </c>
      <c r="Y71" s="25">
        <f>K71</f>
        <v>0</v>
      </c>
      <c r="Z71" s="25">
        <f>Y71</f>
        <v>0</v>
      </c>
    </row>
    <row r="72" spans="1:26" ht="13.9" customHeight="1" x14ac:dyDescent="0.25">
      <c r="D72" s="79" t="s">
        <v>21</v>
      </c>
      <c r="E72" s="48">
        <v>111</v>
      </c>
      <c r="F72" s="48" t="s">
        <v>137</v>
      </c>
      <c r="G72" s="49">
        <f t="shared" ref="G72:Q72" si="55">SUM(G69:G71)</f>
        <v>0</v>
      </c>
      <c r="H72" s="49">
        <f t="shared" si="55"/>
        <v>0</v>
      </c>
      <c r="I72" s="49">
        <f t="shared" si="55"/>
        <v>0</v>
      </c>
      <c r="J72" s="49">
        <f t="shared" si="55"/>
        <v>0</v>
      </c>
      <c r="K72" s="49">
        <f t="shared" si="55"/>
        <v>0</v>
      </c>
      <c r="L72" s="49">
        <f t="shared" si="55"/>
        <v>0</v>
      </c>
      <c r="M72" s="49">
        <f t="shared" si="55"/>
        <v>110</v>
      </c>
      <c r="N72" s="49">
        <f t="shared" si="55"/>
        <v>0</v>
      </c>
      <c r="O72" s="49">
        <f t="shared" si="55"/>
        <v>0</v>
      </c>
      <c r="P72" s="49">
        <f t="shared" si="55"/>
        <v>110</v>
      </c>
      <c r="Q72" s="49">
        <f t="shared" si="55"/>
        <v>0</v>
      </c>
      <c r="R72" s="50">
        <f t="shared" si="51"/>
        <v>0</v>
      </c>
      <c r="S72" s="49">
        <f>SUM(S69:S71)</f>
        <v>0</v>
      </c>
      <c r="T72" s="50">
        <f t="shared" si="52"/>
        <v>0</v>
      </c>
      <c r="U72" s="49">
        <f>SUM(U69:U71)</f>
        <v>0</v>
      </c>
      <c r="V72" s="50">
        <f t="shared" si="53"/>
        <v>0</v>
      </c>
      <c r="W72" s="49">
        <f>SUM(W69:W71)</f>
        <v>0</v>
      </c>
      <c r="X72" s="50">
        <f t="shared" si="54"/>
        <v>0</v>
      </c>
      <c r="Y72" s="49">
        <f>SUM(Y69:Y71)</f>
        <v>0</v>
      </c>
      <c r="Z72" s="49">
        <f>SUM(Z69:Z71)</f>
        <v>0</v>
      </c>
    </row>
    <row r="73" spans="1:26" ht="13.9" customHeight="1" x14ac:dyDescent="0.25">
      <c r="A73" s="15">
        <v>1</v>
      </c>
      <c r="B73" s="15">
        <v>1</v>
      </c>
      <c r="C73" s="15">
        <v>4</v>
      </c>
      <c r="D73" s="11" t="s">
        <v>131</v>
      </c>
      <c r="E73" s="24">
        <v>630</v>
      </c>
      <c r="F73" s="24" t="s">
        <v>134</v>
      </c>
      <c r="G73" s="25">
        <v>14039.46</v>
      </c>
      <c r="H73" s="25">
        <v>25459.84</v>
      </c>
      <c r="I73" s="25">
        <v>30673</v>
      </c>
      <c r="J73" s="25">
        <v>21878</v>
      </c>
      <c r="K73" s="25">
        <v>24787</v>
      </c>
      <c r="L73" s="25">
        <v>2134</v>
      </c>
      <c r="M73" s="25"/>
      <c r="N73" s="25"/>
      <c r="O73" s="25"/>
      <c r="P73" s="25">
        <f>K73+SUM(L73:O73)</f>
        <v>26921</v>
      </c>
      <c r="Q73" s="25">
        <v>3565.29</v>
      </c>
      <c r="R73" s="26">
        <f t="shared" si="51"/>
        <v>0.13243527357824747</v>
      </c>
      <c r="S73" s="25">
        <v>13565.77</v>
      </c>
      <c r="T73" s="26">
        <f t="shared" si="52"/>
        <v>0.5039103302254746</v>
      </c>
      <c r="U73" s="25"/>
      <c r="V73" s="26">
        <f t="shared" si="53"/>
        <v>0</v>
      </c>
      <c r="W73" s="25"/>
      <c r="X73" s="26">
        <f t="shared" si="54"/>
        <v>0</v>
      </c>
      <c r="Y73" s="25">
        <f>K73</f>
        <v>24787</v>
      </c>
      <c r="Z73" s="25">
        <f>Y73</f>
        <v>24787</v>
      </c>
    </row>
    <row r="74" spans="1:26" ht="13.9" customHeight="1" x14ac:dyDescent="0.25">
      <c r="A74" s="15">
        <v>1</v>
      </c>
      <c r="B74" s="15">
        <v>1</v>
      </c>
      <c r="C74" s="15">
        <v>4</v>
      </c>
      <c r="D74" s="11"/>
      <c r="E74" s="24">
        <v>640</v>
      </c>
      <c r="F74" s="24" t="s">
        <v>135</v>
      </c>
      <c r="G74" s="25">
        <v>258.5</v>
      </c>
      <c r="H74" s="25">
        <v>258.8</v>
      </c>
      <c r="I74" s="25">
        <v>259</v>
      </c>
      <c r="J74" s="25">
        <v>3792</v>
      </c>
      <c r="K74" s="25">
        <v>4031</v>
      </c>
      <c r="L74" s="25"/>
      <c r="M74" s="25"/>
      <c r="N74" s="25"/>
      <c r="O74" s="25"/>
      <c r="P74" s="25">
        <f>K74+SUM(L74:O74)</f>
        <v>4031</v>
      </c>
      <c r="Q74" s="25">
        <v>260.10000000000002</v>
      </c>
      <c r="R74" s="26">
        <f t="shared" si="51"/>
        <v>6.4524931778714961E-2</v>
      </c>
      <c r="S74" s="25">
        <v>3770.2</v>
      </c>
      <c r="T74" s="26">
        <f t="shared" si="52"/>
        <v>0.93530141404118083</v>
      </c>
      <c r="U74" s="25"/>
      <c r="V74" s="26">
        <f t="shared" si="53"/>
        <v>0</v>
      </c>
      <c r="W74" s="25"/>
      <c r="X74" s="26">
        <f t="shared" si="54"/>
        <v>0</v>
      </c>
      <c r="Y74" s="25">
        <f>K74</f>
        <v>4031</v>
      </c>
      <c r="Z74" s="25">
        <f>Y74</f>
        <v>4031</v>
      </c>
    </row>
    <row r="75" spans="1:26" ht="13.9" customHeight="1" x14ac:dyDescent="0.25">
      <c r="A75" s="15">
        <v>1</v>
      </c>
      <c r="B75" s="15">
        <v>1</v>
      </c>
      <c r="C75" s="15">
        <v>4</v>
      </c>
      <c r="D75" s="51" t="s">
        <v>139</v>
      </c>
      <c r="E75" s="24">
        <v>630</v>
      </c>
      <c r="F75" s="24" t="s">
        <v>141</v>
      </c>
      <c r="G75" s="25">
        <v>251.79</v>
      </c>
      <c r="H75" s="25">
        <v>248.35</v>
      </c>
      <c r="I75" s="25">
        <v>202</v>
      </c>
      <c r="J75" s="25">
        <v>190</v>
      </c>
      <c r="K75" s="25">
        <v>190</v>
      </c>
      <c r="L75" s="25"/>
      <c r="M75" s="25">
        <v>301</v>
      </c>
      <c r="N75" s="25"/>
      <c r="O75" s="25"/>
      <c r="P75" s="25">
        <f>K75+SUM(L75:O75)</f>
        <v>491</v>
      </c>
      <c r="Q75" s="25">
        <v>89.42</v>
      </c>
      <c r="R75" s="26">
        <f t="shared" si="51"/>
        <v>0.18211812627291243</v>
      </c>
      <c r="S75" s="25">
        <v>192.22</v>
      </c>
      <c r="T75" s="26">
        <f t="shared" si="52"/>
        <v>0.39148676171079427</v>
      </c>
      <c r="U75" s="25"/>
      <c r="V75" s="26">
        <f t="shared" si="53"/>
        <v>0</v>
      </c>
      <c r="W75" s="25"/>
      <c r="X75" s="26">
        <f t="shared" si="54"/>
        <v>0</v>
      </c>
      <c r="Y75" s="25">
        <f>K75</f>
        <v>190</v>
      </c>
      <c r="Z75" s="25">
        <f>Y75</f>
        <v>190</v>
      </c>
    </row>
    <row r="76" spans="1:26" ht="13.9" customHeight="1" x14ac:dyDescent="0.25">
      <c r="A76" s="15">
        <v>1</v>
      </c>
      <c r="B76" s="15">
        <v>1</v>
      </c>
      <c r="C76" s="15">
        <v>4</v>
      </c>
      <c r="D76" s="79" t="s">
        <v>21</v>
      </c>
      <c r="E76" s="48">
        <v>41</v>
      </c>
      <c r="F76" s="48" t="s">
        <v>23</v>
      </c>
      <c r="G76" s="49">
        <f t="shared" ref="G76:Q76" si="56">SUM(G73:G75)</f>
        <v>14549.75</v>
      </c>
      <c r="H76" s="49">
        <f t="shared" si="56"/>
        <v>25966.989999999998</v>
      </c>
      <c r="I76" s="49">
        <f t="shared" si="56"/>
        <v>31134</v>
      </c>
      <c r="J76" s="49">
        <f t="shared" si="56"/>
        <v>25860</v>
      </c>
      <c r="K76" s="49">
        <f t="shared" si="56"/>
        <v>29008</v>
      </c>
      <c r="L76" s="49">
        <f t="shared" si="56"/>
        <v>2134</v>
      </c>
      <c r="M76" s="49">
        <f t="shared" si="56"/>
        <v>301</v>
      </c>
      <c r="N76" s="49">
        <f t="shared" si="56"/>
        <v>0</v>
      </c>
      <c r="O76" s="49">
        <f t="shared" si="56"/>
        <v>0</v>
      </c>
      <c r="P76" s="49">
        <f t="shared" si="56"/>
        <v>31443</v>
      </c>
      <c r="Q76" s="49">
        <f t="shared" si="56"/>
        <v>3914.81</v>
      </c>
      <c r="R76" s="50">
        <f t="shared" si="51"/>
        <v>0.12450497726043952</v>
      </c>
      <c r="S76" s="49">
        <f>SUM(S73:S75)</f>
        <v>17528.190000000002</v>
      </c>
      <c r="T76" s="50">
        <f t="shared" si="52"/>
        <v>0.55745921190726078</v>
      </c>
      <c r="U76" s="49">
        <f>SUM(U73:U75)</f>
        <v>0</v>
      </c>
      <c r="V76" s="50">
        <f t="shared" si="53"/>
        <v>0</v>
      </c>
      <c r="W76" s="49">
        <f>SUM(W73:W75)</f>
        <v>0</v>
      </c>
      <c r="X76" s="50">
        <f t="shared" si="54"/>
        <v>0</v>
      </c>
      <c r="Y76" s="49">
        <f>SUM(Y73:Y75)</f>
        <v>29008</v>
      </c>
      <c r="Z76" s="49">
        <f>SUM(Z73:Z75)</f>
        <v>29008</v>
      </c>
    </row>
    <row r="77" spans="1:26" ht="13.9" customHeight="1" x14ac:dyDescent="0.25">
      <c r="A77" s="15">
        <v>1</v>
      </c>
      <c r="B77" s="15">
        <v>1</v>
      </c>
      <c r="C77" s="15">
        <v>4</v>
      </c>
      <c r="D77" s="86"/>
      <c r="E77" s="87"/>
      <c r="F77" s="27" t="s">
        <v>127</v>
      </c>
      <c r="G77" s="28">
        <f t="shared" ref="G77:Q77" si="57">G72+G76</f>
        <v>14549.75</v>
      </c>
      <c r="H77" s="28">
        <f t="shared" si="57"/>
        <v>25966.989999999998</v>
      </c>
      <c r="I77" s="28">
        <f t="shared" si="57"/>
        <v>31134</v>
      </c>
      <c r="J77" s="28">
        <f t="shared" si="57"/>
        <v>25860</v>
      </c>
      <c r="K77" s="28">
        <f t="shared" si="57"/>
        <v>29008</v>
      </c>
      <c r="L77" s="28">
        <f t="shared" si="57"/>
        <v>2134</v>
      </c>
      <c r="M77" s="28">
        <f t="shared" si="57"/>
        <v>411</v>
      </c>
      <c r="N77" s="28">
        <f t="shared" si="57"/>
        <v>0</v>
      </c>
      <c r="O77" s="28">
        <f t="shared" si="57"/>
        <v>0</v>
      </c>
      <c r="P77" s="28">
        <f t="shared" si="57"/>
        <v>31553</v>
      </c>
      <c r="Q77" s="28">
        <f t="shared" si="57"/>
        <v>3914.81</v>
      </c>
      <c r="R77" s="29">
        <f t="shared" si="51"/>
        <v>0.12407092827940291</v>
      </c>
      <c r="S77" s="28">
        <f>S72+S76</f>
        <v>17528.190000000002</v>
      </c>
      <c r="T77" s="29">
        <f t="shared" si="52"/>
        <v>0.55551579881469282</v>
      </c>
      <c r="U77" s="28">
        <f>U72+U76</f>
        <v>0</v>
      </c>
      <c r="V77" s="29">
        <f t="shared" si="53"/>
        <v>0</v>
      </c>
      <c r="W77" s="28">
        <f>W72+W76</f>
        <v>0</v>
      </c>
      <c r="X77" s="29">
        <f t="shared" si="54"/>
        <v>0</v>
      </c>
      <c r="Y77" s="28">
        <f>Y72+Y76</f>
        <v>29008</v>
      </c>
      <c r="Z77" s="28">
        <f>Z72+Z76</f>
        <v>29008</v>
      </c>
    </row>
    <row r="78" spans="1:26" ht="13.9" customHeight="1" x14ac:dyDescent="0.25">
      <c r="D78" s="88"/>
      <c r="E78" s="44"/>
      <c r="F78" s="44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90"/>
      <c r="S78" s="89"/>
      <c r="T78" s="90"/>
      <c r="U78" s="89"/>
      <c r="V78" s="90"/>
      <c r="W78" s="89"/>
      <c r="X78" s="90"/>
      <c r="Y78" s="89"/>
      <c r="Z78" s="89"/>
    </row>
    <row r="79" spans="1:26" ht="13.9" customHeight="1" x14ac:dyDescent="0.25">
      <c r="D79" s="88"/>
      <c r="E79" s="52" t="s">
        <v>55</v>
      </c>
      <c r="F79" s="30" t="s">
        <v>142</v>
      </c>
      <c r="G79" s="53">
        <v>2615.9499999999998</v>
      </c>
      <c r="H79" s="53">
        <v>2588.9499999999998</v>
      </c>
      <c r="I79" s="53">
        <v>2450</v>
      </c>
      <c r="J79" s="53">
        <v>2866</v>
      </c>
      <c r="K79" s="53">
        <v>2900</v>
      </c>
      <c r="L79" s="53"/>
      <c r="M79" s="53"/>
      <c r="N79" s="53"/>
      <c r="O79" s="53"/>
      <c r="P79" s="53">
        <f>K79+SUM(L79:O79)</f>
        <v>2900</v>
      </c>
      <c r="Q79" s="53">
        <v>462.4</v>
      </c>
      <c r="R79" s="54">
        <f>IFERROR(Q79/$P79,0)</f>
        <v>0.15944827586206894</v>
      </c>
      <c r="S79" s="53">
        <v>1308.25</v>
      </c>
      <c r="T79" s="54">
        <f>IFERROR(S79/$P79,0)</f>
        <v>0.45112068965517244</v>
      </c>
      <c r="U79" s="53"/>
      <c r="V79" s="54">
        <f>IFERROR(U79/$P79,0)</f>
        <v>0</v>
      </c>
      <c r="W79" s="53"/>
      <c r="X79" s="55">
        <f>IFERROR(W79/$P79,0)</f>
        <v>0</v>
      </c>
      <c r="Y79" s="53">
        <f>K79</f>
        <v>2900</v>
      </c>
      <c r="Z79" s="56">
        <f>Y79</f>
        <v>2900</v>
      </c>
    </row>
    <row r="80" spans="1:26" ht="13.9" customHeight="1" x14ac:dyDescent="0.25">
      <c r="D80" s="88"/>
      <c r="E80" s="57"/>
      <c r="F80" s="92" t="s">
        <v>143</v>
      </c>
      <c r="G80" s="93">
        <v>913.96</v>
      </c>
      <c r="H80" s="93">
        <v>7374.24</v>
      </c>
      <c r="I80" s="93">
        <v>5000</v>
      </c>
      <c r="J80" s="93">
        <v>4428</v>
      </c>
      <c r="K80" s="93">
        <v>5000</v>
      </c>
      <c r="L80" s="93"/>
      <c r="M80" s="93">
        <v>-175</v>
      </c>
      <c r="N80" s="93"/>
      <c r="O80" s="93"/>
      <c r="P80" s="93">
        <f>K80+SUM(L80:O80)</f>
        <v>4825</v>
      </c>
      <c r="Q80" s="93">
        <v>1426</v>
      </c>
      <c r="R80" s="94">
        <f>IFERROR(Q80/$P80,0)</f>
        <v>0.29554404145077723</v>
      </c>
      <c r="S80" s="93">
        <v>1524.4</v>
      </c>
      <c r="T80" s="94">
        <f>IFERROR(S80/$P80,0)</f>
        <v>0.31593782383419688</v>
      </c>
      <c r="U80" s="93"/>
      <c r="V80" s="94">
        <f>IFERROR(U80/$P80,0)</f>
        <v>0</v>
      </c>
      <c r="W80" s="93"/>
      <c r="X80" s="64">
        <f>IFERROR(W80/$P80,0)</f>
        <v>0</v>
      </c>
      <c r="Y80" s="59">
        <f>K80</f>
        <v>5000</v>
      </c>
      <c r="Z80" s="61">
        <f>Y80</f>
        <v>5000</v>
      </c>
    </row>
    <row r="81" spans="1:26" ht="13.9" customHeight="1" x14ac:dyDescent="0.25">
      <c r="D81" s="88"/>
      <c r="E81" s="57"/>
      <c r="F81" s="15" t="s">
        <v>144</v>
      </c>
      <c r="G81" s="59">
        <v>2178</v>
      </c>
      <c r="H81" s="59">
        <v>2379.6</v>
      </c>
      <c r="I81" s="59">
        <v>2380</v>
      </c>
      <c r="J81" s="59">
        <v>2633</v>
      </c>
      <c r="K81" s="59">
        <v>2780</v>
      </c>
      <c r="L81" s="59"/>
      <c r="M81" s="59"/>
      <c r="N81" s="59"/>
      <c r="O81" s="59"/>
      <c r="P81" s="59">
        <f>K81+SUM(L81:O81)</f>
        <v>2780</v>
      </c>
      <c r="Q81" s="59">
        <v>654.37</v>
      </c>
      <c r="R81" s="16">
        <f>IFERROR(Q81/$P81,0)</f>
        <v>0.23538489208633093</v>
      </c>
      <c r="S81" s="59">
        <v>1327.08</v>
      </c>
      <c r="T81" s="16">
        <f>IFERROR(S81/$P81,0)</f>
        <v>0.47736690647482011</v>
      </c>
      <c r="U81" s="59"/>
      <c r="V81" s="16">
        <f>IFERROR(U81/$P81,0)</f>
        <v>0</v>
      </c>
      <c r="W81" s="59"/>
      <c r="X81" s="60">
        <f>IFERROR(W81/$P81,0)</f>
        <v>0</v>
      </c>
      <c r="Y81" s="59">
        <f>K81</f>
        <v>2780</v>
      </c>
      <c r="Z81" s="61">
        <f>Y81</f>
        <v>2780</v>
      </c>
    </row>
    <row r="82" spans="1:26" ht="13.9" customHeight="1" x14ac:dyDescent="0.25">
      <c r="D82" s="88"/>
      <c r="E82" s="57"/>
      <c r="F82" s="92" t="s">
        <v>145</v>
      </c>
      <c r="G82" s="95">
        <v>3249.6</v>
      </c>
      <c r="H82" s="95">
        <v>2140.8000000000002</v>
      </c>
      <c r="I82" s="95">
        <f>2141+3500</f>
        <v>5641</v>
      </c>
      <c r="J82" s="95">
        <v>5754</v>
      </c>
      <c r="K82" s="95">
        <v>4271</v>
      </c>
      <c r="L82" s="95"/>
      <c r="M82" s="95"/>
      <c r="N82" s="95"/>
      <c r="O82" s="95"/>
      <c r="P82" s="95">
        <f>K82+SUM(L82:O82)</f>
        <v>4271</v>
      </c>
      <c r="Q82" s="95">
        <v>0</v>
      </c>
      <c r="R82" s="96">
        <f>IFERROR(Q82/$P82,0)</f>
        <v>0</v>
      </c>
      <c r="S82" s="95">
        <v>3510.1</v>
      </c>
      <c r="T82" s="96">
        <f>IFERROR(S82/$P82,0)</f>
        <v>0.82184500117068604</v>
      </c>
      <c r="U82" s="95"/>
      <c r="V82" s="96">
        <f>IFERROR(U82/$P82,0)</f>
        <v>0</v>
      </c>
      <c r="W82" s="95"/>
      <c r="X82" s="60">
        <f>IFERROR(W82/$P82,0)</f>
        <v>0</v>
      </c>
      <c r="Y82" s="59">
        <f>K82</f>
        <v>4271</v>
      </c>
      <c r="Z82" s="61">
        <f>Y82</f>
        <v>4271</v>
      </c>
    </row>
    <row r="83" spans="1:26" ht="13.9" customHeight="1" x14ac:dyDescent="0.25">
      <c r="D83" s="88"/>
      <c r="E83" s="65"/>
      <c r="F83" s="97" t="s">
        <v>146</v>
      </c>
      <c r="G83" s="67"/>
      <c r="H83" s="67"/>
      <c r="I83" s="67">
        <v>10000</v>
      </c>
      <c r="J83" s="67">
        <v>1330</v>
      </c>
      <c r="K83" s="67">
        <v>8000</v>
      </c>
      <c r="L83" s="67">
        <v>2134</v>
      </c>
      <c r="M83" s="67">
        <v>-2850</v>
      </c>
      <c r="N83" s="67"/>
      <c r="O83" s="67"/>
      <c r="P83" s="67">
        <f>K83+SUM(L83:O83)</f>
        <v>7284</v>
      </c>
      <c r="Q83" s="67">
        <v>0</v>
      </c>
      <c r="R83" s="68">
        <f>IFERROR(Q83/$P83,0)</f>
        <v>0</v>
      </c>
      <c r="S83" s="67">
        <v>7284</v>
      </c>
      <c r="T83" s="68">
        <f>IFERROR(S83/$P83,0)</f>
        <v>1</v>
      </c>
      <c r="U83" s="67"/>
      <c r="V83" s="68">
        <f>IFERROR(U83/$P83,0)</f>
        <v>0</v>
      </c>
      <c r="W83" s="67"/>
      <c r="X83" s="69">
        <f>IFERROR(W83/$P83,0)</f>
        <v>0</v>
      </c>
      <c r="Y83" s="67">
        <f>K83</f>
        <v>8000</v>
      </c>
      <c r="Z83" s="70">
        <f>Y83</f>
        <v>8000</v>
      </c>
    </row>
    <row r="84" spans="1:26" ht="13.9" customHeight="1" x14ac:dyDescent="0.25">
      <c r="D84" s="88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S84" s="59"/>
      <c r="U84" s="59"/>
      <c r="W84" s="59"/>
      <c r="Y84" s="59"/>
      <c r="Z84" s="59"/>
    </row>
    <row r="85" spans="1:26" ht="13.9" customHeight="1" x14ac:dyDescent="0.25">
      <c r="D85" s="6" t="s">
        <v>147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9" customHeight="1" x14ac:dyDescent="0.25">
      <c r="D86" s="21" t="s">
        <v>32</v>
      </c>
      <c r="E86" s="21" t="s">
        <v>33</v>
      </c>
      <c r="F86" s="21" t="s">
        <v>34</v>
      </c>
      <c r="G86" s="21" t="s">
        <v>1</v>
      </c>
      <c r="H86" s="21" t="s">
        <v>2</v>
      </c>
      <c r="I86" s="21" t="s">
        <v>3</v>
      </c>
      <c r="J86" s="21" t="s">
        <v>4</v>
      </c>
      <c r="K86" s="21" t="s">
        <v>5</v>
      </c>
      <c r="L86" s="21" t="s">
        <v>6</v>
      </c>
      <c r="M86" s="21" t="s">
        <v>7</v>
      </c>
      <c r="N86" s="21" t="s">
        <v>8</v>
      </c>
      <c r="O86" s="21" t="s">
        <v>9</v>
      </c>
      <c r="P86" s="21" t="s">
        <v>124</v>
      </c>
      <c r="Q86" s="21" t="s">
        <v>11</v>
      </c>
      <c r="R86" s="22" t="s">
        <v>12</v>
      </c>
      <c r="S86" s="21" t="s">
        <v>13</v>
      </c>
      <c r="T86" s="22" t="s">
        <v>14</v>
      </c>
      <c r="U86" s="21" t="s">
        <v>15</v>
      </c>
      <c r="V86" s="22" t="s">
        <v>16</v>
      </c>
      <c r="W86" s="21" t="s">
        <v>17</v>
      </c>
      <c r="X86" s="22" t="s">
        <v>18</v>
      </c>
      <c r="Y86" s="21" t="s">
        <v>19</v>
      </c>
      <c r="Z86" s="21" t="s">
        <v>20</v>
      </c>
    </row>
    <row r="87" spans="1:26" ht="13.9" customHeight="1" x14ac:dyDescent="0.25">
      <c r="D87" s="11" t="s">
        <v>131</v>
      </c>
      <c r="E87" s="24">
        <v>610</v>
      </c>
      <c r="F87" s="24" t="s">
        <v>132</v>
      </c>
      <c r="G87" s="46">
        <v>0</v>
      </c>
      <c r="H87" s="46">
        <v>0</v>
      </c>
      <c r="I87" s="25">
        <v>0</v>
      </c>
      <c r="J87" s="25">
        <v>0</v>
      </c>
      <c r="K87" s="25">
        <v>0</v>
      </c>
      <c r="L87" s="25"/>
      <c r="M87" s="25">
        <v>800</v>
      </c>
      <c r="N87" s="25"/>
      <c r="O87" s="25"/>
      <c r="P87" s="46">
        <f>K87+SUM(L87:O87)</f>
        <v>800</v>
      </c>
      <c r="Q87" s="46">
        <v>0</v>
      </c>
      <c r="R87" s="47">
        <f t="shared" ref="R87:R97" si="58">IFERROR(Q87/$P87,0)</f>
        <v>0</v>
      </c>
      <c r="S87" s="46">
        <v>800</v>
      </c>
      <c r="T87" s="47">
        <f t="shared" ref="T87:T97" si="59">IFERROR(S87/$P87,0)</f>
        <v>1</v>
      </c>
      <c r="U87" s="46"/>
      <c r="V87" s="47">
        <f t="shared" ref="V87:V97" si="60">IFERROR(U87/$P87,0)</f>
        <v>0</v>
      </c>
      <c r="W87" s="46"/>
      <c r="X87" s="47">
        <f t="shared" ref="X87:X97" si="61">IFERROR(W87/$P87,0)</f>
        <v>0</v>
      </c>
      <c r="Y87" s="25">
        <v>0</v>
      </c>
      <c r="Z87" s="25">
        <v>0</v>
      </c>
    </row>
    <row r="88" spans="1:26" ht="13.9" customHeight="1" x14ac:dyDescent="0.25">
      <c r="D88" s="11"/>
      <c r="E88" s="24">
        <v>620</v>
      </c>
      <c r="F88" s="24" t="s">
        <v>133</v>
      </c>
      <c r="G88" s="46">
        <v>0</v>
      </c>
      <c r="H88" s="46">
        <v>0</v>
      </c>
      <c r="I88" s="25">
        <v>0</v>
      </c>
      <c r="J88" s="25">
        <v>0</v>
      </c>
      <c r="K88" s="25">
        <v>0</v>
      </c>
      <c r="L88" s="25"/>
      <c r="M88" s="25">
        <v>259</v>
      </c>
      <c r="N88" s="25"/>
      <c r="O88" s="25"/>
      <c r="P88" s="46">
        <f>K88+SUM(L88:O88)</f>
        <v>259</v>
      </c>
      <c r="Q88" s="46">
        <v>0</v>
      </c>
      <c r="R88" s="47">
        <f t="shared" si="58"/>
        <v>0</v>
      </c>
      <c r="S88" s="46">
        <v>259.60000000000002</v>
      </c>
      <c r="T88" s="47">
        <f t="shared" si="59"/>
        <v>1.0023166023166024</v>
      </c>
      <c r="U88" s="46"/>
      <c r="V88" s="47">
        <f t="shared" si="60"/>
        <v>0</v>
      </c>
      <c r="W88" s="46"/>
      <c r="X88" s="47">
        <f t="shared" si="61"/>
        <v>0</v>
      </c>
      <c r="Y88" s="25">
        <v>0</v>
      </c>
      <c r="Z88" s="25">
        <v>0</v>
      </c>
    </row>
    <row r="89" spans="1:26" ht="13.9" hidden="1" customHeight="1" x14ac:dyDescent="0.25">
      <c r="A89" s="15">
        <v>1</v>
      </c>
      <c r="B89" s="15">
        <v>1</v>
      </c>
      <c r="C89" s="15">
        <v>5</v>
      </c>
      <c r="D89" s="11"/>
      <c r="E89" s="24">
        <v>630</v>
      </c>
      <c r="F89" s="24" t="s">
        <v>134</v>
      </c>
      <c r="G89" s="46">
        <v>0</v>
      </c>
      <c r="H89" s="46">
        <v>7311.57</v>
      </c>
      <c r="I89" s="25">
        <v>0</v>
      </c>
      <c r="J89" s="25">
        <v>0</v>
      </c>
      <c r="K89" s="25">
        <v>0</v>
      </c>
      <c r="L89" s="25"/>
      <c r="M89" s="25"/>
      <c r="N89" s="25"/>
      <c r="O89" s="25"/>
      <c r="P89" s="46">
        <f>K89+SUM(L89:O89)</f>
        <v>0</v>
      </c>
      <c r="Q89" s="46">
        <v>0</v>
      </c>
      <c r="R89" s="47">
        <f t="shared" si="58"/>
        <v>0</v>
      </c>
      <c r="S89" s="46"/>
      <c r="T89" s="47">
        <f t="shared" si="59"/>
        <v>0</v>
      </c>
      <c r="U89" s="46"/>
      <c r="V89" s="47">
        <f t="shared" si="60"/>
        <v>0</v>
      </c>
      <c r="W89" s="46"/>
      <c r="X89" s="47">
        <f t="shared" si="61"/>
        <v>0</v>
      </c>
      <c r="Y89" s="25">
        <v>0</v>
      </c>
      <c r="Z89" s="25">
        <v>0</v>
      </c>
    </row>
    <row r="90" spans="1:26" ht="13.9" customHeight="1" x14ac:dyDescent="0.25">
      <c r="A90" s="15">
        <v>1</v>
      </c>
      <c r="B90" s="15">
        <v>1</v>
      </c>
      <c r="C90" s="15">
        <v>5</v>
      </c>
      <c r="D90" s="79" t="s">
        <v>21</v>
      </c>
      <c r="E90" s="48">
        <v>111</v>
      </c>
      <c r="F90" s="48" t="s">
        <v>137</v>
      </c>
      <c r="G90" s="49">
        <f t="shared" ref="G90:Q90" si="62">SUM(G87:G89)</f>
        <v>0</v>
      </c>
      <c r="H90" s="49">
        <f t="shared" si="62"/>
        <v>7311.57</v>
      </c>
      <c r="I90" s="49">
        <f t="shared" si="62"/>
        <v>0</v>
      </c>
      <c r="J90" s="49">
        <f t="shared" si="62"/>
        <v>0</v>
      </c>
      <c r="K90" s="49">
        <f t="shared" si="62"/>
        <v>0</v>
      </c>
      <c r="L90" s="49">
        <f t="shared" si="62"/>
        <v>0</v>
      </c>
      <c r="M90" s="49">
        <f t="shared" si="62"/>
        <v>1059</v>
      </c>
      <c r="N90" s="49">
        <f t="shared" si="62"/>
        <v>0</v>
      </c>
      <c r="O90" s="49">
        <f t="shared" si="62"/>
        <v>0</v>
      </c>
      <c r="P90" s="49">
        <f t="shared" si="62"/>
        <v>1059</v>
      </c>
      <c r="Q90" s="49">
        <f t="shared" si="62"/>
        <v>0</v>
      </c>
      <c r="R90" s="50">
        <f t="shared" si="58"/>
        <v>0</v>
      </c>
      <c r="S90" s="49">
        <f>SUM(S87:S89)</f>
        <v>1059.5999999999999</v>
      </c>
      <c r="T90" s="50">
        <f t="shared" si="59"/>
        <v>1.0005665722379602</v>
      </c>
      <c r="U90" s="49">
        <f>SUM(U87:U89)</f>
        <v>0</v>
      </c>
      <c r="V90" s="50">
        <f t="shared" si="60"/>
        <v>0</v>
      </c>
      <c r="W90" s="49">
        <f>SUM(W87:W89)</f>
        <v>0</v>
      </c>
      <c r="X90" s="50">
        <f t="shared" si="61"/>
        <v>0</v>
      </c>
      <c r="Y90" s="49">
        <f>SUM(Y87:Y89)</f>
        <v>0</v>
      </c>
      <c r="Z90" s="49">
        <f>SUM(Z87:Z89)</f>
        <v>0</v>
      </c>
    </row>
    <row r="91" spans="1:26" ht="13.9" customHeight="1" x14ac:dyDescent="0.25">
      <c r="A91" s="15">
        <v>1</v>
      </c>
      <c r="B91" s="15">
        <v>1</v>
      </c>
      <c r="C91" s="15">
        <v>5</v>
      </c>
      <c r="D91" s="11" t="s">
        <v>131</v>
      </c>
      <c r="E91" s="24">
        <v>610</v>
      </c>
      <c r="F91" s="24" t="s">
        <v>132</v>
      </c>
      <c r="G91" s="25">
        <v>6153.5</v>
      </c>
      <c r="H91" s="46">
        <v>9364.5</v>
      </c>
      <c r="I91" s="25">
        <v>10050</v>
      </c>
      <c r="J91" s="25">
        <v>10012</v>
      </c>
      <c r="K91" s="25">
        <v>10493</v>
      </c>
      <c r="L91" s="25"/>
      <c r="M91" s="25">
        <v>-141</v>
      </c>
      <c r="N91" s="25"/>
      <c r="O91" s="25"/>
      <c r="P91" s="46">
        <f>K91+SUM(L91:O91)</f>
        <v>10352</v>
      </c>
      <c r="Q91" s="46">
        <v>2410</v>
      </c>
      <c r="R91" s="47">
        <f t="shared" si="58"/>
        <v>0.23280525502318392</v>
      </c>
      <c r="S91" s="46">
        <v>4934</v>
      </c>
      <c r="T91" s="47">
        <f t="shared" si="59"/>
        <v>0.4766228748068006</v>
      </c>
      <c r="U91" s="46"/>
      <c r="V91" s="47">
        <f t="shared" si="60"/>
        <v>0</v>
      </c>
      <c r="W91" s="46"/>
      <c r="X91" s="47">
        <f t="shared" si="61"/>
        <v>0</v>
      </c>
      <c r="Y91" s="25">
        <v>10160</v>
      </c>
      <c r="Z91" s="25">
        <v>10650</v>
      </c>
    </row>
    <row r="92" spans="1:26" ht="13.9" customHeight="1" x14ac:dyDescent="0.25">
      <c r="A92" s="15">
        <v>1</v>
      </c>
      <c r="B92" s="15">
        <v>1</v>
      </c>
      <c r="C92" s="15">
        <v>5</v>
      </c>
      <c r="D92" s="11" t="s">
        <v>148</v>
      </c>
      <c r="E92" s="24">
        <v>620</v>
      </c>
      <c r="F92" s="24" t="s">
        <v>133</v>
      </c>
      <c r="G92" s="25">
        <v>2601.7600000000002</v>
      </c>
      <c r="H92" s="46">
        <v>3272.62</v>
      </c>
      <c r="I92" s="25">
        <v>4164</v>
      </c>
      <c r="J92" s="25">
        <v>3527</v>
      </c>
      <c r="K92" s="25">
        <v>3404</v>
      </c>
      <c r="L92" s="25"/>
      <c r="M92" s="25">
        <v>141</v>
      </c>
      <c r="N92" s="25"/>
      <c r="O92" s="25"/>
      <c r="P92" s="46">
        <f>K92+SUM(L92:O92)</f>
        <v>3545</v>
      </c>
      <c r="Q92" s="46">
        <v>782.01</v>
      </c>
      <c r="R92" s="47">
        <f t="shared" si="58"/>
        <v>0.22059520451339915</v>
      </c>
      <c r="S92" s="46">
        <v>1601.01</v>
      </c>
      <c r="T92" s="47">
        <f t="shared" si="59"/>
        <v>0.45162482369534557</v>
      </c>
      <c r="U92" s="46"/>
      <c r="V92" s="47">
        <f t="shared" si="60"/>
        <v>0</v>
      </c>
      <c r="W92" s="46"/>
      <c r="X92" s="47">
        <f t="shared" si="61"/>
        <v>0</v>
      </c>
      <c r="Y92" s="25">
        <v>3297</v>
      </c>
      <c r="Z92" s="25">
        <v>3456</v>
      </c>
    </row>
    <row r="93" spans="1:26" ht="13.9" customHeight="1" x14ac:dyDescent="0.25">
      <c r="A93" s="15">
        <v>1</v>
      </c>
      <c r="B93" s="15">
        <v>1</v>
      </c>
      <c r="C93" s="15">
        <v>5</v>
      </c>
      <c r="D93" s="11" t="s">
        <v>149</v>
      </c>
      <c r="E93" s="24">
        <v>630</v>
      </c>
      <c r="F93" s="24" t="s">
        <v>134</v>
      </c>
      <c r="G93" s="25">
        <v>29350.68</v>
      </c>
      <c r="H93" s="46">
        <v>23501.93</v>
      </c>
      <c r="I93" s="25">
        <f>3419+29111</f>
        <v>32530</v>
      </c>
      <c r="J93" s="25">
        <v>28115</v>
      </c>
      <c r="K93" s="25">
        <f>1460+19049</f>
        <v>20509</v>
      </c>
      <c r="L93" s="25"/>
      <c r="M93" s="25"/>
      <c r="N93" s="25"/>
      <c r="O93" s="25"/>
      <c r="P93" s="46">
        <f>K93+SUM(L93:O93)</f>
        <v>20509</v>
      </c>
      <c r="Q93" s="46">
        <v>6196.56</v>
      </c>
      <c r="R93" s="47">
        <f t="shared" si="58"/>
        <v>0.30213857330927885</v>
      </c>
      <c r="S93" s="46">
        <v>11159.79</v>
      </c>
      <c r="T93" s="47">
        <f t="shared" si="59"/>
        <v>0.54414110878151056</v>
      </c>
      <c r="U93" s="46"/>
      <c r="V93" s="47">
        <f t="shared" si="60"/>
        <v>0</v>
      </c>
      <c r="W93" s="46"/>
      <c r="X93" s="47">
        <f t="shared" si="61"/>
        <v>0</v>
      </c>
      <c r="Y93" s="25">
        <f>1469+19049</f>
        <v>20518</v>
      </c>
      <c r="Z93" s="25">
        <f>1479+19049</f>
        <v>20528</v>
      </c>
    </row>
    <row r="94" spans="1:26" ht="13.9" customHeight="1" x14ac:dyDescent="0.25">
      <c r="A94" s="15">
        <v>1</v>
      </c>
      <c r="B94" s="15">
        <v>1</v>
      </c>
      <c r="C94" s="15">
        <v>5</v>
      </c>
      <c r="D94" s="79" t="s">
        <v>21</v>
      </c>
      <c r="E94" s="48">
        <v>41</v>
      </c>
      <c r="F94" s="48" t="s">
        <v>23</v>
      </c>
      <c r="G94" s="49">
        <f t="shared" ref="G94:Q94" si="63">SUM(G91:G93)</f>
        <v>38105.94</v>
      </c>
      <c r="H94" s="49">
        <f t="shared" si="63"/>
        <v>36139.050000000003</v>
      </c>
      <c r="I94" s="49">
        <f t="shared" si="63"/>
        <v>46744</v>
      </c>
      <c r="J94" s="49">
        <f t="shared" si="63"/>
        <v>41654</v>
      </c>
      <c r="K94" s="49">
        <f t="shared" si="63"/>
        <v>34406</v>
      </c>
      <c r="L94" s="49">
        <f t="shared" si="63"/>
        <v>0</v>
      </c>
      <c r="M94" s="49">
        <f t="shared" si="63"/>
        <v>0</v>
      </c>
      <c r="N94" s="49">
        <f t="shared" si="63"/>
        <v>0</v>
      </c>
      <c r="O94" s="49">
        <f t="shared" si="63"/>
        <v>0</v>
      </c>
      <c r="P94" s="49">
        <f t="shared" si="63"/>
        <v>34406</v>
      </c>
      <c r="Q94" s="49">
        <f t="shared" si="63"/>
        <v>9388.57</v>
      </c>
      <c r="R94" s="50">
        <f t="shared" si="58"/>
        <v>0.2728759518688601</v>
      </c>
      <c r="S94" s="49">
        <f>SUM(S91:S93)</f>
        <v>17694.800000000003</v>
      </c>
      <c r="T94" s="50">
        <f t="shared" si="59"/>
        <v>0.514294018485148</v>
      </c>
      <c r="U94" s="49">
        <f>SUM(U91:U93)</f>
        <v>0</v>
      </c>
      <c r="V94" s="50">
        <f t="shared" si="60"/>
        <v>0</v>
      </c>
      <c r="W94" s="49">
        <f>SUM(W91:W93)</f>
        <v>0</v>
      </c>
      <c r="X94" s="50">
        <f t="shared" si="61"/>
        <v>0</v>
      </c>
      <c r="Y94" s="49">
        <f>SUM(Y91:Y93)</f>
        <v>33975</v>
      </c>
      <c r="Z94" s="49">
        <f>SUM(Z91:Z93)</f>
        <v>34634</v>
      </c>
    </row>
    <row r="95" spans="1:26" ht="13.9" customHeight="1" x14ac:dyDescent="0.25">
      <c r="A95" s="15">
        <v>1</v>
      </c>
      <c r="B95" s="15">
        <v>1</v>
      </c>
      <c r="C95" s="15">
        <v>5</v>
      </c>
      <c r="D95" s="91" t="s">
        <v>131</v>
      </c>
      <c r="E95" s="24">
        <v>640</v>
      </c>
      <c r="F95" s="24" t="s">
        <v>135</v>
      </c>
      <c r="G95" s="25">
        <v>132.69</v>
      </c>
      <c r="H95" s="25">
        <v>153.72</v>
      </c>
      <c r="I95" s="25">
        <v>155</v>
      </c>
      <c r="J95" s="25">
        <v>149</v>
      </c>
      <c r="K95" s="25">
        <v>179</v>
      </c>
      <c r="L95" s="25"/>
      <c r="M95" s="25"/>
      <c r="N95" s="25"/>
      <c r="O95" s="25"/>
      <c r="P95" s="25">
        <f>K95+SUM(L95:O95)</f>
        <v>179</v>
      </c>
      <c r="Q95" s="25">
        <v>0</v>
      </c>
      <c r="R95" s="26">
        <f t="shared" si="58"/>
        <v>0</v>
      </c>
      <c r="S95" s="25">
        <v>0</v>
      </c>
      <c r="T95" s="26">
        <f t="shared" si="59"/>
        <v>0</v>
      </c>
      <c r="U95" s="25"/>
      <c r="V95" s="26">
        <f t="shared" si="60"/>
        <v>0</v>
      </c>
      <c r="W95" s="25"/>
      <c r="X95" s="26">
        <f t="shared" si="61"/>
        <v>0</v>
      </c>
      <c r="Y95" s="25">
        <f>K95</f>
        <v>179</v>
      </c>
      <c r="Z95" s="25">
        <f>Y95</f>
        <v>179</v>
      </c>
    </row>
    <row r="96" spans="1:26" ht="13.9" customHeight="1" x14ac:dyDescent="0.25">
      <c r="A96" s="15">
        <v>1</v>
      </c>
      <c r="B96" s="15">
        <v>1</v>
      </c>
      <c r="C96" s="15">
        <v>5</v>
      </c>
      <c r="D96" s="79" t="s">
        <v>21</v>
      </c>
      <c r="E96" s="48">
        <v>72</v>
      </c>
      <c r="F96" s="48" t="s">
        <v>25</v>
      </c>
      <c r="G96" s="49">
        <f t="shared" ref="G96:Q96" si="64">SUM(G95)</f>
        <v>132.69</v>
      </c>
      <c r="H96" s="49">
        <f t="shared" si="64"/>
        <v>153.72</v>
      </c>
      <c r="I96" s="49">
        <f t="shared" si="64"/>
        <v>155</v>
      </c>
      <c r="J96" s="49">
        <f t="shared" si="64"/>
        <v>149</v>
      </c>
      <c r="K96" s="49">
        <f t="shared" si="64"/>
        <v>179</v>
      </c>
      <c r="L96" s="49">
        <f t="shared" si="64"/>
        <v>0</v>
      </c>
      <c r="M96" s="49">
        <f t="shared" si="64"/>
        <v>0</v>
      </c>
      <c r="N96" s="49">
        <f t="shared" si="64"/>
        <v>0</v>
      </c>
      <c r="O96" s="49">
        <f t="shared" si="64"/>
        <v>0</v>
      </c>
      <c r="P96" s="49">
        <f t="shared" si="64"/>
        <v>179</v>
      </c>
      <c r="Q96" s="49">
        <f t="shared" si="64"/>
        <v>0</v>
      </c>
      <c r="R96" s="50">
        <f t="shared" si="58"/>
        <v>0</v>
      </c>
      <c r="S96" s="49">
        <f>SUM(S95)</f>
        <v>0</v>
      </c>
      <c r="T96" s="50">
        <f t="shared" si="59"/>
        <v>0</v>
      </c>
      <c r="U96" s="49">
        <f>SUM(U95)</f>
        <v>0</v>
      </c>
      <c r="V96" s="50">
        <f t="shared" si="60"/>
        <v>0</v>
      </c>
      <c r="W96" s="49">
        <f>SUM(W95)</f>
        <v>0</v>
      </c>
      <c r="X96" s="50">
        <f t="shared" si="61"/>
        <v>0</v>
      </c>
      <c r="Y96" s="49">
        <f>SUM(Y95)</f>
        <v>179</v>
      </c>
      <c r="Z96" s="49">
        <f>SUM(Z95)</f>
        <v>179</v>
      </c>
    </row>
    <row r="97" spans="1:26" ht="13.9" customHeight="1" x14ac:dyDescent="0.25">
      <c r="A97" s="15">
        <v>1</v>
      </c>
      <c r="B97" s="15">
        <v>1</v>
      </c>
      <c r="C97" s="15">
        <v>5</v>
      </c>
      <c r="D97" s="86"/>
      <c r="E97" s="87"/>
      <c r="F97" s="27" t="s">
        <v>127</v>
      </c>
      <c r="G97" s="28">
        <f t="shared" ref="G97:Q97" si="65">G90+G94+G96</f>
        <v>38238.630000000005</v>
      </c>
      <c r="H97" s="28">
        <f t="shared" si="65"/>
        <v>43604.340000000004</v>
      </c>
      <c r="I97" s="28">
        <f t="shared" si="65"/>
        <v>46899</v>
      </c>
      <c r="J97" s="28">
        <f t="shared" si="65"/>
        <v>41803</v>
      </c>
      <c r="K97" s="28">
        <f t="shared" si="65"/>
        <v>34585</v>
      </c>
      <c r="L97" s="28">
        <f t="shared" si="65"/>
        <v>0</v>
      </c>
      <c r="M97" s="28">
        <f t="shared" si="65"/>
        <v>1059</v>
      </c>
      <c r="N97" s="28">
        <f t="shared" si="65"/>
        <v>0</v>
      </c>
      <c r="O97" s="28">
        <f t="shared" si="65"/>
        <v>0</v>
      </c>
      <c r="P97" s="28">
        <f t="shared" si="65"/>
        <v>35644</v>
      </c>
      <c r="Q97" s="28">
        <f t="shared" si="65"/>
        <v>9388.57</v>
      </c>
      <c r="R97" s="29">
        <f t="shared" si="58"/>
        <v>0.26339832790932555</v>
      </c>
      <c r="S97" s="28">
        <f>S90+S94+S96</f>
        <v>18754.400000000001</v>
      </c>
      <c r="T97" s="29">
        <f t="shared" si="59"/>
        <v>0.52615868028279655</v>
      </c>
      <c r="U97" s="28">
        <f>U90+U94+U96</f>
        <v>0</v>
      </c>
      <c r="V97" s="29">
        <f t="shared" si="60"/>
        <v>0</v>
      </c>
      <c r="W97" s="28">
        <f>W90+W94+W96</f>
        <v>0</v>
      </c>
      <c r="X97" s="29">
        <f t="shared" si="61"/>
        <v>0</v>
      </c>
      <c r="Y97" s="28">
        <f>Y90+Y94+Y96</f>
        <v>34154</v>
      </c>
      <c r="Z97" s="28">
        <f>Z90+Z94+Z96</f>
        <v>34813</v>
      </c>
    </row>
    <row r="98" spans="1:26" ht="13.9" customHeight="1" x14ac:dyDescent="0.25">
      <c r="D98" s="88"/>
      <c r="E98" s="44"/>
      <c r="F98" s="44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90"/>
      <c r="S98" s="89"/>
      <c r="T98" s="90"/>
      <c r="U98" s="89"/>
      <c r="V98" s="90"/>
      <c r="W98" s="89"/>
      <c r="X98" s="90"/>
      <c r="Y98" s="89"/>
      <c r="Z98" s="89"/>
    </row>
    <row r="99" spans="1:26" ht="13.9" customHeight="1" x14ac:dyDescent="0.25">
      <c r="D99" s="88"/>
      <c r="E99" s="52" t="s">
        <v>55</v>
      </c>
      <c r="F99" s="30" t="s">
        <v>150</v>
      </c>
      <c r="G99" s="53">
        <v>1361.02</v>
      </c>
      <c r="H99" s="53">
        <f>723</f>
        <v>723</v>
      </c>
      <c r="I99" s="53">
        <v>3137</v>
      </c>
      <c r="J99" s="53">
        <v>1205</v>
      </c>
      <c r="K99" s="53">
        <v>1205</v>
      </c>
      <c r="L99" s="53"/>
      <c r="M99" s="53"/>
      <c r="N99" s="53"/>
      <c r="O99" s="53"/>
      <c r="P99" s="53">
        <f>K99+SUM(L99:O99)</f>
        <v>1205</v>
      </c>
      <c r="Q99" s="53">
        <v>427.59</v>
      </c>
      <c r="R99" s="54">
        <f>IFERROR(Q99/$P99,0)</f>
        <v>0.35484647302904559</v>
      </c>
      <c r="S99" s="53">
        <v>760.82</v>
      </c>
      <c r="T99" s="54">
        <f>IFERROR(S99/$P99,0)</f>
        <v>0.63138589211618257</v>
      </c>
      <c r="U99" s="53"/>
      <c r="V99" s="54">
        <f>IFERROR(U99/$P99,0)</f>
        <v>0</v>
      </c>
      <c r="W99" s="53"/>
      <c r="X99" s="55">
        <f>IFERROR(W99/$P99,0)</f>
        <v>0</v>
      </c>
      <c r="Y99" s="53">
        <f>K99</f>
        <v>1205</v>
      </c>
      <c r="Z99" s="56">
        <f>Y99</f>
        <v>1205</v>
      </c>
    </row>
    <row r="100" spans="1:26" ht="13.9" customHeight="1" x14ac:dyDescent="0.25">
      <c r="D100" s="88"/>
      <c r="E100" s="57"/>
      <c r="F100" s="15" t="s">
        <v>151</v>
      </c>
      <c r="G100" s="59">
        <v>4493.5</v>
      </c>
      <c r="H100" s="59">
        <f>6588.57</f>
        <v>6588.57</v>
      </c>
      <c r="I100" s="59">
        <v>12404</v>
      </c>
      <c r="J100" s="59">
        <v>3751</v>
      </c>
      <c r="K100" s="59">
        <v>3750</v>
      </c>
      <c r="L100" s="59"/>
      <c r="M100" s="59"/>
      <c r="N100" s="59"/>
      <c r="O100" s="59"/>
      <c r="P100" s="59">
        <f>K100+SUM(L100:O100)</f>
        <v>3750</v>
      </c>
      <c r="Q100" s="59">
        <v>710</v>
      </c>
      <c r="R100" s="16">
        <f>IFERROR(Q100/$P100,0)</f>
        <v>0.18933333333333333</v>
      </c>
      <c r="S100" s="59">
        <v>1775</v>
      </c>
      <c r="T100" s="16">
        <f>IFERROR(S100/$P100,0)</f>
        <v>0.47333333333333333</v>
      </c>
      <c r="U100" s="59"/>
      <c r="V100" s="16">
        <f>IFERROR(U100/$P100,0)</f>
        <v>0</v>
      </c>
      <c r="W100" s="59"/>
      <c r="X100" s="60">
        <f>IFERROR(W100/$P100,0)</f>
        <v>0</v>
      </c>
      <c r="Y100" s="59">
        <f>K100</f>
        <v>3750</v>
      </c>
      <c r="Z100" s="61">
        <f>Y100</f>
        <v>3750</v>
      </c>
    </row>
    <row r="101" spans="1:26" ht="13.9" customHeight="1" x14ac:dyDescent="0.25">
      <c r="D101" s="88"/>
      <c r="E101" s="57"/>
      <c r="F101" s="15" t="s">
        <v>152</v>
      </c>
      <c r="G101" s="59">
        <v>1923.15</v>
      </c>
      <c r="H101" s="59">
        <v>1961.49</v>
      </c>
      <c r="I101" s="59">
        <v>2001</v>
      </c>
      <c r="J101" s="59">
        <v>2001</v>
      </c>
      <c r="K101" s="59">
        <v>2001</v>
      </c>
      <c r="L101" s="59"/>
      <c r="M101" s="59"/>
      <c r="N101" s="59"/>
      <c r="O101" s="59"/>
      <c r="P101" s="59">
        <f>K101+SUM(L101:O101)</f>
        <v>2001</v>
      </c>
      <c r="Q101" s="59">
        <v>239.87</v>
      </c>
      <c r="R101" s="16">
        <f>IFERROR(Q101/$P101,0)</f>
        <v>0.11987506246876561</v>
      </c>
      <c r="S101" s="59">
        <v>287.37</v>
      </c>
      <c r="T101" s="16">
        <f>IFERROR(S101/$P101,0)</f>
        <v>0.14361319340329834</v>
      </c>
      <c r="U101" s="59"/>
      <c r="V101" s="16">
        <f>IFERROR(U101/$P101,0)</f>
        <v>0</v>
      </c>
      <c r="W101" s="59"/>
      <c r="X101" s="60">
        <f>IFERROR(W101/$P101,0)</f>
        <v>0</v>
      </c>
      <c r="Y101" s="59">
        <f>K101</f>
        <v>2001</v>
      </c>
      <c r="Z101" s="61">
        <f>Y101</f>
        <v>2001</v>
      </c>
    </row>
    <row r="102" spans="1:26" ht="13.9" customHeight="1" x14ac:dyDescent="0.25">
      <c r="D102" s="88"/>
      <c r="E102" s="57"/>
      <c r="F102" s="15" t="s">
        <v>153</v>
      </c>
      <c r="G102" s="59">
        <v>6812.17</v>
      </c>
      <c r="H102" s="59">
        <v>5084.7</v>
      </c>
      <c r="I102" s="59">
        <v>4000</v>
      </c>
      <c r="J102" s="59">
        <v>12390</v>
      </c>
      <c r="K102" s="59">
        <v>5000</v>
      </c>
      <c r="L102" s="59">
        <v>-400</v>
      </c>
      <c r="M102" s="59">
        <v>-314</v>
      </c>
      <c r="N102" s="59"/>
      <c r="O102" s="59"/>
      <c r="P102" s="59">
        <f>K102+SUM(L102:O102)</f>
        <v>4286</v>
      </c>
      <c r="Q102" s="59">
        <f>1839.95+625.75</f>
        <v>2465.6999999999998</v>
      </c>
      <c r="R102" s="16">
        <f>IFERROR(Q102/$P102,0)</f>
        <v>0.57529164722351844</v>
      </c>
      <c r="S102" s="59">
        <v>2864.75</v>
      </c>
      <c r="T102" s="16">
        <f>IFERROR(S102/$P102,0)</f>
        <v>0.66839710685954268</v>
      </c>
      <c r="U102" s="59"/>
      <c r="V102" s="16">
        <f>IFERROR(U102/$P102,0)</f>
        <v>0</v>
      </c>
      <c r="W102" s="59"/>
      <c r="X102" s="60">
        <f>IFERROR(W102/$P102,0)</f>
        <v>0</v>
      </c>
      <c r="Y102" s="59">
        <f>K102</f>
        <v>5000</v>
      </c>
      <c r="Z102" s="61">
        <f>Y102</f>
        <v>5000</v>
      </c>
    </row>
    <row r="103" spans="1:26" ht="13.9" customHeight="1" x14ac:dyDescent="0.25">
      <c r="D103" s="88"/>
      <c r="E103" s="65"/>
      <c r="F103" s="97" t="s">
        <v>154</v>
      </c>
      <c r="G103" s="67">
        <v>7632.27</v>
      </c>
      <c r="H103" s="67">
        <v>5194.79</v>
      </c>
      <c r="I103" s="67">
        <v>4200</v>
      </c>
      <c r="J103" s="67">
        <v>3875</v>
      </c>
      <c r="K103" s="67">
        <v>3875</v>
      </c>
      <c r="L103" s="67"/>
      <c r="M103" s="67"/>
      <c r="N103" s="67"/>
      <c r="O103" s="67"/>
      <c r="P103" s="67">
        <f>K103+SUM(L103:O103)</f>
        <v>3875</v>
      </c>
      <c r="Q103" s="67">
        <v>1572.74</v>
      </c>
      <c r="R103" s="68">
        <f>IFERROR(Q103/$P103,0)</f>
        <v>0.4058683870967742</v>
      </c>
      <c r="S103" s="67">
        <v>2924.92</v>
      </c>
      <c r="T103" s="68">
        <f>IFERROR(S103/$P103,0)</f>
        <v>0.75481806451612909</v>
      </c>
      <c r="U103" s="67"/>
      <c r="V103" s="68">
        <f>IFERROR(U103/$P103,0)</f>
        <v>0</v>
      </c>
      <c r="W103" s="67"/>
      <c r="X103" s="69">
        <f>IFERROR(W103/$P103,0)</f>
        <v>0</v>
      </c>
      <c r="Y103" s="67">
        <f>K103</f>
        <v>3875</v>
      </c>
      <c r="Z103" s="70">
        <f>Y103</f>
        <v>3875</v>
      </c>
    </row>
    <row r="104" spans="1:26" ht="13.9" customHeight="1" x14ac:dyDescent="0.25">
      <c r="D104" s="88"/>
      <c r="E104" s="44"/>
      <c r="F104" s="44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90"/>
      <c r="S104" s="89"/>
      <c r="T104" s="90"/>
      <c r="U104" s="89"/>
      <c r="V104" s="90"/>
      <c r="W104" s="89"/>
      <c r="X104" s="90"/>
      <c r="Y104" s="89"/>
      <c r="Z104" s="89"/>
    </row>
    <row r="105" spans="1:26" ht="13.9" customHeight="1" x14ac:dyDescent="0.25">
      <c r="D105" s="6" t="s">
        <v>155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9" customHeight="1" x14ac:dyDescent="0.25">
      <c r="D106" s="21" t="s">
        <v>32</v>
      </c>
      <c r="E106" s="21" t="s">
        <v>33</v>
      </c>
      <c r="F106" s="21" t="s">
        <v>34</v>
      </c>
      <c r="G106" s="21" t="s">
        <v>1</v>
      </c>
      <c r="H106" s="21" t="s">
        <v>2</v>
      </c>
      <c r="I106" s="21" t="s">
        <v>3</v>
      </c>
      <c r="J106" s="21" t="s">
        <v>4</v>
      </c>
      <c r="K106" s="21" t="s">
        <v>5</v>
      </c>
      <c r="L106" s="21" t="s">
        <v>6</v>
      </c>
      <c r="M106" s="21" t="s">
        <v>7</v>
      </c>
      <c r="N106" s="21" t="s">
        <v>8</v>
      </c>
      <c r="O106" s="21" t="s">
        <v>9</v>
      </c>
      <c r="P106" s="21" t="s">
        <v>124</v>
      </c>
      <c r="Q106" s="21" t="s">
        <v>11</v>
      </c>
      <c r="R106" s="22" t="s">
        <v>12</v>
      </c>
      <c r="S106" s="21" t="s">
        <v>13</v>
      </c>
      <c r="T106" s="22" t="s">
        <v>14</v>
      </c>
      <c r="U106" s="21" t="s">
        <v>15</v>
      </c>
      <c r="V106" s="22" t="s">
        <v>16</v>
      </c>
      <c r="W106" s="21" t="s">
        <v>17</v>
      </c>
      <c r="X106" s="22" t="s">
        <v>18</v>
      </c>
      <c r="Y106" s="21" t="s">
        <v>19</v>
      </c>
      <c r="Z106" s="21" t="s">
        <v>20</v>
      </c>
    </row>
    <row r="107" spans="1:26" ht="13.9" customHeight="1" x14ac:dyDescent="0.25">
      <c r="A107" s="15">
        <v>1</v>
      </c>
      <c r="B107" s="15">
        <v>1</v>
      </c>
      <c r="C107" s="15">
        <v>6</v>
      </c>
      <c r="D107" s="84" t="s">
        <v>156</v>
      </c>
      <c r="E107" s="24">
        <v>630</v>
      </c>
      <c r="F107" s="24" t="s">
        <v>134</v>
      </c>
      <c r="G107" s="25">
        <v>968.47</v>
      </c>
      <c r="H107" s="25">
        <v>328.99</v>
      </c>
      <c r="I107" s="25">
        <v>713</v>
      </c>
      <c r="J107" s="25">
        <v>890</v>
      </c>
      <c r="K107" s="25">
        <v>755</v>
      </c>
      <c r="L107" s="25"/>
      <c r="M107" s="25"/>
      <c r="N107" s="25"/>
      <c r="O107" s="25"/>
      <c r="P107" s="25">
        <f>K107+SUM(L107:O107)</f>
        <v>755</v>
      </c>
      <c r="Q107" s="25">
        <v>198.21</v>
      </c>
      <c r="R107" s="26">
        <f>IFERROR(Q107/$P107,0)</f>
        <v>0.26252980132450332</v>
      </c>
      <c r="S107" s="25">
        <v>214.8</v>
      </c>
      <c r="T107" s="26">
        <f>IFERROR(S107/$P107,0)</f>
        <v>0.28450331125827816</v>
      </c>
      <c r="U107" s="25"/>
      <c r="V107" s="26">
        <f>IFERROR(U107/$P107,0)</f>
        <v>0</v>
      </c>
      <c r="W107" s="25"/>
      <c r="X107" s="26">
        <f>IFERROR(W107/$P107,0)</f>
        <v>0</v>
      </c>
      <c r="Y107" s="25">
        <f>K107</f>
        <v>755</v>
      </c>
      <c r="Z107" s="25">
        <f>Y107</f>
        <v>755</v>
      </c>
    </row>
    <row r="108" spans="1:26" ht="13.9" customHeight="1" x14ac:dyDescent="0.25">
      <c r="A108" s="15">
        <v>1</v>
      </c>
      <c r="B108" s="15">
        <v>1</v>
      </c>
      <c r="C108" s="15">
        <v>6</v>
      </c>
      <c r="D108" s="79" t="s">
        <v>21</v>
      </c>
      <c r="E108" s="48">
        <v>41</v>
      </c>
      <c r="F108" s="48" t="s">
        <v>23</v>
      </c>
      <c r="G108" s="49">
        <f t="shared" ref="G108:Q108" si="66">SUM(G107)</f>
        <v>968.47</v>
      </c>
      <c r="H108" s="49">
        <f t="shared" si="66"/>
        <v>328.99</v>
      </c>
      <c r="I108" s="49">
        <f t="shared" si="66"/>
        <v>713</v>
      </c>
      <c r="J108" s="49">
        <f t="shared" si="66"/>
        <v>890</v>
      </c>
      <c r="K108" s="49">
        <f t="shared" si="66"/>
        <v>755</v>
      </c>
      <c r="L108" s="49">
        <f t="shared" si="66"/>
        <v>0</v>
      </c>
      <c r="M108" s="49">
        <f t="shared" si="66"/>
        <v>0</v>
      </c>
      <c r="N108" s="49">
        <f t="shared" si="66"/>
        <v>0</v>
      </c>
      <c r="O108" s="49">
        <f t="shared" si="66"/>
        <v>0</v>
      </c>
      <c r="P108" s="49">
        <f t="shared" si="66"/>
        <v>755</v>
      </c>
      <c r="Q108" s="49">
        <f t="shared" si="66"/>
        <v>198.21</v>
      </c>
      <c r="R108" s="50">
        <f>IFERROR(Q108/$P108,0)</f>
        <v>0.26252980132450332</v>
      </c>
      <c r="S108" s="49">
        <f>SUM(S107)</f>
        <v>214.8</v>
      </c>
      <c r="T108" s="50">
        <f>IFERROR(S108/$P108,0)</f>
        <v>0.28450331125827816</v>
      </c>
      <c r="U108" s="49">
        <f>SUM(U107)</f>
        <v>0</v>
      </c>
      <c r="V108" s="50">
        <f>IFERROR(U108/$P108,0)</f>
        <v>0</v>
      </c>
      <c r="W108" s="49">
        <f>SUM(W107)</f>
        <v>0</v>
      </c>
      <c r="X108" s="50">
        <f>IFERROR(W108/$P108,0)</f>
        <v>0</v>
      </c>
      <c r="Y108" s="49">
        <f>SUM(Y107)</f>
        <v>755</v>
      </c>
      <c r="Z108" s="49">
        <f>SUM(Z107)</f>
        <v>755</v>
      </c>
    </row>
    <row r="109" spans="1:26" ht="13.9" customHeight="1" x14ac:dyDescent="0.25">
      <c r="A109" s="15">
        <v>1</v>
      </c>
      <c r="B109" s="15">
        <v>1</v>
      </c>
      <c r="C109" s="15">
        <v>6</v>
      </c>
      <c r="D109" s="86"/>
      <c r="E109" s="87"/>
      <c r="F109" s="27" t="s">
        <v>127</v>
      </c>
      <c r="G109" s="28">
        <f t="shared" ref="G109:Q109" si="67">G108</f>
        <v>968.47</v>
      </c>
      <c r="H109" s="28">
        <f t="shared" si="67"/>
        <v>328.99</v>
      </c>
      <c r="I109" s="28">
        <f t="shared" si="67"/>
        <v>713</v>
      </c>
      <c r="J109" s="28">
        <f t="shared" si="67"/>
        <v>890</v>
      </c>
      <c r="K109" s="28">
        <f t="shared" si="67"/>
        <v>755</v>
      </c>
      <c r="L109" s="28">
        <f t="shared" si="67"/>
        <v>0</v>
      </c>
      <c r="M109" s="28">
        <f t="shared" si="67"/>
        <v>0</v>
      </c>
      <c r="N109" s="28">
        <f t="shared" si="67"/>
        <v>0</v>
      </c>
      <c r="O109" s="28">
        <f t="shared" si="67"/>
        <v>0</v>
      </c>
      <c r="P109" s="28">
        <f t="shared" si="67"/>
        <v>755</v>
      </c>
      <c r="Q109" s="28">
        <f t="shared" si="67"/>
        <v>198.21</v>
      </c>
      <c r="R109" s="29">
        <f>IFERROR(Q109/$P109,0)</f>
        <v>0.26252980132450332</v>
      </c>
      <c r="S109" s="28">
        <f>S108</f>
        <v>214.8</v>
      </c>
      <c r="T109" s="29">
        <f>IFERROR(S109/$P109,0)</f>
        <v>0.28450331125827816</v>
      </c>
      <c r="U109" s="28">
        <f>U108</f>
        <v>0</v>
      </c>
      <c r="V109" s="29">
        <f>IFERROR(U109/$P109,0)</f>
        <v>0</v>
      </c>
      <c r="W109" s="28">
        <f>W108</f>
        <v>0</v>
      </c>
      <c r="X109" s="29">
        <f>IFERROR(W109/$P109,0)</f>
        <v>0</v>
      </c>
      <c r="Y109" s="28">
        <f>Y108</f>
        <v>755</v>
      </c>
      <c r="Z109" s="28">
        <f>Z108</f>
        <v>755</v>
      </c>
    </row>
    <row r="110" spans="1:26" ht="13.9" customHeight="1" x14ac:dyDescent="0.25">
      <c r="D110" s="88"/>
      <c r="E110" s="44"/>
      <c r="F110" s="44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90"/>
      <c r="S110" s="89"/>
      <c r="T110" s="90"/>
      <c r="U110" s="89"/>
      <c r="V110" s="90"/>
      <c r="W110" s="89"/>
      <c r="X110" s="90"/>
      <c r="Y110" s="89"/>
      <c r="Z110" s="89"/>
    </row>
    <row r="111" spans="1:26" ht="13.9" customHeight="1" x14ac:dyDescent="0.25">
      <c r="D111" s="6" t="s">
        <v>157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9" customHeight="1" x14ac:dyDescent="0.25">
      <c r="D112" s="21" t="s">
        <v>32</v>
      </c>
      <c r="E112" s="21" t="s">
        <v>33</v>
      </c>
      <c r="F112" s="21" t="s">
        <v>34</v>
      </c>
      <c r="G112" s="21" t="s">
        <v>1</v>
      </c>
      <c r="H112" s="21" t="s">
        <v>2</v>
      </c>
      <c r="I112" s="21" t="s">
        <v>3</v>
      </c>
      <c r="J112" s="21" t="s">
        <v>4</v>
      </c>
      <c r="K112" s="21" t="s">
        <v>5</v>
      </c>
      <c r="L112" s="21" t="s">
        <v>6</v>
      </c>
      <c r="M112" s="21" t="s">
        <v>7</v>
      </c>
      <c r="N112" s="21" t="s">
        <v>8</v>
      </c>
      <c r="O112" s="21" t="s">
        <v>9</v>
      </c>
      <c r="P112" s="21" t="s">
        <v>124</v>
      </c>
      <c r="Q112" s="21" t="s">
        <v>11</v>
      </c>
      <c r="R112" s="22" t="s">
        <v>12</v>
      </c>
      <c r="S112" s="21" t="s">
        <v>13</v>
      </c>
      <c r="T112" s="22" t="s">
        <v>14</v>
      </c>
      <c r="U112" s="21" t="s">
        <v>15</v>
      </c>
      <c r="V112" s="22" t="s">
        <v>16</v>
      </c>
      <c r="W112" s="21" t="s">
        <v>17</v>
      </c>
      <c r="X112" s="22" t="s">
        <v>18</v>
      </c>
      <c r="Y112" s="21" t="s">
        <v>19</v>
      </c>
      <c r="Z112" s="21" t="s">
        <v>20</v>
      </c>
    </row>
    <row r="113" spans="1:26" ht="13.9" customHeight="1" x14ac:dyDescent="0.25">
      <c r="A113" s="15">
        <v>1</v>
      </c>
      <c r="B113" s="15">
        <v>1</v>
      </c>
      <c r="C113" s="15">
        <v>7</v>
      </c>
      <c r="D113" s="5" t="s">
        <v>158</v>
      </c>
      <c r="E113" s="24">
        <v>610</v>
      </c>
      <c r="F113" s="24" t="s">
        <v>132</v>
      </c>
      <c r="G113" s="25">
        <v>4560.1499999999996</v>
      </c>
      <c r="H113" s="46">
        <v>4709.78</v>
      </c>
      <c r="I113" s="25">
        <v>4728</v>
      </c>
      <c r="J113" s="25">
        <v>5186</v>
      </c>
      <c r="K113" s="25">
        <v>5154</v>
      </c>
      <c r="L113" s="25">
        <v>19</v>
      </c>
      <c r="M113" s="25">
        <v>400</v>
      </c>
      <c r="N113" s="25"/>
      <c r="O113" s="25"/>
      <c r="P113" s="46">
        <f>K113+SUM(L113:O113)</f>
        <v>5573</v>
      </c>
      <c r="Q113" s="46">
        <v>1129.76</v>
      </c>
      <c r="R113" s="47">
        <f t="shared" ref="R113:R124" si="68">IFERROR(Q113/$P113,0)</f>
        <v>0.20272025838865962</v>
      </c>
      <c r="S113" s="46">
        <v>2976.64</v>
      </c>
      <c r="T113" s="47">
        <f t="shared" ref="T113:T124" si="69">IFERROR(S113/$P113,0)</f>
        <v>0.5341180692625157</v>
      </c>
      <c r="U113" s="46"/>
      <c r="V113" s="47">
        <f t="shared" ref="V113:V124" si="70">IFERROR(U113/$P113,0)</f>
        <v>0</v>
      </c>
      <c r="W113" s="46"/>
      <c r="X113" s="47">
        <f t="shared" ref="X113:X124" si="71">IFERROR(W113/$P113,0)</f>
        <v>0</v>
      </c>
      <c r="Y113" s="25">
        <f>K113</f>
        <v>5154</v>
      </c>
      <c r="Z113" s="25">
        <f>Y113</f>
        <v>5154</v>
      </c>
    </row>
    <row r="114" spans="1:26" ht="13.9" customHeight="1" x14ac:dyDescent="0.25">
      <c r="A114" s="15">
        <v>1</v>
      </c>
      <c r="B114" s="15">
        <v>1</v>
      </c>
      <c r="C114" s="15">
        <v>7</v>
      </c>
      <c r="D114" s="5"/>
      <c r="E114" s="24">
        <v>620</v>
      </c>
      <c r="F114" s="24" t="s">
        <v>133</v>
      </c>
      <c r="G114" s="25">
        <v>1516.21</v>
      </c>
      <c r="H114" s="46">
        <v>1648.28</v>
      </c>
      <c r="I114" s="25">
        <v>1652</v>
      </c>
      <c r="J114" s="25">
        <v>1822</v>
      </c>
      <c r="K114" s="25">
        <v>1854</v>
      </c>
      <c r="L114" s="25"/>
      <c r="M114" s="25">
        <v>144</v>
      </c>
      <c r="N114" s="25"/>
      <c r="O114" s="25"/>
      <c r="P114" s="46">
        <f>K114+SUM(L114:O114)</f>
        <v>1998</v>
      </c>
      <c r="Q114" s="46">
        <v>462.28</v>
      </c>
      <c r="R114" s="47">
        <f t="shared" si="68"/>
        <v>0.23137137137137137</v>
      </c>
      <c r="S114" s="46">
        <v>1093.7</v>
      </c>
      <c r="T114" s="47">
        <f t="shared" si="69"/>
        <v>0.54739739739739746</v>
      </c>
      <c r="U114" s="46"/>
      <c r="V114" s="47">
        <f t="shared" si="70"/>
        <v>0</v>
      </c>
      <c r="W114" s="46"/>
      <c r="X114" s="47">
        <f t="shared" si="71"/>
        <v>0</v>
      </c>
      <c r="Y114" s="25">
        <f>K114</f>
        <v>1854</v>
      </c>
      <c r="Z114" s="25">
        <f>Y114</f>
        <v>1854</v>
      </c>
    </row>
    <row r="115" spans="1:26" ht="13.9" customHeight="1" x14ac:dyDescent="0.25">
      <c r="A115" s="15">
        <v>1</v>
      </c>
      <c r="B115" s="15">
        <v>1</v>
      </c>
      <c r="C115" s="15">
        <v>7</v>
      </c>
      <c r="D115" s="5"/>
      <c r="E115" s="24">
        <v>630</v>
      </c>
      <c r="F115" s="24" t="s">
        <v>134</v>
      </c>
      <c r="G115" s="46">
        <v>799.58</v>
      </c>
      <c r="H115" s="46">
        <v>819.92</v>
      </c>
      <c r="I115" s="46">
        <f>príjmy!F108+príjmy!F109-I113-I114</f>
        <v>797</v>
      </c>
      <c r="J115" s="46">
        <v>797</v>
      </c>
      <c r="K115" s="46">
        <f>príjmy!H108+príjmy!H109-K113-K114</f>
        <v>797</v>
      </c>
      <c r="L115" s="46">
        <v>25</v>
      </c>
      <c r="M115" s="46"/>
      <c r="N115" s="46"/>
      <c r="O115" s="46"/>
      <c r="P115" s="46">
        <f>K115+SUM(L115:O115)</f>
        <v>822</v>
      </c>
      <c r="Q115" s="46">
        <v>92.98</v>
      </c>
      <c r="R115" s="47">
        <f t="shared" si="68"/>
        <v>0.11311435523114356</v>
      </c>
      <c r="S115" s="46">
        <v>500.06</v>
      </c>
      <c r="T115" s="47">
        <f t="shared" si="69"/>
        <v>0.60834549878345501</v>
      </c>
      <c r="U115" s="46"/>
      <c r="V115" s="47">
        <f t="shared" si="70"/>
        <v>0</v>
      </c>
      <c r="W115" s="46"/>
      <c r="X115" s="47">
        <f t="shared" si="71"/>
        <v>0</v>
      </c>
      <c r="Y115" s="25">
        <f>K115</f>
        <v>797</v>
      </c>
      <c r="Z115" s="25">
        <f>Y115</f>
        <v>797</v>
      </c>
    </row>
    <row r="116" spans="1:26" ht="13.9" customHeight="1" x14ac:dyDescent="0.25">
      <c r="A116" s="15">
        <v>1</v>
      </c>
      <c r="B116" s="15">
        <v>1</v>
      </c>
      <c r="C116" s="15">
        <v>7</v>
      </c>
      <c r="D116" s="79" t="s">
        <v>21</v>
      </c>
      <c r="E116" s="48">
        <v>111</v>
      </c>
      <c r="F116" s="48" t="s">
        <v>137</v>
      </c>
      <c r="G116" s="98">
        <f t="shared" ref="G116:Q116" si="72">SUM(G113:G115)</f>
        <v>6875.94</v>
      </c>
      <c r="H116" s="98">
        <f t="shared" si="72"/>
        <v>7177.98</v>
      </c>
      <c r="I116" s="98">
        <f t="shared" si="72"/>
        <v>7177</v>
      </c>
      <c r="J116" s="98">
        <f t="shared" si="72"/>
        <v>7805</v>
      </c>
      <c r="K116" s="98">
        <f t="shared" si="72"/>
        <v>7805</v>
      </c>
      <c r="L116" s="98">
        <f t="shared" si="72"/>
        <v>44</v>
      </c>
      <c r="M116" s="98">
        <f t="shared" si="72"/>
        <v>544</v>
      </c>
      <c r="N116" s="98">
        <f t="shared" si="72"/>
        <v>0</v>
      </c>
      <c r="O116" s="98">
        <f t="shared" si="72"/>
        <v>0</v>
      </c>
      <c r="P116" s="98">
        <f t="shared" si="72"/>
        <v>8393</v>
      </c>
      <c r="Q116" s="98">
        <f t="shared" si="72"/>
        <v>1685.02</v>
      </c>
      <c r="R116" s="99">
        <f t="shared" si="68"/>
        <v>0.20076492315024425</v>
      </c>
      <c r="S116" s="98">
        <f>SUM(S113:S115)</f>
        <v>4570.4000000000005</v>
      </c>
      <c r="T116" s="99">
        <f t="shared" si="69"/>
        <v>0.54454902895269874</v>
      </c>
      <c r="U116" s="98">
        <f>SUM(U113:U115)</f>
        <v>0</v>
      </c>
      <c r="V116" s="99">
        <f t="shared" si="70"/>
        <v>0</v>
      </c>
      <c r="W116" s="98">
        <f>SUM(W113:W115)</f>
        <v>0</v>
      </c>
      <c r="X116" s="99">
        <f t="shared" si="71"/>
        <v>0</v>
      </c>
      <c r="Y116" s="49">
        <f>SUM(Y113:Y115)</f>
        <v>7805</v>
      </c>
      <c r="Z116" s="49">
        <f>SUM(Z113:Z115)</f>
        <v>7805</v>
      </c>
    </row>
    <row r="117" spans="1:26" ht="13.9" customHeight="1" x14ac:dyDescent="0.25">
      <c r="A117" s="15">
        <v>1</v>
      </c>
      <c r="B117" s="15">
        <v>1</v>
      </c>
      <c r="C117" s="15">
        <v>7</v>
      </c>
      <c r="D117" s="5" t="s">
        <v>158</v>
      </c>
      <c r="E117" s="24">
        <v>610</v>
      </c>
      <c r="F117" s="24" t="s">
        <v>132</v>
      </c>
      <c r="G117" s="25">
        <v>1733.62</v>
      </c>
      <c r="H117" s="46">
        <v>1665.88</v>
      </c>
      <c r="I117" s="25">
        <v>2382</v>
      </c>
      <c r="J117" s="25">
        <v>2868</v>
      </c>
      <c r="K117" s="25">
        <v>2432</v>
      </c>
      <c r="L117" s="25"/>
      <c r="M117" s="25">
        <v>-97</v>
      </c>
      <c r="N117" s="25"/>
      <c r="O117" s="25"/>
      <c r="P117" s="46">
        <f>K117+SUM(L117:O117)</f>
        <v>2335</v>
      </c>
      <c r="Q117" s="46">
        <v>0.01</v>
      </c>
      <c r="R117" s="47">
        <f t="shared" si="68"/>
        <v>4.2826552462526769E-6</v>
      </c>
      <c r="S117" s="46">
        <v>237.88</v>
      </c>
      <c r="T117" s="47">
        <f t="shared" si="69"/>
        <v>0.10187580299785867</v>
      </c>
      <c r="U117" s="46"/>
      <c r="V117" s="47">
        <f t="shared" si="70"/>
        <v>0</v>
      </c>
      <c r="W117" s="46"/>
      <c r="X117" s="47">
        <f t="shared" si="71"/>
        <v>0</v>
      </c>
      <c r="Y117" s="25">
        <v>2116</v>
      </c>
      <c r="Z117" s="25">
        <v>2204</v>
      </c>
    </row>
    <row r="118" spans="1:26" ht="13.9" customHeight="1" x14ac:dyDescent="0.25">
      <c r="A118" s="15">
        <v>1</v>
      </c>
      <c r="B118" s="15">
        <v>1</v>
      </c>
      <c r="C118" s="15">
        <v>7</v>
      </c>
      <c r="D118" s="5"/>
      <c r="E118" s="24">
        <v>620</v>
      </c>
      <c r="F118" s="24" t="s">
        <v>133</v>
      </c>
      <c r="G118" s="25">
        <v>730.48</v>
      </c>
      <c r="H118" s="46">
        <v>723.38</v>
      </c>
      <c r="I118" s="25">
        <v>1121</v>
      </c>
      <c r="J118" s="25">
        <v>782</v>
      </c>
      <c r="K118" s="25">
        <v>1176</v>
      </c>
      <c r="L118" s="25"/>
      <c r="M118" s="25"/>
      <c r="N118" s="25"/>
      <c r="O118" s="25"/>
      <c r="P118" s="46">
        <f>K118+SUM(L118:O118)</f>
        <v>1176</v>
      </c>
      <c r="Q118" s="46">
        <v>39.17</v>
      </c>
      <c r="R118" s="47">
        <f t="shared" si="68"/>
        <v>3.33078231292517E-2</v>
      </c>
      <c r="S118" s="46">
        <v>214.31</v>
      </c>
      <c r="T118" s="47">
        <f t="shared" si="69"/>
        <v>0.18223639455782314</v>
      </c>
      <c r="U118" s="46"/>
      <c r="V118" s="47">
        <f t="shared" si="70"/>
        <v>0</v>
      </c>
      <c r="W118" s="46"/>
      <c r="X118" s="47">
        <f t="shared" si="71"/>
        <v>0</v>
      </c>
      <c r="Y118" s="25">
        <v>1057</v>
      </c>
      <c r="Z118" s="25">
        <v>1091</v>
      </c>
    </row>
    <row r="119" spans="1:26" ht="13.9" customHeight="1" x14ac:dyDescent="0.25">
      <c r="A119" s="15">
        <v>1</v>
      </c>
      <c r="B119" s="15">
        <v>1</v>
      </c>
      <c r="C119" s="15">
        <v>7</v>
      </c>
      <c r="D119" s="5"/>
      <c r="E119" s="24">
        <v>630</v>
      </c>
      <c r="F119" s="24" t="s">
        <v>134</v>
      </c>
      <c r="G119" s="25">
        <v>1184.9000000000001</v>
      </c>
      <c r="H119" s="46">
        <v>1462.27</v>
      </c>
      <c r="I119" s="25">
        <f>1854+190</f>
        <v>2044</v>
      </c>
      <c r="J119" s="25">
        <v>1358</v>
      </c>
      <c r="K119" s="25">
        <f>1152+140</f>
        <v>1292</v>
      </c>
      <c r="L119" s="25"/>
      <c r="M119" s="25"/>
      <c r="N119" s="25"/>
      <c r="O119" s="25"/>
      <c r="P119" s="46">
        <f>K119+SUM(L119:O119)</f>
        <v>1292</v>
      </c>
      <c r="Q119" s="46">
        <v>198.37</v>
      </c>
      <c r="R119" s="47">
        <f t="shared" si="68"/>
        <v>0.15353715170278637</v>
      </c>
      <c r="S119" s="46">
        <v>529.57000000000005</v>
      </c>
      <c r="T119" s="47">
        <f t="shared" si="69"/>
        <v>0.40988390092879262</v>
      </c>
      <c r="U119" s="46"/>
      <c r="V119" s="47">
        <f t="shared" si="70"/>
        <v>0</v>
      </c>
      <c r="W119" s="46"/>
      <c r="X119" s="47">
        <f t="shared" si="71"/>
        <v>0</v>
      </c>
      <c r="Y119" s="25">
        <f>1149+140</f>
        <v>1289</v>
      </c>
      <c r="Z119" s="25">
        <f>1150+140</f>
        <v>1290</v>
      </c>
    </row>
    <row r="120" spans="1:26" ht="13.9" customHeight="1" x14ac:dyDescent="0.25">
      <c r="A120" s="15">
        <v>1</v>
      </c>
      <c r="B120" s="15">
        <v>1</v>
      </c>
      <c r="C120" s="15">
        <v>7</v>
      </c>
      <c r="D120" s="5"/>
      <c r="E120" s="24">
        <v>640</v>
      </c>
      <c r="F120" s="24" t="s">
        <v>135</v>
      </c>
      <c r="G120" s="25">
        <v>81.48</v>
      </c>
      <c r="H120" s="25">
        <v>0</v>
      </c>
      <c r="I120" s="25">
        <v>0</v>
      </c>
      <c r="J120" s="25">
        <v>0</v>
      </c>
      <c r="K120" s="25">
        <v>0</v>
      </c>
      <c r="L120" s="25"/>
      <c r="M120" s="25">
        <v>97</v>
      </c>
      <c r="N120" s="25"/>
      <c r="O120" s="25"/>
      <c r="P120" s="25">
        <f>K120+SUM(L120:O120)</f>
        <v>97</v>
      </c>
      <c r="Q120" s="25">
        <v>0</v>
      </c>
      <c r="R120" s="26">
        <f t="shared" si="68"/>
        <v>0</v>
      </c>
      <c r="S120" s="25">
        <v>25.61</v>
      </c>
      <c r="T120" s="26">
        <f t="shared" si="69"/>
        <v>0.264020618556701</v>
      </c>
      <c r="U120" s="25"/>
      <c r="V120" s="26">
        <f t="shared" si="70"/>
        <v>0</v>
      </c>
      <c r="W120" s="25"/>
      <c r="X120" s="26">
        <f t="shared" si="71"/>
        <v>0</v>
      </c>
      <c r="Y120" s="25">
        <f>K120</f>
        <v>0</v>
      </c>
      <c r="Z120" s="25">
        <f>Y120</f>
        <v>0</v>
      </c>
    </row>
    <row r="121" spans="1:26" ht="13.9" customHeight="1" x14ac:dyDescent="0.25">
      <c r="A121" s="15">
        <v>1</v>
      </c>
      <c r="B121" s="15">
        <v>1</v>
      </c>
      <c r="C121" s="15">
        <v>7</v>
      </c>
      <c r="D121" s="79" t="s">
        <v>21</v>
      </c>
      <c r="E121" s="48">
        <v>41</v>
      </c>
      <c r="F121" s="48" t="s">
        <v>23</v>
      </c>
      <c r="G121" s="49">
        <f t="shared" ref="G121:Q121" si="73">SUM(G117:G120)</f>
        <v>3730.48</v>
      </c>
      <c r="H121" s="49">
        <f t="shared" si="73"/>
        <v>3851.53</v>
      </c>
      <c r="I121" s="49">
        <f t="shared" si="73"/>
        <v>5547</v>
      </c>
      <c r="J121" s="49">
        <f t="shared" si="73"/>
        <v>5008</v>
      </c>
      <c r="K121" s="49">
        <f t="shared" si="73"/>
        <v>4900</v>
      </c>
      <c r="L121" s="49">
        <f t="shared" si="73"/>
        <v>0</v>
      </c>
      <c r="M121" s="49">
        <f t="shared" si="73"/>
        <v>0</v>
      </c>
      <c r="N121" s="49">
        <f t="shared" si="73"/>
        <v>0</v>
      </c>
      <c r="O121" s="49">
        <f t="shared" si="73"/>
        <v>0</v>
      </c>
      <c r="P121" s="49">
        <f t="shared" si="73"/>
        <v>4900</v>
      </c>
      <c r="Q121" s="49">
        <f t="shared" si="73"/>
        <v>237.55</v>
      </c>
      <c r="R121" s="50">
        <f t="shared" si="68"/>
        <v>4.8479591836734698E-2</v>
      </c>
      <c r="S121" s="49">
        <f>SUM(S117:S120)</f>
        <v>1007.37</v>
      </c>
      <c r="T121" s="50">
        <f t="shared" si="69"/>
        <v>0.20558571428571429</v>
      </c>
      <c r="U121" s="49">
        <f>SUM(U117:U120)</f>
        <v>0</v>
      </c>
      <c r="V121" s="50">
        <f t="shared" si="70"/>
        <v>0</v>
      </c>
      <c r="W121" s="49">
        <f>SUM(W117:W120)</f>
        <v>0</v>
      </c>
      <c r="X121" s="50">
        <f t="shared" si="71"/>
        <v>0</v>
      </c>
      <c r="Y121" s="49">
        <f>SUM(Y117:Y120)</f>
        <v>4462</v>
      </c>
      <c r="Z121" s="49">
        <f>SUM(Z117:Z120)</f>
        <v>4585</v>
      </c>
    </row>
    <row r="122" spans="1:26" ht="13.9" customHeight="1" x14ac:dyDescent="0.25">
      <c r="A122" s="15">
        <v>1</v>
      </c>
      <c r="B122" s="15">
        <v>1</v>
      </c>
      <c r="C122" s="15">
        <v>7</v>
      </c>
      <c r="D122" s="91" t="s">
        <v>158</v>
      </c>
      <c r="E122" s="24">
        <v>640</v>
      </c>
      <c r="F122" s="24" t="s">
        <v>135</v>
      </c>
      <c r="G122" s="25">
        <v>67.86</v>
      </c>
      <c r="H122" s="25">
        <v>110.54</v>
      </c>
      <c r="I122" s="25">
        <v>155</v>
      </c>
      <c r="J122" s="25">
        <v>99</v>
      </c>
      <c r="K122" s="25">
        <v>76</v>
      </c>
      <c r="L122" s="25"/>
      <c r="M122" s="25"/>
      <c r="N122" s="25"/>
      <c r="O122" s="25"/>
      <c r="P122" s="25">
        <f>K122+SUM(L122:O122)</f>
        <v>76</v>
      </c>
      <c r="Q122" s="25">
        <v>0</v>
      </c>
      <c r="R122" s="26">
        <f t="shared" si="68"/>
        <v>0</v>
      </c>
      <c r="S122" s="25">
        <v>0</v>
      </c>
      <c r="T122" s="26">
        <f t="shared" si="69"/>
        <v>0</v>
      </c>
      <c r="U122" s="25"/>
      <c r="V122" s="26">
        <f t="shared" si="70"/>
        <v>0</v>
      </c>
      <c r="W122" s="25"/>
      <c r="X122" s="26">
        <f t="shared" si="71"/>
        <v>0</v>
      </c>
      <c r="Y122" s="25">
        <f>K122</f>
        <v>76</v>
      </c>
      <c r="Z122" s="25">
        <f>Y122</f>
        <v>76</v>
      </c>
    </row>
    <row r="123" spans="1:26" ht="13.9" customHeight="1" x14ac:dyDescent="0.25">
      <c r="A123" s="15">
        <v>1</v>
      </c>
      <c r="B123" s="15">
        <v>1</v>
      </c>
      <c r="C123" s="15">
        <v>7</v>
      </c>
      <c r="D123" s="79" t="s">
        <v>21</v>
      </c>
      <c r="E123" s="48">
        <v>72</v>
      </c>
      <c r="F123" s="48" t="s">
        <v>25</v>
      </c>
      <c r="G123" s="49">
        <f t="shared" ref="G123:Q123" si="74">SUM(G122)</f>
        <v>67.86</v>
      </c>
      <c r="H123" s="49">
        <f t="shared" si="74"/>
        <v>110.54</v>
      </c>
      <c r="I123" s="49">
        <f t="shared" si="74"/>
        <v>155</v>
      </c>
      <c r="J123" s="49">
        <f t="shared" si="74"/>
        <v>99</v>
      </c>
      <c r="K123" s="49">
        <f t="shared" si="74"/>
        <v>76</v>
      </c>
      <c r="L123" s="49">
        <f t="shared" si="74"/>
        <v>0</v>
      </c>
      <c r="M123" s="49">
        <f t="shared" si="74"/>
        <v>0</v>
      </c>
      <c r="N123" s="49">
        <f t="shared" si="74"/>
        <v>0</v>
      </c>
      <c r="O123" s="49">
        <f t="shared" si="74"/>
        <v>0</v>
      </c>
      <c r="P123" s="49">
        <f t="shared" si="74"/>
        <v>76</v>
      </c>
      <c r="Q123" s="49">
        <f t="shared" si="74"/>
        <v>0</v>
      </c>
      <c r="R123" s="50">
        <f t="shared" si="68"/>
        <v>0</v>
      </c>
      <c r="S123" s="49">
        <f>SUM(S122)</f>
        <v>0</v>
      </c>
      <c r="T123" s="50">
        <f t="shared" si="69"/>
        <v>0</v>
      </c>
      <c r="U123" s="49">
        <f>SUM(U122)</f>
        <v>0</v>
      </c>
      <c r="V123" s="50">
        <f t="shared" si="70"/>
        <v>0</v>
      </c>
      <c r="W123" s="49">
        <f>SUM(W122)</f>
        <v>0</v>
      </c>
      <c r="X123" s="50">
        <f t="shared" si="71"/>
        <v>0</v>
      </c>
      <c r="Y123" s="49">
        <f>SUM(Y122)</f>
        <v>76</v>
      </c>
      <c r="Z123" s="49">
        <f>SUM(Z122)</f>
        <v>76</v>
      </c>
    </row>
    <row r="124" spans="1:26" ht="13.9" customHeight="1" x14ac:dyDescent="0.25">
      <c r="A124" s="15">
        <v>1</v>
      </c>
      <c r="B124" s="15">
        <v>1</v>
      </c>
      <c r="C124" s="15">
        <v>7</v>
      </c>
      <c r="D124" s="30"/>
      <c r="E124" s="31"/>
      <c r="F124" s="27" t="s">
        <v>127</v>
      </c>
      <c r="G124" s="28">
        <f t="shared" ref="G124:Q124" si="75">G116+G121+G123</f>
        <v>10674.28</v>
      </c>
      <c r="H124" s="28">
        <f t="shared" si="75"/>
        <v>11140.050000000001</v>
      </c>
      <c r="I124" s="28">
        <f t="shared" si="75"/>
        <v>12879</v>
      </c>
      <c r="J124" s="28">
        <f t="shared" si="75"/>
        <v>12912</v>
      </c>
      <c r="K124" s="28">
        <f t="shared" si="75"/>
        <v>12781</v>
      </c>
      <c r="L124" s="28">
        <f t="shared" si="75"/>
        <v>44</v>
      </c>
      <c r="M124" s="28">
        <f t="shared" si="75"/>
        <v>544</v>
      </c>
      <c r="N124" s="28">
        <f t="shared" si="75"/>
        <v>0</v>
      </c>
      <c r="O124" s="28">
        <f t="shared" si="75"/>
        <v>0</v>
      </c>
      <c r="P124" s="28">
        <f t="shared" si="75"/>
        <v>13369</v>
      </c>
      <c r="Q124" s="28">
        <f t="shared" si="75"/>
        <v>1922.57</v>
      </c>
      <c r="R124" s="29">
        <f t="shared" si="68"/>
        <v>0.14380806343032387</v>
      </c>
      <c r="S124" s="28">
        <f>S116+S121+S123</f>
        <v>5577.77</v>
      </c>
      <c r="T124" s="29">
        <f t="shared" si="69"/>
        <v>0.41721669533996564</v>
      </c>
      <c r="U124" s="28">
        <f>U116+U121+U123</f>
        <v>0</v>
      </c>
      <c r="V124" s="29">
        <f t="shared" si="70"/>
        <v>0</v>
      </c>
      <c r="W124" s="28">
        <f>W116+W121+W123</f>
        <v>0</v>
      </c>
      <c r="X124" s="29">
        <f t="shared" si="71"/>
        <v>0</v>
      </c>
      <c r="Y124" s="28">
        <f>Y116+Y121+Y123</f>
        <v>12343</v>
      </c>
      <c r="Z124" s="28">
        <f>Z116+Z121+Z123</f>
        <v>12466</v>
      </c>
    </row>
    <row r="126" spans="1:26" ht="13.9" customHeight="1" x14ac:dyDescent="0.25">
      <c r="D126" s="7" t="s">
        <v>159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9" customHeight="1" x14ac:dyDescent="0.25">
      <c r="D127" s="21" t="s">
        <v>32</v>
      </c>
      <c r="E127" s="21" t="s">
        <v>33</v>
      </c>
      <c r="F127" s="21" t="s">
        <v>34</v>
      </c>
      <c r="G127" s="21" t="s">
        <v>1</v>
      </c>
      <c r="H127" s="21" t="s">
        <v>2</v>
      </c>
      <c r="I127" s="21" t="s">
        <v>3</v>
      </c>
      <c r="J127" s="21" t="s">
        <v>4</v>
      </c>
      <c r="K127" s="21" t="s">
        <v>5</v>
      </c>
      <c r="L127" s="21" t="s">
        <v>6</v>
      </c>
      <c r="M127" s="21" t="s">
        <v>7</v>
      </c>
      <c r="N127" s="21" t="s">
        <v>8</v>
      </c>
      <c r="O127" s="21" t="s">
        <v>9</v>
      </c>
      <c r="P127" s="21" t="s">
        <v>124</v>
      </c>
      <c r="Q127" s="21" t="s">
        <v>11</v>
      </c>
      <c r="R127" s="22" t="s">
        <v>12</v>
      </c>
      <c r="S127" s="21" t="s">
        <v>13</v>
      </c>
      <c r="T127" s="22" t="s">
        <v>14</v>
      </c>
      <c r="U127" s="21" t="s">
        <v>15</v>
      </c>
      <c r="V127" s="22" t="s">
        <v>16</v>
      </c>
      <c r="W127" s="21" t="s">
        <v>17</v>
      </c>
      <c r="X127" s="22" t="s">
        <v>18</v>
      </c>
      <c r="Y127" s="21" t="s">
        <v>19</v>
      </c>
      <c r="Z127" s="21" t="s">
        <v>20</v>
      </c>
    </row>
    <row r="128" spans="1:26" ht="13.9" customHeight="1" x14ac:dyDescent="0.25">
      <c r="A128" s="15">
        <v>1</v>
      </c>
      <c r="B128" s="15">
        <v>2</v>
      </c>
      <c r="D128" s="24" t="s">
        <v>131</v>
      </c>
      <c r="E128" s="24">
        <v>640</v>
      </c>
      <c r="F128" s="24" t="s">
        <v>92</v>
      </c>
      <c r="G128" s="25">
        <v>4253.4399999999996</v>
      </c>
      <c r="H128" s="25">
        <v>4966.72</v>
      </c>
      <c r="I128" s="25">
        <v>4829</v>
      </c>
      <c r="J128" s="25">
        <v>139</v>
      </c>
      <c r="K128" s="25">
        <f>príjmy!H106</f>
        <v>139</v>
      </c>
      <c r="L128" s="25"/>
      <c r="M128" s="25">
        <v>5261</v>
      </c>
      <c r="N128" s="25"/>
      <c r="O128" s="25"/>
      <c r="P128" s="25">
        <f>K128+SUM(L128:O128)</f>
        <v>5400</v>
      </c>
      <c r="Q128" s="25">
        <v>0</v>
      </c>
      <c r="R128" s="26">
        <f t="shared" ref="R128:R133" si="76">IFERROR(Q128/$P128,0)</f>
        <v>0</v>
      </c>
      <c r="S128" s="25">
        <v>138.66999999999999</v>
      </c>
      <c r="T128" s="26">
        <f t="shared" ref="T128:T133" si="77">IFERROR(S128/$P128,0)</f>
        <v>2.5679629629629629E-2</v>
      </c>
      <c r="U128" s="25"/>
      <c r="V128" s="26">
        <f t="shared" ref="V128:V133" si="78">IFERROR(U128/$P128,0)</f>
        <v>0</v>
      </c>
      <c r="W128" s="25"/>
      <c r="X128" s="26">
        <f t="shared" ref="X128:X133" si="79">IFERROR(W128/$P128,0)</f>
        <v>0</v>
      </c>
      <c r="Y128" s="25">
        <f>príjmy!V106</f>
        <v>139</v>
      </c>
      <c r="Z128" s="25">
        <f>príjmy!W106</f>
        <v>139</v>
      </c>
    </row>
    <row r="129" spans="1:26" ht="13.9" customHeight="1" x14ac:dyDescent="0.25">
      <c r="A129" s="15">
        <v>1</v>
      </c>
      <c r="B129" s="15">
        <v>2</v>
      </c>
      <c r="D129" s="79" t="s">
        <v>21</v>
      </c>
      <c r="E129" s="48">
        <v>111</v>
      </c>
      <c r="F129" s="48" t="s">
        <v>137</v>
      </c>
      <c r="G129" s="49">
        <f t="shared" ref="G129:Q129" si="80">SUM(G128)</f>
        <v>4253.4399999999996</v>
      </c>
      <c r="H129" s="49">
        <f t="shared" si="80"/>
        <v>4966.72</v>
      </c>
      <c r="I129" s="49">
        <f t="shared" si="80"/>
        <v>4829</v>
      </c>
      <c r="J129" s="49">
        <f t="shared" si="80"/>
        <v>139</v>
      </c>
      <c r="K129" s="49">
        <f t="shared" si="80"/>
        <v>139</v>
      </c>
      <c r="L129" s="49">
        <f t="shared" si="80"/>
        <v>0</v>
      </c>
      <c r="M129" s="49">
        <f t="shared" si="80"/>
        <v>5261</v>
      </c>
      <c r="N129" s="49">
        <f t="shared" si="80"/>
        <v>0</v>
      </c>
      <c r="O129" s="49">
        <f t="shared" si="80"/>
        <v>0</v>
      </c>
      <c r="P129" s="49">
        <f t="shared" si="80"/>
        <v>5400</v>
      </c>
      <c r="Q129" s="49">
        <f t="shared" si="80"/>
        <v>0</v>
      </c>
      <c r="R129" s="50">
        <f t="shared" si="76"/>
        <v>0</v>
      </c>
      <c r="S129" s="49">
        <f>SUM(S128)</f>
        <v>138.66999999999999</v>
      </c>
      <c r="T129" s="50">
        <f t="shared" si="77"/>
        <v>2.5679629629629629E-2</v>
      </c>
      <c r="U129" s="49">
        <f>SUM(U128)</f>
        <v>0</v>
      </c>
      <c r="V129" s="50">
        <f t="shared" si="78"/>
        <v>0</v>
      </c>
      <c r="W129" s="49">
        <f>SUM(W128)</f>
        <v>0</v>
      </c>
      <c r="X129" s="50">
        <f t="shared" si="79"/>
        <v>0</v>
      </c>
      <c r="Y129" s="49">
        <f>SUM(Y128)</f>
        <v>139</v>
      </c>
      <c r="Z129" s="49">
        <f>SUM(Z128)</f>
        <v>139</v>
      </c>
    </row>
    <row r="130" spans="1:26" ht="13.9" customHeight="1" x14ac:dyDescent="0.25">
      <c r="A130" s="15">
        <v>1</v>
      </c>
      <c r="B130" s="15">
        <v>2</v>
      </c>
      <c r="D130" s="43" t="s">
        <v>160</v>
      </c>
      <c r="E130" s="24">
        <v>640</v>
      </c>
      <c r="F130" s="24" t="s">
        <v>161</v>
      </c>
      <c r="G130" s="25">
        <v>230.99</v>
      </c>
      <c r="H130" s="25">
        <v>250.09</v>
      </c>
      <c r="I130" s="25">
        <v>178</v>
      </c>
      <c r="J130" s="25">
        <v>178</v>
      </c>
      <c r="K130" s="25">
        <v>40</v>
      </c>
      <c r="L130" s="25"/>
      <c r="M130" s="25"/>
      <c r="N130" s="25"/>
      <c r="O130" s="25"/>
      <c r="P130" s="25">
        <f>K130+SUM(L130:O130)</f>
        <v>40</v>
      </c>
      <c r="Q130" s="25">
        <v>39.82</v>
      </c>
      <c r="R130" s="26">
        <f t="shared" si="76"/>
        <v>0.99550000000000005</v>
      </c>
      <c r="S130" s="25">
        <v>39.82</v>
      </c>
      <c r="T130" s="26">
        <f t="shared" si="77"/>
        <v>0.99550000000000005</v>
      </c>
      <c r="U130" s="25"/>
      <c r="V130" s="26">
        <f t="shared" si="78"/>
        <v>0</v>
      </c>
      <c r="W130" s="25"/>
      <c r="X130" s="26">
        <f t="shared" si="79"/>
        <v>0</v>
      </c>
      <c r="Y130" s="25">
        <f>K130</f>
        <v>40</v>
      </c>
      <c r="Z130" s="25">
        <f>Y130</f>
        <v>40</v>
      </c>
    </row>
    <row r="131" spans="1:26" ht="13.9" customHeight="1" x14ac:dyDescent="0.25">
      <c r="A131" s="15">
        <v>1</v>
      </c>
      <c r="B131" s="15">
        <v>2</v>
      </c>
      <c r="D131" s="24" t="s">
        <v>131</v>
      </c>
      <c r="E131" s="24">
        <v>640</v>
      </c>
      <c r="F131" s="24" t="s">
        <v>92</v>
      </c>
      <c r="G131" s="25">
        <v>11755.13</v>
      </c>
      <c r="H131" s="25">
        <v>8825.44</v>
      </c>
      <c r="I131" s="25">
        <f>13871-I128</f>
        <v>9042</v>
      </c>
      <c r="J131" s="25">
        <v>10264</v>
      </c>
      <c r="K131" s="46">
        <f>12361-K128</f>
        <v>12222</v>
      </c>
      <c r="L131" s="25"/>
      <c r="M131" s="25"/>
      <c r="N131" s="25"/>
      <c r="O131" s="25"/>
      <c r="P131" s="25">
        <f>K131+SUM(L131:O131)</f>
        <v>12222</v>
      </c>
      <c r="Q131" s="25">
        <v>3090.37</v>
      </c>
      <c r="R131" s="26">
        <f t="shared" si="76"/>
        <v>0.25285305187367041</v>
      </c>
      <c r="S131" s="25">
        <v>6226.56</v>
      </c>
      <c r="T131" s="26">
        <f t="shared" si="77"/>
        <v>0.50945508100147274</v>
      </c>
      <c r="U131" s="25"/>
      <c r="V131" s="26">
        <f t="shared" si="78"/>
        <v>0</v>
      </c>
      <c r="W131" s="25"/>
      <c r="X131" s="26">
        <f t="shared" si="79"/>
        <v>0</v>
      </c>
      <c r="Y131" s="25">
        <v>17200</v>
      </c>
      <c r="Z131" s="25">
        <f>Y131</f>
        <v>17200</v>
      </c>
    </row>
    <row r="132" spans="1:26" ht="13.9" customHeight="1" x14ac:dyDescent="0.25">
      <c r="A132" s="15">
        <v>1</v>
      </c>
      <c r="B132" s="15">
        <v>2</v>
      </c>
      <c r="D132" s="79" t="s">
        <v>21</v>
      </c>
      <c r="E132" s="48">
        <v>41</v>
      </c>
      <c r="F132" s="48" t="s">
        <v>23</v>
      </c>
      <c r="G132" s="49">
        <f t="shared" ref="G132:Q132" si="81">SUM(G130:G131)</f>
        <v>11986.119999999999</v>
      </c>
      <c r="H132" s="49">
        <f t="shared" si="81"/>
        <v>9075.5300000000007</v>
      </c>
      <c r="I132" s="49">
        <f t="shared" si="81"/>
        <v>9220</v>
      </c>
      <c r="J132" s="49">
        <f t="shared" si="81"/>
        <v>10442</v>
      </c>
      <c r="K132" s="49">
        <f t="shared" si="81"/>
        <v>12262</v>
      </c>
      <c r="L132" s="49">
        <f t="shared" si="81"/>
        <v>0</v>
      </c>
      <c r="M132" s="49">
        <f t="shared" si="81"/>
        <v>0</v>
      </c>
      <c r="N132" s="49">
        <f t="shared" si="81"/>
        <v>0</v>
      </c>
      <c r="O132" s="49">
        <f t="shared" si="81"/>
        <v>0</v>
      </c>
      <c r="P132" s="49">
        <f t="shared" si="81"/>
        <v>12262</v>
      </c>
      <c r="Q132" s="49">
        <f t="shared" si="81"/>
        <v>3130.19</v>
      </c>
      <c r="R132" s="50">
        <f t="shared" si="76"/>
        <v>0.25527564834447886</v>
      </c>
      <c r="S132" s="49">
        <f>SUM(S130:S131)</f>
        <v>6266.38</v>
      </c>
      <c r="T132" s="50">
        <f t="shared" si="77"/>
        <v>0.51104061327679007</v>
      </c>
      <c r="U132" s="49">
        <f>SUM(U130:U131)</f>
        <v>0</v>
      </c>
      <c r="V132" s="50">
        <f t="shared" si="78"/>
        <v>0</v>
      </c>
      <c r="W132" s="49">
        <f>SUM(W130:W131)</f>
        <v>0</v>
      </c>
      <c r="X132" s="50">
        <f t="shared" si="79"/>
        <v>0</v>
      </c>
      <c r="Y132" s="49">
        <f>SUM(Y130:Y131)</f>
        <v>17240</v>
      </c>
      <c r="Z132" s="49">
        <f>SUM(Z130:Z131)</f>
        <v>17240</v>
      </c>
    </row>
    <row r="133" spans="1:26" ht="13.9" customHeight="1" x14ac:dyDescent="0.25">
      <c r="A133" s="15">
        <v>1</v>
      </c>
      <c r="B133" s="15">
        <v>2</v>
      </c>
      <c r="D133" s="30"/>
      <c r="E133" s="31"/>
      <c r="F133" s="27" t="s">
        <v>127</v>
      </c>
      <c r="G133" s="28">
        <f t="shared" ref="G133:Q133" si="82">G129+G132</f>
        <v>16239.559999999998</v>
      </c>
      <c r="H133" s="28">
        <f t="shared" si="82"/>
        <v>14042.25</v>
      </c>
      <c r="I133" s="28">
        <f t="shared" si="82"/>
        <v>14049</v>
      </c>
      <c r="J133" s="28">
        <f t="shared" si="82"/>
        <v>10581</v>
      </c>
      <c r="K133" s="28">
        <f t="shared" si="82"/>
        <v>12401</v>
      </c>
      <c r="L133" s="28">
        <f t="shared" si="82"/>
        <v>0</v>
      </c>
      <c r="M133" s="28">
        <f t="shared" si="82"/>
        <v>5261</v>
      </c>
      <c r="N133" s="28">
        <f t="shared" si="82"/>
        <v>0</v>
      </c>
      <c r="O133" s="28">
        <f t="shared" si="82"/>
        <v>0</v>
      </c>
      <c r="P133" s="28">
        <f t="shared" si="82"/>
        <v>17662</v>
      </c>
      <c r="Q133" s="28">
        <f t="shared" si="82"/>
        <v>3130.19</v>
      </c>
      <c r="R133" s="29">
        <f t="shared" si="76"/>
        <v>0.17722738081757447</v>
      </c>
      <c r="S133" s="28">
        <f>S129+S132</f>
        <v>6405.05</v>
      </c>
      <c r="T133" s="29">
        <f t="shared" si="77"/>
        <v>0.36264579322839996</v>
      </c>
      <c r="U133" s="28">
        <f>U129+U132</f>
        <v>0</v>
      </c>
      <c r="V133" s="29">
        <f t="shared" si="78"/>
        <v>0</v>
      </c>
      <c r="W133" s="28">
        <f>W129+W132</f>
        <v>0</v>
      </c>
      <c r="X133" s="29">
        <f t="shared" si="79"/>
        <v>0</v>
      </c>
      <c r="Y133" s="28">
        <f>Y129+Y132</f>
        <v>17379</v>
      </c>
      <c r="Z133" s="28">
        <f>Z129+Z132</f>
        <v>17379</v>
      </c>
    </row>
    <row r="135" spans="1:26" ht="13.9" customHeight="1" x14ac:dyDescent="0.25">
      <c r="D135" s="7" t="s">
        <v>162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9" customHeight="1" x14ac:dyDescent="0.25">
      <c r="D136" s="21" t="s">
        <v>32</v>
      </c>
      <c r="E136" s="21" t="s">
        <v>33</v>
      </c>
      <c r="F136" s="21" t="s">
        <v>34</v>
      </c>
      <c r="G136" s="21" t="s">
        <v>1</v>
      </c>
      <c r="H136" s="21" t="s">
        <v>2</v>
      </c>
      <c r="I136" s="21" t="s">
        <v>3</v>
      </c>
      <c r="J136" s="21" t="s">
        <v>4</v>
      </c>
      <c r="K136" s="21" t="s">
        <v>5</v>
      </c>
      <c r="L136" s="21" t="s">
        <v>6</v>
      </c>
      <c r="M136" s="21" t="s">
        <v>7</v>
      </c>
      <c r="N136" s="21" t="s">
        <v>8</v>
      </c>
      <c r="O136" s="21" t="s">
        <v>9</v>
      </c>
      <c r="P136" s="21" t="s">
        <v>124</v>
      </c>
      <c r="Q136" s="21" t="s">
        <v>11</v>
      </c>
      <c r="R136" s="22" t="s">
        <v>12</v>
      </c>
      <c r="S136" s="21" t="s">
        <v>13</v>
      </c>
      <c r="T136" s="22" t="s">
        <v>14</v>
      </c>
      <c r="U136" s="21" t="s">
        <v>15</v>
      </c>
      <c r="V136" s="22" t="s">
        <v>16</v>
      </c>
      <c r="W136" s="21" t="s">
        <v>17</v>
      </c>
      <c r="X136" s="22" t="s">
        <v>18</v>
      </c>
      <c r="Y136" s="21" t="s">
        <v>19</v>
      </c>
      <c r="Z136" s="21" t="s">
        <v>20</v>
      </c>
    </row>
    <row r="137" spans="1:26" ht="13.9" hidden="1" customHeight="1" x14ac:dyDescent="0.25">
      <c r="A137" s="15">
        <v>1</v>
      </c>
      <c r="B137" s="15">
        <v>3</v>
      </c>
      <c r="D137" s="51" t="s">
        <v>131</v>
      </c>
      <c r="E137" s="24">
        <v>630</v>
      </c>
      <c r="F137" s="24" t="s">
        <v>134</v>
      </c>
      <c r="G137" s="46">
        <v>0</v>
      </c>
      <c r="H137" s="46">
        <v>160.47</v>
      </c>
      <c r="I137" s="25">
        <v>0</v>
      </c>
      <c r="J137" s="25">
        <v>0</v>
      </c>
      <c r="K137" s="25">
        <v>0</v>
      </c>
      <c r="L137" s="25"/>
      <c r="M137" s="25"/>
      <c r="N137" s="25"/>
      <c r="O137" s="25"/>
      <c r="P137" s="46">
        <f>K137+SUM(L137:O137)</f>
        <v>0</v>
      </c>
      <c r="Q137" s="46"/>
      <c r="R137" s="47">
        <f t="shared" ref="R137:R142" si="83">IFERROR(Q137/$P137,0)</f>
        <v>0</v>
      </c>
      <c r="S137" s="46"/>
      <c r="T137" s="47">
        <f t="shared" ref="T137:T142" si="84">IFERROR(S137/$P137,0)</f>
        <v>0</v>
      </c>
      <c r="U137" s="46"/>
      <c r="V137" s="47">
        <f t="shared" ref="V137:V142" si="85">IFERROR(U137/$P137,0)</f>
        <v>0</v>
      </c>
      <c r="W137" s="46"/>
      <c r="X137" s="47">
        <f t="shared" ref="X137:X142" si="86">IFERROR(W137/$P137,0)</f>
        <v>0</v>
      </c>
      <c r="Y137" s="25">
        <v>0</v>
      </c>
      <c r="Z137" s="25">
        <v>0</v>
      </c>
    </row>
    <row r="138" spans="1:26" ht="13.9" hidden="1" customHeight="1" x14ac:dyDescent="0.25">
      <c r="A138" s="15">
        <v>1</v>
      </c>
      <c r="B138" s="15">
        <v>3</v>
      </c>
      <c r="D138" s="79" t="s">
        <v>21</v>
      </c>
      <c r="E138" s="48">
        <v>111</v>
      </c>
      <c r="F138" s="48" t="s">
        <v>23</v>
      </c>
      <c r="G138" s="49">
        <f t="shared" ref="G138:Q138" si="87">SUM(G137)</f>
        <v>0</v>
      </c>
      <c r="H138" s="49">
        <f t="shared" si="87"/>
        <v>160.47</v>
      </c>
      <c r="I138" s="49">
        <f t="shared" si="87"/>
        <v>0</v>
      </c>
      <c r="J138" s="49">
        <f t="shared" si="87"/>
        <v>0</v>
      </c>
      <c r="K138" s="49">
        <f t="shared" si="87"/>
        <v>0</v>
      </c>
      <c r="L138" s="49">
        <f t="shared" si="87"/>
        <v>0</v>
      </c>
      <c r="M138" s="49">
        <f t="shared" si="87"/>
        <v>0</v>
      </c>
      <c r="N138" s="49">
        <f t="shared" si="87"/>
        <v>0</v>
      </c>
      <c r="O138" s="49">
        <f t="shared" si="87"/>
        <v>0</v>
      </c>
      <c r="P138" s="49">
        <f t="shared" si="87"/>
        <v>0</v>
      </c>
      <c r="Q138" s="49">
        <f t="shared" si="87"/>
        <v>0</v>
      </c>
      <c r="R138" s="50">
        <f t="shared" si="83"/>
        <v>0</v>
      </c>
      <c r="S138" s="49">
        <f>SUM(S137)</f>
        <v>0</v>
      </c>
      <c r="T138" s="50">
        <f t="shared" si="84"/>
        <v>0</v>
      </c>
      <c r="U138" s="49">
        <f>SUM(U137)</f>
        <v>0</v>
      </c>
      <c r="V138" s="50">
        <f t="shared" si="85"/>
        <v>0</v>
      </c>
      <c r="W138" s="49">
        <f>SUM(W137)</f>
        <v>0</v>
      </c>
      <c r="X138" s="50">
        <f t="shared" si="86"/>
        <v>0</v>
      </c>
      <c r="Y138" s="49">
        <f>SUM(Y137)</f>
        <v>0</v>
      </c>
      <c r="Z138" s="49">
        <f>SUM(Z137)</f>
        <v>0</v>
      </c>
    </row>
    <row r="139" spans="1:26" ht="13.9" customHeight="1" x14ac:dyDescent="0.25">
      <c r="A139" s="15">
        <v>1</v>
      </c>
      <c r="B139" s="15">
        <v>3</v>
      </c>
      <c r="D139" s="24" t="s">
        <v>163</v>
      </c>
      <c r="E139" s="24">
        <v>630</v>
      </c>
      <c r="F139" s="24" t="s">
        <v>164</v>
      </c>
      <c r="G139" s="25">
        <v>480</v>
      </c>
      <c r="H139" s="25">
        <v>232.56</v>
      </c>
      <c r="I139" s="25">
        <v>10466</v>
      </c>
      <c r="J139" s="46">
        <v>4035</v>
      </c>
      <c r="K139" s="25">
        <v>3530</v>
      </c>
      <c r="L139" s="25"/>
      <c r="M139" s="25"/>
      <c r="N139" s="25"/>
      <c r="O139" s="25"/>
      <c r="P139" s="25">
        <f>K139+SUM(L139:O139)</f>
        <v>3530</v>
      </c>
      <c r="Q139" s="25">
        <v>116.28</v>
      </c>
      <c r="R139" s="26">
        <f t="shared" si="83"/>
        <v>3.2940509915014161E-2</v>
      </c>
      <c r="S139" s="25">
        <v>232.56</v>
      </c>
      <c r="T139" s="26">
        <f t="shared" si="84"/>
        <v>6.5881019830028323E-2</v>
      </c>
      <c r="U139" s="25"/>
      <c r="V139" s="26">
        <f t="shared" si="85"/>
        <v>0</v>
      </c>
      <c r="W139" s="25"/>
      <c r="X139" s="26">
        <f t="shared" si="86"/>
        <v>0</v>
      </c>
      <c r="Y139" s="25">
        <f>K139</f>
        <v>3530</v>
      </c>
      <c r="Z139" s="25">
        <f>Y139</f>
        <v>3530</v>
      </c>
    </row>
    <row r="140" spans="1:26" ht="13.9" customHeight="1" x14ac:dyDescent="0.25">
      <c r="A140" s="15">
        <v>1</v>
      </c>
      <c r="B140" s="15">
        <v>3</v>
      </c>
      <c r="D140" s="43" t="s">
        <v>131</v>
      </c>
      <c r="E140" s="24">
        <v>630</v>
      </c>
      <c r="F140" s="24" t="s">
        <v>134</v>
      </c>
      <c r="G140" s="25">
        <v>1964.38</v>
      </c>
      <c r="H140" s="25">
        <v>1833.06</v>
      </c>
      <c r="I140" s="25">
        <v>2007</v>
      </c>
      <c r="J140" s="25">
        <v>6163</v>
      </c>
      <c r="K140" s="25">
        <v>15465</v>
      </c>
      <c r="L140" s="25">
        <v>2218</v>
      </c>
      <c r="M140" s="25"/>
      <c r="N140" s="25"/>
      <c r="O140" s="25"/>
      <c r="P140" s="25">
        <f>K140+SUM(L140:O140)</f>
        <v>17683</v>
      </c>
      <c r="Q140" s="25">
        <v>811.07</v>
      </c>
      <c r="R140" s="26">
        <f t="shared" si="83"/>
        <v>4.5867217101170615E-2</v>
      </c>
      <c r="S140" s="25">
        <v>4882.5600000000004</v>
      </c>
      <c r="T140" s="26">
        <f t="shared" si="84"/>
        <v>0.27611604365775039</v>
      </c>
      <c r="U140" s="25"/>
      <c r="V140" s="26">
        <f t="shared" si="85"/>
        <v>0</v>
      </c>
      <c r="W140" s="25"/>
      <c r="X140" s="26">
        <f t="shared" si="86"/>
        <v>0</v>
      </c>
      <c r="Y140" s="25">
        <f>K140</f>
        <v>15465</v>
      </c>
      <c r="Z140" s="25">
        <f>Y140</f>
        <v>15465</v>
      </c>
    </row>
    <row r="141" spans="1:26" ht="13.9" customHeight="1" x14ac:dyDescent="0.25">
      <c r="A141" s="15">
        <v>1</v>
      </c>
      <c r="B141" s="15">
        <v>3</v>
      </c>
      <c r="D141" s="79" t="s">
        <v>21</v>
      </c>
      <c r="E141" s="48">
        <v>41</v>
      </c>
      <c r="F141" s="48" t="s">
        <v>23</v>
      </c>
      <c r="G141" s="49">
        <f t="shared" ref="G141:Q141" si="88">SUM(G139:G140)</f>
        <v>2444.38</v>
      </c>
      <c r="H141" s="49">
        <f t="shared" si="88"/>
        <v>2065.62</v>
      </c>
      <c r="I141" s="49">
        <f t="shared" si="88"/>
        <v>12473</v>
      </c>
      <c r="J141" s="49">
        <f t="shared" si="88"/>
        <v>10198</v>
      </c>
      <c r="K141" s="49">
        <f t="shared" si="88"/>
        <v>18995</v>
      </c>
      <c r="L141" s="49">
        <f t="shared" si="88"/>
        <v>2218</v>
      </c>
      <c r="M141" s="49">
        <f t="shared" si="88"/>
        <v>0</v>
      </c>
      <c r="N141" s="49">
        <f t="shared" si="88"/>
        <v>0</v>
      </c>
      <c r="O141" s="49">
        <f t="shared" si="88"/>
        <v>0</v>
      </c>
      <c r="P141" s="49">
        <f t="shared" si="88"/>
        <v>21213</v>
      </c>
      <c r="Q141" s="49">
        <f t="shared" si="88"/>
        <v>927.35</v>
      </c>
      <c r="R141" s="50">
        <f t="shared" si="83"/>
        <v>4.3716117475133175E-2</v>
      </c>
      <c r="S141" s="49">
        <f>SUM(S139:S140)</f>
        <v>5115.1200000000008</v>
      </c>
      <c r="T141" s="50">
        <f t="shared" si="84"/>
        <v>0.24113138169990103</v>
      </c>
      <c r="U141" s="49">
        <f>SUM(U139:U140)</f>
        <v>0</v>
      </c>
      <c r="V141" s="50">
        <f t="shared" si="85"/>
        <v>0</v>
      </c>
      <c r="W141" s="49">
        <f>SUM(W139:W140)</f>
        <v>0</v>
      </c>
      <c r="X141" s="50">
        <f t="shared" si="86"/>
        <v>0</v>
      </c>
      <c r="Y141" s="49">
        <f>SUM(Y139:Y140)</f>
        <v>18995</v>
      </c>
      <c r="Z141" s="49">
        <f>SUM(Z139:Z140)</f>
        <v>18995</v>
      </c>
    </row>
    <row r="142" spans="1:26" ht="13.9" customHeight="1" x14ac:dyDescent="0.25">
      <c r="A142" s="15">
        <v>1</v>
      </c>
      <c r="B142" s="15">
        <v>3</v>
      </c>
      <c r="D142" s="86"/>
      <c r="E142" s="87"/>
      <c r="F142" s="27" t="s">
        <v>127</v>
      </c>
      <c r="G142" s="28">
        <f t="shared" ref="G142:Q142" si="89">G138+G141</f>
        <v>2444.38</v>
      </c>
      <c r="H142" s="28">
        <f t="shared" si="89"/>
        <v>2226.0899999999997</v>
      </c>
      <c r="I142" s="28">
        <f t="shared" si="89"/>
        <v>12473</v>
      </c>
      <c r="J142" s="28">
        <f t="shared" si="89"/>
        <v>10198</v>
      </c>
      <c r="K142" s="28">
        <f t="shared" si="89"/>
        <v>18995</v>
      </c>
      <c r="L142" s="28">
        <f t="shared" si="89"/>
        <v>2218</v>
      </c>
      <c r="M142" s="28">
        <f t="shared" si="89"/>
        <v>0</v>
      </c>
      <c r="N142" s="28">
        <f t="shared" si="89"/>
        <v>0</v>
      </c>
      <c r="O142" s="28">
        <f t="shared" si="89"/>
        <v>0</v>
      </c>
      <c r="P142" s="28">
        <f t="shared" si="89"/>
        <v>21213</v>
      </c>
      <c r="Q142" s="28">
        <f t="shared" si="89"/>
        <v>927.35</v>
      </c>
      <c r="R142" s="29">
        <f t="shared" si="83"/>
        <v>4.3716117475133175E-2</v>
      </c>
      <c r="S142" s="28">
        <f>S138+S141</f>
        <v>5115.1200000000008</v>
      </c>
      <c r="T142" s="29">
        <f t="shared" si="84"/>
        <v>0.24113138169990103</v>
      </c>
      <c r="U142" s="28">
        <f>U138+U141</f>
        <v>0</v>
      </c>
      <c r="V142" s="29">
        <f t="shared" si="85"/>
        <v>0</v>
      </c>
      <c r="W142" s="28">
        <f>W138+W141</f>
        <v>0</v>
      </c>
      <c r="X142" s="29">
        <f t="shared" si="86"/>
        <v>0</v>
      </c>
      <c r="Y142" s="28">
        <f>Y138+Y141</f>
        <v>18995</v>
      </c>
      <c r="Z142" s="28">
        <f>Z138+Z141</f>
        <v>18995</v>
      </c>
    </row>
    <row r="144" spans="1:26" ht="13.9" customHeight="1" x14ac:dyDescent="0.25">
      <c r="E144" s="52" t="s">
        <v>55</v>
      </c>
      <c r="F144" s="30" t="s">
        <v>150</v>
      </c>
      <c r="G144" s="53">
        <v>407</v>
      </c>
      <c r="H144" s="53">
        <v>802.7</v>
      </c>
      <c r="I144" s="53">
        <v>803</v>
      </c>
      <c r="J144" s="53">
        <v>411</v>
      </c>
      <c r="K144" s="53">
        <v>400</v>
      </c>
      <c r="L144" s="53"/>
      <c r="M144" s="53"/>
      <c r="N144" s="53"/>
      <c r="O144" s="53"/>
      <c r="P144" s="53">
        <f>K144+SUM(L144:O144)</f>
        <v>400</v>
      </c>
      <c r="Q144" s="53">
        <v>124.29</v>
      </c>
      <c r="R144" s="54">
        <f>IFERROR(Q144/$P144,0)</f>
        <v>0.31072500000000003</v>
      </c>
      <c r="S144" s="53">
        <v>315.77999999999997</v>
      </c>
      <c r="T144" s="54">
        <f>IFERROR(S144/$P144,0)</f>
        <v>0.78944999999999999</v>
      </c>
      <c r="U144" s="53"/>
      <c r="V144" s="54">
        <f>IFERROR(U144/$P144,0)</f>
        <v>0</v>
      </c>
      <c r="W144" s="53"/>
      <c r="X144" s="55">
        <f>IFERROR(W144/$P144,0)</f>
        <v>0</v>
      </c>
      <c r="Y144" s="53">
        <f>K144</f>
        <v>400</v>
      </c>
      <c r="Z144" s="56">
        <f>Y144</f>
        <v>400</v>
      </c>
    </row>
    <row r="145" spans="1:26" ht="13.9" customHeight="1" x14ac:dyDescent="0.25">
      <c r="E145" s="57"/>
      <c r="F145" s="15" t="s">
        <v>151</v>
      </c>
      <c r="G145" s="59">
        <v>242</v>
      </c>
      <c r="H145" s="59">
        <v>88</v>
      </c>
      <c r="I145" s="59">
        <v>88</v>
      </c>
      <c r="J145" s="59">
        <v>44</v>
      </c>
      <c r="K145" s="59">
        <v>44</v>
      </c>
      <c r="L145" s="59"/>
      <c r="M145" s="59">
        <v>38</v>
      </c>
      <c r="N145" s="59"/>
      <c r="O145" s="59"/>
      <c r="P145" s="59">
        <f>K145+SUM(L145:O145)</f>
        <v>82</v>
      </c>
      <c r="Q145" s="59">
        <v>17.04</v>
      </c>
      <c r="R145" s="16">
        <f>IFERROR(Q145/$P145,0)</f>
        <v>0.20780487804878048</v>
      </c>
      <c r="S145" s="59">
        <v>45.04</v>
      </c>
      <c r="T145" s="16">
        <f>IFERROR(S145/$P145,0)</f>
        <v>0.54926829268292687</v>
      </c>
      <c r="U145" s="59"/>
      <c r="V145" s="16">
        <f>IFERROR(U145/$P145,0)</f>
        <v>0</v>
      </c>
      <c r="W145" s="59"/>
      <c r="X145" s="60">
        <f>IFERROR(W145/$P145,0)</f>
        <v>0</v>
      </c>
      <c r="Y145" s="59">
        <f>K145</f>
        <v>44</v>
      </c>
      <c r="Z145" s="61">
        <f>Y145</f>
        <v>44</v>
      </c>
    </row>
    <row r="146" spans="1:26" ht="13.9" customHeight="1" x14ac:dyDescent="0.25">
      <c r="E146" s="57"/>
      <c r="F146" s="15" t="s">
        <v>165</v>
      </c>
      <c r="G146" s="59">
        <v>0</v>
      </c>
      <c r="H146" s="59">
        <v>0</v>
      </c>
      <c r="I146" s="59">
        <v>10000</v>
      </c>
      <c r="J146" s="59">
        <v>3570</v>
      </c>
      <c r="K146" s="59">
        <v>15000</v>
      </c>
      <c r="L146" s="59"/>
      <c r="M146" s="59"/>
      <c r="N146" s="59"/>
      <c r="O146" s="59"/>
      <c r="P146" s="59">
        <f>K146+SUM(L146:O146)</f>
        <v>15000</v>
      </c>
      <c r="Q146" s="59">
        <v>0</v>
      </c>
      <c r="R146" s="16">
        <f>IFERROR(Q146/$P146,0)</f>
        <v>0</v>
      </c>
      <c r="S146" s="59">
        <v>0</v>
      </c>
      <c r="T146" s="16">
        <f>IFERROR(S146/$P146,0)</f>
        <v>0</v>
      </c>
      <c r="U146" s="59"/>
      <c r="V146" s="16">
        <f>IFERROR(U146/$P146,0)</f>
        <v>0</v>
      </c>
      <c r="W146" s="59"/>
      <c r="X146" s="60">
        <f>IFERROR(W146/$P146,0)</f>
        <v>0</v>
      </c>
      <c r="Y146" s="59">
        <f>K146</f>
        <v>15000</v>
      </c>
      <c r="Z146" s="61">
        <f>Y146</f>
        <v>15000</v>
      </c>
    </row>
    <row r="147" spans="1:26" ht="13.9" customHeight="1" x14ac:dyDescent="0.25">
      <c r="E147" s="100"/>
      <c r="F147" s="101" t="s">
        <v>166</v>
      </c>
      <c r="G147" s="102">
        <v>0</v>
      </c>
      <c r="H147" s="102">
        <v>0</v>
      </c>
      <c r="I147" s="102">
        <v>600</v>
      </c>
      <c r="J147" s="102">
        <v>3730</v>
      </c>
      <c r="K147" s="102">
        <v>2040</v>
      </c>
      <c r="L147" s="102"/>
      <c r="M147" s="102"/>
      <c r="N147" s="102"/>
      <c r="O147" s="102"/>
      <c r="P147" s="102">
        <f>K147+SUM(L147:O147)</f>
        <v>2040</v>
      </c>
      <c r="Q147" s="102">
        <v>0</v>
      </c>
      <c r="R147" s="103">
        <f>IFERROR(Q147/$P147,0)</f>
        <v>0</v>
      </c>
      <c r="S147" s="102">
        <v>0</v>
      </c>
      <c r="T147" s="103">
        <f>IFERROR(S147/$P147,0)</f>
        <v>0</v>
      </c>
      <c r="U147" s="102"/>
      <c r="V147" s="103">
        <f>IFERROR(U147/$P147,0)</f>
        <v>0</v>
      </c>
      <c r="W147" s="102"/>
      <c r="X147" s="104">
        <f>IFERROR(W147/$P147,0)</f>
        <v>0</v>
      </c>
      <c r="Y147" s="105">
        <f>K147</f>
        <v>2040</v>
      </c>
      <c r="Z147" s="106">
        <f>Y147</f>
        <v>2040</v>
      </c>
    </row>
    <row r="148" spans="1:26" ht="13.9" customHeight="1" x14ac:dyDescent="0.25"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S148" s="59"/>
      <c r="U148" s="59"/>
      <c r="W148" s="59"/>
      <c r="Y148" s="59"/>
      <c r="Z148" s="59"/>
    </row>
    <row r="149" spans="1:26" ht="13.9" hidden="1" customHeight="1" x14ac:dyDescent="0.25">
      <c r="D149" s="7" t="s">
        <v>167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9" hidden="1" customHeight="1" x14ac:dyDescent="0.25">
      <c r="D150" s="21" t="s">
        <v>32</v>
      </c>
      <c r="E150" s="21" t="s">
        <v>33</v>
      </c>
      <c r="F150" s="21" t="s">
        <v>34</v>
      </c>
      <c r="G150" s="21" t="s">
        <v>1</v>
      </c>
      <c r="H150" s="21" t="s">
        <v>2</v>
      </c>
      <c r="I150" s="21" t="s">
        <v>3</v>
      </c>
      <c r="J150" s="21" t="s">
        <v>4</v>
      </c>
      <c r="K150" s="21" t="s">
        <v>5</v>
      </c>
      <c r="L150" s="21" t="s">
        <v>6</v>
      </c>
      <c r="M150" s="21" t="s">
        <v>7</v>
      </c>
      <c r="N150" s="21" t="s">
        <v>8</v>
      </c>
      <c r="O150" s="21" t="s">
        <v>9</v>
      </c>
      <c r="P150" s="21" t="s">
        <v>124</v>
      </c>
      <c r="Q150" s="21" t="s">
        <v>11</v>
      </c>
      <c r="R150" s="22" t="s">
        <v>12</v>
      </c>
      <c r="S150" s="21" t="s">
        <v>13</v>
      </c>
      <c r="T150" s="22" t="s">
        <v>14</v>
      </c>
      <c r="U150" s="21" t="s">
        <v>15</v>
      </c>
      <c r="V150" s="22" t="s">
        <v>16</v>
      </c>
      <c r="W150" s="21" t="s">
        <v>17</v>
      </c>
      <c r="X150" s="22" t="s">
        <v>18</v>
      </c>
      <c r="Y150" s="21" t="s">
        <v>19</v>
      </c>
      <c r="Z150" s="21" t="s">
        <v>20</v>
      </c>
    </row>
    <row r="151" spans="1:26" ht="13.9" hidden="1" customHeight="1" x14ac:dyDescent="0.25">
      <c r="A151" s="15">
        <v>1</v>
      </c>
      <c r="B151" s="15">
        <v>4</v>
      </c>
      <c r="D151" s="13" t="s">
        <v>168</v>
      </c>
      <c r="E151" s="107">
        <v>610</v>
      </c>
      <c r="F151" s="107" t="s">
        <v>132</v>
      </c>
      <c r="G151" s="46">
        <v>315.83999999999997</v>
      </c>
      <c r="H151" s="46">
        <v>240</v>
      </c>
      <c r="I151" s="46">
        <v>240</v>
      </c>
      <c r="J151" s="46">
        <v>480</v>
      </c>
      <c r="K151" s="46">
        <v>0</v>
      </c>
      <c r="L151" s="46"/>
      <c r="M151" s="46"/>
      <c r="N151" s="46"/>
      <c r="O151" s="46"/>
      <c r="P151" s="46">
        <f>K151+SUM(L151:O151)</f>
        <v>0</v>
      </c>
      <c r="Q151" s="46"/>
      <c r="R151" s="47">
        <f>IFERROR(Q151/$P151,0)</f>
        <v>0</v>
      </c>
      <c r="S151" s="46"/>
      <c r="T151" s="47">
        <f>IFERROR(S151/$P151,0)</f>
        <v>0</v>
      </c>
      <c r="U151" s="46"/>
      <c r="V151" s="47">
        <f>IFERROR(U151/$P151,0)</f>
        <v>0</v>
      </c>
      <c r="W151" s="46"/>
      <c r="X151" s="47">
        <f>IFERROR(W151/$P151,0)</f>
        <v>0</v>
      </c>
      <c r="Y151" s="25">
        <v>480</v>
      </c>
      <c r="Z151" s="25">
        <v>240</v>
      </c>
    </row>
    <row r="152" spans="1:26" ht="13.9" hidden="1" customHeight="1" x14ac:dyDescent="0.25">
      <c r="A152" s="15">
        <v>1</v>
      </c>
      <c r="B152" s="15">
        <v>4</v>
      </c>
      <c r="D152" s="13"/>
      <c r="E152" s="107">
        <v>620</v>
      </c>
      <c r="F152" s="107" t="s">
        <v>133</v>
      </c>
      <c r="G152" s="46">
        <v>110.33</v>
      </c>
      <c r="H152" s="46">
        <v>118.3</v>
      </c>
      <c r="I152" s="46">
        <v>118</v>
      </c>
      <c r="J152" s="46">
        <v>175</v>
      </c>
      <c r="K152" s="46">
        <v>0</v>
      </c>
      <c r="L152" s="46"/>
      <c r="M152" s="46"/>
      <c r="N152" s="46"/>
      <c r="O152" s="46"/>
      <c r="P152" s="46">
        <f>K152+SUM(L152:O152)</f>
        <v>0</v>
      </c>
      <c r="Q152" s="46"/>
      <c r="R152" s="47">
        <f>IFERROR(Q152/$P152,0)</f>
        <v>0</v>
      </c>
      <c r="S152" s="46"/>
      <c r="T152" s="47">
        <f>IFERROR(S152/$P152,0)</f>
        <v>0</v>
      </c>
      <c r="U152" s="46"/>
      <c r="V152" s="47">
        <f>IFERROR(U152/$P152,0)</f>
        <v>0</v>
      </c>
      <c r="W152" s="46"/>
      <c r="X152" s="47">
        <f>IFERROR(W152/$P152,0)</f>
        <v>0</v>
      </c>
      <c r="Y152" s="25">
        <v>175</v>
      </c>
      <c r="Z152" s="25">
        <v>118</v>
      </c>
    </row>
    <row r="153" spans="1:26" ht="13.9" hidden="1" customHeight="1" x14ac:dyDescent="0.25">
      <c r="A153" s="15">
        <v>1</v>
      </c>
      <c r="B153" s="15">
        <v>4</v>
      </c>
      <c r="D153" s="13"/>
      <c r="E153" s="107">
        <v>630</v>
      </c>
      <c r="F153" s="107" t="s">
        <v>134</v>
      </c>
      <c r="G153" s="46">
        <v>7063.67</v>
      </c>
      <c r="H153" s="46">
        <v>4223.46</v>
      </c>
      <c r="I153" s="46">
        <v>4142</v>
      </c>
      <c r="J153" s="46">
        <v>6990</v>
      </c>
      <c r="K153" s="46">
        <v>0</v>
      </c>
      <c r="L153" s="46"/>
      <c r="M153" s="46"/>
      <c r="N153" s="46"/>
      <c r="O153" s="46"/>
      <c r="P153" s="46">
        <f>K153+SUM(L153:O153)</f>
        <v>0</v>
      </c>
      <c r="Q153" s="46"/>
      <c r="R153" s="47">
        <f>IFERROR(Q153/$P153,0)</f>
        <v>0</v>
      </c>
      <c r="S153" s="46"/>
      <c r="T153" s="47">
        <f>IFERROR(S153/$P153,0)</f>
        <v>0</v>
      </c>
      <c r="U153" s="46"/>
      <c r="V153" s="47">
        <f>IFERROR(U153/$P153,0)</f>
        <v>0</v>
      </c>
      <c r="W153" s="46"/>
      <c r="X153" s="47">
        <f>IFERROR(W153/$P153,0)</f>
        <v>0</v>
      </c>
      <c r="Y153" s="46">
        <v>6990</v>
      </c>
      <c r="Z153" s="46">
        <v>4142</v>
      </c>
    </row>
    <row r="154" spans="1:26" ht="13.9" hidden="1" customHeight="1" x14ac:dyDescent="0.25">
      <c r="A154" s="15">
        <v>1</v>
      </c>
      <c r="B154" s="15">
        <v>4</v>
      </c>
      <c r="D154" s="108" t="s">
        <v>21</v>
      </c>
      <c r="E154" s="109">
        <v>111</v>
      </c>
      <c r="F154" s="109" t="s">
        <v>137</v>
      </c>
      <c r="G154" s="98">
        <f t="shared" ref="G154:Q154" si="90">SUM(G151:G153)</f>
        <v>7489.84</v>
      </c>
      <c r="H154" s="98">
        <f t="shared" si="90"/>
        <v>4581.76</v>
      </c>
      <c r="I154" s="98">
        <f t="shared" si="90"/>
        <v>4500</v>
      </c>
      <c r="J154" s="98">
        <f t="shared" si="90"/>
        <v>7645</v>
      </c>
      <c r="K154" s="98">
        <f t="shared" si="90"/>
        <v>0</v>
      </c>
      <c r="L154" s="98">
        <f t="shared" si="90"/>
        <v>0</v>
      </c>
      <c r="M154" s="98">
        <f t="shared" si="90"/>
        <v>0</v>
      </c>
      <c r="N154" s="98">
        <f t="shared" si="90"/>
        <v>0</v>
      </c>
      <c r="O154" s="98">
        <f t="shared" si="90"/>
        <v>0</v>
      </c>
      <c r="P154" s="98">
        <f t="shared" si="90"/>
        <v>0</v>
      </c>
      <c r="Q154" s="98">
        <f t="shared" si="90"/>
        <v>0</v>
      </c>
      <c r="R154" s="99">
        <f>IFERROR(Q154/$P154,0)</f>
        <v>0</v>
      </c>
      <c r="S154" s="98">
        <f>SUM(S151:S153)</f>
        <v>0</v>
      </c>
      <c r="T154" s="99">
        <f>IFERROR(S154/$P154,0)</f>
        <v>0</v>
      </c>
      <c r="U154" s="98">
        <f>SUM(U151:U153)</f>
        <v>0</v>
      </c>
      <c r="V154" s="99">
        <f>IFERROR(U154/$P154,0)</f>
        <v>0</v>
      </c>
      <c r="W154" s="98">
        <f>SUM(W151:W153)</f>
        <v>0</v>
      </c>
      <c r="X154" s="99">
        <f>IFERROR(W154/$P154,0)</f>
        <v>0</v>
      </c>
      <c r="Y154" s="98">
        <f>SUM(Y151:Y153)</f>
        <v>7645</v>
      </c>
      <c r="Z154" s="98">
        <f>SUM(Z151:Z153)</f>
        <v>4500</v>
      </c>
    </row>
    <row r="155" spans="1:26" ht="13.9" hidden="1" customHeight="1" x14ac:dyDescent="0.25">
      <c r="A155" s="15">
        <v>1</v>
      </c>
      <c r="B155" s="15">
        <v>4</v>
      </c>
      <c r="D155" s="110"/>
      <c r="E155" s="111"/>
      <c r="F155" s="112" t="s">
        <v>127</v>
      </c>
      <c r="G155" s="113">
        <f t="shared" ref="G155:Q155" si="91">G154</f>
        <v>7489.84</v>
      </c>
      <c r="H155" s="113">
        <f t="shared" si="91"/>
        <v>4581.76</v>
      </c>
      <c r="I155" s="113">
        <f t="shared" si="91"/>
        <v>4500</v>
      </c>
      <c r="J155" s="113">
        <f t="shared" si="91"/>
        <v>7645</v>
      </c>
      <c r="K155" s="113">
        <f t="shared" si="91"/>
        <v>0</v>
      </c>
      <c r="L155" s="113">
        <f t="shared" si="91"/>
        <v>0</v>
      </c>
      <c r="M155" s="113">
        <f t="shared" si="91"/>
        <v>0</v>
      </c>
      <c r="N155" s="113">
        <f t="shared" si="91"/>
        <v>0</v>
      </c>
      <c r="O155" s="113">
        <f t="shared" si="91"/>
        <v>0</v>
      </c>
      <c r="P155" s="113">
        <f t="shared" si="91"/>
        <v>0</v>
      </c>
      <c r="Q155" s="113">
        <f t="shared" si="91"/>
        <v>0</v>
      </c>
      <c r="R155" s="114">
        <f>IFERROR(Q155/$P155,0)</f>
        <v>0</v>
      </c>
      <c r="S155" s="113">
        <f>S154</f>
        <v>0</v>
      </c>
      <c r="T155" s="114">
        <f>IFERROR(S155/$P155,0)</f>
        <v>0</v>
      </c>
      <c r="U155" s="113">
        <f>U154</f>
        <v>0</v>
      </c>
      <c r="V155" s="114">
        <f>IFERROR(U155/$P155,0)</f>
        <v>0</v>
      </c>
      <c r="W155" s="113">
        <f>W154</f>
        <v>0</v>
      </c>
      <c r="X155" s="114">
        <f>IFERROR(W155/$P155,0)</f>
        <v>0</v>
      </c>
      <c r="Y155" s="113">
        <f>Y154</f>
        <v>7645</v>
      </c>
      <c r="Z155" s="113">
        <f>Z154</f>
        <v>4500</v>
      </c>
    </row>
    <row r="156" spans="1:26" ht="13.9" hidden="1" customHeight="1" x14ac:dyDescent="0.25"/>
    <row r="157" spans="1:26" ht="13.9" customHeight="1" x14ac:dyDescent="0.25">
      <c r="D157" s="9" t="s">
        <v>169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9" customHeight="1" x14ac:dyDescent="0.25">
      <c r="D158" s="20"/>
      <c r="E158" s="20"/>
      <c r="F158" s="20"/>
      <c r="G158" s="21" t="s">
        <v>1</v>
      </c>
      <c r="H158" s="21" t="s">
        <v>2</v>
      </c>
      <c r="I158" s="21" t="s">
        <v>3</v>
      </c>
      <c r="J158" s="21" t="s">
        <v>4</v>
      </c>
      <c r="K158" s="21" t="s">
        <v>5</v>
      </c>
      <c r="L158" s="21" t="s">
        <v>6</v>
      </c>
      <c r="M158" s="21" t="s">
        <v>7</v>
      </c>
      <c r="N158" s="21" t="s">
        <v>8</v>
      </c>
      <c r="O158" s="21" t="s">
        <v>9</v>
      </c>
      <c r="P158" s="21" t="s">
        <v>124</v>
      </c>
      <c r="Q158" s="21" t="s">
        <v>11</v>
      </c>
      <c r="R158" s="22" t="s">
        <v>12</v>
      </c>
      <c r="S158" s="21" t="s">
        <v>13</v>
      </c>
      <c r="T158" s="22" t="s">
        <v>14</v>
      </c>
      <c r="U158" s="21" t="s">
        <v>15</v>
      </c>
      <c r="V158" s="22" t="s">
        <v>16</v>
      </c>
      <c r="W158" s="21" t="s">
        <v>17</v>
      </c>
      <c r="X158" s="22" t="s">
        <v>18</v>
      </c>
      <c r="Y158" s="21" t="s">
        <v>19</v>
      </c>
      <c r="Z158" s="21" t="s">
        <v>20</v>
      </c>
    </row>
    <row r="159" spans="1:26" ht="13.9" customHeight="1" x14ac:dyDescent="0.25">
      <c r="A159" s="15">
        <v>2</v>
      </c>
      <c r="D159" s="12" t="s">
        <v>21</v>
      </c>
      <c r="E159" s="35">
        <v>111</v>
      </c>
      <c r="F159" s="35" t="s">
        <v>45</v>
      </c>
      <c r="G159" s="36">
        <f t="shared" ref="G159:Q159" si="92">G169</f>
        <v>647334.14</v>
      </c>
      <c r="H159" s="36">
        <f t="shared" si="92"/>
        <v>799105.12</v>
      </c>
      <c r="I159" s="36">
        <f t="shared" si="92"/>
        <v>780000</v>
      </c>
      <c r="J159" s="36">
        <f t="shared" si="92"/>
        <v>906547</v>
      </c>
      <c r="K159" s="36">
        <f t="shared" si="92"/>
        <v>1172589</v>
      </c>
      <c r="L159" s="36">
        <f t="shared" si="92"/>
        <v>42001</v>
      </c>
      <c r="M159" s="36">
        <f t="shared" si="92"/>
        <v>49239</v>
      </c>
      <c r="N159" s="36">
        <f t="shared" si="92"/>
        <v>0</v>
      </c>
      <c r="O159" s="36">
        <f t="shared" si="92"/>
        <v>0</v>
      </c>
      <c r="P159" s="36">
        <f t="shared" si="92"/>
        <v>1263829</v>
      </c>
      <c r="Q159" s="36">
        <f t="shared" si="92"/>
        <v>197818.46000000002</v>
      </c>
      <c r="R159" s="37">
        <f>IFERROR(Q159/$P159,0)</f>
        <v>0.15652312140329114</v>
      </c>
      <c r="S159" s="36">
        <f>S169</f>
        <v>560532.64</v>
      </c>
      <c r="T159" s="37">
        <f>IFERROR(S159/$P159,0)</f>
        <v>0.44351936852216561</v>
      </c>
      <c r="U159" s="36">
        <f>U169</f>
        <v>0</v>
      </c>
      <c r="V159" s="37">
        <f>IFERROR(U159/$P159,0)</f>
        <v>0</v>
      </c>
      <c r="W159" s="36">
        <f>W169</f>
        <v>0</v>
      </c>
      <c r="X159" s="37">
        <f>IFERROR(W159/$P159,0)</f>
        <v>0</v>
      </c>
      <c r="Y159" s="36">
        <f>Y169</f>
        <v>1110780</v>
      </c>
      <c r="Z159" s="36">
        <f>Z169</f>
        <v>1116880</v>
      </c>
    </row>
    <row r="160" spans="1:26" ht="13.9" customHeight="1" x14ac:dyDescent="0.25">
      <c r="A160" s="15">
        <v>2</v>
      </c>
      <c r="D160" s="12"/>
      <c r="E160" s="35">
        <v>41</v>
      </c>
      <c r="F160" s="35" t="s">
        <v>23</v>
      </c>
      <c r="G160" s="36">
        <f t="shared" ref="G160:Q160" si="93">G175</f>
        <v>336431.55</v>
      </c>
      <c r="H160" s="36">
        <f t="shared" si="93"/>
        <v>323565.08999999997</v>
      </c>
      <c r="I160" s="36">
        <f t="shared" si="93"/>
        <v>398893</v>
      </c>
      <c r="J160" s="36">
        <f t="shared" si="93"/>
        <v>432411</v>
      </c>
      <c r="K160" s="36">
        <f t="shared" si="93"/>
        <v>161712</v>
      </c>
      <c r="L160" s="36">
        <f t="shared" si="93"/>
        <v>0</v>
      </c>
      <c r="M160" s="36">
        <f t="shared" si="93"/>
        <v>0</v>
      </c>
      <c r="N160" s="36">
        <f t="shared" si="93"/>
        <v>0</v>
      </c>
      <c r="O160" s="36">
        <f t="shared" si="93"/>
        <v>0</v>
      </c>
      <c r="P160" s="36">
        <f t="shared" si="93"/>
        <v>161712</v>
      </c>
      <c r="Q160" s="36">
        <f t="shared" si="93"/>
        <v>23045.61</v>
      </c>
      <c r="R160" s="37">
        <f>IFERROR(Q160/$P160,0)</f>
        <v>0.14251020332442862</v>
      </c>
      <c r="S160" s="36">
        <f>S175</f>
        <v>58224.49</v>
      </c>
      <c r="T160" s="37">
        <f>IFERROR(S160/$P160,0)</f>
        <v>0.36005052191550407</v>
      </c>
      <c r="U160" s="36">
        <f>U175</f>
        <v>0</v>
      </c>
      <c r="V160" s="37">
        <f>IFERROR(U160/$P160,0)</f>
        <v>0</v>
      </c>
      <c r="W160" s="36">
        <f>W175</f>
        <v>0</v>
      </c>
      <c r="X160" s="37">
        <f>IFERROR(W160/$P160,0)</f>
        <v>0</v>
      </c>
      <c r="Y160" s="36">
        <f>Y175</f>
        <v>173301</v>
      </c>
      <c r="Z160" s="36">
        <f>Z175</f>
        <v>175930</v>
      </c>
    </row>
    <row r="161" spans="1:26" ht="13.9" customHeight="1" x14ac:dyDescent="0.25">
      <c r="A161" s="15">
        <v>2</v>
      </c>
      <c r="D161" s="12"/>
      <c r="E161" s="35">
        <v>72</v>
      </c>
      <c r="F161" s="35" t="s">
        <v>25</v>
      </c>
      <c r="G161" s="36">
        <f t="shared" ref="G161:Q161" si="94">G177</f>
        <v>71545.320000000007</v>
      </c>
      <c r="H161" s="36">
        <f t="shared" si="94"/>
        <v>97546.64</v>
      </c>
      <c r="I161" s="36">
        <f t="shared" si="94"/>
        <v>97900</v>
      </c>
      <c r="J161" s="36">
        <f t="shared" si="94"/>
        <v>90145</v>
      </c>
      <c r="K161" s="36">
        <f t="shared" si="94"/>
        <v>92100</v>
      </c>
      <c r="L161" s="36">
        <f t="shared" si="94"/>
        <v>12910</v>
      </c>
      <c r="M161" s="36">
        <f t="shared" si="94"/>
        <v>25446</v>
      </c>
      <c r="N161" s="36">
        <f t="shared" si="94"/>
        <v>0</v>
      </c>
      <c r="O161" s="36">
        <f t="shared" si="94"/>
        <v>0</v>
      </c>
      <c r="P161" s="36">
        <f t="shared" si="94"/>
        <v>130456</v>
      </c>
      <c r="Q161" s="36">
        <f t="shared" si="94"/>
        <v>11177.83</v>
      </c>
      <c r="R161" s="37">
        <f>IFERROR(Q161/$P161,0)</f>
        <v>8.5682758937879439E-2</v>
      </c>
      <c r="S161" s="36">
        <f>S177</f>
        <v>34087.599999999999</v>
      </c>
      <c r="T161" s="37">
        <f>IFERROR(S161/$P161,0)</f>
        <v>0.26129576255595754</v>
      </c>
      <c r="U161" s="36">
        <f>U177</f>
        <v>0</v>
      </c>
      <c r="V161" s="37">
        <f>IFERROR(U161/$P161,0)</f>
        <v>0</v>
      </c>
      <c r="W161" s="36">
        <f>W177</f>
        <v>0</v>
      </c>
      <c r="X161" s="37">
        <f>IFERROR(W161/$P161,0)</f>
        <v>0</v>
      </c>
      <c r="Y161" s="36">
        <f>Y177</f>
        <v>92600</v>
      </c>
      <c r="Z161" s="36">
        <f>Z177</f>
        <v>92600</v>
      </c>
    </row>
    <row r="162" spans="1:26" ht="13.9" customHeight="1" x14ac:dyDescent="0.25">
      <c r="A162" s="15">
        <v>2</v>
      </c>
      <c r="D162" s="30"/>
      <c r="E162" s="31"/>
      <c r="F162" s="38" t="s">
        <v>127</v>
      </c>
      <c r="G162" s="39">
        <f t="shared" ref="G162:Q162" si="95">SUM(G159:G161)</f>
        <v>1055311.01</v>
      </c>
      <c r="H162" s="39">
        <f t="shared" si="95"/>
        <v>1220216.8499999999</v>
      </c>
      <c r="I162" s="39">
        <f t="shared" si="95"/>
        <v>1276793</v>
      </c>
      <c r="J162" s="39">
        <f t="shared" si="95"/>
        <v>1429103</v>
      </c>
      <c r="K162" s="39">
        <f t="shared" si="95"/>
        <v>1426401</v>
      </c>
      <c r="L162" s="39">
        <f t="shared" si="95"/>
        <v>54911</v>
      </c>
      <c r="M162" s="39">
        <f t="shared" si="95"/>
        <v>74685</v>
      </c>
      <c r="N162" s="39">
        <f t="shared" si="95"/>
        <v>0</v>
      </c>
      <c r="O162" s="39">
        <f t="shared" si="95"/>
        <v>0</v>
      </c>
      <c r="P162" s="39">
        <f t="shared" si="95"/>
        <v>1555997</v>
      </c>
      <c r="Q162" s="39">
        <f t="shared" si="95"/>
        <v>232041.9</v>
      </c>
      <c r="R162" s="40">
        <f>IFERROR(Q162/$P162,0)</f>
        <v>0.14912747261080836</v>
      </c>
      <c r="S162" s="39">
        <f>SUM(S159:S161)</f>
        <v>652844.73</v>
      </c>
      <c r="T162" s="40">
        <f>IFERROR(S162/$P162,0)</f>
        <v>0.41956683078437812</v>
      </c>
      <c r="U162" s="39">
        <f>SUM(U159:U161)</f>
        <v>0</v>
      </c>
      <c r="V162" s="40">
        <f>IFERROR(U162/$P162,0)</f>
        <v>0</v>
      </c>
      <c r="W162" s="39">
        <f>SUM(W159:W161)</f>
        <v>0</v>
      </c>
      <c r="X162" s="40">
        <f>IFERROR(W162/$P162,0)</f>
        <v>0</v>
      </c>
      <c r="Y162" s="39">
        <f>SUM(Y159:Y161)</f>
        <v>1376681</v>
      </c>
      <c r="Z162" s="39">
        <f>SUM(Z159:Z161)</f>
        <v>1385410</v>
      </c>
    </row>
    <row r="164" spans="1:26" ht="13.9" customHeight="1" x14ac:dyDescent="0.25">
      <c r="D164" s="41" t="s">
        <v>170</v>
      </c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2"/>
      <c r="S164" s="41"/>
      <c r="T164" s="42"/>
      <c r="U164" s="41"/>
      <c r="V164" s="42"/>
      <c r="W164" s="41"/>
      <c r="X164" s="42"/>
      <c r="Y164" s="41"/>
      <c r="Z164" s="41"/>
    </row>
    <row r="165" spans="1:26" ht="13.9" customHeight="1" x14ac:dyDescent="0.25">
      <c r="D165" s="21" t="s">
        <v>32</v>
      </c>
      <c r="E165" s="21" t="s">
        <v>33</v>
      </c>
      <c r="F165" s="21" t="s">
        <v>34</v>
      </c>
      <c r="G165" s="21" t="s">
        <v>1</v>
      </c>
      <c r="H165" s="21" t="s">
        <v>2</v>
      </c>
      <c r="I165" s="21" t="s">
        <v>3</v>
      </c>
      <c r="J165" s="21" t="s">
        <v>4</v>
      </c>
      <c r="K165" s="21" t="s">
        <v>5</v>
      </c>
      <c r="L165" s="21" t="s">
        <v>6</v>
      </c>
      <c r="M165" s="21" t="s">
        <v>7</v>
      </c>
      <c r="N165" s="21" t="s">
        <v>8</v>
      </c>
      <c r="O165" s="21" t="s">
        <v>9</v>
      </c>
      <c r="P165" s="21" t="s">
        <v>124</v>
      </c>
      <c r="Q165" s="21" t="s">
        <v>11</v>
      </c>
      <c r="R165" s="22" t="s">
        <v>12</v>
      </c>
      <c r="S165" s="21" t="s">
        <v>13</v>
      </c>
      <c r="T165" s="22" t="s">
        <v>14</v>
      </c>
      <c r="U165" s="21" t="s">
        <v>15</v>
      </c>
      <c r="V165" s="22" t="s">
        <v>16</v>
      </c>
      <c r="W165" s="21" t="s">
        <v>17</v>
      </c>
      <c r="X165" s="22" t="s">
        <v>18</v>
      </c>
      <c r="Y165" s="21" t="s">
        <v>19</v>
      </c>
      <c r="Z165" s="21" t="s">
        <v>20</v>
      </c>
    </row>
    <row r="166" spans="1:26" ht="13.9" hidden="1" customHeight="1" x14ac:dyDescent="0.25">
      <c r="A166" s="15">
        <v>2</v>
      </c>
      <c r="B166" s="15">
        <v>1</v>
      </c>
      <c r="D166" s="51" t="s">
        <v>171</v>
      </c>
      <c r="E166" s="24">
        <v>630</v>
      </c>
      <c r="F166" s="24" t="s">
        <v>172</v>
      </c>
      <c r="G166" s="46">
        <v>4581.01</v>
      </c>
      <c r="H166" s="46">
        <v>32424.78</v>
      </c>
      <c r="I166" s="46">
        <v>0</v>
      </c>
      <c r="J166" s="46">
        <f>2232+47794</f>
        <v>50026</v>
      </c>
      <c r="K166" s="46">
        <v>0</v>
      </c>
      <c r="L166" s="46"/>
      <c r="M166" s="46"/>
      <c r="N166" s="46"/>
      <c r="O166" s="46"/>
      <c r="P166" s="25">
        <f>K166+SUM(L166:O166)</f>
        <v>0</v>
      </c>
      <c r="Q166" s="46"/>
      <c r="R166" s="47">
        <f t="shared" ref="R166:R178" si="96">IFERROR(Q166/$P166,0)</f>
        <v>0</v>
      </c>
      <c r="S166" s="46"/>
      <c r="T166" s="47">
        <f t="shared" ref="T166:T178" si="97">IFERROR(S166/$P166,0)</f>
        <v>0</v>
      </c>
      <c r="U166" s="46"/>
      <c r="V166" s="47">
        <f t="shared" ref="V166:V178" si="98">IFERROR(U166/$P166,0)</f>
        <v>0</v>
      </c>
      <c r="W166" s="46"/>
      <c r="X166" s="47">
        <f t="shared" ref="X166:X178" si="99">IFERROR(W166/$P166,0)</f>
        <v>0</v>
      </c>
      <c r="Y166" s="25">
        <f>K166</f>
        <v>0</v>
      </c>
      <c r="Z166" s="25">
        <f>Y166</f>
        <v>0</v>
      </c>
    </row>
    <row r="167" spans="1:26" ht="13.9" customHeight="1" x14ac:dyDescent="0.25">
      <c r="D167" s="51" t="s">
        <v>173</v>
      </c>
      <c r="E167" s="24">
        <v>630</v>
      </c>
      <c r="F167" s="24" t="s">
        <v>134</v>
      </c>
      <c r="G167" s="46">
        <v>0</v>
      </c>
      <c r="H167" s="46">
        <v>0</v>
      </c>
      <c r="I167" s="46">
        <v>0</v>
      </c>
      <c r="J167" s="46">
        <v>0</v>
      </c>
      <c r="K167" s="46">
        <v>5500</v>
      </c>
      <c r="L167" s="46"/>
      <c r="M167" s="46">
        <v>3300</v>
      </c>
      <c r="N167" s="46"/>
      <c r="O167" s="46"/>
      <c r="P167" s="25">
        <f>K167+SUM(L167:O167)</f>
        <v>8800</v>
      </c>
      <c r="Q167" s="46">
        <v>1153.2</v>
      </c>
      <c r="R167" s="47">
        <f t="shared" si="96"/>
        <v>0.13104545454545455</v>
      </c>
      <c r="S167" s="46">
        <v>6014.35</v>
      </c>
      <c r="T167" s="47">
        <f t="shared" si="97"/>
        <v>0.6834488636363637</v>
      </c>
      <c r="U167" s="46"/>
      <c r="V167" s="47">
        <f t="shared" si="98"/>
        <v>0</v>
      </c>
      <c r="W167" s="46"/>
      <c r="X167" s="47">
        <f t="shared" si="99"/>
        <v>0</v>
      </c>
      <c r="Y167" s="25">
        <f>K167</f>
        <v>5500</v>
      </c>
      <c r="Z167" s="25">
        <f>Y167</f>
        <v>5500</v>
      </c>
    </row>
    <row r="168" spans="1:26" ht="13.9" customHeight="1" x14ac:dyDescent="0.25">
      <c r="A168" s="15">
        <v>2</v>
      </c>
      <c r="B168" s="15">
        <v>1</v>
      </c>
      <c r="D168" s="51" t="s">
        <v>171</v>
      </c>
      <c r="E168" s="24" t="s">
        <v>49</v>
      </c>
      <c r="F168" s="24" t="s">
        <v>22</v>
      </c>
      <c r="G168" s="46">
        <v>642753.13</v>
      </c>
      <c r="H168" s="46">
        <v>766680.34</v>
      </c>
      <c r="I168" s="46">
        <v>780000</v>
      </c>
      <c r="J168" s="46">
        <v>856521</v>
      </c>
      <c r="K168" s="46">
        <v>1167089</v>
      </c>
      <c r="L168" s="46">
        <f>14952+27049</f>
        <v>42001</v>
      </c>
      <c r="M168" s="46">
        <f>7225+38714</f>
        <v>45939</v>
      </c>
      <c r="N168" s="46"/>
      <c r="O168" s="46"/>
      <c r="P168" s="25">
        <f>K168+SUM(L168:O168)</f>
        <v>1255029</v>
      </c>
      <c r="Q168" s="46">
        <v>196665.26</v>
      </c>
      <c r="R168" s="47">
        <f t="shared" si="96"/>
        <v>0.15670176545721254</v>
      </c>
      <c r="S168" s="46">
        <v>554518.29</v>
      </c>
      <c r="T168" s="47">
        <f t="shared" si="97"/>
        <v>0.44183703324783735</v>
      </c>
      <c r="U168" s="46"/>
      <c r="V168" s="47">
        <f t="shared" si="98"/>
        <v>0</v>
      </c>
      <c r="W168" s="46"/>
      <c r="X168" s="47">
        <f t="shared" si="99"/>
        <v>0</v>
      </c>
      <c r="Y168" s="25">
        <v>1105280</v>
      </c>
      <c r="Z168" s="25">
        <v>1111380</v>
      </c>
    </row>
    <row r="169" spans="1:26" ht="13.9" customHeight="1" x14ac:dyDescent="0.25">
      <c r="A169" s="15">
        <v>2</v>
      </c>
      <c r="B169" s="15">
        <v>1</v>
      </c>
      <c r="D169" s="79" t="s">
        <v>21</v>
      </c>
      <c r="E169" s="48" t="s">
        <v>174</v>
      </c>
      <c r="F169" s="48" t="s">
        <v>137</v>
      </c>
      <c r="G169" s="49">
        <f t="shared" ref="G169:Q169" si="100">SUM(G166:G168)</f>
        <v>647334.14</v>
      </c>
      <c r="H169" s="49">
        <f t="shared" si="100"/>
        <v>799105.12</v>
      </c>
      <c r="I169" s="49">
        <f t="shared" si="100"/>
        <v>780000</v>
      </c>
      <c r="J169" s="49">
        <f t="shared" si="100"/>
        <v>906547</v>
      </c>
      <c r="K169" s="49">
        <f t="shared" si="100"/>
        <v>1172589</v>
      </c>
      <c r="L169" s="49">
        <f t="shared" si="100"/>
        <v>42001</v>
      </c>
      <c r="M169" s="49">
        <f t="shared" si="100"/>
        <v>49239</v>
      </c>
      <c r="N169" s="49">
        <f t="shared" si="100"/>
        <v>0</v>
      </c>
      <c r="O169" s="49">
        <f t="shared" si="100"/>
        <v>0</v>
      </c>
      <c r="P169" s="49">
        <f t="shared" si="100"/>
        <v>1263829</v>
      </c>
      <c r="Q169" s="49">
        <f t="shared" si="100"/>
        <v>197818.46000000002</v>
      </c>
      <c r="R169" s="50">
        <f t="shared" si="96"/>
        <v>0.15652312140329114</v>
      </c>
      <c r="S169" s="49">
        <f>SUM(S166:S168)</f>
        <v>560532.64</v>
      </c>
      <c r="T169" s="50">
        <f t="shared" si="97"/>
        <v>0.44351936852216561</v>
      </c>
      <c r="U169" s="49">
        <f>SUM(U166:U168)</f>
        <v>0</v>
      </c>
      <c r="V169" s="50">
        <f t="shared" si="98"/>
        <v>0</v>
      </c>
      <c r="W169" s="49">
        <f>SUM(W166:W168)</f>
        <v>0</v>
      </c>
      <c r="X169" s="50">
        <f t="shared" si="99"/>
        <v>0</v>
      </c>
      <c r="Y169" s="49">
        <f>SUM(Y166:Y168)</f>
        <v>1110780</v>
      </c>
      <c r="Z169" s="49">
        <f>SUM(Z166:Z168)</f>
        <v>1116880</v>
      </c>
    </row>
    <row r="170" spans="1:26" ht="13.9" customHeight="1" x14ac:dyDescent="0.25">
      <c r="A170" s="15">
        <v>2</v>
      </c>
      <c r="B170" s="15">
        <v>1</v>
      </c>
      <c r="D170" s="91" t="s">
        <v>173</v>
      </c>
      <c r="E170" s="48">
        <v>630</v>
      </c>
      <c r="F170" s="48" t="s">
        <v>134</v>
      </c>
      <c r="G170" s="25">
        <v>17602.3</v>
      </c>
      <c r="H170" s="25">
        <v>12250.49</v>
      </c>
      <c r="I170" s="25">
        <v>22894</v>
      </c>
      <c r="J170" s="25">
        <v>15888</v>
      </c>
      <c r="K170" s="25">
        <v>20723</v>
      </c>
      <c r="L170" s="49">
        <v>-698</v>
      </c>
      <c r="M170" s="49"/>
      <c r="N170" s="49"/>
      <c r="O170" s="49"/>
      <c r="P170" s="25">
        <f>K170+SUM(L170:O170)</f>
        <v>20025</v>
      </c>
      <c r="Q170" s="49">
        <v>148.47</v>
      </c>
      <c r="R170" s="47">
        <f t="shared" si="96"/>
        <v>7.4142322097378276E-3</v>
      </c>
      <c r="S170" s="49">
        <v>1625.02</v>
      </c>
      <c r="T170" s="47">
        <f t="shared" si="97"/>
        <v>8.1149563046192252E-2</v>
      </c>
      <c r="U170" s="49"/>
      <c r="V170" s="47">
        <f t="shared" si="98"/>
        <v>0</v>
      </c>
      <c r="W170" s="49"/>
      <c r="X170" s="47">
        <f t="shared" si="99"/>
        <v>0</v>
      </c>
      <c r="Y170" s="25">
        <f>K170</f>
        <v>20723</v>
      </c>
      <c r="Z170" s="25">
        <f>Y170</f>
        <v>20723</v>
      </c>
    </row>
    <row r="171" spans="1:26" ht="13.9" customHeight="1" x14ac:dyDescent="0.25">
      <c r="A171" s="15">
        <v>2</v>
      </c>
      <c r="B171" s="15">
        <v>1</v>
      </c>
      <c r="D171" s="51" t="s">
        <v>175</v>
      </c>
      <c r="E171" s="24">
        <v>630</v>
      </c>
      <c r="F171" s="24" t="s">
        <v>134</v>
      </c>
      <c r="G171" s="25">
        <v>7682.49</v>
      </c>
      <c r="H171" s="25">
        <v>2309.44</v>
      </c>
      <c r="I171" s="25">
        <v>1982</v>
      </c>
      <c r="J171" s="25">
        <v>3407</v>
      </c>
      <c r="K171" s="25">
        <v>2032</v>
      </c>
      <c r="L171" s="25">
        <v>698</v>
      </c>
      <c r="M171" s="25"/>
      <c r="N171" s="25"/>
      <c r="O171" s="25"/>
      <c r="P171" s="25">
        <f>K171+SUM(L171:O171)</f>
        <v>2730</v>
      </c>
      <c r="Q171" s="25">
        <v>300</v>
      </c>
      <c r="R171" s="26">
        <f t="shared" si="96"/>
        <v>0.10989010989010989</v>
      </c>
      <c r="S171" s="25">
        <v>997.7</v>
      </c>
      <c r="T171" s="26">
        <f t="shared" si="97"/>
        <v>0.36545787545787545</v>
      </c>
      <c r="U171" s="25"/>
      <c r="V171" s="26">
        <f t="shared" si="98"/>
        <v>0</v>
      </c>
      <c r="W171" s="25"/>
      <c r="X171" s="26">
        <f t="shared" si="99"/>
        <v>0</v>
      </c>
      <c r="Y171" s="25">
        <f>K171</f>
        <v>2032</v>
      </c>
      <c r="Z171" s="25">
        <f>Y171</f>
        <v>2032</v>
      </c>
    </row>
    <row r="172" spans="1:26" ht="13.9" hidden="1" customHeight="1" x14ac:dyDescent="0.25">
      <c r="A172" s="15">
        <v>2</v>
      </c>
      <c r="B172" s="15">
        <v>1</v>
      </c>
      <c r="D172" s="115" t="s">
        <v>176</v>
      </c>
      <c r="E172" s="24">
        <v>640</v>
      </c>
      <c r="F172" s="24" t="s">
        <v>135</v>
      </c>
      <c r="G172" s="25">
        <v>1624.18</v>
      </c>
      <c r="H172" s="25">
        <v>0</v>
      </c>
      <c r="I172" s="25">
        <v>0</v>
      </c>
      <c r="J172" s="25">
        <v>0</v>
      </c>
      <c r="K172" s="25">
        <v>0</v>
      </c>
      <c r="L172" s="25"/>
      <c r="M172" s="25"/>
      <c r="N172" s="25"/>
      <c r="O172" s="25"/>
      <c r="P172" s="25">
        <f>K172+SUM(L172:O172)</f>
        <v>0</v>
      </c>
      <c r="Q172" s="25"/>
      <c r="R172" s="26">
        <f t="shared" si="96"/>
        <v>0</v>
      </c>
      <c r="S172" s="25"/>
      <c r="T172" s="26">
        <f t="shared" si="97"/>
        <v>0</v>
      </c>
      <c r="U172" s="25"/>
      <c r="V172" s="26">
        <f t="shared" si="98"/>
        <v>0</v>
      </c>
      <c r="W172" s="25"/>
      <c r="X172" s="26">
        <f t="shared" si="99"/>
        <v>0</v>
      </c>
      <c r="Y172" s="25">
        <f>K172</f>
        <v>0</v>
      </c>
      <c r="Z172" s="25">
        <f>Y172</f>
        <v>0</v>
      </c>
    </row>
    <row r="173" spans="1:26" ht="13.9" customHeight="1" x14ac:dyDescent="0.25">
      <c r="A173" s="15">
        <v>2</v>
      </c>
      <c r="B173" s="15">
        <v>1</v>
      </c>
      <c r="D173" s="116" t="s">
        <v>177</v>
      </c>
      <c r="E173" s="24">
        <v>630</v>
      </c>
      <c r="F173" s="24" t="s">
        <v>134</v>
      </c>
      <c r="G173" s="25">
        <v>8909.4</v>
      </c>
      <c r="H173" s="25">
        <v>5300.67</v>
      </c>
      <c r="I173" s="25">
        <v>20286</v>
      </c>
      <c r="J173" s="25">
        <v>5548</v>
      </c>
      <c r="K173" s="25">
        <v>5500</v>
      </c>
      <c r="L173" s="25"/>
      <c r="M173" s="25"/>
      <c r="N173" s="25"/>
      <c r="O173" s="25"/>
      <c r="P173" s="25">
        <f>K173+SUM(L173:O173)</f>
        <v>5500</v>
      </c>
      <c r="Q173" s="25">
        <v>1696.19</v>
      </c>
      <c r="R173" s="26">
        <f t="shared" si="96"/>
        <v>0.30839818181818185</v>
      </c>
      <c r="S173" s="25">
        <v>3278.28</v>
      </c>
      <c r="T173" s="26">
        <f t="shared" si="97"/>
        <v>0.59605090909090908</v>
      </c>
      <c r="U173" s="25"/>
      <c r="V173" s="26">
        <f t="shared" si="98"/>
        <v>0</v>
      </c>
      <c r="W173" s="25"/>
      <c r="X173" s="26">
        <f t="shared" si="99"/>
        <v>0</v>
      </c>
      <c r="Y173" s="25">
        <f>K173</f>
        <v>5500</v>
      </c>
      <c r="Z173" s="25">
        <f>Y173</f>
        <v>5500</v>
      </c>
    </row>
    <row r="174" spans="1:26" ht="13.9" customHeight="1" x14ac:dyDescent="0.25">
      <c r="A174" s="15">
        <v>2</v>
      </c>
      <c r="B174" s="15">
        <v>1</v>
      </c>
      <c r="D174" s="117" t="s">
        <v>171</v>
      </c>
      <c r="E174" s="24" t="s">
        <v>49</v>
      </c>
      <c r="F174" s="24" t="s">
        <v>178</v>
      </c>
      <c r="G174" s="46">
        <v>300613.18</v>
      </c>
      <c r="H174" s="46">
        <v>303704.49</v>
      </c>
      <c r="I174" s="46">
        <v>353731</v>
      </c>
      <c r="J174" s="46">
        <v>407568</v>
      </c>
      <c r="K174" s="46">
        <v>133457</v>
      </c>
      <c r="L174" s="46"/>
      <c r="M174" s="46"/>
      <c r="N174" s="46"/>
      <c r="O174" s="46"/>
      <c r="P174" s="25">
        <f>K174+SUM(L174:O174)</f>
        <v>133457</v>
      </c>
      <c r="Q174" s="46">
        <v>20900.95</v>
      </c>
      <c r="R174" s="47">
        <f t="shared" si="96"/>
        <v>0.15661186749290035</v>
      </c>
      <c r="S174" s="46">
        <v>52323.49</v>
      </c>
      <c r="T174" s="47">
        <f t="shared" si="97"/>
        <v>0.39206253699693533</v>
      </c>
      <c r="U174" s="46"/>
      <c r="V174" s="47">
        <f t="shared" si="98"/>
        <v>0</v>
      </c>
      <c r="W174" s="46"/>
      <c r="X174" s="47">
        <f t="shared" si="99"/>
        <v>0</v>
      </c>
      <c r="Y174" s="25">
        <v>145046</v>
      </c>
      <c r="Z174" s="25">
        <v>147675</v>
      </c>
    </row>
    <row r="175" spans="1:26" ht="13.9" customHeight="1" x14ac:dyDescent="0.25">
      <c r="A175" s="15">
        <v>2</v>
      </c>
      <c r="B175" s="15">
        <v>1</v>
      </c>
      <c r="D175" s="79" t="s">
        <v>21</v>
      </c>
      <c r="E175" s="48">
        <v>41</v>
      </c>
      <c r="F175" s="48" t="s">
        <v>23</v>
      </c>
      <c r="G175" s="49">
        <f t="shared" ref="G175:Q175" si="101">SUM(G170:G174)</f>
        <v>336431.55</v>
      </c>
      <c r="H175" s="49">
        <f t="shared" si="101"/>
        <v>323565.08999999997</v>
      </c>
      <c r="I175" s="49">
        <f t="shared" si="101"/>
        <v>398893</v>
      </c>
      <c r="J175" s="49">
        <f t="shared" si="101"/>
        <v>432411</v>
      </c>
      <c r="K175" s="49">
        <f t="shared" si="101"/>
        <v>161712</v>
      </c>
      <c r="L175" s="49">
        <f t="shared" si="101"/>
        <v>0</v>
      </c>
      <c r="M175" s="49">
        <f t="shared" si="101"/>
        <v>0</v>
      </c>
      <c r="N175" s="49">
        <f t="shared" si="101"/>
        <v>0</v>
      </c>
      <c r="O175" s="49">
        <f t="shared" si="101"/>
        <v>0</v>
      </c>
      <c r="P175" s="49">
        <f t="shared" si="101"/>
        <v>161712</v>
      </c>
      <c r="Q175" s="49">
        <f t="shared" si="101"/>
        <v>23045.61</v>
      </c>
      <c r="R175" s="50">
        <f t="shared" si="96"/>
        <v>0.14251020332442862</v>
      </c>
      <c r="S175" s="49">
        <f>SUM(S170:S174)</f>
        <v>58224.49</v>
      </c>
      <c r="T175" s="50">
        <f t="shared" si="97"/>
        <v>0.36005052191550407</v>
      </c>
      <c r="U175" s="49">
        <f>SUM(U170:U174)</f>
        <v>0</v>
      </c>
      <c r="V175" s="50">
        <f t="shared" si="98"/>
        <v>0</v>
      </c>
      <c r="W175" s="49">
        <f>SUM(W170:W174)</f>
        <v>0</v>
      </c>
      <c r="X175" s="50">
        <f t="shared" si="99"/>
        <v>0</v>
      </c>
      <c r="Y175" s="49">
        <f>SUM(Y170:Y174)</f>
        <v>173301</v>
      </c>
      <c r="Z175" s="49">
        <f>SUM(Z170:Z174)</f>
        <v>175930</v>
      </c>
    </row>
    <row r="176" spans="1:26" ht="13.9" customHeight="1" x14ac:dyDescent="0.25">
      <c r="A176" s="15">
        <v>2</v>
      </c>
      <c r="B176" s="15">
        <v>1</v>
      </c>
      <c r="D176" s="51" t="s">
        <v>171</v>
      </c>
      <c r="E176" s="24" t="s">
        <v>49</v>
      </c>
      <c r="F176" s="24" t="s">
        <v>25</v>
      </c>
      <c r="G176" s="46">
        <v>71545.320000000007</v>
      </c>
      <c r="H176" s="46">
        <v>97546.64</v>
      </c>
      <c r="I176" s="46">
        <v>97900</v>
      </c>
      <c r="J176" s="46">
        <v>90145</v>
      </c>
      <c r="K176" s="46">
        <v>92100</v>
      </c>
      <c r="L176" s="46">
        <v>12910</v>
      </c>
      <c r="M176" s="46">
        <v>25446</v>
      </c>
      <c r="N176" s="46"/>
      <c r="O176" s="46"/>
      <c r="P176" s="25">
        <f>K176+SUM(L176:O176)</f>
        <v>130456</v>
      </c>
      <c r="Q176" s="46">
        <v>11177.83</v>
      </c>
      <c r="R176" s="47">
        <f t="shared" si="96"/>
        <v>8.5682758937879439E-2</v>
      </c>
      <c r="S176" s="46">
        <v>34087.599999999999</v>
      </c>
      <c r="T176" s="47">
        <f t="shared" si="97"/>
        <v>0.26129576255595754</v>
      </c>
      <c r="U176" s="46"/>
      <c r="V176" s="47">
        <f t="shared" si="98"/>
        <v>0</v>
      </c>
      <c r="W176" s="46"/>
      <c r="X176" s="47">
        <f t="shared" si="99"/>
        <v>0</v>
      </c>
      <c r="Y176" s="25">
        <v>92600</v>
      </c>
      <c r="Z176" s="25">
        <f>Y176</f>
        <v>92600</v>
      </c>
    </row>
    <row r="177" spans="1:26" ht="13.9" customHeight="1" x14ac:dyDescent="0.25">
      <c r="A177" s="15">
        <v>2</v>
      </c>
      <c r="B177" s="15">
        <v>1</v>
      </c>
      <c r="D177" s="79" t="s">
        <v>21</v>
      </c>
      <c r="E177" s="48">
        <v>72</v>
      </c>
      <c r="F177" s="48" t="s">
        <v>25</v>
      </c>
      <c r="G177" s="49">
        <f t="shared" ref="G177:Q177" si="102">SUM(G176)</f>
        <v>71545.320000000007</v>
      </c>
      <c r="H177" s="49">
        <f t="shared" si="102"/>
        <v>97546.64</v>
      </c>
      <c r="I177" s="98">
        <f t="shared" si="102"/>
        <v>97900</v>
      </c>
      <c r="J177" s="49">
        <f t="shared" si="102"/>
        <v>90145</v>
      </c>
      <c r="K177" s="98">
        <f t="shared" si="102"/>
        <v>92100</v>
      </c>
      <c r="L177" s="49">
        <f t="shared" si="102"/>
        <v>12910</v>
      </c>
      <c r="M177" s="49">
        <f t="shared" si="102"/>
        <v>25446</v>
      </c>
      <c r="N177" s="49">
        <f t="shared" si="102"/>
        <v>0</v>
      </c>
      <c r="O177" s="49">
        <f t="shared" si="102"/>
        <v>0</v>
      </c>
      <c r="P177" s="49">
        <f t="shared" si="102"/>
        <v>130456</v>
      </c>
      <c r="Q177" s="49">
        <f t="shared" si="102"/>
        <v>11177.83</v>
      </c>
      <c r="R177" s="50">
        <f t="shared" si="96"/>
        <v>8.5682758937879439E-2</v>
      </c>
      <c r="S177" s="49">
        <f>SUM(S176)</f>
        <v>34087.599999999999</v>
      </c>
      <c r="T177" s="50">
        <f t="shared" si="97"/>
        <v>0.26129576255595754</v>
      </c>
      <c r="U177" s="49">
        <f>SUM(U176)</f>
        <v>0</v>
      </c>
      <c r="V177" s="50">
        <f t="shared" si="98"/>
        <v>0</v>
      </c>
      <c r="W177" s="49">
        <f>SUM(W176)</f>
        <v>0</v>
      </c>
      <c r="X177" s="50">
        <f t="shared" si="99"/>
        <v>0</v>
      </c>
      <c r="Y177" s="49">
        <f>SUM(Y176)</f>
        <v>92600</v>
      </c>
      <c r="Z177" s="49">
        <f>SUM(Z176)</f>
        <v>92600</v>
      </c>
    </row>
    <row r="178" spans="1:26" ht="13.9" customHeight="1" x14ac:dyDescent="0.25">
      <c r="A178" s="15">
        <v>2</v>
      </c>
      <c r="B178" s="15">
        <v>1</v>
      </c>
      <c r="D178" s="30"/>
      <c r="E178" s="31"/>
      <c r="F178" s="27" t="s">
        <v>127</v>
      </c>
      <c r="G178" s="28">
        <f t="shared" ref="G178:Q178" si="103">G169+G175+G177</f>
        <v>1055311.01</v>
      </c>
      <c r="H178" s="28">
        <f t="shared" si="103"/>
        <v>1220216.8499999999</v>
      </c>
      <c r="I178" s="28">
        <f t="shared" si="103"/>
        <v>1276793</v>
      </c>
      <c r="J178" s="28">
        <f t="shared" si="103"/>
        <v>1429103</v>
      </c>
      <c r="K178" s="28">
        <f t="shared" si="103"/>
        <v>1426401</v>
      </c>
      <c r="L178" s="28">
        <f t="shared" si="103"/>
        <v>54911</v>
      </c>
      <c r="M178" s="28">
        <f t="shared" si="103"/>
        <v>74685</v>
      </c>
      <c r="N178" s="28">
        <f t="shared" si="103"/>
        <v>0</v>
      </c>
      <c r="O178" s="28">
        <f t="shared" si="103"/>
        <v>0</v>
      </c>
      <c r="P178" s="28">
        <f t="shared" si="103"/>
        <v>1555997</v>
      </c>
      <c r="Q178" s="28">
        <f t="shared" si="103"/>
        <v>232041.9</v>
      </c>
      <c r="R178" s="29">
        <f t="shared" si="96"/>
        <v>0.14912747261080836</v>
      </c>
      <c r="S178" s="28">
        <f>S169+S175+S177</f>
        <v>652844.73</v>
      </c>
      <c r="T178" s="29">
        <f t="shared" si="97"/>
        <v>0.41956683078437812</v>
      </c>
      <c r="U178" s="28">
        <f>U169+U175+U177</f>
        <v>0</v>
      </c>
      <c r="V178" s="29">
        <f t="shared" si="98"/>
        <v>0</v>
      </c>
      <c r="W178" s="28">
        <f>W169+W175+W177</f>
        <v>0</v>
      </c>
      <c r="X178" s="29">
        <f t="shared" si="99"/>
        <v>0</v>
      </c>
      <c r="Y178" s="28">
        <f>Y169+Y175+Y177</f>
        <v>1376681</v>
      </c>
      <c r="Z178" s="28">
        <f>Z169+Z175+Z177</f>
        <v>1385410</v>
      </c>
    </row>
    <row r="180" spans="1:26" ht="13.9" customHeight="1" x14ac:dyDescent="0.25">
      <c r="E180" s="52" t="s">
        <v>55</v>
      </c>
      <c r="F180" s="30" t="s">
        <v>179</v>
      </c>
      <c r="G180" s="53">
        <v>1228.8599999999999</v>
      </c>
      <c r="H180" s="53">
        <v>2601.7399999999998</v>
      </c>
      <c r="I180" s="118">
        <v>2671</v>
      </c>
      <c r="J180" s="53">
        <v>864</v>
      </c>
      <c r="K180" s="118">
        <v>1085</v>
      </c>
      <c r="L180" s="53"/>
      <c r="M180" s="53"/>
      <c r="N180" s="53"/>
      <c r="O180" s="53"/>
      <c r="P180" s="53">
        <f t="shared" ref="P180:P187" si="104">K180+SUM(L180:O180)</f>
        <v>1085</v>
      </c>
      <c r="Q180" s="53">
        <v>244.2</v>
      </c>
      <c r="R180" s="54">
        <f t="shared" ref="R180:R187" si="105">IFERROR(Q180/$P180,0)</f>
        <v>0.22506912442396312</v>
      </c>
      <c r="S180" s="53">
        <v>585.15</v>
      </c>
      <c r="T180" s="54">
        <f t="shared" ref="T180:T187" si="106">IFERROR(S180/$P180,0)</f>
        <v>0.53930875576036863</v>
      </c>
      <c r="U180" s="53"/>
      <c r="V180" s="54">
        <f t="shared" ref="V180:V187" si="107">IFERROR(U180/$P180,0)</f>
        <v>0</v>
      </c>
      <c r="W180" s="53"/>
      <c r="X180" s="55">
        <f t="shared" ref="X180:X187" si="108">IFERROR(W180/$P180,0)</f>
        <v>0</v>
      </c>
      <c r="Y180" s="53">
        <f>K180</f>
        <v>1085</v>
      </c>
      <c r="Z180" s="56">
        <f t="shared" ref="Z180:Z187" si="109">Y180</f>
        <v>1085</v>
      </c>
    </row>
    <row r="181" spans="1:26" ht="13.9" customHeight="1" x14ac:dyDescent="0.25">
      <c r="E181" s="57"/>
      <c r="F181" s="92" t="s">
        <v>180</v>
      </c>
      <c r="G181" s="95">
        <v>5873.63</v>
      </c>
      <c r="H181" s="95">
        <v>15154.23</v>
      </c>
      <c r="I181" s="93">
        <v>15154</v>
      </c>
      <c r="J181" s="95">
        <v>4794</v>
      </c>
      <c r="K181" s="93">
        <v>4795</v>
      </c>
      <c r="L181" s="95"/>
      <c r="M181" s="95"/>
      <c r="N181" s="95"/>
      <c r="O181" s="95"/>
      <c r="P181" s="95">
        <f t="shared" si="104"/>
        <v>4795</v>
      </c>
      <c r="Q181" s="95">
        <v>909</v>
      </c>
      <c r="R181" s="96">
        <f t="shared" si="105"/>
        <v>0.18957247132429614</v>
      </c>
      <c r="S181" s="95">
        <v>2227.5</v>
      </c>
      <c r="T181" s="96">
        <f t="shared" si="106"/>
        <v>0.46454640250260687</v>
      </c>
      <c r="U181" s="95"/>
      <c r="V181" s="96">
        <f t="shared" si="107"/>
        <v>0</v>
      </c>
      <c r="W181" s="95"/>
      <c r="X181" s="60">
        <f t="shared" si="108"/>
        <v>0</v>
      </c>
      <c r="Y181" s="95">
        <f>K181</f>
        <v>4795</v>
      </c>
      <c r="Z181" s="61">
        <f t="shared" si="109"/>
        <v>4795</v>
      </c>
    </row>
    <row r="182" spans="1:26" ht="13.9" customHeight="1" x14ac:dyDescent="0.25">
      <c r="E182" s="57"/>
      <c r="F182" s="92" t="s">
        <v>181</v>
      </c>
      <c r="G182" s="95">
        <v>6951.59</v>
      </c>
      <c r="H182" s="95">
        <v>14844.64</v>
      </c>
      <c r="I182" s="93">
        <v>15235</v>
      </c>
      <c r="J182" s="95">
        <v>3950</v>
      </c>
      <c r="K182" s="93">
        <v>4000</v>
      </c>
      <c r="L182" s="95"/>
      <c r="M182" s="95"/>
      <c r="N182" s="95"/>
      <c r="O182" s="95"/>
      <c r="P182" s="95">
        <f t="shared" si="104"/>
        <v>4000</v>
      </c>
      <c r="Q182" s="95">
        <v>1393.19</v>
      </c>
      <c r="R182" s="96">
        <f t="shared" si="105"/>
        <v>0.34829750000000004</v>
      </c>
      <c r="S182" s="95">
        <v>2520.7800000000002</v>
      </c>
      <c r="T182" s="96">
        <f t="shared" si="106"/>
        <v>0.63019500000000006</v>
      </c>
      <c r="U182" s="95"/>
      <c r="V182" s="96">
        <f t="shared" si="107"/>
        <v>0</v>
      </c>
      <c r="W182" s="95"/>
      <c r="X182" s="60">
        <f t="shared" si="108"/>
        <v>0</v>
      </c>
      <c r="Y182" s="95">
        <f>K182</f>
        <v>4000</v>
      </c>
      <c r="Z182" s="61">
        <f t="shared" si="109"/>
        <v>4000</v>
      </c>
    </row>
    <row r="183" spans="1:26" ht="13.9" customHeight="1" x14ac:dyDescent="0.25">
      <c r="E183" s="57"/>
      <c r="F183" s="92" t="s">
        <v>182</v>
      </c>
      <c r="G183" s="93">
        <v>1957.81</v>
      </c>
      <c r="H183" s="93">
        <v>5051.57</v>
      </c>
      <c r="I183" s="93">
        <v>5051</v>
      </c>
      <c r="J183" s="93">
        <v>1598</v>
      </c>
      <c r="K183" s="93">
        <v>1500</v>
      </c>
      <c r="L183" s="93"/>
      <c r="M183" s="93"/>
      <c r="N183" s="93"/>
      <c r="O183" s="93"/>
      <c r="P183" s="93">
        <f t="shared" si="104"/>
        <v>1500</v>
      </c>
      <c r="Q183" s="93">
        <v>303</v>
      </c>
      <c r="R183" s="94">
        <f t="shared" si="105"/>
        <v>0.20200000000000001</v>
      </c>
      <c r="S183" s="93">
        <v>757.5</v>
      </c>
      <c r="T183" s="94">
        <f t="shared" si="106"/>
        <v>0.505</v>
      </c>
      <c r="U183" s="93"/>
      <c r="V183" s="94">
        <f t="shared" si="107"/>
        <v>0</v>
      </c>
      <c r="W183" s="93"/>
      <c r="X183" s="64">
        <f t="shared" si="108"/>
        <v>0</v>
      </c>
      <c r="Y183" s="95">
        <f>K183</f>
        <v>1500</v>
      </c>
      <c r="Z183" s="61">
        <f t="shared" si="109"/>
        <v>1500</v>
      </c>
    </row>
    <row r="184" spans="1:26" ht="13.9" customHeight="1" x14ac:dyDescent="0.25">
      <c r="E184" s="57"/>
      <c r="F184" s="92" t="s">
        <v>183</v>
      </c>
      <c r="G184" s="93"/>
      <c r="H184" s="93"/>
      <c r="I184" s="93"/>
      <c r="J184" s="93">
        <v>3600</v>
      </c>
      <c r="K184" s="93">
        <v>17000</v>
      </c>
      <c r="L184" s="93"/>
      <c r="M184" s="93"/>
      <c r="N184" s="93"/>
      <c r="O184" s="93"/>
      <c r="P184" s="93">
        <f t="shared" si="104"/>
        <v>17000</v>
      </c>
      <c r="Q184" s="93">
        <v>0</v>
      </c>
      <c r="R184" s="94">
        <f t="shared" si="105"/>
        <v>0</v>
      </c>
      <c r="S184" s="93">
        <v>0</v>
      </c>
      <c r="T184" s="94">
        <f t="shared" si="106"/>
        <v>0</v>
      </c>
      <c r="U184" s="93"/>
      <c r="V184" s="94">
        <f t="shared" si="107"/>
        <v>0</v>
      </c>
      <c r="W184" s="93"/>
      <c r="X184" s="64">
        <f t="shared" si="108"/>
        <v>0</v>
      </c>
      <c r="Y184" s="95">
        <v>0</v>
      </c>
      <c r="Z184" s="61">
        <f t="shared" si="109"/>
        <v>0</v>
      </c>
    </row>
    <row r="185" spans="1:26" ht="13.9" customHeight="1" x14ac:dyDescent="0.25">
      <c r="E185" s="100"/>
      <c r="F185" s="119" t="s">
        <v>184</v>
      </c>
      <c r="G185" s="102">
        <v>5180</v>
      </c>
      <c r="H185" s="102">
        <v>1080</v>
      </c>
      <c r="I185" s="102">
        <v>750</v>
      </c>
      <c r="J185" s="102">
        <v>1580</v>
      </c>
      <c r="K185" s="102">
        <v>1200</v>
      </c>
      <c r="L185" s="102"/>
      <c r="M185" s="102"/>
      <c r="N185" s="102"/>
      <c r="O185" s="102"/>
      <c r="P185" s="102">
        <f t="shared" si="104"/>
        <v>1200</v>
      </c>
      <c r="Q185" s="102">
        <v>300</v>
      </c>
      <c r="R185" s="103">
        <f t="shared" si="105"/>
        <v>0.25</v>
      </c>
      <c r="S185" s="102">
        <v>600</v>
      </c>
      <c r="T185" s="103">
        <f t="shared" si="106"/>
        <v>0.5</v>
      </c>
      <c r="U185" s="102"/>
      <c r="V185" s="103">
        <f t="shared" si="107"/>
        <v>0</v>
      </c>
      <c r="W185" s="102"/>
      <c r="X185" s="104">
        <f t="shared" si="108"/>
        <v>0</v>
      </c>
      <c r="Y185" s="95">
        <f>K185</f>
        <v>1200</v>
      </c>
      <c r="Z185" s="61">
        <f t="shared" si="109"/>
        <v>1200</v>
      </c>
    </row>
    <row r="186" spans="1:26" ht="13.9" hidden="1" customHeight="1" x14ac:dyDescent="0.25">
      <c r="E186" s="57"/>
      <c r="F186" s="92" t="s">
        <v>185</v>
      </c>
      <c r="G186" s="93"/>
      <c r="H186" s="93"/>
      <c r="I186" s="93"/>
      <c r="J186" s="93">
        <v>47794</v>
      </c>
      <c r="K186" s="93">
        <v>0</v>
      </c>
      <c r="L186" s="93"/>
      <c r="M186" s="93"/>
      <c r="N186" s="93"/>
      <c r="O186" s="93"/>
      <c r="P186" s="93">
        <f t="shared" si="104"/>
        <v>0</v>
      </c>
      <c r="Q186" s="93"/>
      <c r="R186" s="94">
        <f t="shared" si="105"/>
        <v>0</v>
      </c>
      <c r="S186" s="93"/>
      <c r="T186" s="94">
        <f t="shared" si="106"/>
        <v>0</v>
      </c>
      <c r="U186" s="93"/>
      <c r="V186" s="94">
        <f t="shared" si="107"/>
        <v>0</v>
      </c>
      <c r="W186" s="93"/>
      <c r="X186" s="64">
        <f t="shared" si="108"/>
        <v>0</v>
      </c>
      <c r="Y186" s="95">
        <f>K186</f>
        <v>0</v>
      </c>
      <c r="Z186" s="61">
        <f t="shared" si="109"/>
        <v>0</v>
      </c>
    </row>
    <row r="187" spans="1:26" ht="13.9" hidden="1" customHeight="1" x14ac:dyDescent="0.25">
      <c r="E187" s="65"/>
      <c r="F187" s="97" t="s">
        <v>186</v>
      </c>
      <c r="G187" s="120">
        <v>1624.18</v>
      </c>
      <c r="H187" s="120">
        <v>0</v>
      </c>
      <c r="I187" s="120">
        <v>0</v>
      </c>
      <c r="J187" s="120">
        <v>0</v>
      </c>
      <c r="K187" s="120">
        <v>0</v>
      </c>
      <c r="L187" s="120"/>
      <c r="M187" s="120"/>
      <c r="N187" s="120"/>
      <c r="O187" s="120"/>
      <c r="P187" s="120">
        <f t="shared" si="104"/>
        <v>0</v>
      </c>
      <c r="Q187" s="120"/>
      <c r="R187" s="121">
        <f t="shared" si="105"/>
        <v>0</v>
      </c>
      <c r="S187" s="120"/>
      <c r="T187" s="121">
        <f t="shared" si="106"/>
        <v>0</v>
      </c>
      <c r="U187" s="120"/>
      <c r="V187" s="121">
        <f t="shared" si="107"/>
        <v>0</v>
      </c>
      <c r="W187" s="120"/>
      <c r="X187" s="122">
        <f t="shared" si="108"/>
        <v>0</v>
      </c>
      <c r="Y187" s="67">
        <f>K187</f>
        <v>0</v>
      </c>
      <c r="Z187" s="70">
        <f t="shared" si="109"/>
        <v>0</v>
      </c>
    </row>
    <row r="189" spans="1:26" ht="13.9" customHeight="1" x14ac:dyDescent="0.25">
      <c r="D189" s="32" t="s">
        <v>187</v>
      </c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3"/>
      <c r="S189" s="32"/>
      <c r="T189" s="33"/>
      <c r="U189" s="32"/>
      <c r="V189" s="33"/>
      <c r="W189" s="32"/>
      <c r="X189" s="33"/>
      <c r="Y189" s="32"/>
      <c r="Z189" s="32"/>
    </row>
    <row r="190" spans="1:26" ht="13.9" customHeight="1" x14ac:dyDescent="0.25">
      <c r="D190" s="20"/>
      <c r="E190" s="20"/>
      <c r="F190" s="20"/>
      <c r="G190" s="21" t="s">
        <v>1</v>
      </c>
      <c r="H190" s="21" t="s">
        <v>2</v>
      </c>
      <c r="I190" s="21" t="s">
        <v>3</v>
      </c>
      <c r="J190" s="21" t="s">
        <v>4</v>
      </c>
      <c r="K190" s="21" t="s">
        <v>5</v>
      </c>
      <c r="L190" s="21" t="s">
        <v>6</v>
      </c>
      <c r="M190" s="21" t="s">
        <v>7</v>
      </c>
      <c r="N190" s="21" t="s">
        <v>8</v>
      </c>
      <c r="O190" s="21" t="s">
        <v>9</v>
      </c>
      <c r="P190" s="21" t="s">
        <v>124</v>
      </c>
      <c r="Q190" s="21" t="s">
        <v>11</v>
      </c>
      <c r="R190" s="22" t="s">
        <v>12</v>
      </c>
      <c r="S190" s="21" t="s">
        <v>13</v>
      </c>
      <c r="T190" s="22" t="s">
        <v>14</v>
      </c>
      <c r="U190" s="21" t="s">
        <v>15</v>
      </c>
      <c r="V190" s="22" t="s">
        <v>16</v>
      </c>
      <c r="W190" s="21" t="s">
        <v>17</v>
      </c>
      <c r="X190" s="22" t="s">
        <v>18</v>
      </c>
      <c r="Y190" s="21" t="s">
        <v>19</v>
      </c>
      <c r="Z190" s="21" t="s">
        <v>20</v>
      </c>
    </row>
    <row r="191" spans="1:26" ht="13.9" customHeight="1" x14ac:dyDescent="0.25">
      <c r="A191" s="15">
        <v>3</v>
      </c>
      <c r="D191" s="12" t="s">
        <v>21</v>
      </c>
      <c r="E191" s="35">
        <v>111</v>
      </c>
      <c r="F191" s="35" t="s">
        <v>45</v>
      </c>
      <c r="G191" s="36">
        <f t="shared" ref="G191:Q191" si="110">G201</f>
        <v>0</v>
      </c>
      <c r="H191" s="36">
        <f t="shared" si="110"/>
        <v>659.52</v>
      </c>
      <c r="I191" s="36">
        <f t="shared" si="110"/>
        <v>0</v>
      </c>
      <c r="J191" s="36">
        <f t="shared" si="110"/>
        <v>0</v>
      </c>
      <c r="K191" s="36">
        <f t="shared" si="110"/>
        <v>0</v>
      </c>
      <c r="L191" s="36">
        <f t="shared" si="110"/>
        <v>0</v>
      </c>
      <c r="M191" s="36">
        <f t="shared" si="110"/>
        <v>1087</v>
      </c>
      <c r="N191" s="36">
        <f t="shared" si="110"/>
        <v>0</v>
      </c>
      <c r="O191" s="36">
        <f t="shared" si="110"/>
        <v>0</v>
      </c>
      <c r="P191" s="36">
        <f t="shared" si="110"/>
        <v>1087</v>
      </c>
      <c r="Q191" s="36">
        <f t="shared" si="110"/>
        <v>0</v>
      </c>
      <c r="R191" s="37">
        <f>IFERROR(Q191/$P191,0)</f>
        <v>0</v>
      </c>
      <c r="S191" s="36">
        <f>S201</f>
        <v>1087.5999999999999</v>
      </c>
      <c r="T191" s="37">
        <f>IFERROR(S191/$P191,0)</f>
        <v>1.0005519779208831</v>
      </c>
      <c r="U191" s="36">
        <f>U201</f>
        <v>0</v>
      </c>
      <c r="V191" s="37">
        <f>IFERROR(U191/$P191,0)</f>
        <v>0</v>
      </c>
      <c r="W191" s="36">
        <f>W201</f>
        <v>0</v>
      </c>
      <c r="X191" s="37">
        <f>IFERROR(W191/$P191,0)</f>
        <v>0</v>
      </c>
      <c r="Y191" s="36">
        <f>Y201</f>
        <v>0</v>
      </c>
      <c r="Z191" s="36">
        <f>Z201</f>
        <v>0</v>
      </c>
    </row>
    <row r="192" spans="1:26" ht="13.9" customHeight="1" x14ac:dyDescent="0.25">
      <c r="A192" s="15">
        <v>3</v>
      </c>
      <c r="D192" s="12" t="s">
        <v>21</v>
      </c>
      <c r="E192" s="35">
        <v>41</v>
      </c>
      <c r="F192" s="35" t="s">
        <v>23</v>
      </c>
      <c r="G192" s="36">
        <f t="shared" ref="G192:Q192" si="111">G206</f>
        <v>38948.019999999997</v>
      </c>
      <c r="H192" s="36">
        <f t="shared" si="111"/>
        <v>35654.6</v>
      </c>
      <c r="I192" s="36">
        <f t="shared" si="111"/>
        <v>40946</v>
      </c>
      <c r="J192" s="36">
        <f t="shared" si="111"/>
        <v>41194</v>
      </c>
      <c r="K192" s="36">
        <f t="shared" si="111"/>
        <v>38245</v>
      </c>
      <c r="L192" s="36">
        <f t="shared" si="111"/>
        <v>0</v>
      </c>
      <c r="M192" s="36">
        <f t="shared" si="111"/>
        <v>5000</v>
      </c>
      <c r="N192" s="36">
        <f t="shared" si="111"/>
        <v>0</v>
      </c>
      <c r="O192" s="36">
        <f t="shared" si="111"/>
        <v>0</v>
      </c>
      <c r="P192" s="36">
        <f t="shared" si="111"/>
        <v>43245</v>
      </c>
      <c r="Q192" s="36">
        <f t="shared" si="111"/>
        <v>10298.5</v>
      </c>
      <c r="R192" s="37">
        <f>IFERROR(Q192/$P192,0)</f>
        <v>0.2381431379350214</v>
      </c>
      <c r="S192" s="36">
        <f>S206</f>
        <v>25034.15</v>
      </c>
      <c r="T192" s="37">
        <f>IFERROR(S192/$P192,0)</f>
        <v>0.57889120129494742</v>
      </c>
      <c r="U192" s="36">
        <f>U206</f>
        <v>0</v>
      </c>
      <c r="V192" s="37">
        <f>IFERROR(U192/$P192,0)</f>
        <v>0</v>
      </c>
      <c r="W192" s="36">
        <f>W206</f>
        <v>0</v>
      </c>
      <c r="X192" s="37">
        <f>IFERROR(W192/$P192,0)</f>
        <v>0</v>
      </c>
      <c r="Y192" s="36">
        <f>Y206</f>
        <v>38116</v>
      </c>
      <c r="Z192" s="36">
        <f>Z206</f>
        <v>39126</v>
      </c>
    </row>
    <row r="193" spans="1:26" ht="13.9" customHeight="1" x14ac:dyDescent="0.25">
      <c r="A193" s="15">
        <v>3</v>
      </c>
      <c r="D193" s="12" t="s">
        <v>21</v>
      </c>
      <c r="E193" s="35">
        <v>72</v>
      </c>
      <c r="F193" s="35" t="s">
        <v>25</v>
      </c>
      <c r="G193" s="36">
        <f t="shared" ref="G193:Q193" si="112">G208</f>
        <v>174.69</v>
      </c>
      <c r="H193" s="36">
        <f t="shared" si="112"/>
        <v>171.89</v>
      </c>
      <c r="I193" s="36">
        <f t="shared" si="112"/>
        <v>155</v>
      </c>
      <c r="J193" s="36">
        <f t="shared" si="112"/>
        <v>164</v>
      </c>
      <c r="K193" s="36">
        <f t="shared" si="112"/>
        <v>179</v>
      </c>
      <c r="L193" s="36">
        <f t="shared" si="112"/>
        <v>0</v>
      </c>
      <c r="M193" s="36">
        <f t="shared" si="112"/>
        <v>0</v>
      </c>
      <c r="N193" s="36">
        <f t="shared" si="112"/>
        <v>0</v>
      </c>
      <c r="O193" s="36">
        <f t="shared" si="112"/>
        <v>0</v>
      </c>
      <c r="P193" s="36">
        <f t="shared" si="112"/>
        <v>179</v>
      </c>
      <c r="Q193" s="36">
        <f t="shared" si="112"/>
        <v>0</v>
      </c>
      <c r="R193" s="37">
        <f>IFERROR(Q193/$P193,0)</f>
        <v>0</v>
      </c>
      <c r="S193" s="36">
        <f>S208</f>
        <v>0</v>
      </c>
      <c r="T193" s="37">
        <f>IFERROR(S193/$P193,0)</f>
        <v>0</v>
      </c>
      <c r="U193" s="36">
        <f>U208</f>
        <v>0</v>
      </c>
      <c r="V193" s="37">
        <f>IFERROR(U193/$P193,0)</f>
        <v>0</v>
      </c>
      <c r="W193" s="36">
        <f>W208</f>
        <v>0</v>
      </c>
      <c r="X193" s="37">
        <f>IFERROR(W193/$P193,0)</f>
        <v>0</v>
      </c>
      <c r="Y193" s="36">
        <f>Y208</f>
        <v>179</v>
      </c>
      <c r="Z193" s="36">
        <f>Z208</f>
        <v>179</v>
      </c>
    </row>
    <row r="194" spans="1:26" ht="13.9" customHeight="1" x14ac:dyDescent="0.25">
      <c r="A194" s="15">
        <v>3</v>
      </c>
      <c r="D194" s="30"/>
      <c r="E194" s="31"/>
      <c r="F194" s="38" t="s">
        <v>127</v>
      </c>
      <c r="G194" s="39">
        <f t="shared" ref="G194:Q194" si="113">SUM(G191:G193)</f>
        <v>39122.71</v>
      </c>
      <c r="H194" s="39">
        <f t="shared" si="113"/>
        <v>36486.009999999995</v>
      </c>
      <c r="I194" s="39">
        <f t="shared" si="113"/>
        <v>41101</v>
      </c>
      <c r="J194" s="39">
        <f t="shared" si="113"/>
        <v>41358</v>
      </c>
      <c r="K194" s="39">
        <f t="shared" si="113"/>
        <v>38424</v>
      </c>
      <c r="L194" s="39">
        <f t="shared" si="113"/>
        <v>0</v>
      </c>
      <c r="M194" s="39">
        <f t="shared" si="113"/>
        <v>6087</v>
      </c>
      <c r="N194" s="39">
        <f t="shared" si="113"/>
        <v>0</v>
      </c>
      <c r="O194" s="39">
        <f t="shared" si="113"/>
        <v>0</v>
      </c>
      <c r="P194" s="39">
        <f t="shared" si="113"/>
        <v>44511</v>
      </c>
      <c r="Q194" s="39">
        <f t="shared" si="113"/>
        <v>10298.5</v>
      </c>
      <c r="R194" s="40">
        <f>IFERROR(Q194/$P194,0)</f>
        <v>0.23136977376378873</v>
      </c>
      <c r="S194" s="39">
        <f>SUM(S191:S193)</f>
        <v>26121.75</v>
      </c>
      <c r="T194" s="40">
        <f>IFERROR(S194/$P194,0)</f>
        <v>0.58686055132439174</v>
      </c>
      <c r="U194" s="39">
        <f>SUM(U191:U193)</f>
        <v>0</v>
      </c>
      <c r="V194" s="40">
        <f>IFERROR(U194/$P194,0)</f>
        <v>0</v>
      </c>
      <c r="W194" s="39">
        <f>SUM(W191:W193)</f>
        <v>0</v>
      </c>
      <c r="X194" s="40">
        <f>IFERROR(W194/$P194,0)</f>
        <v>0</v>
      </c>
      <c r="Y194" s="39">
        <f>SUM(Y191:Y193)</f>
        <v>38295</v>
      </c>
      <c r="Z194" s="39">
        <f>SUM(Z191:Z193)</f>
        <v>39305</v>
      </c>
    </row>
    <row r="196" spans="1:26" ht="13.9" customHeight="1" x14ac:dyDescent="0.25">
      <c r="D196" s="73" t="s">
        <v>188</v>
      </c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4"/>
      <c r="S196" s="73"/>
      <c r="T196" s="74"/>
      <c r="U196" s="73"/>
      <c r="V196" s="74"/>
      <c r="W196" s="73"/>
      <c r="X196" s="74"/>
      <c r="Y196" s="73"/>
      <c r="Z196" s="73"/>
    </row>
    <row r="197" spans="1:26" ht="13.9" customHeight="1" x14ac:dyDescent="0.25">
      <c r="D197" s="21" t="s">
        <v>32</v>
      </c>
      <c r="E197" s="21" t="s">
        <v>33</v>
      </c>
      <c r="F197" s="21" t="s">
        <v>34</v>
      </c>
      <c r="G197" s="21" t="s">
        <v>1</v>
      </c>
      <c r="H197" s="21" t="s">
        <v>2</v>
      </c>
      <c r="I197" s="21" t="s">
        <v>3</v>
      </c>
      <c r="J197" s="21" t="s">
        <v>4</v>
      </c>
      <c r="K197" s="21" t="s">
        <v>5</v>
      </c>
      <c r="L197" s="21" t="s">
        <v>6</v>
      </c>
      <c r="M197" s="21" t="s">
        <v>7</v>
      </c>
      <c r="N197" s="21" t="s">
        <v>8</v>
      </c>
      <c r="O197" s="21" t="s">
        <v>9</v>
      </c>
      <c r="P197" s="21" t="s">
        <v>124</v>
      </c>
      <c r="Q197" s="21" t="s">
        <v>11</v>
      </c>
      <c r="R197" s="22" t="s">
        <v>12</v>
      </c>
      <c r="S197" s="21" t="s">
        <v>13</v>
      </c>
      <c r="T197" s="22" t="s">
        <v>14</v>
      </c>
      <c r="U197" s="21" t="s">
        <v>15</v>
      </c>
      <c r="V197" s="22" t="s">
        <v>16</v>
      </c>
      <c r="W197" s="21" t="s">
        <v>17</v>
      </c>
      <c r="X197" s="22" t="s">
        <v>18</v>
      </c>
      <c r="Y197" s="21" t="s">
        <v>19</v>
      </c>
      <c r="Z197" s="21" t="s">
        <v>20</v>
      </c>
    </row>
    <row r="198" spans="1:26" ht="13.9" customHeight="1" x14ac:dyDescent="0.25">
      <c r="D198" s="11" t="s">
        <v>189</v>
      </c>
      <c r="E198" s="24">
        <v>610</v>
      </c>
      <c r="F198" s="24" t="s">
        <v>132</v>
      </c>
      <c r="G198" s="46">
        <v>0</v>
      </c>
      <c r="H198" s="46">
        <v>0</v>
      </c>
      <c r="I198" s="25">
        <v>0</v>
      </c>
      <c r="J198" s="25">
        <v>0</v>
      </c>
      <c r="K198" s="25">
        <v>0</v>
      </c>
      <c r="L198" s="25"/>
      <c r="M198" s="25">
        <v>800</v>
      </c>
      <c r="N198" s="25"/>
      <c r="O198" s="25"/>
      <c r="P198" s="46">
        <f>K198+SUM(L198:O198)</f>
        <v>800</v>
      </c>
      <c r="Q198" s="46">
        <v>0</v>
      </c>
      <c r="R198" s="47">
        <f t="shared" ref="R198:R209" si="114">IFERROR(Q198/$P198,0)</f>
        <v>0</v>
      </c>
      <c r="S198" s="46">
        <v>800</v>
      </c>
      <c r="T198" s="47">
        <f t="shared" ref="T198:T209" si="115">IFERROR(S198/$P198,0)</f>
        <v>1</v>
      </c>
      <c r="U198" s="46"/>
      <c r="V198" s="47">
        <f t="shared" ref="V198:V209" si="116">IFERROR(U198/$P198,0)</f>
        <v>0</v>
      </c>
      <c r="W198" s="46"/>
      <c r="X198" s="47">
        <f t="shared" ref="X198:X209" si="117">IFERROR(W198/$P198,0)</f>
        <v>0</v>
      </c>
      <c r="Y198" s="25">
        <f>K198</f>
        <v>0</v>
      </c>
      <c r="Z198" s="25">
        <f>Y198</f>
        <v>0</v>
      </c>
    </row>
    <row r="199" spans="1:26" ht="13.9" customHeight="1" x14ac:dyDescent="0.25">
      <c r="D199" s="11"/>
      <c r="E199" s="24">
        <v>620</v>
      </c>
      <c r="F199" s="24" t="s">
        <v>133</v>
      </c>
      <c r="G199" s="46">
        <v>0</v>
      </c>
      <c r="H199" s="46">
        <v>0</v>
      </c>
      <c r="I199" s="25">
        <v>0</v>
      </c>
      <c r="J199" s="25">
        <v>0</v>
      </c>
      <c r="K199" s="25">
        <v>0</v>
      </c>
      <c r="L199" s="25"/>
      <c r="M199" s="25">
        <v>287</v>
      </c>
      <c r="N199" s="25"/>
      <c r="O199" s="25"/>
      <c r="P199" s="46">
        <f>K199+SUM(L199:O199)</f>
        <v>287</v>
      </c>
      <c r="Q199" s="46">
        <v>0</v>
      </c>
      <c r="R199" s="47">
        <f t="shared" si="114"/>
        <v>0</v>
      </c>
      <c r="S199" s="46">
        <v>287.60000000000002</v>
      </c>
      <c r="T199" s="47">
        <f t="shared" si="115"/>
        <v>1.0020905923344949</v>
      </c>
      <c r="U199" s="46"/>
      <c r="V199" s="47">
        <f t="shared" si="116"/>
        <v>0</v>
      </c>
      <c r="W199" s="46"/>
      <c r="X199" s="47">
        <f t="shared" si="117"/>
        <v>0</v>
      </c>
      <c r="Y199" s="25">
        <f>K199</f>
        <v>0</v>
      </c>
      <c r="Z199" s="25">
        <f>Y199</f>
        <v>0</v>
      </c>
    </row>
    <row r="200" spans="1:26" ht="13.9" hidden="1" customHeight="1" x14ac:dyDescent="0.25">
      <c r="A200" s="15">
        <v>3</v>
      </c>
      <c r="B200" s="15">
        <v>1</v>
      </c>
      <c r="D200" s="11"/>
      <c r="E200" s="24">
        <v>630</v>
      </c>
      <c r="F200" s="24" t="s">
        <v>134</v>
      </c>
      <c r="G200" s="46">
        <v>0</v>
      </c>
      <c r="H200" s="46">
        <v>659.52</v>
      </c>
      <c r="I200" s="25">
        <v>0</v>
      </c>
      <c r="J200" s="25">
        <v>0</v>
      </c>
      <c r="K200" s="25">
        <v>0</v>
      </c>
      <c r="L200" s="25"/>
      <c r="M200" s="25"/>
      <c r="N200" s="25"/>
      <c r="O200" s="25"/>
      <c r="P200" s="46">
        <f>K200+SUM(L200:O200)</f>
        <v>0</v>
      </c>
      <c r="Q200" s="46"/>
      <c r="R200" s="47">
        <f t="shared" si="114"/>
        <v>0</v>
      </c>
      <c r="S200" s="46"/>
      <c r="T200" s="47">
        <f t="shared" si="115"/>
        <v>0</v>
      </c>
      <c r="U200" s="46"/>
      <c r="V200" s="47">
        <f t="shared" si="116"/>
        <v>0</v>
      </c>
      <c r="W200" s="46"/>
      <c r="X200" s="47">
        <f t="shared" si="117"/>
        <v>0</v>
      </c>
      <c r="Y200" s="25">
        <f>K200</f>
        <v>0</v>
      </c>
      <c r="Z200" s="25">
        <f>Y200</f>
        <v>0</v>
      </c>
    </row>
    <row r="201" spans="1:26" ht="13.9" customHeight="1" x14ac:dyDescent="0.25">
      <c r="A201" s="15">
        <v>3</v>
      </c>
      <c r="B201" s="15">
        <v>1</v>
      </c>
      <c r="D201" s="79" t="s">
        <v>21</v>
      </c>
      <c r="E201" s="48">
        <v>111</v>
      </c>
      <c r="F201" s="48" t="s">
        <v>23</v>
      </c>
      <c r="G201" s="49">
        <f t="shared" ref="G201:Q201" si="118">SUM(G198:G200)</f>
        <v>0</v>
      </c>
      <c r="H201" s="49">
        <f t="shared" si="118"/>
        <v>659.52</v>
      </c>
      <c r="I201" s="49">
        <f t="shared" si="118"/>
        <v>0</v>
      </c>
      <c r="J201" s="49">
        <f t="shared" si="118"/>
        <v>0</v>
      </c>
      <c r="K201" s="49">
        <f t="shared" si="118"/>
        <v>0</v>
      </c>
      <c r="L201" s="49">
        <f t="shared" si="118"/>
        <v>0</v>
      </c>
      <c r="M201" s="49">
        <f t="shared" si="118"/>
        <v>1087</v>
      </c>
      <c r="N201" s="49">
        <f t="shared" si="118"/>
        <v>0</v>
      </c>
      <c r="O201" s="49">
        <f t="shared" si="118"/>
        <v>0</v>
      </c>
      <c r="P201" s="49">
        <f t="shared" si="118"/>
        <v>1087</v>
      </c>
      <c r="Q201" s="49">
        <f t="shared" si="118"/>
        <v>0</v>
      </c>
      <c r="R201" s="50">
        <f t="shared" si="114"/>
        <v>0</v>
      </c>
      <c r="S201" s="49">
        <f>SUM(S198:S200)</f>
        <v>1087.5999999999999</v>
      </c>
      <c r="T201" s="50">
        <f t="shared" si="115"/>
        <v>1.0005519779208831</v>
      </c>
      <c r="U201" s="49">
        <f>SUM(U198:U200)</f>
        <v>0</v>
      </c>
      <c r="V201" s="50">
        <f t="shared" si="116"/>
        <v>0</v>
      </c>
      <c r="W201" s="49">
        <f>SUM(W198:W200)</f>
        <v>0</v>
      </c>
      <c r="X201" s="50">
        <f t="shared" si="117"/>
        <v>0</v>
      </c>
      <c r="Y201" s="49">
        <f>SUM(Y198:Y200)</f>
        <v>0</v>
      </c>
      <c r="Z201" s="49">
        <f>SUM(Z198:Z200)</f>
        <v>0</v>
      </c>
    </row>
    <row r="202" spans="1:26" ht="13.9" customHeight="1" x14ac:dyDescent="0.25">
      <c r="A202" s="15">
        <v>3</v>
      </c>
      <c r="B202" s="15">
        <v>1</v>
      </c>
      <c r="D202" s="11" t="s">
        <v>189</v>
      </c>
      <c r="E202" s="24">
        <v>610</v>
      </c>
      <c r="F202" s="24" t="s">
        <v>132</v>
      </c>
      <c r="G202" s="25">
        <v>15333.22</v>
      </c>
      <c r="H202" s="25">
        <v>14189.72</v>
      </c>
      <c r="I202" s="25">
        <v>15388</v>
      </c>
      <c r="J202" s="25">
        <v>15766</v>
      </c>
      <c r="K202" s="25">
        <v>15476</v>
      </c>
      <c r="L202" s="25"/>
      <c r="M202" s="25"/>
      <c r="N202" s="25"/>
      <c r="O202" s="25"/>
      <c r="P202" s="25">
        <f>K202+SUM(L202:O202)</f>
        <v>15476</v>
      </c>
      <c r="Q202" s="25">
        <v>4493.13</v>
      </c>
      <c r="R202" s="26">
        <f t="shared" si="114"/>
        <v>0.29032889635564746</v>
      </c>
      <c r="S202" s="25">
        <v>7472.99</v>
      </c>
      <c r="T202" s="26">
        <f t="shared" si="115"/>
        <v>0.48287606616696821</v>
      </c>
      <c r="U202" s="25"/>
      <c r="V202" s="26">
        <f t="shared" si="116"/>
        <v>0</v>
      </c>
      <c r="W202" s="25"/>
      <c r="X202" s="26">
        <f t="shared" si="117"/>
        <v>0</v>
      </c>
      <c r="Y202" s="25">
        <v>15374</v>
      </c>
      <c r="Z202" s="25">
        <v>16107</v>
      </c>
    </row>
    <row r="203" spans="1:26" ht="13.9" customHeight="1" x14ac:dyDescent="0.25">
      <c r="A203" s="15">
        <v>3</v>
      </c>
      <c r="B203" s="15">
        <v>1</v>
      </c>
      <c r="D203" s="11"/>
      <c r="E203" s="24">
        <v>620</v>
      </c>
      <c r="F203" s="24" t="s">
        <v>133</v>
      </c>
      <c r="G203" s="25">
        <v>5358.63</v>
      </c>
      <c r="H203" s="25">
        <v>4958.96</v>
      </c>
      <c r="I203" s="25">
        <v>5378</v>
      </c>
      <c r="J203" s="25">
        <v>5666</v>
      </c>
      <c r="K203" s="25">
        <v>5564</v>
      </c>
      <c r="L203" s="25"/>
      <c r="M203" s="25"/>
      <c r="N203" s="25"/>
      <c r="O203" s="25"/>
      <c r="P203" s="25">
        <f>K203+SUM(L203:O203)</f>
        <v>5564</v>
      </c>
      <c r="Q203" s="25">
        <v>1431.56</v>
      </c>
      <c r="R203" s="26">
        <f t="shared" si="114"/>
        <v>0.2572897196261682</v>
      </c>
      <c r="S203" s="25">
        <v>2686.25</v>
      </c>
      <c r="T203" s="26">
        <f t="shared" si="115"/>
        <v>0.48279115744069018</v>
      </c>
      <c r="U203" s="25"/>
      <c r="V203" s="26">
        <f t="shared" si="116"/>
        <v>0</v>
      </c>
      <c r="W203" s="25"/>
      <c r="X203" s="26">
        <f t="shared" si="117"/>
        <v>0</v>
      </c>
      <c r="Y203" s="25">
        <v>5526</v>
      </c>
      <c r="Z203" s="25">
        <v>5790</v>
      </c>
    </row>
    <row r="204" spans="1:26" ht="13.9" customHeight="1" x14ac:dyDescent="0.25">
      <c r="A204" s="15">
        <v>3</v>
      </c>
      <c r="B204" s="15">
        <v>1</v>
      </c>
      <c r="D204" s="11"/>
      <c r="E204" s="24">
        <v>630</v>
      </c>
      <c r="F204" s="24" t="s">
        <v>134</v>
      </c>
      <c r="G204" s="25">
        <v>18256.169999999998</v>
      </c>
      <c r="H204" s="25">
        <v>16505.919999999998</v>
      </c>
      <c r="I204" s="25">
        <f>1468+18712</f>
        <v>20180</v>
      </c>
      <c r="J204" s="25">
        <v>19762</v>
      </c>
      <c r="K204" s="25">
        <f>1506+15699</f>
        <v>17205</v>
      </c>
      <c r="L204" s="25"/>
      <c r="M204" s="25">
        <v>5000</v>
      </c>
      <c r="N204" s="25"/>
      <c r="O204" s="25"/>
      <c r="P204" s="25">
        <f>K204+SUM(L204:O204)</f>
        <v>22205</v>
      </c>
      <c r="Q204" s="25">
        <v>4373.8100000000004</v>
      </c>
      <c r="R204" s="26">
        <f t="shared" si="114"/>
        <v>0.19697410493132178</v>
      </c>
      <c r="S204" s="25">
        <v>14874.91</v>
      </c>
      <c r="T204" s="26">
        <f t="shared" si="115"/>
        <v>0.66989011483900018</v>
      </c>
      <c r="U204" s="25"/>
      <c r="V204" s="26">
        <f t="shared" si="116"/>
        <v>0</v>
      </c>
      <c r="W204" s="25"/>
      <c r="X204" s="26">
        <f t="shared" si="117"/>
        <v>0</v>
      </c>
      <c r="Y204" s="25">
        <f>1517+15699</f>
        <v>17216</v>
      </c>
      <c r="Z204" s="25">
        <f>1530+15699</f>
        <v>17229</v>
      </c>
    </row>
    <row r="205" spans="1:26" ht="13.9" hidden="1" customHeight="1" x14ac:dyDescent="0.25">
      <c r="A205" s="15">
        <v>3</v>
      </c>
      <c r="B205" s="15">
        <v>1</v>
      </c>
      <c r="D205" s="11"/>
      <c r="E205" s="24">
        <v>640</v>
      </c>
      <c r="F205" s="24" t="s">
        <v>135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/>
      <c r="M205" s="25"/>
      <c r="N205" s="25"/>
      <c r="O205" s="25"/>
      <c r="P205" s="25">
        <f>K205+SUM(L205:O205)</f>
        <v>0</v>
      </c>
      <c r="Q205" s="25"/>
      <c r="R205" s="26">
        <f t="shared" si="114"/>
        <v>0</v>
      </c>
      <c r="S205" s="25"/>
      <c r="T205" s="26">
        <f t="shared" si="115"/>
        <v>0</v>
      </c>
      <c r="U205" s="25"/>
      <c r="V205" s="26">
        <f t="shared" si="116"/>
        <v>0</v>
      </c>
      <c r="W205" s="25"/>
      <c r="X205" s="26">
        <f t="shared" si="117"/>
        <v>0</v>
      </c>
      <c r="Y205" s="25">
        <v>0</v>
      </c>
      <c r="Z205" s="25">
        <v>0</v>
      </c>
    </row>
    <row r="206" spans="1:26" ht="13.9" customHeight="1" x14ac:dyDescent="0.25">
      <c r="A206" s="15">
        <v>3</v>
      </c>
      <c r="B206" s="15">
        <v>1</v>
      </c>
      <c r="D206" s="79" t="s">
        <v>21</v>
      </c>
      <c r="E206" s="48">
        <v>41</v>
      </c>
      <c r="F206" s="48" t="s">
        <v>23</v>
      </c>
      <c r="G206" s="49">
        <f t="shared" ref="G206:Q206" si="119">SUM(G202:G205)</f>
        <v>38948.019999999997</v>
      </c>
      <c r="H206" s="49">
        <f t="shared" si="119"/>
        <v>35654.6</v>
      </c>
      <c r="I206" s="49">
        <f t="shared" si="119"/>
        <v>40946</v>
      </c>
      <c r="J206" s="49">
        <f t="shared" si="119"/>
        <v>41194</v>
      </c>
      <c r="K206" s="49">
        <f t="shared" si="119"/>
        <v>38245</v>
      </c>
      <c r="L206" s="49">
        <f t="shared" si="119"/>
        <v>0</v>
      </c>
      <c r="M206" s="49">
        <f t="shared" si="119"/>
        <v>5000</v>
      </c>
      <c r="N206" s="49">
        <f t="shared" si="119"/>
        <v>0</v>
      </c>
      <c r="O206" s="49">
        <f t="shared" si="119"/>
        <v>0</v>
      </c>
      <c r="P206" s="49">
        <f t="shared" si="119"/>
        <v>43245</v>
      </c>
      <c r="Q206" s="49">
        <f t="shared" si="119"/>
        <v>10298.5</v>
      </c>
      <c r="R206" s="50">
        <f t="shared" si="114"/>
        <v>0.2381431379350214</v>
      </c>
      <c r="S206" s="49">
        <f>SUM(S202:S205)</f>
        <v>25034.15</v>
      </c>
      <c r="T206" s="50">
        <f t="shared" si="115"/>
        <v>0.57889120129494742</v>
      </c>
      <c r="U206" s="49">
        <f>SUM(U202:U205)</f>
        <v>0</v>
      </c>
      <c r="V206" s="50">
        <f t="shared" si="116"/>
        <v>0</v>
      </c>
      <c r="W206" s="49">
        <f>SUM(W202:W205)</f>
        <v>0</v>
      </c>
      <c r="X206" s="50">
        <f t="shared" si="117"/>
        <v>0</v>
      </c>
      <c r="Y206" s="49">
        <f>SUM(Y202:Y205)</f>
        <v>38116</v>
      </c>
      <c r="Z206" s="49">
        <f>SUM(Z202:Z205)</f>
        <v>39126</v>
      </c>
    </row>
    <row r="207" spans="1:26" ht="13.9" customHeight="1" x14ac:dyDescent="0.25">
      <c r="A207" s="15">
        <v>3</v>
      </c>
      <c r="B207" s="15">
        <v>1</v>
      </c>
      <c r="D207" s="91" t="s">
        <v>189</v>
      </c>
      <c r="E207" s="24">
        <v>640</v>
      </c>
      <c r="F207" s="24" t="s">
        <v>135</v>
      </c>
      <c r="G207" s="25">
        <v>174.69</v>
      </c>
      <c r="H207" s="25">
        <v>171.89</v>
      </c>
      <c r="I207" s="25">
        <v>155</v>
      </c>
      <c r="J207" s="25">
        <v>164</v>
      </c>
      <c r="K207" s="25">
        <v>179</v>
      </c>
      <c r="L207" s="25"/>
      <c r="M207" s="25"/>
      <c r="N207" s="25"/>
      <c r="O207" s="25"/>
      <c r="P207" s="25">
        <f>K207+SUM(L207:O207)</f>
        <v>179</v>
      </c>
      <c r="Q207" s="25">
        <v>0</v>
      </c>
      <c r="R207" s="26">
        <f t="shared" si="114"/>
        <v>0</v>
      </c>
      <c r="S207" s="25">
        <v>0</v>
      </c>
      <c r="T207" s="26">
        <f t="shared" si="115"/>
        <v>0</v>
      </c>
      <c r="U207" s="25"/>
      <c r="V207" s="26">
        <f t="shared" si="116"/>
        <v>0</v>
      </c>
      <c r="W207" s="25"/>
      <c r="X207" s="26">
        <f t="shared" si="117"/>
        <v>0</v>
      </c>
      <c r="Y207" s="25">
        <f>K207</f>
        <v>179</v>
      </c>
      <c r="Z207" s="25">
        <f>Y207</f>
        <v>179</v>
      </c>
    </row>
    <row r="208" spans="1:26" ht="13.9" customHeight="1" x14ac:dyDescent="0.25">
      <c r="A208" s="15">
        <v>3</v>
      </c>
      <c r="B208" s="15">
        <v>1</v>
      </c>
      <c r="D208" s="79" t="s">
        <v>21</v>
      </c>
      <c r="E208" s="48">
        <v>72</v>
      </c>
      <c r="F208" s="48" t="s">
        <v>25</v>
      </c>
      <c r="G208" s="49">
        <f t="shared" ref="G208:Q208" si="120">SUM(G207)</f>
        <v>174.69</v>
      </c>
      <c r="H208" s="49">
        <f t="shared" si="120"/>
        <v>171.89</v>
      </c>
      <c r="I208" s="49">
        <f t="shared" si="120"/>
        <v>155</v>
      </c>
      <c r="J208" s="49">
        <f t="shared" si="120"/>
        <v>164</v>
      </c>
      <c r="K208" s="49">
        <f t="shared" si="120"/>
        <v>179</v>
      </c>
      <c r="L208" s="49">
        <f t="shared" si="120"/>
        <v>0</v>
      </c>
      <c r="M208" s="49">
        <f t="shared" si="120"/>
        <v>0</v>
      </c>
      <c r="N208" s="49">
        <f t="shared" si="120"/>
        <v>0</v>
      </c>
      <c r="O208" s="49">
        <f t="shared" si="120"/>
        <v>0</v>
      </c>
      <c r="P208" s="49">
        <f t="shared" si="120"/>
        <v>179</v>
      </c>
      <c r="Q208" s="49">
        <f t="shared" si="120"/>
        <v>0</v>
      </c>
      <c r="R208" s="50">
        <f t="shared" si="114"/>
        <v>0</v>
      </c>
      <c r="S208" s="49">
        <f>SUM(S207)</f>
        <v>0</v>
      </c>
      <c r="T208" s="50">
        <f t="shared" si="115"/>
        <v>0</v>
      </c>
      <c r="U208" s="49">
        <f>SUM(U207)</f>
        <v>0</v>
      </c>
      <c r="V208" s="50">
        <f t="shared" si="116"/>
        <v>0</v>
      </c>
      <c r="W208" s="49">
        <f>SUM(W207)</f>
        <v>0</v>
      </c>
      <c r="X208" s="50">
        <f t="shared" si="117"/>
        <v>0</v>
      </c>
      <c r="Y208" s="49">
        <f>SUM(Y207)</f>
        <v>179</v>
      </c>
      <c r="Z208" s="49">
        <f>SUM(Z207)</f>
        <v>179</v>
      </c>
    </row>
    <row r="209" spans="1:26" ht="13.9" customHeight="1" x14ac:dyDescent="0.25">
      <c r="A209" s="15">
        <v>3</v>
      </c>
      <c r="B209" s="15">
        <v>1</v>
      </c>
      <c r="D209" s="123"/>
      <c r="E209" s="31"/>
      <c r="F209" s="27" t="s">
        <v>127</v>
      </c>
      <c r="G209" s="28">
        <f t="shared" ref="G209:Q209" si="121">G201+G206+G208</f>
        <v>39122.71</v>
      </c>
      <c r="H209" s="28">
        <f t="shared" si="121"/>
        <v>36486.009999999995</v>
      </c>
      <c r="I209" s="28">
        <f t="shared" si="121"/>
        <v>41101</v>
      </c>
      <c r="J209" s="28">
        <f t="shared" si="121"/>
        <v>41358</v>
      </c>
      <c r="K209" s="28">
        <f t="shared" si="121"/>
        <v>38424</v>
      </c>
      <c r="L209" s="28">
        <f t="shared" si="121"/>
        <v>0</v>
      </c>
      <c r="M209" s="28">
        <f t="shared" si="121"/>
        <v>6087</v>
      </c>
      <c r="N209" s="28">
        <f t="shared" si="121"/>
        <v>0</v>
      </c>
      <c r="O209" s="28">
        <f t="shared" si="121"/>
        <v>0</v>
      </c>
      <c r="P209" s="28">
        <f t="shared" si="121"/>
        <v>44511</v>
      </c>
      <c r="Q209" s="28">
        <f t="shared" si="121"/>
        <v>10298.5</v>
      </c>
      <c r="R209" s="29">
        <f t="shared" si="114"/>
        <v>0.23136977376378873</v>
      </c>
      <c r="S209" s="28">
        <f>S201+S206+S208</f>
        <v>26121.75</v>
      </c>
      <c r="T209" s="29">
        <f t="shared" si="115"/>
        <v>0.58686055132439174</v>
      </c>
      <c r="U209" s="28">
        <f>U201+U206+U208</f>
        <v>0</v>
      </c>
      <c r="V209" s="29">
        <f t="shared" si="116"/>
        <v>0</v>
      </c>
      <c r="W209" s="28">
        <f>W201+W206+W208</f>
        <v>0</v>
      </c>
      <c r="X209" s="29">
        <f t="shared" si="117"/>
        <v>0</v>
      </c>
      <c r="Y209" s="28">
        <f>Y201+Y206+Y208</f>
        <v>38295</v>
      </c>
      <c r="Z209" s="28">
        <f>Z201+Z206+Z208</f>
        <v>39305</v>
      </c>
    </row>
    <row r="211" spans="1:26" ht="13.9" customHeight="1" x14ac:dyDescent="0.25">
      <c r="E211" s="52" t="s">
        <v>55</v>
      </c>
      <c r="F211" s="30" t="s">
        <v>58</v>
      </c>
      <c r="G211" s="118">
        <v>8007.06</v>
      </c>
      <c r="H211" s="118">
        <v>2980.38</v>
      </c>
      <c r="I211" s="118">
        <v>3000</v>
      </c>
      <c r="J211" s="118">
        <v>1770</v>
      </c>
      <c r="K211" s="118">
        <v>1770</v>
      </c>
      <c r="L211" s="118"/>
      <c r="M211" s="118">
        <f>1050+470</f>
        <v>1520</v>
      </c>
      <c r="N211" s="118"/>
      <c r="O211" s="118"/>
      <c r="P211" s="118">
        <f t="shared" ref="P211:P216" si="122">K211+SUM(L211:O211)</f>
        <v>3290</v>
      </c>
      <c r="Q211" s="118">
        <v>879.46</v>
      </c>
      <c r="R211" s="124">
        <f t="shared" ref="R211:R216" si="123">IFERROR(Q211/$P211,0)</f>
        <v>0.26731306990881459</v>
      </c>
      <c r="S211" s="118">
        <v>2504.54</v>
      </c>
      <c r="T211" s="124">
        <f t="shared" ref="T211:T216" si="124">IFERROR(S211/$P211,0)</f>
        <v>0.76125835866261393</v>
      </c>
      <c r="U211" s="118"/>
      <c r="V211" s="124">
        <f t="shared" ref="V211:V216" si="125">IFERROR(U211/$P211,0)</f>
        <v>0</v>
      </c>
      <c r="W211" s="118"/>
      <c r="X211" s="125">
        <f t="shared" ref="X211:X216" si="126">IFERROR(W211/$P211,0)</f>
        <v>0</v>
      </c>
      <c r="Y211" s="53">
        <f t="shared" ref="Y211:Y216" si="127">K211</f>
        <v>1770</v>
      </c>
      <c r="Z211" s="56">
        <f t="shared" ref="Z211:Z216" si="128">Y211</f>
        <v>1770</v>
      </c>
    </row>
    <row r="212" spans="1:26" ht="13.9" customHeight="1" x14ac:dyDescent="0.25">
      <c r="E212" s="57"/>
      <c r="F212" s="92" t="s">
        <v>150</v>
      </c>
      <c r="G212" s="93">
        <v>1045</v>
      </c>
      <c r="H212" s="93">
        <v>3649.77</v>
      </c>
      <c r="I212" s="93">
        <v>3650</v>
      </c>
      <c r="J212" s="93">
        <v>1494</v>
      </c>
      <c r="K212" s="93">
        <v>1495</v>
      </c>
      <c r="L212" s="93"/>
      <c r="M212" s="93"/>
      <c r="N212" s="93"/>
      <c r="O212" s="93"/>
      <c r="P212" s="93">
        <f t="shared" si="122"/>
        <v>1495</v>
      </c>
      <c r="Q212" s="93">
        <v>459.73</v>
      </c>
      <c r="R212" s="94">
        <f t="shared" si="123"/>
        <v>0.30751170568561875</v>
      </c>
      <c r="S212" s="93">
        <v>909.71</v>
      </c>
      <c r="T212" s="94">
        <f t="shared" si="124"/>
        <v>0.60850167224080265</v>
      </c>
      <c r="U212" s="93"/>
      <c r="V212" s="94">
        <f t="shared" si="125"/>
        <v>0</v>
      </c>
      <c r="W212" s="93"/>
      <c r="X212" s="64">
        <f t="shared" si="126"/>
        <v>0</v>
      </c>
      <c r="Y212" s="59">
        <f t="shared" si="127"/>
        <v>1495</v>
      </c>
      <c r="Z212" s="61">
        <f t="shared" si="128"/>
        <v>1495</v>
      </c>
    </row>
    <row r="213" spans="1:26" ht="13.9" customHeight="1" x14ac:dyDescent="0.25">
      <c r="E213" s="57"/>
      <c r="F213" s="58" t="s">
        <v>190</v>
      </c>
      <c r="G213" s="62">
        <v>1526.26</v>
      </c>
      <c r="H213" s="62">
        <v>5431.51</v>
      </c>
      <c r="I213" s="62">
        <v>5000</v>
      </c>
      <c r="J213" s="62">
        <v>5668</v>
      </c>
      <c r="K213" s="62">
        <v>5000</v>
      </c>
      <c r="L213" s="62">
        <v>-658</v>
      </c>
      <c r="M213" s="62">
        <v>3950</v>
      </c>
      <c r="N213" s="62"/>
      <c r="O213" s="62"/>
      <c r="P213" s="62">
        <f t="shared" si="122"/>
        <v>8292</v>
      </c>
      <c r="Q213" s="62">
        <v>230.4</v>
      </c>
      <c r="R213" s="63">
        <f t="shared" si="123"/>
        <v>2.7785817655571636E-2</v>
      </c>
      <c r="S213" s="62">
        <v>5999.46</v>
      </c>
      <c r="T213" s="63">
        <f t="shared" si="124"/>
        <v>0.7235238784370478</v>
      </c>
      <c r="U213" s="62"/>
      <c r="V213" s="63">
        <f t="shared" si="125"/>
        <v>0</v>
      </c>
      <c r="W213" s="62"/>
      <c r="X213" s="64">
        <f t="shared" si="126"/>
        <v>0</v>
      </c>
      <c r="Y213" s="59">
        <f t="shared" si="127"/>
        <v>5000</v>
      </c>
      <c r="Z213" s="61">
        <f t="shared" si="128"/>
        <v>5000</v>
      </c>
    </row>
    <row r="214" spans="1:26" ht="13.9" customHeight="1" x14ac:dyDescent="0.25">
      <c r="E214" s="57"/>
      <c r="F214" s="15" t="s">
        <v>191</v>
      </c>
      <c r="G214" s="59">
        <v>2700</v>
      </c>
      <c r="H214" s="59">
        <v>1620</v>
      </c>
      <c r="I214" s="59">
        <v>2160</v>
      </c>
      <c r="J214" s="59">
        <v>2160</v>
      </c>
      <c r="K214" s="59">
        <v>2160</v>
      </c>
      <c r="L214" s="59"/>
      <c r="M214" s="59"/>
      <c r="N214" s="59"/>
      <c r="O214" s="59"/>
      <c r="P214" s="59">
        <f t="shared" si="122"/>
        <v>2160</v>
      </c>
      <c r="Q214" s="59">
        <v>540</v>
      </c>
      <c r="R214" s="16">
        <f t="shared" si="123"/>
        <v>0.25</v>
      </c>
      <c r="S214" s="59">
        <v>1093.5</v>
      </c>
      <c r="T214" s="16">
        <f t="shared" si="124"/>
        <v>0.50624999999999998</v>
      </c>
      <c r="U214" s="59"/>
      <c r="V214" s="16">
        <f t="shared" si="125"/>
        <v>0</v>
      </c>
      <c r="W214" s="59"/>
      <c r="X214" s="60">
        <f t="shared" si="126"/>
        <v>0</v>
      </c>
      <c r="Y214" s="59">
        <f t="shared" si="127"/>
        <v>2160</v>
      </c>
      <c r="Z214" s="61">
        <f t="shared" si="128"/>
        <v>2160</v>
      </c>
    </row>
    <row r="215" spans="1:26" ht="13.9" customHeight="1" x14ac:dyDescent="0.25">
      <c r="E215" s="100"/>
      <c r="F215" s="119" t="s">
        <v>192</v>
      </c>
      <c r="G215" s="105">
        <v>2201.12</v>
      </c>
      <c r="H215" s="105">
        <v>453.05</v>
      </c>
      <c r="I215" s="105">
        <v>2200</v>
      </c>
      <c r="J215" s="105">
        <v>1518</v>
      </c>
      <c r="K215" s="105">
        <v>1520</v>
      </c>
      <c r="L215" s="105">
        <v>658</v>
      </c>
      <c r="M215" s="105"/>
      <c r="N215" s="105"/>
      <c r="O215" s="105"/>
      <c r="P215" s="105">
        <f t="shared" si="122"/>
        <v>2178</v>
      </c>
      <c r="Q215" s="105">
        <v>831.92</v>
      </c>
      <c r="R215" s="126">
        <f t="shared" si="123"/>
        <v>0.38196510560146923</v>
      </c>
      <c r="S215" s="105">
        <v>1280.92</v>
      </c>
      <c r="T215" s="126">
        <f t="shared" si="124"/>
        <v>0.58811753902663</v>
      </c>
      <c r="U215" s="105"/>
      <c r="V215" s="126">
        <f t="shared" si="125"/>
        <v>0</v>
      </c>
      <c r="W215" s="105"/>
      <c r="X215" s="127">
        <f t="shared" si="126"/>
        <v>0</v>
      </c>
      <c r="Y215" s="59">
        <f t="shared" si="127"/>
        <v>1520</v>
      </c>
      <c r="Z215" s="61">
        <f t="shared" si="128"/>
        <v>1520</v>
      </c>
    </row>
    <row r="216" spans="1:26" ht="13.9" hidden="1" customHeight="1" x14ac:dyDescent="0.25">
      <c r="E216" s="65"/>
      <c r="F216" s="97" t="s">
        <v>193</v>
      </c>
      <c r="G216" s="67"/>
      <c r="H216" s="67"/>
      <c r="I216" s="67"/>
      <c r="J216" s="67">
        <v>3000</v>
      </c>
      <c r="K216" s="67">
        <v>0</v>
      </c>
      <c r="L216" s="67"/>
      <c r="M216" s="67"/>
      <c r="N216" s="67"/>
      <c r="O216" s="67"/>
      <c r="P216" s="67">
        <f t="shared" si="122"/>
        <v>0</v>
      </c>
      <c r="Q216" s="67"/>
      <c r="R216" s="68">
        <f t="shared" si="123"/>
        <v>0</v>
      </c>
      <c r="S216" s="67"/>
      <c r="T216" s="68">
        <f t="shared" si="124"/>
        <v>0</v>
      </c>
      <c r="U216" s="67"/>
      <c r="V216" s="68">
        <f t="shared" si="125"/>
        <v>0</v>
      </c>
      <c r="W216" s="67"/>
      <c r="X216" s="69">
        <f t="shared" si="126"/>
        <v>0</v>
      </c>
      <c r="Y216" s="67">
        <f t="shared" si="127"/>
        <v>0</v>
      </c>
      <c r="Z216" s="70">
        <f t="shared" si="128"/>
        <v>0</v>
      </c>
    </row>
    <row r="218" spans="1:26" ht="13.9" customHeight="1" x14ac:dyDescent="0.25">
      <c r="D218" s="32" t="s">
        <v>194</v>
      </c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3"/>
      <c r="S218" s="32"/>
      <c r="T218" s="33"/>
      <c r="U218" s="32"/>
      <c r="V218" s="33"/>
      <c r="W218" s="32"/>
      <c r="X218" s="33"/>
      <c r="Y218" s="32"/>
      <c r="Z218" s="32"/>
    </row>
    <row r="219" spans="1:26" ht="13.9" customHeight="1" x14ac:dyDescent="0.25">
      <c r="D219" s="20"/>
      <c r="E219" s="20"/>
      <c r="F219" s="20"/>
      <c r="G219" s="21" t="s">
        <v>1</v>
      </c>
      <c r="H219" s="21" t="s">
        <v>2</v>
      </c>
      <c r="I219" s="21" t="s">
        <v>3</v>
      </c>
      <c r="J219" s="21" t="s">
        <v>4</v>
      </c>
      <c r="K219" s="21" t="s">
        <v>5</v>
      </c>
      <c r="L219" s="21" t="s">
        <v>6</v>
      </c>
      <c r="M219" s="21" t="s">
        <v>7</v>
      </c>
      <c r="N219" s="21" t="s">
        <v>8</v>
      </c>
      <c r="O219" s="21" t="s">
        <v>9</v>
      </c>
      <c r="P219" s="21" t="s">
        <v>124</v>
      </c>
      <c r="Q219" s="21" t="s">
        <v>11</v>
      </c>
      <c r="R219" s="22" t="s">
        <v>12</v>
      </c>
      <c r="S219" s="21" t="s">
        <v>13</v>
      </c>
      <c r="T219" s="22" t="s">
        <v>14</v>
      </c>
      <c r="U219" s="21" t="s">
        <v>15</v>
      </c>
      <c r="V219" s="22" t="s">
        <v>16</v>
      </c>
      <c r="W219" s="21" t="s">
        <v>17</v>
      </c>
      <c r="X219" s="22" t="s">
        <v>18</v>
      </c>
      <c r="Y219" s="21" t="s">
        <v>19</v>
      </c>
      <c r="Z219" s="21" t="s">
        <v>20</v>
      </c>
    </row>
    <row r="220" spans="1:26" ht="13.9" hidden="1" customHeight="1" x14ac:dyDescent="0.25">
      <c r="A220" s="15">
        <v>4</v>
      </c>
      <c r="D220" s="4" t="s">
        <v>21</v>
      </c>
      <c r="E220" s="35">
        <v>111</v>
      </c>
      <c r="F220" s="35" t="s">
        <v>45</v>
      </c>
      <c r="G220" s="36">
        <f t="shared" ref="G220:Q220" si="129">G242</f>
        <v>0</v>
      </c>
      <c r="H220" s="36">
        <f t="shared" si="129"/>
        <v>730.89</v>
      </c>
      <c r="I220" s="36">
        <f t="shared" si="129"/>
        <v>0</v>
      </c>
      <c r="J220" s="36">
        <f t="shared" si="129"/>
        <v>0</v>
      </c>
      <c r="K220" s="36">
        <f t="shared" si="129"/>
        <v>0</v>
      </c>
      <c r="L220" s="36">
        <f t="shared" si="129"/>
        <v>0</v>
      </c>
      <c r="M220" s="36">
        <f t="shared" si="129"/>
        <v>1087</v>
      </c>
      <c r="N220" s="36">
        <f t="shared" si="129"/>
        <v>0</v>
      </c>
      <c r="O220" s="36">
        <f t="shared" si="129"/>
        <v>0</v>
      </c>
      <c r="P220" s="36">
        <f t="shared" si="129"/>
        <v>1087</v>
      </c>
      <c r="Q220" s="36">
        <f t="shared" si="129"/>
        <v>0</v>
      </c>
      <c r="R220" s="37">
        <f>IFERROR(Q220/$P220,0)</f>
        <v>0</v>
      </c>
      <c r="S220" s="36">
        <f>S242</f>
        <v>1087.5999999999999</v>
      </c>
      <c r="T220" s="37">
        <f>IFERROR(S220/$P220,0)</f>
        <v>1.0005519779208831</v>
      </c>
      <c r="U220" s="36">
        <f>U242</f>
        <v>0</v>
      </c>
      <c r="V220" s="37">
        <f>IFERROR(U220/$P220,0)</f>
        <v>0</v>
      </c>
      <c r="W220" s="36">
        <f>W242</f>
        <v>0</v>
      </c>
      <c r="X220" s="37">
        <f>IFERROR(W220/$P220,0)</f>
        <v>0</v>
      </c>
      <c r="Y220" s="36">
        <f>Y242</f>
        <v>0</v>
      </c>
      <c r="Z220" s="36">
        <f>Z242</f>
        <v>0</v>
      </c>
    </row>
    <row r="221" spans="1:26" ht="13.9" customHeight="1" x14ac:dyDescent="0.25">
      <c r="A221" s="15">
        <v>4</v>
      </c>
      <c r="D221" s="4" t="s">
        <v>21</v>
      </c>
      <c r="E221" s="35">
        <v>41</v>
      </c>
      <c r="F221" s="35" t="s">
        <v>23</v>
      </c>
      <c r="G221" s="36">
        <f t="shared" ref="G221:Q221" si="130">G229+G235+G247</f>
        <v>78101.989999999991</v>
      </c>
      <c r="H221" s="36">
        <f t="shared" si="130"/>
        <v>81628.34</v>
      </c>
      <c r="I221" s="36">
        <f t="shared" si="130"/>
        <v>100520</v>
      </c>
      <c r="J221" s="36">
        <f t="shared" si="130"/>
        <v>98810</v>
      </c>
      <c r="K221" s="36">
        <f t="shared" si="130"/>
        <v>95178</v>
      </c>
      <c r="L221" s="36">
        <f t="shared" si="130"/>
        <v>0</v>
      </c>
      <c r="M221" s="36">
        <f t="shared" si="130"/>
        <v>3000</v>
      </c>
      <c r="N221" s="36">
        <f t="shared" si="130"/>
        <v>0</v>
      </c>
      <c r="O221" s="36">
        <f t="shared" si="130"/>
        <v>0</v>
      </c>
      <c r="P221" s="36">
        <f t="shared" si="130"/>
        <v>98178</v>
      </c>
      <c r="Q221" s="36">
        <f t="shared" si="130"/>
        <v>23304.019999999997</v>
      </c>
      <c r="R221" s="37">
        <f>IFERROR(Q221/$P221,0)</f>
        <v>0.2373649901199861</v>
      </c>
      <c r="S221" s="36">
        <f>S229+S235+S247</f>
        <v>46139.22</v>
      </c>
      <c r="T221" s="37">
        <f>IFERROR(S221/$P221,0)</f>
        <v>0.46995477601906743</v>
      </c>
      <c r="U221" s="36">
        <f>U229+U235+U247</f>
        <v>0</v>
      </c>
      <c r="V221" s="37">
        <f>IFERROR(U221/$P221,0)</f>
        <v>0</v>
      </c>
      <c r="W221" s="36">
        <f>W229+W235+W247</f>
        <v>0</v>
      </c>
      <c r="X221" s="37">
        <f>IFERROR(W221/$P221,0)</f>
        <v>0</v>
      </c>
      <c r="Y221" s="36">
        <f>Y229+Y235+Y247</f>
        <v>94948</v>
      </c>
      <c r="Z221" s="36">
        <f>Z229+Z235+Z247</f>
        <v>95774</v>
      </c>
    </row>
    <row r="222" spans="1:26" ht="13.9" customHeight="1" x14ac:dyDescent="0.25">
      <c r="A222" s="15">
        <v>4</v>
      </c>
      <c r="D222" s="4"/>
      <c r="E222" s="35">
        <v>72</v>
      </c>
      <c r="F222" s="35" t="s">
        <v>25</v>
      </c>
      <c r="G222" s="36">
        <f t="shared" ref="G222:Q222" si="131">G249</f>
        <v>33.69</v>
      </c>
      <c r="H222" s="36">
        <f t="shared" si="131"/>
        <v>49.7</v>
      </c>
      <c r="I222" s="36">
        <f t="shared" si="131"/>
        <v>155</v>
      </c>
      <c r="J222" s="36">
        <f t="shared" si="131"/>
        <v>165</v>
      </c>
      <c r="K222" s="36">
        <f t="shared" si="131"/>
        <v>179</v>
      </c>
      <c r="L222" s="36">
        <f t="shared" si="131"/>
        <v>0</v>
      </c>
      <c r="M222" s="36">
        <f t="shared" si="131"/>
        <v>0</v>
      </c>
      <c r="N222" s="36">
        <f t="shared" si="131"/>
        <v>0</v>
      </c>
      <c r="O222" s="36">
        <f t="shared" si="131"/>
        <v>0</v>
      </c>
      <c r="P222" s="36">
        <f t="shared" si="131"/>
        <v>179</v>
      </c>
      <c r="Q222" s="36">
        <f t="shared" si="131"/>
        <v>0</v>
      </c>
      <c r="R222" s="37">
        <f>IFERROR(Q222/$P222,0)</f>
        <v>0</v>
      </c>
      <c r="S222" s="36">
        <f>S249</f>
        <v>0</v>
      </c>
      <c r="T222" s="37">
        <f>IFERROR(S222/$P222,0)</f>
        <v>0</v>
      </c>
      <c r="U222" s="36">
        <f>U249</f>
        <v>0</v>
      </c>
      <c r="V222" s="37">
        <f>IFERROR(U222/$P222,0)</f>
        <v>0</v>
      </c>
      <c r="W222" s="36">
        <f>W249</f>
        <v>0</v>
      </c>
      <c r="X222" s="37">
        <f>IFERROR(W222/$P222,0)</f>
        <v>0</v>
      </c>
      <c r="Y222" s="36">
        <f>Y249</f>
        <v>179</v>
      </c>
      <c r="Z222" s="36">
        <f>Z249</f>
        <v>179</v>
      </c>
    </row>
    <row r="223" spans="1:26" ht="13.9" customHeight="1" x14ac:dyDescent="0.25">
      <c r="A223" s="15">
        <v>4</v>
      </c>
      <c r="D223" s="30"/>
      <c r="E223" s="31"/>
      <c r="F223" s="38" t="s">
        <v>127</v>
      </c>
      <c r="G223" s="39">
        <f t="shared" ref="G223:Q223" si="132">SUM(G220:G222)</f>
        <v>78135.679999999993</v>
      </c>
      <c r="H223" s="39">
        <f t="shared" si="132"/>
        <v>82408.929999999993</v>
      </c>
      <c r="I223" s="39">
        <f t="shared" si="132"/>
        <v>100675</v>
      </c>
      <c r="J223" s="39">
        <f t="shared" si="132"/>
        <v>98975</v>
      </c>
      <c r="K223" s="39">
        <f t="shared" si="132"/>
        <v>95357</v>
      </c>
      <c r="L223" s="39">
        <f t="shared" si="132"/>
        <v>0</v>
      </c>
      <c r="M223" s="39">
        <f t="shared" si="132"/>
        <v>4087</v>
      </c>
      <c r="N223" s="39">
        <f t="shared" si="132"/>
        <v>0</v>
      </c>
      <c r="O223" s="39">
        <f t="shared" si="132"/>
        <v>0</v>
      </c>
      <c r="P223" s="39">
        <f t="shared" si="132"/>
        <v>99444</v>
      </c>
      <c r="Q223" s="39">
        <f t="shared" si="132"/>
        <v>23304.019999999997</v>
      </c>
      <c r="R223" s="40">
        <f>IFERROR(Q223/$P223,0)</f>
        <v>0.23434314790233696</v>
      </c>
      <c r="S223" s="39">
        <f>SUM(S220:S222)</f>
        <v>47226.82</v>
      </c>
      <c r="T223" s="40">
        <f>IFERROR(S223/$P223,0)</f>
        <v>0.47490869232935118</v>
      </c>
      <c r="U223" s="39">
        <f>SUM(U220:U222)</f>
        <v>0</v>
      </c>
      <c r="V223" s="40">
        <f>IFERROR(U223/$P223,0)</f>
        <v>0</v>
      </c>
      <c r="W223" s="39">
        <f>SUM(W220:W222)</f>
        <v>0</v>
      </c>
      <c r="X223" s="40">
        <f>IFERROR(W223/$P223,0)</f>
        <v>0</v>
      </c>
      <c r="Y223" s="39">
        <f>SUM(Y220:Y222)</f>
        <v>95127</v>
      </c>
      <c r="Z223" s="39">
        <f>SUM(Z220:Z222)</f>
        <v>95953</v>
      </c>
    </row>
    <row r="225" spans="1:26" ht="13.9" customHeight="1" x14ac:dyDescent="0.25">
      <c r="D225" s="73" t="s">
        <v>195</v>
      </c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4"/>
      <c r="S225" s="73"/>
      <c r="T225" s="74"/>
      <c r="U225" s="73"/>
      <c r="V225" s="74"/>
      <c r="W225" s="73"/>
      <c r="X225" s="74"/>
      <c r="Y225" s="73"/>
      <c r="Z225" s="73"/>
    </row>
    <row r="226" spans="1:26" ht="13.9" customHeight="1" x14ac:dyDescent="0.25">
      <c r="D226" s="21" t="s">
        <v>32</v>
      </c>
      <c r="E226" s="21" t="s">
        <v>33</v>
      </c>
      <c r="F226" s="21" t="s">
        <v>34</v>
      </c>
      <c r="G226" s="21" t="s">
        <v>1</v>
      </c>
      <c r="H226" s="21" t="s">
        <v>2</v>
      </c>
      <c r="I226" s="21" t="s">
        <v>3</v>
      </c>
      <c r="J226" s="21" t="s">
        <v>4</v>
      </c>
      <c r="K226" s="21" t="s">
        <v>5</v>
      </c>
      <c r="L226" s="21" t="s">
        <v>6</v>
      </c>
      <c r="M226" s="21" t="s">
        <v>7</v>
      </c>
      <c r="N226" s="21" t="s">
        <v>8</v>
      </c>
      <c r="O226" s="21" t="s">
        <v>9</v>
      </c>
      <c r="P226" s="21" t="s">
        <v>124</v>
      </c>
      <c r="Q226" s="21" t="s">
        <v>11</v>
      </c>
      <c r="R226" s="22" t="s">
        <v>12</v>
      </c>
      <c r="S226" s="21" t="s">
        <v>13</v>
      </c>
      <c r="T226" s="22" t="s">
        <v>14</v>
      </c>
      <c r="U226" s="21" t="s">
        <v>15</v>
      </c>
      <c r="V226" s="22" t="s">
        <v>16</v>
      </c>
      <c r="W226" s="21" t="s">
        <v>17</v>
      </c>
      <c r="X226" s="22" t="s">
        <v>18</v>
      </c>
      <c r="Y226" s="21" t="s">
        <v>19</v>
      </c>
      <c r="Z226" s="21" t="s">
        <v>20</v>
      </c>
    </row>
    <row r="227" spans="1:26" ht="13.9" customHeight="1" x14ac:dyDescent="0.25">
      <c r="A227" s="15">
        <v>4</v>
      </c>
      <c r="B227" s="15">
        <v>1</v>
      </c>
      <c r="D227" s="84" t="s">
        <v>196</v>
      </c>
      <c r="E227" s="24">
        <v>630</v>
      </c>
      <c r="F227" s="24" t="s">
        <v>134</v>
      </c>
      <c r="G227" s="46">
        <v>56647.22</v>
      </c>
      <c r="H227" s="46">
        <v>62161.06</v>
      </c>
      <c r="I227" s="46">
        <v>67550</v>
      </c>
      <c r="J227" s="46">
        <v>64724</v>
      </c>
      <c r="K227" s="46">
        <v>65200</v>
      </c>
      <c r="L227" s="46"/>
      <c r="M227" s="46">
        <v>-598</v>
      </c>
      <c r="N227" s="46"/>
      <c r="O227" s="46"/>
      <c r="P227" s="46">
        <f>K227+SUM(L227:O227)</f>
        <v>64602</v>
      </c>
      <c r="Q227" s="46">
        <v>17350.669999999998</v>
      </c>
      <c r="R227" s="47">
        <f>IFERROR(Q227/$P227,0)</f>
        <v>0.26857790780471191</v>
      </c>
      <c r="S227" s="46">
        <v>34731.68</v>
      </c>
      <c r="T227" s="47">
        <f>IFERROR(S227/$P227,0)</f>
        <v>0.53762546051205851</v>
      </c>
      <c r="U227" s="46"/>
      <c r="V227" s="47">
        <f>IFERROR(U227/$P227,0)</f>
        <v>0</v>
      </c>
      <c r="W227" s="46"/>
      <c r="X227" s="47">
        <f>IFERROR(W227/$P227,0)</f>
        <v>0</v>
      </c>
      <c r="Y227" s="25">
        <f>K227</f>
        <v>65200</v>
      </c>
      <c r="Z227" s="25">
        <f>Y227</f>
        <v>65200</v>
      </c>
    </row>
    <row r="228" spans="1:26" ht="13.9" customHeight="1" x14ac:dyDescent="0.25">
      <c r="A228" s="15">
        <v>4</v>
      </c>
      <c r="B228" s="15">
        <v>1</v>
      </c>
      <c r="D228" s="79" t="s">
        <v>21</v>
      </c>
      <c r="E228" s="48">
        <v>41</v>
      </c>
      <c r="F228" s="48" t="s">
        <v>23</v>
      </c>
      <c r="G228" s="49">
        <f t="shared" ref="G228:Q228" si="133">SUM(G227)</f>
        <v>56647.22</v>
      </c>
      <c r="H228" s="49">
        <f t="shared" si="133"/>
        <v>62161.06</v>
      </c>
      <c r="I228" s="49">
        <f t="shared" si="133"/>
        <v>67550</v>
      </c>
      <c r="J228" s="49">
        <f t="shared" si="133"/>
        <v>64724</v>
      </c>
      <c r="K228" s="49">
        <f t="shared" si="133"/>
        <v>65200</v>
      </c>
      <c r="L228" s="49">
        <f t="shared" si="133"/>
        <v>0</v>
      </c>
      <c r="M228" s="49">
        <f t="shared" si="133"/>
        <v>-598</v>
      </c>
      <c r="N228" s="49">
        <f t="shared" si="133"/>
        <v>0</v>
      </c>
      <c r="O228" s="49">
        <f t="shared" si="133"/>
        <v>0</v>
      </c>
      <c r="P228" s="49">
        <f t="shared" si="133"/>
        <v>64602</v>
      </c>
      <c r="Q228" s="49">
        <f t="shared" si="133"/>
        <v>17350.669999999998</v>
      </c>
      <c r="R228" s="50">
        <f>IFERROR(Q228/$P228,0)</f>
        <v>0.26857790780471191</v>
      </c>
      <c r="S228" s="49">
        <f>SUM(S227)</f>
        <v>34731.68</v>
      </c>
      <c r="T228" s="50">
        <f>IFERROR(S228/$P228,0)</f>
        <v>0.53762546051205851</v>
      </c>
      <c r="U228" s="49">
        <f>SUM(U227)</f>
        <v>0</v>
      </c>
      <c r="V228" s="50">
        <f>IFERROR(U228/$P228,0)</f>
        <v>0</v>
      </c>
      <c r="W228" s="49">
        <f>SUM(W227)</f>
        <v>0</v>
      </c>
      <c r="X228" s="50">
        <f>IFERROR(W228/$P228,0)</f>
        <v>0</v>
      </c>
      <c r="Y228" s="49">
        <f>SUM(Y227)</f>
        <v>65200</v>
      </c>
      <c r="Z228" s="49">
        <f>SUM(Z227)</f>
        <v>65200</v>
      </c>
    </row>
    <row r="229" spans="1:26" ht="13.9" customHeight="1" x14ac:dyDescent="0.25">
      <c r="A229" s="15">
        <v>4</v>
      </c>
      <c r="B229" s="15">
        <v>1</v>
      </c>
      <c r="D229" s="86"/>
      <c r="E229" s="87"/>
      <c r="F229" s="27" t="s">
        <v>127</v>
      </c>
      <c r="G229" s="28">
        <f t="shared" ref="G229:Q229" si="134">G228</f>
        <v>56647.22</v>
      </c>
      <c r="H229" s="28">
        <f t="shared" si="134"/>
        <v>62161.06</v>
      </c>
      <c r="I229" s="28">
        <f t="shared" si="134"/>
        <v>67550</v>
      </c>
      <c r="J229" s="28">
        <f t="shared" si="134"/>
        <v>64724</v>
      </c>
      <c r="K229" s="28">
        <f t="shared" si="134"/>
        <v>65200</v>
      </c>
      <c r="L229" s="28">
        <f t="shared" si="134"/>
        <v>0</v>
      </c>
      <c r="M229" s="28">
        <f t="shared" si="134"/>
        <v>-598</v>
      </c>
      <c r="N229" s="28">
        <f t="shared" si="134"/>
        <v>0</v>
      </c>
      <c r="O229" s="28">
        <f t="shared" si="134"/>
        <v>0</v>
      </c>
      <c r="P229" s="28">
        <f t="shared" si="134"/>
        <v>64602</v>
      </c>
      <c r="Q229" s="28">
        <f t="shared" si="134"/>
        <v>17350.669999999998</v>
      </c>
      <c r="R229" s="29">
        <f>IFERROR(Q229/$P229,0)</f>
        <v>0.26857790780471191</v>
      </c>
      <c r="S229" s="28">
        <f>S228</f>
        <v>34731.68</v>
      </c>
      <c r="T229" s="29">
        <f>IFERROR(S229/$P229,0)</f>
        <v>0.53762546051205851</v>
      </c>
      <c r="U229" s="28">
        <f>U228</f>
        <v>0</v>
      </c>
      <c r="V229" s="29">
        <f>IFERROR(U229/$P229,0)</f>
        <v>0</v>
      </c>
      <c r="W229" s="28">
        <f>W228</f>
        <v>0</v>
      </c>
      <c r="X229" s="29">
        <f>IFERROR(W229/$P229,0)</f>
        <v>0</v>
      </c>
      <c r="Y229" s="28">
        <f>Y228</f>
        <v>65200</v>
      </c>
      <c r="Z229" s="28">
        <f>Z228</f>
        <v>65200</v>
      </c>
    </row>
    <row r="231" spans="1:26" ht="13.9" customHeight="1" x14ac:dyDescent="0.25">
      <c r="D231" s="73" t="s">
        <v>197</v>
      </c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4"/>
      <c r="S231" s="73"/>
      <c r="T231" s="74"/>
      <c r="U231" s="73"/>
      <c r="V231" s="74"/>
      <c r="W231" s="73"/>
      <c r="X231" s="74"/>
      <c r="Y231" s="73"/>
      <c r="Z231" s="73"/>
    </row>
    <row r="232" spans="1:26" ht="13.9" customHeight="1" x14ac:dyDescent="0.25">
      <c r="D232" s="21" t="s">
        <v>32</v>
      </c>
      <c r="E232" s="21" t="s">
        <v>33</v>
      </c>
      <c r="F232" s="21" t="s">
        <v>34</v>
      </c>
      <c r="G232" s="21" t="s">
        <v>1</v>
      </c>
      <c r="H232" s="21" t="s">
        <v>2</v>
      </c>
      <c r="I232" s="21" t="s">
        <v>3</v>
      </c>
      <c r="J232" s="21" t="s">
        <v>4</v>
      </c>
      <c r="K232" s="21" t="s">
        <v>5</v>
      </c>
      <c r="L232" s="21" t="s">
        <v>6</v>
      </c>
      <c r="M232" s="21" t="s">
        <v>7</v>
      </c>
      <c r="N232" s="21" t="s">
        <v>8</v>
      </c>
      <c r="O232" s="21" t="s">
        <v>9</v>
      </c>
      <c r="P232" s="21" t="s">
        <v>124</v>
      </c>
      <c r="Q232" s="21" t="s">
        <v>11</v>
      </c>
      <c r="R232" s="22" t="s">
        <v>12</v>
      </c>
      <c r="S232" s="21" t="s">
        <v>13</v>
      </c>
      <c r="T232" s="22" t="s">
        <v>14</v>
      </c>
      <c r="U232" s="21" t="s">
        <v>15</v>
      </c>
      <c r="V232" s="22" t="s">
        <v>16</v>
      </c>
      <c r="W232" s="21" t="s">
        <v>17</v>
      </c>
      <c r="X232" s="22" t="s">
        <v>18</v>
      </c>
      <c r="Y232" s="21" t="s">
        <v>19</v>
      </c>
      <c r="Z232" s="21" t="s">
        <v>20</v>
      </c>
    </row>
    <row r="233" spans="1:26" ht="13.9" customHeight="1" x14ac:dyDescent="0.25">
      <c r="A233" s="15">
        <v>4</v>
      </c>
      <c r="B233" s="15">
        <v>2</v>
      </c>
      <c r="D233" s="84" t="s">
        <v>196</v>
      </c>
      <c r="E233" s="24">
        <v>630</v>
      </c>
      <c r="F233" s="24" t="s">
        <v>134</v>
      </c>
      <c r="G233" s="25">
        <v>328.28</v>
      </c>
      <c r="H233" s="25">
        <v>878.28</v>
      </c>
      <c r="I233" s="25">
        <v>878</v>
      </c>
      <c r="J233" s="25">
        <v>2028</v>
      </c>
      <c r="K233" s="25">
        <v>728</v>
      </c>
      <c r="L233" s="25"/>
      <c r="M233" s="25">
        <v>598</v>
      </c>
      <c r="N233" s="25"/>
      <c r="O233" s="25"/>
      <c r="P233" s="25">
        <f>K233+SUM(L233:O233)</f>
        <v>1326</v>
      </c>
      <c r="Q233" s="25">
        <v>72.8</v>
      </c>
      <c r="R233" s="26">
        <f>IFERROR(Q233/$P233,0)</f>
        <v>5.4901960784313725E-2</v>
      </c>
      <c r="S233" s="25">
        <v>72.8</v>
      </c>
      <c r="T233" s="26">
        <f>IFERROR(S233/$P233,0)</f>
        <v>5.4901960784313725E-2</v>
      </c>
      <c r="U233" s="25"/>
      <c r="V233" s="26">
        <f>IFERROR(U233/$P233,0)</f>
        <v>0</v>
      </c>
      <c r="W233" s="25"/>
      <c r="X233" s="26">
        <f>IFERROR(W233/$P233,0)</f>
        <v>0</v>
      </c>
      <c r="Y233" s="25">
        <f>K233</f>
        <v>728</v>
      </c>
      <c r="Z233" s="25">
        <f>Y233</f>
        <v>728</v>
      </c>
    </row>
    <row r="234" spans="1:26" ht="13.9" customHeight="1" x14ac:dyDescent="0.25">
      <c r="A234" s="15">
        <v>4</v>
      </c>
      <c r="B234" s="15">
        <v>2</v>
      </c>
      <c r="D234" s="79" t="s">
        <v>21</v>
      </c>
      <c r="E234" s="48">
        <v>41</v>
      </c>
      <c r="F234" s="48" t="s">
        <v>23</v>
      </c>
      <c r="G234" s="49">
        <f t="shared" ref="G234:Q234" si="135">SUM(G233)</f>
        <v>328.28</v>
      </c>
      <c r="H234" s="49">
        <f t="shared" si="135"/>
        <v>878.28</v>
      </c>
      <c r="I234" s="49">
        <f t="shared" si="135"/>
        <v>878</v>
      </c>
      <c r="J234" s="49">
        <f t="shared" si="135"/>
        <v>2028</v>
      </c>
      <c r="K234" s="49">
        <f t="shared" si="135"/>
        <v>728</v>
      </c>
      <c r="L234" s="49">
        <f t="shared" si="135"/>
        <v>0</v>
      </c>
      <c r="M234" s="49">
        <f t="shared" si="135"/>
        <v>598</v>
      </c>
      <c r="N234" s="49">
        <f t="shared" si="135"/>
        <v>0</v>
      </c>
      <c r="O234" s="49">
        <f t="shared" si="135"/>
        <v>0</v>
      </c>
      <c r="P234" s="49">
        <f t="shared" si="135"/>
        <v>1326</v>
      </c>
      <c r="Q234" s="49">
        <f t="shared" si="135"/>
        <v>72.8</v>
      </c>
      <c r="R234" s="50">
        <f>IFERROR(Q234/$P234,0)</f>
        <v>5.4901960784313725E-2</v>
      </c>
      <c r="S234" s="49">
        <f>SUM(S233)</f>
        <v>72.8</v>
      </c>
      <c r="T234" s="50">
        <f>IFERROR(S234/$P234,0)</f>
        <v>5.4901960784313725E-2</v>
      </c>
      <c r="U234" s="49">
        <f>SUM(U233)</f>
        <v>0</v>
      </c>
      <c r="V234" s="50">
        <f>IFERROR(U234/$P234,0)</f>
        <v>0</v>
      </c>
      <c r="W234" s="49">
        <f>SUM(W233)</f>
        <v>0</v>
      </c>
      <c r="X234" s="50">
        <f>IFERROR(W234/$P234,0)</f>
        <v>0</v>
      </c>
      <c r="Y234" s="49">
        <f>SUM(Y233)</f>
        <v>728</v>
      </c>
      <c r="Z234" s="49">
        <f>SUM(Z233)</f>
        <v>728</v>
      </c>
    </row>
    <row r="235" spans="1:26" ht="13.9" customHeight="1" x14ac:dyDescent="0.25">
      <c r="A235" s="15">
        <v>4</v>
      </c>
      <c r="B235" s="15">
        <v>2</v>
      </c>
      <c r="D235" s="86"/>
      <c r="E235" s="87"/>
      <c r="F235" s="27" t="s">
        <v>127</v>
      </c>
      <c r="G235" s="28">
        <f t="shared" ref="G235:Q235" si="136">G231+G234</f>
        <v>328.28</v>
      </c>
      <c r="H235" s="28">
        <f t="shared" si="136"/>
        <v>878.28</v>
      </c>
      <c r="I235" s="28">
        <f t="shared" si="136"/>
        <v>878</v>
      </c>
      <c r="J235" s="28">
        <f t="shared" si="136"/>
        <v>2028</v>
      </c>
      <c r="K235" s="28">
        <f t="shared" si="136"/>
        <v>728</v>
      </c>
      <c r="L235" s="28">
        <f t="shared" si="136"/>
        <v>0</v>
      </c>
      <c r="M235" s="28">
        <f t="shared" si="136"/>
        <v>598</v>
      </c>
      <c r="N235" s="28">
        <f t="shared" si="136"/>
        <v>0</v>
      </c>
      <c r="O235" s="28">
        <f t="shared" si="136"/>
        <v>0</v>
      </c>
      <c r="P235" s="28">
        <f t="shared" si="136"/>
        <v>1326</v>
      </c>
      <c r="Q235" s="28">
        <f t="shared" si="136"/>
        <v>72.8</v>
      </c>
      <c r="R235" s="29">
        <f>IFERROR(Q235/$P235,0)</f>
        <v>5.4901960784313725E-2</v>
      </c>
      <c r="S235" s="28">
        <f>S231+S234</f>
        <v>72.8</v>
      </c>
      <c r="T235" s="29">
        <f>IFERROR(S235/$P235,0)</f>
        <v>5.4901960784313725E-2</v>
      </c>
      <c r="U235" s="28">
        <f>U231+U234</f>
        <v>0</v>
      </c>
      <c r="V235" s="29">
        <f>IFERROR(U235/$P235,0)</f>
        <v>0</v>
      </c>
      <c r="W235" s="28">
        <f>W231+W234</f>
        <v>0</v>
      </c>
      <c r="X235" s="29">
        <f>IFERROR(W235/$P235,0)</f>
        <v>0</v>
      </c>
      <c r="Y235" s="28">
        <f>Y231+Y234</f>
        <v>728</v>
      </c>
      <c r="Z235" s="28">
        <f>Z231+Z234</f>
        <v>728</v>
      </c>
    </row>
    <row r="237" spans="1:26" ht="13.9" customHeight="1" x14ac:dyDescent="0.25">
      <c r="D237" s="73" t="s">
        <v>198</v>
      </c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4"/>
      <c r="S237" s="73"/>
      <c r="T237" s="74"/>
      <c r="U237" s="73"/>
      <c r="V237" s="74"/>
      <c r="W237" s="73"/>
      <c r="X237" s="74"/>
      <c r="Y237" s="73"/>
      <c r="Z237" s="73"/>
    </row>
    <row r="238" spans="1:26" ht="13.9" customHeight="1" x14ac:dyDescent="0.25">
      <c r="D238" s="21" t="s">
        <v>32</v>
      </c>
      <c r="E238" s="21" t="s">
        <v>33</v>
      </c>
      <c r="F238" s="21" t="s">
        <v>34</v>
      </c>
      <c r="G238" s="21" t="s">
        <v>1</v>
      </c>
      <c r="H238" s="21" t="s">
        <v>2</v>
      </c>
      <c r="I238" s="21" t="s">
        <v>3</v>
      </c>
      <c r="J238" s="21" t="s">
        <v>4</v>
      </c>
      <c r="K238" s="21" t="s">
        <v>5</v>
      </c>
      <c r="L238" s="21" t="s">
        <v>6</v>
      </c>
      <c r="M238" s="21" t="s">
        <v>7</v>
      </c>
      <c r="N238" s="21" t="s">
        <v>8</v>
      </c>
      <c r="O238" s="21" t="s">
        <v>9</v>
      </c>
      <c r="P238" s="21" t="s">
        <v>124</v>
      </c>
      <c r="Q238" s="21" t="s">
        <v>11</v>
      </c>
      <c r="R238" s="22" t="s">
        <v>12</v>
      </c>
      <c r="S238" s="21" t="s">
        <v>13</v>
      </c>
      <c r="T238" s="22" t="s">
        <v>14</v>
      </c>
      <c r="U238" s="21" t="s">
        <v>15</v>
      </c>
      <c r="V238" s="22" t="s">
        <v>16</v>
      </c>
      <c r="W238" s="21" t="s">
        <v>17</v>
      </c>
      <c r="X238" s="22" t="s">
        <v>18</v>
      </c>
      <c r="Y238" s="21" t="s">
        <v>19</v>
      </c>
      <c r="Z238" s="21" t="s">
        <v>20</v>
      </c>
    </row>
    <row r="239" spans="1:26" ht="13.9" customHeight="1" x14ac:dyDescent="0.25">
      <c r="D239" s="11" t="s">
        <v>196</v>
      </c>
      <c r="E239" s="24">
        <v>610</v>
      </c>
      <c r="F239" s="24" t="s">
        <v>132</v>
      </c>
      <c r="G239" s="46">
        <v>0</v>
      </c>
      <c r="H239" s="46">
        <v>0</v>
      </c>
      <c r="I239" s="25">
        <v>0</v>
      </c>
      <c r="J239" s="25">
        <v>0</v>
      </c>
      <c r="K239" s="25">
        <v>0</v>
      </c>
      <c r="L239" s="25"/>
      <c r="M239" s="25">
        <v>800</v>
      </c>
      <c r="N239" s="25"/>
      <c r="O239" s="25"/>
      <c r="P239" s="46">
        <f>K239+SUM(L239:O239)</f>
        <v>800</v>
      </c>
      <c r="Q239" s="46">
        <v>0</v>
      </c>
      <c r="R239" s="47">
        <f t="shared" ref="R239:R250" si="137">IFERROR(Q239/$P239,0)</f>
        <v>0</v>
      </c>
      <c r="S239" s="46">
        <v>800</v>
      </c>
      <c r="T239" s="47">
        <f t="shared" ref="T239:T250" si="138">IFERROR(S239/$P239,0)</f>
        <v>1</v>
      </c>
      <c r="U239" s="46"/>
      <c r="V239" s="47">
        <f t="shared" ref="V239:V250" si="139">IFERROR(U239/$P239,0)</f>
        <v>0</v>
      </c>
      <c r="W239" s="46"/>
      <c r="X239" s="47">
        <f t="shared" ref="X239:X250" si="140">IFERROR(W239/$P239,0)</f>
        <v>0</v>
      </c>
      <c r="Y239" s="25">
        <v>0</v>
      </c>
      <c r="Z239" s="25">
        <v>0</v>
      </c>
    </row>
    <row r="240" spans="1:26" ht="13.9" customHeight="1" x14ac:dyDescent="0.25">
      <c r="D240" s="11"/>
      <c r="E240" s="24">
        <v>620</v>
      </c>
      <c r="F240" s="24" t="s">
        <v>133</v>
      </c>
      <c r="G240" s="46">
        <v>0</v>
      </c>
      <c r="H240" s="46">
        <v>0</v>
      </c>
      <c r="I240" s="25">
        <v>0</v>
      </c>
      <c r="J240" s="25">
        <v>0</v>
      </c>
      <c r="K240" s="25">
        <v>0</v>
      </c>
      <c r="L240" s="25"/>
      <c r="M240" s="25">
        <v>287</v>
      </c>
      <c r="N240" s="25"/>
      <c r="O240" s="25"/>
      <c r="P240" s="46">
        <f>K240+SUM(L240:O240)</f>
        <v>287</v>
      </c>
      <c r="Q240" s="46">
        <v>0</v>
      </c>
      <c r="R240" s="47">
        <f t="shared" si="137"/>
        <v>0</v>
      </c>
      <c r="S240" s="46">
        <v>287.60000000000002</v>
      </c>
      <c r="T240" s="47">
        <f t="shared" si="138"/>
        <v>1.0020905923344949</v>
      </c>
      <c r="U240" s="46"/>
      <c r="V240" s="47">
        <f t="shared" si="139"/>
        <v>0</v>
      </c>
      <c r="W240" s="46"/>
      <c r="X240" s="47">
        <f t="shared" si="140"/>
        <v>0</v>
      </c>
      <c r="Y240" s="25">
        <v>0</v>
      </c>
      <c r="Z240" s="25">
        <v>0</v>
      </c>
    </row>
    <row r="241" spans="1:26" ht="13.9" hidden="1" customHeight="1" x14ac:dyDescent="0.25">
      <c r="A241" s="15">
        <v>4</v>
      </c>
      <c r="B241" s="15">
        <v>3</v>
      </c>
      <c r="D241" s="11"/>
      <c r="E241" s="24">
        <v>630</v>
      </c>
      <c r="F241" s="24" t="s">
        <v>134</v>
      </c>
      <c r="G241" s="46">
        <v>0</v>
      </c>
      <c r="H241" s="46">
        <v>730.89</v>
      </c>
      <c r="I241" s="25">
        <v>0</v>
      </c>
      <c r="J241" s="25">
        <v>0</v>
      </c>
      <c r="K241" s="25">
        <v>0</v>
      </c>
      <c r="L241" s="25"/>
      <c r="M241" s="25"/>
      <c r="N241" s="25"/>
      <c r="O241" s="25"/>
      <c r="P241" s="46">
        <f>K241+SUM(L241:O241)</f>
        <v>0</v>
      </c>
      <c r="Q241" s="46"/>
      <c r="R241" s="47">
        <f t="shared" si="137"/>
        <v>0</v>
      </c>
      <c r="S241" s="46"/>
      <c r="T241" s="47">
        <f t="shared" si="138"/>
        <v>0</v>
      </c>
      <c r="U241" s="46"/>
      <c r="V241" s="47">
        <f t="shared" si="139"/>
        <v>0</v>
      </c>
      <c r="W241" s="46"/>
      <c r="X241" s="47">
        <f t="shared" si="140"/>
        <v>0</v>
      </c>
      <c r="Y241" s="25">
        <v>0</v>
      </c>
      <c r="Z241" s="25">
        <v>0</v>
      </c>
    </row>
    <row r="242" spans="1:26" ht="13.9" customHeight="1" x14ac:dyDescent="0.25">
      <c r="A242" s="15">
        <v>4</v>
      </c>
      <c r="B242" s="15">
        <v>3</v>
      </c>
      <c r="D242" s="79" t="s">
        <v>21</v>
      </c>
      <c r="E242" s="48">
        <v>111</v>
      </c>
      <c r="F242" s="48" t="s">
        <v>23</v>
      </c>
      <c r="G242" s="49">
        <f t="shared" ref="G242:Q242" si="141">SUM(G239:G241)</f>
        <v>0</v>
      </c>
      <c r="H242" s="49">
        <f t="shared" si="141"/>
        <v>730.89</v>
      </c>
      <c r="I242" s="49">
        <f t="shared" si="141"/>
        <v>0</v>
      </c>
      <c r="J242" s="49">
        <f t="shared" si="141"/>
        <v>0</v>
      </c>
      <c r="K242" s="49">
        <f t="shared" si="141"/>
        <v>0</v>
      </c>
      <c r="L242" s="49">
        <f t="shared" si="141"/>
        <v>0</v>
      </c>
      <c r="M242" s="49">
        <f t="shared" si="141"/>
        <v>1087</v>
      </c>
      <c r="N242" s="49">
        <f t="shared" si="141"/>
        <v>0</v>
      </c>
      <c r="O242" s="49">
        <f t="shared" si="141"/>
        <v>0</v>
      </c>
      <c r="P242" s="49">
        <f t="shared" si="141"/>
        <v>1087</v>
      </c>
      <c r="Q242" s="49">
        <f t="shared" si="141"/>
        <v>0</v>
      </c>
      <c r="R242" s="50">
        <f t="shared" si="137"/>
        <v>0</v>
      </c>
      <c r="S242" s="49">
        <f>SUM(S239:S241)</f>
        <v>1087.5999999999999</v>
      </c>
      <c r="T242" s="50">
        <f t="shared" si="138"/>
        <v>1.0005519779208831</v>
      </c>
      <c r="U242" s="49">
        <f>SUM(U239:U241)</f>
        <v>0</v>
      </c>
      <c r="V242" s="50">
        <f t="shared" si="139"/>
        <v>0</v>
      </c>
      <c r="W242" s="49">
        <f>SUM(W239:W241)</f>
        <v>0</v>
      </c>
      <c r="X242" s="50">
        <f t="shared" si="140"/>
        <v>0</v>
      </c>
      <c r="Y242" s="49">
        <f>SUM(Y239:Y241)</f>
        <v>0</v>
      </c>
      <c r="Z242" s="49">
        <f>SUM(Z239:Z241)</f>
        <v>0</v>
      </c>
    </row>
    <row r="243" spans="1:26" ht="13.9" customHeight="1" x14ac:dyDescent="0.25">
      <c r="A243" s="15">
        <v>4</v>
      </c>
      <c r="B243" s="15">
        <v>3</v>
      </c>
      <c r="D243" s="11" t="s">
        <v>196</v>
      </c>
      <c r="E243" s="24">
        <v>610</v>
      </c>
      <c r="F243" s="24" t="s">
        <v>132</v>
      </c>
      <c r="G243" s="25">
        <v>5465.98</v>
      </c>
      <c r="H243" s="25">
        <v>2523.81</v>
      </c>
      <c r="I243" s="25">
        <v>12000</v>
      </c>
      <c r="J243" s="25">
        <v>13323</v>
      </c>
      <c r="K243" s="25">
        <v>12926</v>
      </c>
      <c r="L243" s="25"/>
      <c r="M243" s="25"/>
      <c r="N243" s="25"/>
      <c r="O243" s="25"/>
      <c r="P243" s="25">
        <f>K243+SUM(L243:O243)</f>
        <v>12926</v>
      </c>
      <c r="Q243" s="25">
        <v>3513.28</v>
      </c>
      <c r="R243" s="26">
        <f t="shared" si="137"/>
        <v>0.27179947392851617</v>
      </c>
      <c r="S243" s="25">
        <v>5823.78</v>
      </c>
      <c r="T243" s="26">
        <f t="shared" si="138"/>
        <v>0.45054773325081232</v>
      </c>
      <c r="U243" s="25"/>
      <c r="V243" s="26">
        <f t="shared" si="139"/>
        <v>0</v>
      </c>
      <c r="W243" s="25"/>
      <c r="X243" s="26">
        <f t="shared" si="140"/>
        <v>0</v>
      </c>
      <c r="Y243" s="25">
        <v>12732</v>
      </c>
      <c r="Z243" s="25">
        <v>13369</v>
      </c>
    </row>
    <row r="244" spans="1:26" ht="13.9" customHeight="1" x14ac:dyDescent="0.25">
      <c r="A244" s="15">
        <v>4</v>
      </c>
      <c r="B244" s="15">
        <v>3</v>
      </c>
      <c r="D244" s="11"/>
      <c r="E244" s="24">
        <v>620</v>
      </c>
      <c r="F244" s="24" t="s">
        <v>133</v>
      </c>
      <c r="G244" s="25">
        <v>1504.01</v>
      </c>
      <c r="H244" s="25">
        <v>1172.2</v>
      </c>
      <c r="I244" s="25">
        <v>3171</v>
      </c>
      <c r="J244" s="25">
        <v>4787</v>
      </c>
      <c r="K244" s="25">
        <v>3538</v>
      </c>
      <c r="L244" s="25"/>
      <c r="M244" s="25">
        <v>1109</v>
      </c>
      <c r="N244" s="25"/>
      <c r="O244" s="25"/>
      <c r="P244" s="25">
        <f>K244+SUM(L244:O244)</f>
        <v>4647</v>
      </c>
      <c r="Q244" s="25">
        <v>1262.92</v>
      </c>
      <c r="R244" s="26">
        <f t="shared" si="137"/>
        <v>0.27177103507639339</v>
      </c>
      <c r="S244" s="25">
        <v>2093.5100000000002</v>
      </c>
      <c r="T244" s="26">
        <f t="shared" si="138"/>
        <v>0.45050785452980424</v>
      </c>
      <c r="U244" s="25"/>
      <c r="V244" s="26">
        <f t="shared" si="139"/>
        <v>0</v>
      </c>
      <c r="W244" s="25"/>
      <c r="X244" s="26">
        <f t="shared" si="140"/>
        <v>0</v>
      </c>
      <c r="Y244" s="25">
        <v>3491</v>
      </c>
      <c r="Z244" s="25">
        <v>3668</v>
      </c>
    </row>
    <row r="245" spans="1:26" ht="13.9" customHeight="1" x14ac:dyDescent="0.25">
      <c r="A245" s="15">
        <v>4</v>
      </c>
      <c r="B245" s="15">
        <v>3</v>
      </c>
      <c r="D245" s="11"/>
      <c r="E245" s="24">
        <v>630</v>
      </c>
      <c r="F245" s="24" t="s">
        <v>134</v>
      </c>
      <c r="G245" s="25">
        <v>14156.5</v>
      </c>
      <c r="H245" s="25">
        <v>14892.99</v>
      </c>
      <c r="I245" s="25">
        <f>1436+15485</f>
        <v>16921</v>
      </c>
      <c r="J245" s="25">
        <v>13948</v>
      </c>
      <c r="K245" s="25">
        <f>1482+11304</f>
        <v>12786</v>
      </c>
      <c r="L245" s="25"/>
      <c r="M245" s="25">
        <v>1891</v>
      </c>
      <c r="N245" s="25"/>
      <c r="O245" s="25"/>
      <c r="P245" s="25">
        <f>K245+SUM(L245:O245)</f>
        <v>14677</v>
      </c>
      <c r="Q245" s="25">
        <v>1104.3499999999999</v>
      </c>
      <c r="R245" s="26">
        <f t="shared" si="137"/>
        <v>7.5243578387953938E-2</v>
      </c>
      <c r="S245" s="25">
        <v>3417.45</v>
      </c>
      <c r="T245" s="26">
        <f t="shared" si="138"/>
        <v>0.23284390543026504</v>
      </c>
      <c r="U245" s="25"/>
      <c r="V245" s="26">
        <f t="shared" si="139"/>
        <v>0</v>
      </c>
      <c r="W245" s="25"/>
      <c r="X245" s="26">
        <f t="shared" si="140"/>
        <v>0</v>
      </c>
      <c r="Y245" s="25">
        <f>1493+11304</f>
        <v>12797</v>
      </c>
      <c r="Z245" s="25">
        <f>1505+11304</f>
        <v>12809</v>
      </c>
    </row>
    <row r="246" spans="1:26" ht="13.9" hidden="1" customHeight="1" x14ac:dyDescent="0.25">
      <c r="A246" s="15">
        <v>4</v>
      </c>
      <c r="B246" s="15">
        <v>3</v>
      </c>
      <c r="D246" s="11"/>
      <c r="E246" s="24">
        <v>640</v>
      </c>
      <c r="F246" s="24" t="s">
        <v>135</v>
      </c>
      <c r="G246" s="25">
        <v>0</v>
      </c>
      <c r="H246" s="25">
        <v>0</v>
      </c>
      <c r="I246" s="46">
        <v>0</v>
      </c>
      <c r="J246" s="25">
        <v>0</v>
      </c>
      <c r="K246" s="46">
        <v>0</v>
      </c>
      <c r="L246" s="25"/>
      <c r="M246" s="25"/>
      <c r="N246" s="25"/>
      <c r="O246" s="25"/>
      <c r="P246" s="25">
        <f>K246+SUM(L246:O246)</f>
        <v>0</v>
      </c>
      <c r="Q246" s="25"/>
      <c r="R246" s="26">
        <f t="shared" si="137"/>
        <v>0</v>
      </c>
      <c r="S246" s="25"/>
      <c r="T246" s="26">
        <f t="shared" si="138"/>
        <v>0</v>
      </c>
      <c r="U246" s="25"/>
      <c r="V246" s="26">
        <f t="shared" si="139"/>
        <v>0</v>
      </c>
      <c r="W246" s="25"/>
      <c r="X246" s="26">
        <f t="shared" si="140"/>
        <v>0</v>
      </c>
      <c r="Y246" s="25">
        <v>0</v>
      </c>
      <c r="Z246" s="25">
        <v>0</v>
      </c>
    </row>
    <row r="247" spans="1:26" ht="13.9" customHeight="1" x14ac:dyDescent="0.25">
      <c r="A247" s="15">
        <v>4</v>
      </c>
      <c r="B247" s="15">
        <v>3</v>
      </c>
      <c r="D247" s="79" t="s">
        <v>21</v>
      </c>
      <c r="E247" s="48">
        <v>41</v>
      </c>
      <c r="F247" s="48" t="s">
        <v>23</v>
      </c>
      <c r="G247" s="49">
        <f t="shared" ref="G247:Q247" si="142">SUM(G243:G246)</f>
        <v>21126.489999999998</v>
      </c>
      <c r="H247" s="49">
        <f t="shared" si="142"/>
        <v>18589</v>
      </c>
      <c r="I247" s="49">
        <f t="shared" si="142"/>
        <v>32092</v>
      </c>
      <c r="J247" s="49">
        <f t="shared" si="142"/>
        <v>32058</v>
      </c>
      <c r="K247" s="49">
        <f t="shared" si="142"/>
        <v>29250</v>
      </c>
      <c r="L247" s="49">
        <f t="shared" si="142"/>
        <v>0</v>
      </c>
      <c r="M247" s="49">
        <f t="shared" si="142"/>
        <v>3000</v>
      </c>
      <c r="N247" s="49">
        <f t="shared" si="142"/>
        <v>0</v>
      </c>
      <c r="O247" s="49">
        <f t="shared" si="142"/>
        <v>0</v>
      </c>
      <c r="P247" s="49">
        <f t="shared" si="142"/>
        <v>32250</v>
      </c>
      <c r="Q247" s="49">
        <f t="shared" si="142"/>
        <v>5880.5500000000011</v>
      </c>
      <c r="R247" s="50">
        <f t="shared" si="137"/>
        <v>0.18234263565891476</v>
      </c>
      <c r="S247" s="49">
        <f>SUM(S243:S246)</f>
        <v>11334.74</v>
      </c>
      <c r="T247" s="50">
        <f t="shared" si="138"/>
        <v>0.35146480620155041</v>
      </c>
      <c r="U247" s="49">
        <f>SUM(U243:U246)</f>
        <v>0</v>
      </c>
      <c r="V247" s="50">
        <f t="shared" si="139"/>
        <v>0</v>
      </c>
      <c r="W247" s="49">
        <f>SUM(W243:W246)</f>
        <v>0</v>
      </c>
      <c r="X247" s="50">
        <f t="shared" si="140"/>
        <v>0</v>
      </c>
      <c r="Y247" s="49">
        <f>SUM(Y243:Y246)</f>
        <v>29020</v>
      </c>
      <c r="Z247" s="49">
        <f>SUM(Z243:Z246)</f>
        <v>29846</v>
      </c>
    </row>
    <row r="248" spans="1:26" ht="13.9" customHeight="1" x14ac:dyDescent="0.25">
      <c r="A248" s="15">
        <v>4</v>
      </c>
      <c r="B248" s="15">
        <v>3</v>
      </c>
      <c r="D248" s="84" t="s">
        <v>196</v>
      </c>
      <c r="E248" s="24">
        <v>640</v>
      </c>
      <c r="F248" s="24" t="s">
        <v>135</v>
      </c>
      <c r="G248" s="25">
        <v>33.69</v>
      </c>
      <c r="H248" s="25">
        <v>49.7</v>
      </c>
      <c r="I248" s="25">
        <v>155</v>
      </c>
      <c r="J248" s="25">
        <v>165</v>
      </c>
      <c r="K248" s="25">
        <v>179</v>
      </c>
      <c r="L248" s="25"/>
      <c r="M248" s="25"/>
      <c r="N248" s="25"/>
      <c r="O248" s="25"/>
      <c r="P248" s="25">
        <f>K248+SUM(L248:O248)</f>
        <v>179</v>
      </c>
      <c r="Q248" s="25">
        <v>0</v>
      </c>
      <c r="R248" s="26">
        <f t="shared" si="137"/>
        <v>0</v>
      </c>
      <c r="S248" s="25">
        <v>0</v>
      </c>
      <c r="T248" s="26">
        <f t="shared" si="138"/>
        <v>0</v>
      </c>
      <c r="U248" s="25"/>
      <c r="V248" s="26">
        <f t="shared" si="139"/>
        <v>0</v>
      </c>
      <c r="W248" s="25"/>
      <c r="X248" s="26">
        <f t="shared" si="140"/>
        <v>0</v>
      </c>
      <c r="Y248" s="25">
        <f>K248</f>
        <v>179</v>
      </c>
      <c r="Z248" s="25">
        <f>Y248</f>
        <v>179</v>
      </c>
    </row>
    <row r="249" spans="1:26" ht="13.9" customHeight="1" x14ac:dyDescent="0.25">
      <c r="A249" s="15">
        <v>4</v>
      </c>
      <c r="B249" s="15">
        <v>3</v>
      </c>
      <c r="D249" s="79" t="s">
        <v>21</v>
      </c>
      <c r="E249" s="48">
        <v>72</v>
      </c>
      <c r="F249" s="48" t="s">
        <v>25</v>
      </c>
      <c r="G249" s="49">
        <f t="shared" ref="G249:Q249" si="143">SUM(G248)</f>
        <v>33.69</v>
      </c>
      <c r="H249" s="49">
        <f t="shared" si="143"/>
        <v>49.7</v>
      </c>
      <c r="I249" s="49">
        <f t="shared" si="143"/>
        <v>155</v>
      </c>
      <c r="J249" s="49">
        <f t="shared" si="143"/>
        <v>165</v>
      </c>
      <c r="K249" s="49">
        <f t="shared" si="143"/>
        <v>179</v>
      </c>
      <c r="L249" s="49">
        <f t="shared" si="143"/>
        <v>0</v>
      </c>
      <c r="M249" s="49">
        <f t="shared" si="143"/>
        <v>0</v>
      </c>
      <c r="N249" s="49">
        <f t="shared" si="143"/>
        <v>0</v>
      </c>
      <c r="O249" s="49">
        <f t="shared" si="143"/>
        <v>0</v>
      </c>
      <c r="P249" s="49">
        <f t="shared" si="143"/>
        <v>179</v>
      </c>
      <c r="Q249" s="49">
        <f t="shared" si="143"/>
        <v>0</v>
      </c>
      <c r="R249" s="50">
        <f t="shared" si="137"/>
        <v>0</v>
      </c>
      <c r="S249" s="49">
        <f>SUM(S248)</f>
        <v>0</v>
      </c>
      <c r="T249" s="50">
        <f t="shared" si="138"/>
        <v>0</v>
      </c>
      <c r="U249" s="49">
        <f>SUM(U248)</f>
        <v>0</v>
      </c>
      <c r="V249" s="50">
        <f t="shared" si="139"/>
        <v>0</v>
      </c>
      <c r="W249" s="49">
        <f>SUM(W248)</f>
        <v>0</v>
      </c>
      <c r="X249" s="50">
        <f t="shared" si="140"/>
        <v>0</v>
      </c>
      <c r="Y249" s="49">
        <f>SUM(Y248)</f>
        <v>179</v>
      </c>
      <c r="Z249" s="49">
        <f>SUM(Z248)</f>
        <v>179</v>
      </c>
    </row>
    <row r="250" spans="1:26" ht="13.9" customHeight="1" x14ac:dyDescent="0.25">
      <c r="A250" s="15">
        <v>4</v>
      </c>
      <c r="B250" s="15">
        <v>3</v>
      </c>
      <c r="D250" s="86"/>
      <c r="E250" s="87"/>
      <c r="F250" s="27" t="s">
        <v>127</v>
      </c>
      <c r="G250" s="28">
        <f t="shared" ref="G250:Q250" si="144">G242+G247+G249</f>
        <v>21160.179999999997</v>
      </c>
      <c r="H250" s="28">
        <f t="shared" si="144"/>
        <v>19369.59</v>
      </c>
      <c r="I250" s="28">
        <f t="shared" si="144"/>
        <v>32247</v>
      </c>
      <c r="J250" s="28">
        <f t="shared" si="144"/>
        <v>32223</v>
      </c>
      <c r="K250" s="28">
        <f t="shared" si="144"/>
        <v>29429</v>
      </c>
      <c r="L250" s="28">
        <f t="shared" si="144"/>
        <v>0</v>
      </c>
      <c r="M250" s="28">
        <f t="shared" si="144"/>
        <v>4087</v>
      </c>
      <c r="N250" s="28">
        <f t="shared" si="144"/>
        <v>0</v>
      </c>
      <c r="O250" s="28">
        <f t="shared" si="144"/>
        <v>0</v>
      </c>
      <c r="P250" s="28">
        <f t="shared" si="144"/>
        <v>33516</v>
      </c>
      <c r="Q250" s="28">
        <f t="shared" si="144"/>
        <v>5880.5500000000011</v>
      </c>
      <c r="R250" s="29">
        <f t="shared" si="137"/>
        <v>0.17545500656402915</v>
      </c>
      <c r="S250" s="28">
        <f>S242+S247+S249</f>
        <v>12422.34</v>
      </c>
      <c r="T250" s="29">
        <f t="shared" si="138"/>
        <v>0.37063909774436088</v>
      </c>
      <c r="U250" s="28">
        <f>U242+U247+U249</f>
        <v>0</v>
      </c>
      <c r="V250" s="29">
        <f t="shared" si="139"/>
        <v>0</v>
      </c>
      <c r="W250" s="28">
        <f>W242+W247+W249</f>
        <v>0</v>
      </c>
      <c r="X250" s="29">
        <f t="shared" si="140"/>
        <v>0</v>
      </c>
      <c r="Y250" s="28">
        <f>Y242+Y247+Y249</f>
        <v>29199</v>
      </c>
      <c r="Z250" s="28">
        <f>Z242+Z247+Z249</f>
        <v>30025</v>
      </c>
    </row>
    <row r="252" spans="1:26" ht="13.9" customHeight="1" x14ac:dyDescent="0.25">
      <c r="E252" s="52" t="s">
        <v>55</v>
      </c>
      <c r="F252" s="30" t="s">
        <v>150</v>
      </c>
      <c r="G252" s="118">
        <v>927.05</v>
      </c>
      <c r="H252" s="118">
        <v>1674.48</v>
      </c>
      <c r="I252" s="118">
        <v>3790</v>
      </c>
      <c r="J252" s="118">
        <v>1286</v>
      </c>
      <c r="K252" s="118">
        <v>1285</v>
      </c>
      <c r="L252" s="118"/>
      <c r="M252" s="118"/>
      <c r="N252" s="118"/>
      <c r="O252" s="118"/>
      <c r="P252" s="118">
        <f>K252+SUM(L252:O252)</f>
        <v>1285</v>
      </c>
      <c r="Q252" s="118">
        <v>395.02</v>
      </c>
      <c r="R252" s="124">
        <f>IFERROR(Q252/$P252,0)</f>
        <v>0.30740856031128405</v>
      </c>
      <c r="S252" s="118">
        <v>788.62</v>
      </c>
      <c r="T252" s="124">
        <f>IFERROR(S252/$P252,0)</f>
        <v>0.6137120622568093</v>
      </c>
      <c r="U252" s="118"/>
      <c r="V252" s="124">
        <f>IFERROR(U252/$P252,0)</f>
        <v>0</v>
      </c>
      <c r="W252" s="118"/>
      <c r="X252" s="125">
        <f>IFERROR(W252/$P252,0)</f>
        <v>0</v>
      </c>
      <c r="Y252" s="53">
        <f>K252</f>
        <v>1285</v>
      </c>
      <c r="Z252" s="56">
        <f>Y252</f>
        <v>1285</v>
      </c>
    </row>
    <row r="253" spans="1:26" ht="13.9" customHeight="1" x14ac:dyDescent="0.25">
      <c r="E253" s="57"/>
      <c r="F253" s="92" t="s">
        <v>154</v>
      </c>
      <c r="G253" s="93">
        <v>2849.99</v>
      </c>
      <c r="H253" s="93">
        <v>1674.48</v>
      </c>
      <c r="I253" s="93">
        <v>3000</v>
      </c>
      <c r="J253" s="93">
        <v>2868</v>
      </c>
      <c r="K253" s="93">
        <v>2900</v>
      </c>
      <c r="L253" s="93">
        <v>-61</v>
      </c>
      <c r="M253" s="93"/>
      <c r="N253" s="93"/>
      <c r="O253" s="93"/>
      <c r="P253" s="93">
        <f>K253+SUM(L253:O253)</f>
        <v>2839</v>
      </c>
      <c r="Q253" s="93">
        <v>0</v>
      </c>
      <c r="R253" s="94">
        <f>IFERROR(Q253/$P253,0)</f>
        <v>0</v>
      </c>
      <c r="S253" s="93">
        <v>93</v>
      </c>
      <c r="T253" s="96">
        <f>IFERROR(S253/$P253,0)</f>
        <v>3.2758013384994719E-2</v>
      </c>
      <c r="U253" s="93"/>
      <c r="V253" s="94">
        <f>IFERROR(U253/$P253,0)</f>
        <v>0</v>
      </c>
      <c r="W253" s="93"/>
      <c r="X253" s="60">
        <f>IFERROR(W253/$P253,0)</f>
        <v>0</v>
      </c>
      <c r="Y253" s="95">
        <f>K253</f>
        <v>2900</v>
      </c>
      <c r="Z253" s="61">
        <f>Y253</f>
        <v>2900</v>
      </c>
    </row>
    <row r="254" spans="1:26" ht="13.9" customHeight="1" x14ac:dyDescent="0.25">
      <c r="E254" s="57"/>
      <c r="F254" s="92" t="s">
        <v>199</v>
      </c>
      <c r="G254" s="95">
        <v>4232.9799999999996</v>
      </c>
      <c r="H254" s="95">
        <v>4055.44</v>
      </c>
      <c r="I254" s="95">
        <v>3811</v>
      </c>
      <c r="J254" s="95">
        <v>3816</v>
      </c>
      <c r="K254" s="95">
        <v>3816</v>
      </c>
      <c r="L254" s="95"/>
      <c r="M254" s="95"/>
      <c r="N254" s="95"/>
      <c r="O254" s="95"/>
      <c r="P254" s="95">
        <f>K254+SUM(L254:O254)</f>
        <v>3816</v>
      </c>
      <c r="Q254" s="95">
        <v>0</v>
      </c>
      <c r="R254" s="96">
        <f>IFERROR(Q254/$P254,0)</f>
        <v>0</v>
      </c>
      <c r="S254" s="95">
        <v>46.38</v>
      </c>
      <c r="T254" s="96">
        <f>IFERROR(S254/$P254,0)</f>
        <v>1.2154088050314467E-2</v>
      </c>
      <c r="U254" s="95"/>
      <c r="V254" s="96">
        <f>IFERROR(U254/$P254,0)</f>
        <v>0</v>
      </c>
      <c r="W254" s="95"/>
      <c r="X254" s="60">
        <f>IFERROR(W254/$P254,0)</f>
        <v>0</v>
      </c>
      <c r="Y254" s="95">
        <f>K254</f>
        <v>3816</v>
      </c>
      <c r="Z254" s="61">
        <f>Y254</f>
        <v>3816</v>
      </c>
    </row>
    <row r="255" spans="1:26" ht="13.9" customHeight="1" x14ac:dyDescent="0.25">
      <c r="E255" s="65"/>
      <c r="F255" s="97" t="s">
        <v>200</v>
      </c>
      <c r="G255" s="120">
        <v>3910.88</v>
      </c>
      <c r="H255" s="102">
        <v>36</v>
      </c>
      <c r="I255" s="120">
        <v>3000</v>
      </c>
      <c r="J255" s="120">
        <v>550</v>
      </c>
      <c r="K255" s="120">
        <v>1000</v>
      </c>
      <c r="L255" s="120"/>
      <c r="M255" s="120"/>
      <c r="N255" s="120"/>
      <c r="O255" s="120"/>
      <c r="P255" s="120">
        <f>K255+SUM(L255:O255)</f>
        <v>1000</v>
      </c>
      <c r="Q255" s="120">
        <v>105</v>
      </c>
      <c r="R255" s="121">
        <f>IFERROR(Q255/$P255,0)</f>
        <v>0.105</v>
      </c>
      <c r="S255" s="120">
        <v>908</v>
      </c>
      <c r="T255" s="121">
        <f>IFERROR(S255/$P255,0)</f>
        <v>0.90800000000000003</v>
      </c>
      <c r="U255" s="120"/>
      <c r="V255" s="121">
        <f>IFERROR(U255/$P255,0)</f>
        <v>0</v>
      </c>
      <c r="W255" s="120"/>
      <c r="X255" s="122">
        <f>IFERROR(W255/$P255,0)</f>
        <v>0</v>
      </c>
      <c r="Y255" s="67">
        <f>K255</f>
        <v>1000</v>
      </c>
      <c r="Z255" s="70">
        <f>Y255</f>
        <v>1000</v>
      </c>
    </row>
    <row r="257" spans="1:26" ht="13.9" customHeight="1" x14ac:dyDescent="0.25">
      <c r="D257" s="32" t="s">
        <v>201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3"/>
      <c r="S257" s="32"/>
      <c r="T257" s="33"/>
      <c r="U257" s="32"/>
      <c r="V257" s="33"/>
      <c r="W257" s="32"/>
      <c r="X257" s="33"/>
      <c r="Y257" s="32"/>
      <c r="Z257" s="32"/>
    </row>
    <row r="258" spans="1:26" ht="13.9" customHeight="1" x14ac:dyDescent="0.25">
      <c r="D258" s="21" t="s">
        <v>32</v>
      </c>
      <c r="E258" s="21" t="s">
        <v>33</v>
      </c>
      <c r="F258" s="21" t="s">
        <v>34</v>
      </c>
      <c r="G258" s="21" t="s">
        <v>1</v>
      </c>
      <c r="H258" s="21" t="s">
        <v>2</v>
      </c>
      <c r="I258" s="21" t="s">
        <v>3</v>
      </c>
      <c r="J258" s="21" t="s">
        <v>4</v>
      </c>
      <c r="K258" s="21" t="s">
        <v>5</v>
      </c>
      <c r="L258" s="21" t="s">
        <v>6</v>
      </c>
      <c r="M258" s="21" t="s">
        <v>7</v>
      </c>
      <c r="N258" s="21" t="s">
        <v>8</v>
      </c>
      <c r="O258" s="21" t="s">
        <v>9</v>
      </c>
      <c r="P258" s="21" t="s">
        <v>124</v>
      </c>
      <c r="Q258" s="21" t="s">
        <v>11</v>
      </c>
      <c r="R258" s="22" t="s">
        <v>12</v>
      </c>
      <c r="S258" s="21" t="s">
        <v>13</v>
      </c>
      <c r="T258" s="22" t="s">
        <v>14</v>
      </c>
      <c r="U258" s="21" t="s">
        <v>15</v>
      </c>
      <c r="V258" s="22" t="s">
        <v>16</v>
      </c>
      <c r="W258" s="21" t="s">
        <v>17</v>
      </c>
      <c r="X258" s="22" t="s">
        <v>18</v>
      </c>
      <c r="Y258" s="21" t="s">
        <v>19</v>
      </c>
      <c r="Z258" s="21" t="s">
        <v>20</v>
      </c>
    </row>
    <row r="259" spans="1:26" ht="13.9" customHeight="1" x14ac:dyDescent="0.25">
      <c r="A259" s="15">
        <v>5</v>
      </c>
      <c r="D259" s="12" t="s">
        <v>21</v>
      </c>
      <c r="E259" s="35">
        <v>111</v>
      </c>
      <c r="F259" s="35" t="s">
        <v>45</v>
      </c>
      <c r="G259" s="36">
        <f t="shared" ref="G259:Q259" si="145">G267+G315</f>
        <v>8602.18</v>
      </c>
      <c r="H259" s="36">
        <f t="shared" si="145"/>
        <v>22892.3</v>
      </c>
      <c r="I259" s="36">
        <f t="shared" si="145"/>
        <v>312</v>
      </c>
      <c r="J259" s="36">
        <f t="shared" si="145"/>
        <v>4563</v>
      </c>
      <c r="K259" s="36">
        <f t="shared" si="145"/>
        <v>526</v>
      </c>
      <c r="L259" s="36">
        <f t="shared" si="145"/>
        <v>0</v>
      </c>
      <c r="M259" s="36">
        <f t="shared" si="145"/>
        <v>544</v>
      </c>
      <c r="N259" s="36">
        <f t="shared" si="145"/>
        <v>0</v>
      </c>
      <c r="O259" s="36">
        <f t="shared" si="145"/>
        <v>0</v>
      </c>
      <c r="P259" s="36">
        <f t="shared" si="145"/>
        <v>1070</v>
      </c>
      <c r="Q259" s="36">
        <f t="shared" si="145"/>
        <v>0</v>
      </c>
      <c r="R259" s="37">
        <f>IFERROR(Q259/$P259,0)</f>
        <v>0</v>
      </c>
      <c r="S259" s="36">
        <f>S267+S315</f>
        <v>543.79999999999995</v>
      </c>
      <c r="T259" s="37">
        <f>IFERROR(S259/$P259,0)</f>
        <v>0.50822429906542055</v>
      </c>
      <c r="U259" s="36">
        <f>U267+U315</f>
        <v>0</v>
      </c>
      <c r="V259" s="37">
        <f>IFERROR(U259/$P259,0)</f>
        <v>0</v>
      </c>
      <c r="W259" s="36">
        <f>W267+W315</f>
        <v>0</v>
      </c>
      <c r="X259" s="37">
        <f>IFERROR(W259/$P259,0)</f>
        <v>0</v>
      </c>
      <c r="Y259" s="36">
        <f>Y267+Y315</f>
        <v>526</v>
      </c>
      <c r="Z259" s="36">
        <f>Z267+Z315</f>
        <v>526</v>
      </c>
    </row>
    <row r="260" spans="1:26" ht="13.9" customHeight="1" x14ac:dyDescent="0.25">
      <c r="A260" s="15">
        <v>5</v>
      </c>
      <c r="D260" s="12"/>
      <c r="E260" s="35">
        <v>41</v>
      </c>
      <c r="F260" s="35" t="s">
        <v>23</v>
      </c>
      <c r="G260" s="36">
        <f t="shared" ref="G260:Q260" si="146">G268+G316</f>
        <v>50941.99</v>
      </c>
      <c r="H260" s="36">
        <f t="shared" si="146"/>
        <v>25940.57</v>
      </c>
      <c r="I260" s="36">
        <f t="shared" si="146"/>
        <v>53297</v>
      </c>
      <c r="J260" s="36">
        <f t="shared" si="146"/>
        <v>37847</v>
      </c>
      <c r="K260" s="36">
        <f t="shared" si="146"/>
        <v>41879</v>
      </c>
      <c r="L260" s="36">
        <f t="shared" si="146"/>
        <v>0</v>
      </c>
      <c r="M260" s="36">
        <f t="shared" si="146"/>
        <v>855</v>
      </c>
      <c r="N260" s="36">
        <f t="shared" si="146"/>
        <v>0</v>
      </c>
      <c r="O260" s="36">
        <f t="shared" si="146"/>
        <v>0</v>
      </c>
      <c r="P260" s="36">
        <f t="shared" si="146"/>
        <v>42734</v>
      </c>
      <c r="Q260" s="36">
        <f t="shared" si="146"/>
        <v>10190.14</v>
      </c>
      <c r="R260" s="37">
        <f>IFERROR(Q260/$P260,0)</f>
        <v>0.23845509430430101</v>
      </c>
      <c r="S260" s="36">
        <f>S268+S316</f>
        <v>21969.83</v>
      </c>
      <c r="T260" s="37">
        <f>IFERROR(S260/$P260,0)</f>
        <v>0.51410656620021533</v>
      </c>
      <c r="U260" s="36">
        <f>U268+U316</f>
        <v>0</v>
      </c>
      <c r="V260" s="37">
        <f>IFERROR(U260/$P260,0)</f>
        <v>0</v>
      </c>
      <c r="W260" s="36">
        <f>W268+W316</f>
        <v>0</v>
      </c>
      <c r="X260" s="37">
        <f>IFERROR(W260/$P260,0)</f>
        <v>0</v>
      </c>
      <c r="Y260" s="36">
        <f>Y268+Y316</f>
        <v>41447</v>
      </c>
      <c r="Z260" s="36">
        <f>Z268+Z316</f>
        <v>42148</v>
      </c>
    </row>
    <row r="261" spans="1:26" ht="13.9" customHeight="1" x14ac:dyDescent="0.25">
      <c r="A261" s="15">
        <v>5</v>
      </c>
      <c r="D261" s="12"/>
      <c r="E261" s="35">
        <v>71</v>
      </c>
      <c r="F261" s="35" t="s">
        <v>24</v>
      </c>
      <c r="G261" s="36">
        <f t="shared" ref="G261:Q261" si="147">G269</f>
        <v>3000</v>
      </c>
      <c r="H261" s="36">
        <f t="shared" si="147"/>
        <v>3000</v>
      </c>
      <c r="I261" s="36">
        <f t="shared" si="147"/>
        <v>3000</v>
      </c>
      <c r="J261" s="36">
        <f t="shared" si="147"/>
        <v>3000</v>
      </c>
      <c r="K261" s="36">
        <f t="shared" si="147"/>
        <v>3000</v>
      </c>
      <c r="L261" s="36">
        <f t="shared" si="147"/>
        <v>0</v>
      </c>
      <c r="M261" s="36">
        <f t="shared" si="147"/>
        <v>0</v>
      </c>
      <c r="N261" s="36">
        <f t="shared" si="147"/>
        <v>0</v>
      </c>
      <c r="O261" s="36">
        <f t="shared" si="147"/>
        <v>0</v>
      </c>
      <c r="P261" s="36">
        <f t="shared" si="147"/>
        <v>3000</v>
      </c>
      <c r="Q261" s="36">
        <f t="shared" si="147"/>
        <v>0</v>
      </c>
      <c r="R261" s="37">
        <f>IFERROR(Q261/$P261,0)</f>
        <v>0</v>
      </c>
      <c r="S261" s="36">
        <f>S269</f>
        <v>1851.16</v>
      </c>
      <c r="T261" s="37">
        <f>IFERROR(S261/$P261,0)</f>
        <v>0.61705333333333334</v>
      </c>
      <c r="U261" s="36">
        <f>U269</f>
        <v>0</v>
      </c>
      <c r="V261" s="37">
        <f>IFERROR(U261/$P261,0)</f>
        <v>0</v>
      </c>
      <c r="W261" s="36">
        <f>W269</f>
        <v>0</v>
      </c>
      <c r="X261" s="37">
        <f>IFERROR(W261/$P261,0)</f>
        <v>0</v>
      </c>
      <c r="Y261" s="36">
        <f>Y269</f>
        <v>3000</v>
      </c>
      <c r="Z261" s="36">
        <f>Z269</f>
        <v>3000</v>
      </c>
    </row>
    <row r="262" spans="1:26" ht="13.9" hidden="1" customHeight="1" x14ac:dyDescent="0.25">
      <c r="A262" s="15">
        <v>5</v>
      </c>
      <c r="D262" s="12"/>
      <c r="E262" s="35">
        <v>72</v>
      </c>
      <c r="F262" s="35" t="s">
        <v>25</v>
      </c>
      <c r="G262" s="36">
        <f t="shared" ref="G262:Q262" si="148">G317</f>
        <v>138.36000000000001</v>
      </c>
      <c r="H262" s="36">
        <f t="shared" si="148"/>
        <v>0</v>
      </c>
      <c r="I262" s="36">
        <f t="shared" si="148"/>
        <v>0</v>
      </c>
      <c r="J262" s="36">
        <f t="shared" si="148"/>
        <v>0</v>
      </c>
      <c r="K262" s="36">
        <f t="shared" si="148"/>
        <v>0</v>
      </c>
      <c r="L262" s="36">
        <f t="shared" si="148"/>
        <v>0</v>
      </c>
      <c r="M262" s="36">
        <f t="shared" si="148"/>
        <v>0</v>
      </c>
      <c r="N262" s="36">
        <f t="shared" si="148"/>
        <v>0</v>
      </c>
      <c r="O262" s="36">
        <f t="shared" si="148"/>
        <v>0</v>
      </c>
      <c r="P262" s="36">
        <f t="shared" si="148"/>
        <v>0</v>
      </c>
      <c r="Q262" s="36">
        <f t="shared" si="148"/>
        <v>0</v>
      </c>
      <c r="R262" s="37">
        <f>IFERROR(Q262/$P262,0)</f>
        <v>0</v>
      </c>
      <c r="S262" s="36">
        <f>S317</f>
        <v>0</v>
      </c>
      <c r="T262" s="37">
        <f>IFERROR(S262/$P262,0)</f>
        <v>0</v>
      </c>
      <c r="U262" s="36">
        <f>U317</f>
        <v>0</v>
      </c>
      <c r="V262" s="37">
        <f>IFERROR(U262/$P262,0)</f>
        <v>0</v>
      </c>
      <c r="W262" s="36">
        <f>W317</f>
        <v>0</v>
      </c>
      <c r="X262" s="37">
        <f>IFERROR(W262/$P262,0)</f>
        <v>0</v>
      </c>
      <c r="Y262" s="36">
        <f>Y317</f>
        <v>0</v>
      </c>
      <c r="Z262" s="36">
        <f>Z317</f>
        <v>0</v>
      </c>
    </row>
    <row r="263" spans="1:26" ht="13.9" customHeight="1" x14ac:dyDescent="0.25">
      <c r="A263" s="15">
        <v>5</v>
      </c>
      <c r="D263" s="30"/>
      <c r="E263" s="31"/>
      <c r="F263" s="38" t="s">
        <v>127</v>
      </c>
      <c r="G263" s="39">
        <f t="shared" ref="G263:Q263" si="149">SUM(G259:G262)</f>
        <v>62682.53</v>
      </c>
      <c r="H263" s="39">
        <f t="shared" si="149"/>
        <v>51832.869999999995</v>
      </c>
      <c r="I263" s="39">
        <f t="shared" si="149"/>
        <v>56609</v>
      </c>
      <c r="J263" s="39">
        <f t="shared" si="149"/>
        <v>45410</v>
      </c>
      <c r="K263" s="39">
        <f t="shared" si="149"/>
        <v>45405</v>
      </c>
      <c r="L263" s="39">
        <f t="shared" si="149"/>
        <v>0</v>
      </c>
      <c r="M263" s="39">
        <f t="shared" si="149"/>
        <v>1399</v>
      </c>
      <c r="N263" s="39">
        <f t="shared" si="149"/>
        <v>0</v>
      </c>
      <c r="O263" s="39">
        <f t="shared" si="149"/>
        <v>0</v>
      </c>
      <c r="P263" s="39">
        <f t="shared" si="149"/>
        <v>46804</v>
      </c>
      <c r="Q263" s="39">
        <f t="shared" si="149"/>
        <v>10190.14</v>
      </c>
      <c r="R263" s="40">
        <f>IFERROR(Q263/$P263,0)</f>
        <v>0.21771942569011193</v>
      </c>
      <c r="S263" s="39">
        <f>SUM(S259:S262)</f>
        <v>24364.79</v>
      </c>
      <c r="T263" s="40">
        <f>IFERROR(S263/$P263,0)</f>
        <v>0.52057067771985299</v>
      </c>
      <c r="U263" s="39">
        <f>SUM(U259:U262)</f>
        <v>0</v>
      </c>
      <c r="V263" s="40">
        <f>IFERROR(U263/$P263,0)</f>
        <v>0</v>
      </c>
      <c r="W263" s="39">
        <f>SUM(W259:W262)</f>
        <v>0</v>
      </c>
      <c r="X263" s="40">
        <f>IFERROR(W263/$P263,0)</f>
        <v>0</v>
      </c>
      <c r="Y263" s="39">
        <f>SUM(Y259:Y262)</f>
        <v>44973</v>
      </c>
      <c r="Z263" s="39">
        <f>SUM(Z259:Z262)</f>
        <v>45674</v>
      </c>
    </row>
    <row r="265" spans="1:26" ht="13.9" customHeight="1" x14ac:dyDescent="0.25">
      <c r="D265" s="41" t="s">
        <v>202</v>
      </c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2"/>
      <c r="S265" s="41"/>
      <c r="T265" s="42"/>
      <c r="U265" s="41"/>
      <c r="V265" s="42"/>
      <c r="W265" s="41"/>
      <c r="X265" s="42"/>
      <c r="Y265" s="41"/>
      <c r="Z265" s="41"/>
    </row>
    <row r="266" spans="1:26" ht="13.9" customHeight="1" x14ac:dyDescent="0.25">
      <c r="D266" s="128"/>
      <c r="E266" s="128"/>
      <c r="F266" s="128"/>
      <c r="G266" s="21" t="s">
        <v>1</v>
      </c>
      <c r="H266" s="21" t="s">
        <v>2</v>
      </c>
      <c r="I266" s="21" t="s">
        <v>3</v>
      </c>
      <c r="J266" s="21" t="s">
        <v>4</v>
      </c>
      <c r="K266" s="21" t="s">
        <v>5</v>
      </c>
      <c r="L266" s="21" t="s">
        <v>6</v>
      </c>
      <c r="M266" s="21" t="s">
        <v>7</v>
      </c>
      <c r="N266" s="21" t="s">
        <v>8</v>
      </c>
      <c r="O266" s="21" t="s">
        <v>9</v>
      </c>
      <c r="P266" s="21" t="s">
        <v>124</v>
      </c>
      <c r="Q266" s="21" t="s">
        <v>11</v>
      </c>
      <c r="R266" s="22" t="s">
        <v>12</v>
      </c>
      <c r="S266" s="21" t="s">
        <v>13</v>
      </c>
      <c r="T266" s="22" t="s">
        <v>14</v>
      </c>
      <c r="U266" s="21" t="s">
        <v>15</v>
      </c>
      <c r="V266" s="22" t="s">
        <v>16</v>
      </c>
      <c r="W266" s="21" t="s">
        <v>17</v>
      </c>
      <c r="X266" s="22" t="s">
        <v>18</v>
      </c>
      <c r="Y266" s="21" t="s">
        <v>19</v>
      </c>
      <c r="Z266" s="21" t="s">
        <v>20</v>
      </c>
    </row>
    <row r="267" spans="1:26" ht="13.9" customHeight="1" x14ac:dyDescent="0.25">
      <c r="A267" s="15">
        <v>5</v>
      </c>
      <c r="B267" s="15">
        <v>1</v>
      </c>
      <c r="D267" s="13" t="s">
        <v>21</v>
      </c>
      <c r="E267" s="24">
        <v>111</v>
      </c>
      <c r="F267" s="24" t="s">
        <v>45</v>
      </c>
      <c r="G267" s="25">
        <f t="shared" ref="G267:Q267" si="150">G275+G290+G298</f>
        <v>311.89</v>
      </c>
      <c r="H267" s="25">
        <f t="shared" si="150"/>
        <v>22232.69</v>
      </c>
      <c r="I267" s="25">
        <f t="shared" si="150"/>
        <v>312</v>
      </c>
      <c r="J267" s="25">
        <f t="shared" si="150"/>
        <v>526</v>
      </c>
      <c r="K267" s="25">
        <f t="shared" si="150"/>
        <v>526</v>
      </c>
      <c r="L267" s="25">
        <f t="shared" si="150"/>
        <v>0</v>
      </c>
      <c r="M267" s="25">
        <f t="shared" si="150"/>
        <v>0</v>
      </c>
      <c r="N267" s="25">
        <f t="shared" si="150"/>
        <v>0</v>
      </c>
      <c r="O267" s="25">
        <f t="shared" si="150"/>
        <v>0</v>
      </c>
      <c r="P267" s="25">
        <f t="shared" si="150"/>
        <v>526</v>
      </c>
      <c r="Q267" s="25">
        <f t="shared" si="150"/>
        <v>0</v>
      </c>
      <c r="R267" s="26">
        <f>IFERROR(Q267/$P267,0)</f>
        <v>0</v>
      </c>
      <c r="S267" s="25">
        <f>S275+S290+S298</f>
        <v>0</v>
      </c>
      <c r="T267" s="26">
        <f>IFERROR(S267/$P267,0)</f>
        <v>0</v>
      </c>
      <c r="U267" s="25">
        <f>U275+U290+U298</f>
        <v>0</v>
      </c>
      <c r="V267" s="26">
        <f>IFERROR(U267/$P267,0)</f>
        <v>0</v>
      </c>
      <c r="W267" s="25">
        <f>W275+W290+W298</f>
        <v>0</v>
      </c>
      <c r="X267" s="26">
        <f>IFERROR(W267/$P267,0)</f>
        <v>0</v>
      </c>
      <c r="Y267" s="25">
        <f>Y275+Y290+Y298</f>
        <v>526</v>
      </c>
      <c r="Z267" s="25">
        <f>Z275+Z290+Z298</f>
        <v>526</v>
      </c>
    </row>
    <row r="268" spans="1:26" ht="13.9" customHeight="1" x14ac:dyDescent="0.25">
      <c r="A268" s="15">
        <v>5</v>
      </c>
      <c r="B268" s="15">
        <v>1</v>
      </c>
      <c r="D268" s="13"/>
      <c r="E268" s="24">
        <v>41</v>
      </c>
      <c r="F268" s="24" t="s">
        <v>23</v>
      </c>
      <c r="G268" s="25">
        <f t="shared" ref="G268:Q268" si="151">G278+G292+G301+G310</f>
        <v>27708.37</v>
      </c>
      <c r="H268" s="25">
        <f t="shared" si="151"/>
        <v>15639.56</v>
      </c>
      <c r="I268" s="25">
        <f t="shared" si="151"/>
        <v>35772</v>
      </c>
      <c r="J268" s="25">
        <f t="shared" si="151"/>
        <v>20940</v>
      </c>
      <c r="K268" s="25">
        <f t="shared" si="151"/>
        <v>20500</v>
      </c>
      <c r="L268" s="25">
        <f t="shared" si="151"/>
        <v>0</v>
      </c>
      <c r="M268" s="25">
        <f t="shared" si="151"/>
        <v>0</v>
      </c>
      <c r="N268" s="25">
        <f t="shared" si="151"/>
        <v>0</v>
      </c>
      <c r="O268" s="25">
        <f t="shared" si="151"/>
        <v>0</v>
      </c>
      <c r="P268" s="25">
        <f t="shared" si="151"/>
        <v>20500</v>
      </c>
      <c r="Q268" s="25">
        <f t="shared" si="151"/>
        <v>5605.9900000000007</v>
      </c>
      <c r="R268" s="26">
        <f>IFERROR(Q268/$P268,0)</f>
        <v>0.27346292682926832</v>
      </c>
      <c r="S268" s="25">
        <f>S278+S292+S301+S310</f>
        <v>13155.44</v>
      </c>
      <c r="T268" s="26">
        <f>IFERROR(S268/$P268,0)</f>
        <v>0.64172878048780491</v>
      </c>
      <c r="U268" s="25">
        <f>U278+U292+U301+U310</f>
        <v>0</v>
      </c>
      <c r="V268" s="26">
        <f>IFERROR(U268/$P268,0)</f>
        <v>0</v>
      </c>
      <c r="W268" s="25">
        <f>W278+W292+W301+W310</f>
        <v>0</v>
      </c>
      <c r="X268" s="26">
        <f>IFERROR(W268/$P268,0)</f>
        <v>0</v>
      </c>
      <c r="Y268" s="25">
        <f>Y278+Y292+Y301+Y310</f>
        <v>20500</v>
      </c>
      <c r="Z268" s="25">
        <f>Z278+Z292+Z301+Z310</f>
        <v>20500</v>
      </c>
    </row>
    <row r="269" spans="1:26" ht="13.9" customHeight="1" x14ac:dyDescent="0.25">
      <c r="A269" s="15">
        <v>5</v>
      </c>
      <c r="B269" s="15">
        <v>1</v>
      </c>
      <c r="D269" s="13"/>
      <c r="E269" s="24">
        <v>71</v>
      </c>
      <c r="F269" s="24" t="s">
        <v>24</v>
      </c>
      <c r="G269" s="25">
        <f t="shared" ref="G269:Q269" si="152">G280</f>
        <v>3000</v>
      </c>
      <c r="H269" s="25">
        <f t="shared" si="152"/>
        <v>3000</v>
      </c>
      <c r="I269" s="25">
        <f t="shared" si="152"/>
        <v>3000</v>
      </c>
      <c r="J269" s="25">
        <f t="shared" si="152"/>
        <v>3000</v>
      </c>
      <c r="K269" s="25">
        <f t="shared" si="152"/>
        <v>3000</v>
      </c>
      <c r="L269" s="25">
        <f t="shared" si="152"/>
        <v>0</v>
      </c>
      <c r="M269" s="25">
        <f t="shared" si="152"/>
        <v>0</v>
      </c>
      <c r="N269" s="25">
        <f t="shared" si="152"/>
        <v>0</v>
      </c>
      <c r="O269" s="25">
        <f t="shared" si="152"/>
        <v>0</v>
      </c>
      <c r="P269" s="25">
        <f t="shared" si="152"/>
        <v>3000</v>
      </c>
      <c r="Q269" s="25">
        <f t="shared" si="152"/>
        <v>0</v>
      </c>
      <c r="R269" s="26">
        <f>IFERROR(Q269/$P269,0)</f>
        <v>0</v>
      </c>
      <c r="S269" s="25">
        <f>S280</f>
        <v>1851.16</v>
      </c>
      <c r="T269" s="26">
        <f>IFERROR(S269/$P269,0)</f>
        <v>0.61705333333333334</v>
      </c>
      <c r="U269" s="25">
        <f>U280</f>
        <v>0</v>
      </c>
      <c r="V269" s="26">
        <f>IFERROR(U269/$P269,0)</f>
        <v>0</v>
      </c>
      <c r="W269" s="25">
        <f>W280</f>
        <v>0</v>
      </c>
      <c r="X269" s="26">
        <f>IFERROR(W269/$P269,0)</f>
        <v>0</v>
      </c>
      <c r="Y269" s="25">
        <f>Y280</f>
        <v>3000</v>
      </c>
      <c r="Z269" s="25">
        <f>Z280</f>
        <v>3000</v>
      </c>
    </row>
    <row r="270" spans="1:26" ht="13.9" customHeight="1" x14ac:dyDescent="0.25">
      <c r="A270" s="15">
        <v>5</v>
      </c>
      <c r="B270" s="15">
        <v>1</v>
      </c>
      <c r="D270" s="30"/>
      <c r="E270" s="31"/>
      <c r="F270" s="27" t="s">
        <v>127</v>
      </c>
      <c r="G270" s="28">
        <f t="shared" ref="G270:Q270" si="153">SUM(G267:G269)</f>
        <v>31020.26</v>
      </c>
      <c r="H270" s="28">
        <f t="shared" si="153"/>
        <v>40872.25</v>
      </c>
      <c r="I270" s="28">
        <f t="shared" si="153"/>
        <v>39084</v>
      </c>
      <c r="J270" s="28">
        <f t="shared" si="153"/>
        <v>24466</v>
      </c>
      <c r="K270" s="28">
        <f t="shared" si="153"/>
        <v>24026</v>
      </c>
      <c r="L270" s="28">
        <f t="shared" si="153"/>
        <v>0</v>
      </c>
      <c r="M270" s="28">
        <f t="shared" si="153"/>
        <v>0</v>
      </c>
      <c r="N270" s="28">
        <f t="shared" si="153"/>
        <v>0</v>
      </c>
      <c r="O270" s="28">
        <f t="shared" si="153"/>
        <v>0</v>
      </c>
      <c r="P270" s="28">
        <f t="shared" si="153"/>
        <v>24026</v>
      </c>
      <c r="Q270" s="28">
        <f t="shared" si="153"/>
        <v>5605.9900000000007</v>
      </c>
      <c r="R270" s="29">
        <f>IFERROR(Q270/$P270,0)</f>
        <v>0.23333014234579208</v>
      </c>
      <c r="S270" s="28">
        <f>SUM(S267:S269)</f>
        <v>15006.6</v>
      </c>
      <c r="T270" s="29">
        <f>IFERROR(S270/$P270,0)</f>
        <v>0.62459835178556566</v>
      </c>
      <c r="U270" s="28">
        <f>SUM(U267:U269)</f>
        <v>0</v>
      </c>
      <c r="V270" s="29">
        <f>IFERROR(U270/$P270,0)</f>
        <v>0</v>
      </c>
      <c r="W270" s="28">
        <f>SUM(W267:W269)</f>
        <v>0</v>
      </c>
      <c r="X270" s="29">
        <f>IFERROR(W270/$P270,0)</f>
        <v>0</v>
      </c>
      <c r="Y270" s="28">
        <f>SUM(Y267:Y269)</f>
        <v>24026</v>
      </c>
      <c r="Z270" s="28">
        <f>SUM(Z267:Z269)</f>
        <v>24026</v>
      </c>
    </row>
    <row r="272" spans="1:26" ht="13.9" customHeight="1" x14ac:dyDescent="0.25">
      <c r="D272" s="73" t="s">
        <v>203</v>
      </c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4"/>
      <c r="S272" s="73"/>
      <c r="T272" s="74"/>
      <c r="U272" s="73"/>
      <c r="V272" s="74"/>
      <c r="W272" s="73"/>
      <c r="X272" s="74"/>
      <c r="Y272" s="73"/>
      <c r="Z272" s="73"/>
    </row>
    <row r="273" spans="1:26" ht="13.9" customHeight="1" x14ac:dyDescent="0.25">
      <c r="D273" s="21" t="s">
        <v>32</v>
      </c>
      <c r="E273" s="21" t="s">
        <v>33</v>
      </c>
      <c r="F273" s="21" t="s">
        <v>34</v>
      </c>
      <c r="G273" s="21" t="s">
        <v>1</v>
      </c>
      <c r="H273" s="21" t="s">
        <v>2</v>
      </c>
      <c r="I273" s="21" t="s">
        <v>3</v>
      </c>
      <c r="J273" s="21" t="s">
        <v>4</v>
      </c>
      <c r="K273" s="21" t="s">
        <v>5</v>
      </c>
      <c r="L273" s="21" t="s">
        <v>6</v>
      </c>
      <c r="M273" s="21" t="s">
        <v>7</v>
      </c>
      <c r="N273" s="21" t="s">
        <v>8</v>
      </c>
      <c r="O273" s="21" t="s">
        <v>9</v>
      </c>
      <c r="P273" s="21" t="s">
        <v>124</v>
      </c>
      <c r="Q273" s="21" t="s">
        <v>11</v>
      </c>
      <c r="R273" s="22" t="s">
        <v>12</v>
      </c>
      <c r="S273" s="21" t="s">
        <v>13</v>
      </c>
      <c r="T273" s="22" t="s">
        <v>14</v>
      </c>
      <c r="U273" s="21" t="s">
        <v>15</v>
      </c>
      <c r="V273" s="22" t="s">
        <v>16</v>
      </c>
      <c r="W273" s="21" t="s">
        <v>17</v>
      </c>
      <c r="X273" s="22" t="s">
        <v>18</v>
      </c>
      <c r="Y273" s="21" t="s">
        <v>19</v>
      </c>
      <c r="Z273" s="21" t="s">
        <v>20</v>
      </c>
    </row>
    <row r="274" spans="1:26" ht="13.9" customHeight="1" x14ac:dyDescent="0.25">
      <c r="A274" s="15">
        <v>5</v>
      </c>
      <c r="B274" s="15">
        <v>1</v>
      </c>
      <c r="C274" s="15">
        <v>1</v>
      </c>
      <c r="D274" s="51" t="s">
        <v>204</v>
      </c>
      <c r="E274" s="24">
        <v>630</v>
      </c>
      <c r="F274" s="24" t="s">
        <v>134</v>
      </c>
      <c r="G274" s="46">
        <v>0</v>
      </c>
      <c r="H274" s="46">
        <v>303.02999999999997</v>
      </c>
      <c r="I274" s="25">
        <v>0</v>
      </c>
      <c r="J274" s="25">
        <v>214</v>
      </c>
      <c r="K274" s="25">
        <f>príjmy!H103</f>
        <v>214</v>
      </c>
      <c r="L274" s="25"/>
      <c r="M274" s="25"/>
      <c r="N274" s="25"/>
      <c r="O274" s="25"/>
      <c r="P274" s="46">
        <f>K274+SUM(L274:O274)</f>
        <v>214</v>
      </c>
      <c r="Q274" s="46">
        <v>0</v>
      </c>
      <c r="R274" s="47">
        <f t="shared" ref="R274:R281" si="154">IFERROR(Q274/$P274,0)</f>
        <v>0</v>
      </c>
      <c r="S274" s="46">
        <v>0</v>
      </c>
      <c r="T274" s="47">
        <f t="shared" ref="T274:T281" si="155">IFERROR(S274/$P274,0)</f>
        <v>0</v>
      </c>
      <c r="U274" s="46"/>
      <c r="V274" s="47">
        <f t="shared" ref="V274:V281" si="156">IFERROR(U274/$P274,0)</f>
        <v>0</v>
      </c>
      <c r="W274" s="46"/>
      <c r="X274" s="47">
        <f t="shared" ref="X274:X281" si="157">IFERROR(W274/$P274,0)</f>
        <v>0</v>
      </c>
      <c r="Y274" s="25">
        <f>príjmy!V103</f>
        <v>214</v>
      </c>
      <c r="Z274" s="25">
        <f>príjmy!W103</f>
        <v>214</v>
      </c>
    </row>
    <row r="275" spans="1:26" ht="13.9" customHeight="1" x14ac:dyDescent="0.25">
      <c r="A275" s="15">
        <v>5</v>
      </c>
      <c r="B275" s="15">
        <v>1</v>
      </c>
      <c r="C275" s="15">
        <v>1</v>
      </c>
      <c r="D275" s="79" t="s">
        <v>21</v>
      </c>
      <c r="E275" s="48">
        <v>111</v>
      </c>
      <c r="F275" s="48" t="s">
        <v>23</v>
      </c>
      <c r="G275" s="49">
        <f t="shared" ref="G275:Q275" si="158">SUM(G274)</f>
        <v>0</v>
      </c>
      <c r="H275" s="49">
        <f t="shared" si="158"/>
        <v>303.02999999999997</v>
      </c>
      <c r="I275" s="49">
        <f t="shared" si="158"/>
        <v>0</v>
      </c>
      <c r="J275" s="49">
        <f t="shared" si="158"/>
        <v>214</v>
      </c>
      <c r="K275" s="49">
        <f t="shared" si="158"/>
        <v>214</v>
      </c>
      <c r="L275" s="49">
        <f t="shared" si="158"/>
        <v>0</v>
      </c>
      <c r="M275" s="49">
        <f t="shared" si="158"/>
        <v>0</v>
      </c>
      <c r="N275" s="49">
        <f t="shared" si="158"/>
        <v>0</v>
      </c>
      <c r="O275" s="49">
        <f t="shared" si="158"/>
        <v>0</v>
      </c>
      <c r="P275" s="49">
        <f t="shared" si="158"/>
        <v>214</v>
      </c>
      <c r="Q275" s="49">
        <f t="shared" si="158"/>
        <v>0</v>
      </c>
      <c r="R275" s="50">
        <f t="shared" si="154"/>
        <v>0</v>
      </c>
      <c r="S275" s="49">
        <f>SUM(S274)</f>
        <v>0</v>
      </c>
      <c r="T275" s="50">
        <f t="shared" si="155"/>
        <v>0</v>
      </c>
      <c r="U275" s="49">
        <f>SUM(U274)</f>
        <v>0</v>
      </c>
      <c r="V275" s="50">
        <f t="shared" si="156"/>
        <v>0</v>
      </c>
      <c r="W275" s="49">
        <f>SUM(W274)</f>
        <v>0</v>
      </c>
      <c r="X275" s="50">
        <f t="shared" si="157"/>
        <v>0</v>
      </c>
      <c r="Y275" s="49">
        <f>SUM(Y274)</f>
        <v>214</v>
      </c>
      <c r="Z275" s="49">
        <f>SUM(Z274)</f>
        <v>214</v>
      </c>
    </row>
    <row r="276" spans="1:26" ht="13.9" customHeight="1" x14ac:dyDescent="0.25">
      <c r="A276" s="15">
        <v>5</v>
      </c>
      <c r="B276" s="15">
        <v>1</v>
      </c>
      <c r="C276" s="15">
        <v>1</v>
      </c>
      <c r="D276" s="5" t="s">
        <v>204</v>
      </c>
      <c r="E276" s="24">
        <v>630</v>
      </c>
      <c r="F276" s="24" t="s">
        <v>134</v>
      </c>
      <c r="G276" s="25">
        <v>2106.09</v>
      </c>
      <c r="H276" s="25">
        <v>3797.18</v>
      </c>
      <c r="I276" s="25">
        <v>3969</v>
      </c>
      <c r="J276" s="25">
        <v>1968</v>
      </c>
      <c r="K276" s="25">
        <v>1982</v>
      </c>
      <c r="L276" s="25"/>
      <c r="M276" s="25"/>
      <c r="N276" s="25"/>
      <c r="O276" s="25"/>
      <c r="P276" s="25">
        <f>K276+SUM(L276:O276)</f>
        <v>1982</v>
      </c>
      <c r="Q276" s="25">
        <v>329.31</v>
      </c>
      <c r="R276" s="26">
        <f t="shared" si="154"/>
        <v>0.16615035317860746</v>
      </c>
      <c r="S276" s="25">
        <v>630.6</v>
      </c>
      <c r="T276" s="26">
        <f t="shared" si="155"/>
        <v>0.31816347124117056</v>
      </c>
      <c r="U276" s="25"/>
      <c r="V276" s="26">
        <f t="shared" si="156"/>
        <v>0</v>
      </c>
      <c r="W276" s="25"/>
      <c r="X276" s="26">
        <f t="shared" si="157"/>
        <v>0</v>
      </c>
      <c r="Y276" s="25">
        <f>K276</f>
        <v>1982</v>
      </c>
      <c r="Z276" s="25">
        <f>Y276</f>
        <v>1982</v>
      </c>
    </row>
    <row r="277" spans="1:26" ht="13.9" customHeight="1" x14ac:dyDescent="0.25">
      <c r="A277" s="15">
        <v>5</v>
      </c>
      <c r="B277" s="15">
        <v>1</v>
      </c>
      <c r="C277" s="15">
        <v>1</v>
      </c>
      <c r="D277" s="5"/>
      <c r="E277" s="24">
        <v>640</v>
      </c>
      <c r="F277" s="24" t="s">
        <v>135</v>
      </c>
      <c r="G277" s="46">
        <v>6840</v>
      </c>
      <c r="H277" s="46">
        <v>2440</v>
      </c>
      <c r="I277" s="46">
        <v>1800</v>
      </c>
      <c r="J277" s="46">
        <v>1800</v>
      </c>
      <c r="K277" s="46">
        <v>2400</v>
      </c>
      <c r="L277" s="46"/>
      <c r="M277" s="46"/>
      <c r="N277" s="46"/>
      <c r="O277" s="46"/>
      <c r="P277" s="46">
        <f>K277+SUM(L277:O277)</f>
        <v>2400</v>
      </c>
      <c r="Q277" s="46">
        <v>0</v>
      </c>
      <c r="R277" s="47">
        <f t="shared" si="154"/>
        <v>0</v>
      </c>
      <c r="S277" s="46">
        <v>2400</v>
      </c>
      <c r="T277" s="47">
        <f t="shared" si="155"/>
        <v>1</v>
      </c>
      <c r="U277" s="46"/>
      <c r="V277" s="47">
        <f t="shared" si="156"/>
        <v>0</v>
      </c>
      <c r="W277" s="46"/>
      <c r="X277" s="47">
        <f t="shared" si="157"/>
        <v>0</v>
      </c>
      <c r="Y277" s="25">
        <f>K277</f>
        <v>2400</v>
      </c>
      <c r="Z277" s="25">
        <f>Y277</f>
        <v>2400</v>
      </c>
    </row>
    <row r="278" spans="1:26" ht="13.9" customHeight="1" x14ac:dyDescent="0.25">
      <c r="A278" s="15">
        <v>5</v>
      </c>
      <c r="B278" s="15">
        <v>1</v>
      </c>
      <c r="C278" s="15">
        <v>1</v>
      </c>
      <c r="D278" s="79" t="s">
        <v>21</v>
      </c>
      <c r="E278" s="48">
        <v>41</v>
      </c>
      <c r="F278" s="48" t="s">
        <v>23</v>
      </c>
      <c r="G278" s="49">
        <f t="shared" ref="G278:Q278" si="159">SUM(G276:G277)</f>
        <v>8946.09</v>
      </c>
      <c r="H278" s="49">
        <f t="shared" si="159"/>
        <v>6237.18</v>
      </c>
      <c r="I278" s="49">
        <f t="shared" si="159"/>
        <v>5769</v>
      </c>
      <c r="J278" s="49">
        <f t="shared" si="159"/>
        <v>3768</v>
      </c>
      <c r="K278" s="49">
        <f t="shared" si="159"/>
        <v>4382</v>
      </c>
      <c r="L278" s="49">
        <f t="shared" si="159"/>
        <v>0</v>
      </c>
      <c r="M278" s="49">
        <f t="shared" si="159"/>
        <v>0</v>
      </c>
      <c r="N278" s="49">
        <f t="shared" si="159"/>
        <v>0</v>
      </c>
      <c r="O278" s="49">
        <f t="shared" si="159"/>
        <v>0</v>
      </c>
      <c r="P278" s="49">
        <f t="shared" si="159"/>
        <v>4382</v>
      </c>
      <c r="Q278" s="49">
        <f t="shared" si="159"/>
        <v>329.31</v>
      </c>
      <c r="R278" s="50">
        <f t="shared" si="154"/>
        <v>7.5150616157005939E-2</v>
      </c>
      <c r="S278" s="49">
        <f>SUM(S276:S277)</f>
        <v>3030.6</v>
      </c>
      <c r="T278" s="50">
        <f t="shared" si="155"/>
        <v>0.69160200821542672</v>
      </c>
      <c r="U278" s="49">
        <f>SUM(U276:U277)</f>
        <v>0</v>
      </c>
      <c r="V278" s="50">
        <f t="shared" si="156"/>
        <v>0</v>
      </c>
      <c r="W278" s="49">
        <f>SUM(W276:W277)</f>
        <v>0</v>
      </c>
      <c r="X278" s="50">
        <f t="shared" si="157"/>
        <v>0</v>
      </c>
      <c r="Y278" s="49">
        <f>SUM(Y276:Y277)</f>
        <v>4382</v>
      </c>
      <c r="Z278" s="49">
        <f>SUM(Z276:Z277)</f>
        <v>4382</v>
      </c>
    </row>
    <row r="279" spans="1:26" ht="13.9" customHeight="1" x14ac:dyDescent="0.25">
      <c r="A279" s="15">
        <v>5</v>
      </c>
      <c r="B279" s="15">
        <v>1</v>
      </c>
      <c r="C279" s="15">
        <v>1</v>
      </c>
      <c r="D279" s="91" t="s">
        <v>204</v>
      </c>
      <c r="E279" s="24">
        <v>630</v>
      </c>
      <c r="F279" s="24" t="s">
        <v>134</v>
      </c>
      <c r="G279" s="25">
        <v>3000</v>
      </c>
      <c r="H279" s="25">
        <v>3000</v>
      </c>
      <c r="I279" s="25">
        <v>3000</v>
      </c>
      <c r="J279" s="25">
        <v>3000</v>
      </c>
      <c r="K279" s="25">
        <v>3000</v>
      </c>
      <c r="L279" s="25"/>
      <c r="M279" s="25"/>
      <c r="N279" s="25"/>
      <c r="O279" s="25"/>
      <c r="P279" s="25">
        <f>K279+SUM(L279:O279)</f>
        <v>3000</v>
      </c>
      <c r="Q279" s="25">
        <v>0</v>
      </c>
      <c r="R279" s="26">
        <f t="shared" si="154"/>
        <v>0</v>
      </c>
      <c r="S279" s="25">
        <v>1851.16</v>
      </c>
      <c r="T279" s="26">
        <f t="shared" si="155"/>
        <v>0.61705333333333334</v>
      </c>
      <c r="U279" s="25"/>
      <c r="V279" s="26">
        <f t="shared" si="156"/>
        <v>0</v>
      </c>
      <c r="W279" s="25"/>
      <c r="X279" s="26">
        <f t="shared" si="157"/>
        <v>0</v>
      </c>
      <c r="Y279" s="25">
        <f>príjmy!V122</f>
        <v>3000</v>
      </c>
      <c r="Z279" s="25">
        <f>príjmy!W122</f>
        <v>3000</v>
      </c>
    </row>
    <row r="280" spans="1:26" ht="13.9" customHeight="1" x14ac:dyDescent="0.25">
      <c r="A280" s="15">
        <v>5</v>
      </c>
      <c r="B280" s="15">
        <v>1</v>
      </c>
      <c r="C280" s="15">
        <v>1</v>
      </c>
      <c r="D280" s="79" t="s">
        <v>21</v>
      </c>
      <c r="E280" s="48">
        <v>71</v>
      </c>
      <c r="F280" s="48" t="s">
        <v>24</v>
      </c>
      <c r="G280" s="49">
        <f t="shared" ref="G280:Q280" si="160">SUM(G279)</f>
        <v>3000</v>
      </c>
      <c r="H280" s="49">
        <f t="shared" si="160"/>
        <v>3000</v>
      </c>
      <c r="I280" s="49">
        <f t="shared" si="160"/>
        <v>3000</v>
      </c>
      <c r="J280" s="49">
        <f t="shared" si="160"/>
        <v>3000</v>
      </c>
      <c r="K280" s="49">
        <f t="shared" si="160"/>
        <v>3000</v>
      </c>
      <c r="L280" s="49">
        <f t="shared" si="160"/>
        <v>0</v>
      </c>
      <c r="M280" s="49">
        <f t="shared" si="160"/>
        <v>0</v>
      </c>
      <c r="N280" s="49">
        <f t="shared" si="160"/>
        <v>0</v>
      </c>
      <c r="O280" s="49">
        <f t="shared" si="160"/>
        <v>0</v>
      </c>
      <c r="P280" s="49">
        <f t="shared" si="160"/>
        <v>3000</v>
      </c>
      <c r="Q280" s="49">
        <f t="shared" si="160"/>
        <v>0</v>
      </c>
      <c r="R280" s="50">
        <f t="shared" si="154"/>
        <v>0</v>
      </c>
      <c r="S280" s="49">
        <f>SUM(S279)</f>
        <v>1851.16</v>
      </c>
      <c r="T280" s="50">
        <f t="shared" si="155"/>
        <v>0.61705333333333334</v>
      </c>
      <c r="U280" s="49">
        <f>SUM(U279)</f>
        <v>0</v>
      </c>
      <c r="V280" s="50">
        <f t="shared" si="156"/>
        <v>0</v>
      </c>
      <c r="W280" s="49">
        <f>SUM(W279)</f>
        <v>0</v>
      </c>
      <c r="X280" s="50">
        <f t="shared" si="157"/>
        <v>0</v>
      </c>
      <c r="Y280" s="49">
        <f>SUM(Y279)</f>
        <v>3000</v>
      </c>
      <c r="Z280" s="49">
        <f>SUM(Z279)</f>
        <v>3000</v>
      </c>
    </row>
    <row r="281" spans="1:26" ht="13.9" customHeight="1" x14ac:dyDescent="0.25">
      <c r="A281" s="15">
        <v>5</v>
      </c>
      <c r="B281" s="15">
        <v>1</v>
      </c>
      <c r="C281" s="15">
        <v>1</v>
      </c>
      <c r="D281" s="123"/>
      <c r="E281" s="31"/>
      <c r="F281" s="27" t="s">
        <v>127</v>
      </c>
      <c r="G281" s="28">
        <f t="shared" ref="G281:Q281" si="161">G275+G278+G280</f>
        <v>11946.09</v>
      </c>
      <c r="H281" s="28">
        <f t="shared" si="161"/>
        <v>9540.2099999999991</v>
      </c>
      <c r="I281" s="28">
        <f t="shared" si="161"/>
        <v>8769</v>
      </c>
      <c r="J281" s="28">
        <f t="shared" si="161"/>
        <v>6982</v>
      </c>
      <c r="K281" s="28">
        <f t="shared" si="161"/>
        <v>7596</v>
      </c>
      <c r="L281" s="28">
        <f t="shared" si="161"/>
        <v>0</v>
      </c>
      <c r="M281" s="28">
        <f t="shared" si="161"/>
        <v>0</v>
      </c>
      <c r="N281" s="28">
        <f t="shared" si="161"/>
        <v>0</v>
      </c>
      <c r="O281" s="28">
        <f t="shared" si="161"/>
        <v>0</v>
      </c>
      <c r="P281" s="28">
        <f t="shared" si="161"/>
        <v>7596</v>
      </c>
      <c r="Q281" s="28">
        <f t="shared" si="161"/>
        <v>329.31</v>
      </c>
      <c r="R281" s="29">
        <f t="shared" si="154"/>
        <v>4.3353080568720379E-2</v>
      </c>
      <c r="S281" s="28">
        <f>S275+S278+S280</f>
        <v>4881.76</v>
      </c>
      <c r="T281" s="29">
        <f t="shared" si="155"/>
        <v>0.64267509215376517</v>
      </c>
      <c r="U281" s="28">
        <f>U275+U278+U280</f>
        <v>0</v>
      </c>
      <c r="V281" s="29">
        <f t="shared" si="156"/>
        <v>0</v>
      </c>
      <c r="W281" s="28">
        <f>W275+W278+W280</f>
        <v>0</v>
      </c>
      <c r="X281" s="29">
        <f t="shared" si="157"/>
        <v>0</v>
      </c>
      <c r="Y281" s="28">
        <f>Y275+Y278+Y280</f>
        <v>7596</v>
      </c>
      <c r="Z281" s="28">
        <f>Z275+Z278+Z280</f>
        <v>7596</v>
      </c>
    </row>
    <row r="283" spans="1:26" ht="13.9" customHeight="1" x14ac:dyDescent="0.25">
      <c r="E283" s="116" t="s">
        <v>55</v>
      </c>
      <c r="F283" s="129" t="s">
        <v>150</v>
      </c>
      <c r="G283" s="130">
        <v>308</v>
      </c>
      <c r="H283" s="130">
        <v>1800.64</v>
      </c>
      <c r="I283" s="130">
        <v>1801</v>
      </c>
      <c r="J283" s="130">
        <v>642</v>
      </c>
      <c r="K283" s="130">
        <v>640</v>
      </c>
      <c r="L283" s="130"/>
      <c r="M283" s="130"/>
      <c r="N283" s="130"/>
      <c r="O283" s="130"/>
      <c r="P283" s="130">
        <f>K283+SUM(L283:O283)</f>
        <v>640</v>
      </c>
      <c r="Q283" s="130">
        <v>194.4</v>
      </c>
      <c r="R283" s="131">
        <f>IFERROR(Q283/$P283,0)</f>
        <v>0.30375000000000002</v>
      </c>
      <c r="S283" s="130">
        <v>387.9</v>
      </c>
      <c r="T283" s="131">
        <f>IFERROR(S283/$P283,0)</f>
        <v>0.60609374999999999</v>
      </c>
      <c r="U283" s="130"/>
      <c r="V283" s="131">
        <f>IFERROR(U283/$P283,0)</f>
        <v>0</v>
      </c>
      <c r="W283" s="130"/>
      <c r="X283" s="132">
        <f>IFERROR(W283/$P283,0)</f>
        <v>0</v>
      </c>
      <c r="Y283" s="130">
        <f>K283</f>
        <v>640</v>
      </c>
      <c r="Z283" s="133">
        <f>Y283</f>
        <v>640</v>
      </c>
    </row>
    <row r="285" spans="1:26" ht="13.9" customHeight="1" x14ac:dyDescent="0.25">
      <c r="D285" s="73" t="s">
        <v>205</v>
      </c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4"/>
      <c r="S285" s="73"/>
      <c r="T285" s="74"/>
      <c r="U285" s="73"/>
      <c r="V285" s="74"/>
      <c r="W285" s="73"/>
      <c r="X285" s="74"/>
      <c r="Y285" s="73"/>
      <c r="Z285" s="73"/>
    </row>
    <row r="286" spans="1:26" ht="13.9" customHeight="1" x14ac:dyDescent="0.25">
      <c r="D286" s="21" t="s">
        <v>32</v>
      </c>
      <c r="E286" s="21" t="s">
        <v>33</v>
      </c>
      <c r="F286" s="21" t="s">
        <v>34</v>
      </c>
      <c r="G286" s="21" t="s">
        <v>1</v>
      </c>
      <c r="H286" s="21" t="s">
        <v>2</v>
      </c>
      <c r="I286" s="21" t="s">
        <v>3</v>
      </c>
      <c r="J286" s="21" t="s">
        <v>4</v>
      </c>
      <c r="K286" s="21" t="s">
        <v>5</v>
      </c>
      <c r="L286" s="21" t="s">
        <v>6</v>
      </c>
      <c r="M286" s="21" t="s">
        <v>7</v>
      </c>
      <c r="N286" s="21" t="s">
        <v>8</v>
      </c>
      <c r="O286" s="21" t="s">
        <v>9</v>
      </c>
      <c r="P286" s="21" t="s">
        <v>124</v>
      </c>
      <c r="Q286" s="21" t="s">
        <v>11</v>
      </c>
      <c r="R286" s="22" t="s">
        <v>12</v>
      </c>
      <c r="S286" s="21" t="s">
        <v>13</v>
      </c>
      <c r="T286" s="22" t="s">
        <v>14</v>
      </c>
      <c r="U286" s="21" t="s">
        <v>15</v>
      </c>
      <c r="V286" s="22" t="s">
        <v>16</v>
      </c>
      <c r="W286" s="21" t="s">
        <v>17</v>
      </c>
      <c r="X286" s="22" t="s">
        <v>18</v>
      </c>
      <c r="Y286" s="21" t="s">
        <v>19</v>
      </c>
      <c r="Z286" s="21" t="s">
        <v>20</v>
      </c>
    </row>
    <row r="287" spans="1:26" ht="13.9" customHeight="1" x14ac:dyDescent="0.25">
      <c r="A287" s="15">
        <v>5</v>
      </c>
      <c r="B287" s="15">
        <v>1</v>
      </c>
      <c r="C287" s="15">
        <v>2</v>
      </c>
      <c r="D287" s="11" t="s">
        <v>206</v>
      </c>
      <c r="E287" s="24">
        <v>610</v>
      </c>
      <c r="F287" s="24" t="s">
        <v>132</v>
      </c>
      <c r="G287" s="25">
        <v>231.15</v>
      </c>
      <c r="H287" s="25">
        <v>250.43</v>
      </c>
      <c r="I287" s="25">
        <v>231</v>
      </c>
      <c r="J287" s="25">
        <v>231</v>
      </c>
      <c r="K287" s="25">
        <v>231</v>
      </c>
      <c r="L287" s="25"/>
      <c r="M287" s="25"/>
      <c r="N287" s="25"/>
      <c r="O287" s="25"/>
      <c r="P287" s="25">
        <f>K287+SUM(L287:O287)</f>
        <v>231</v>
      </c>
      <c r="Q287" s="25">
        <v>0</v>
      </c>
      <c r="R287" s="26">
        <f t="shared" ref="R287:R293" si="162">IFERROR(Q287/$P287,0)</f>
        <v>0</v>
      </c>
      <c r="S287" s="25">
        <v>0</v>
      </c>
      <c r="T287" s="26">
        <f t="shared" ref="T287:T293" si="163">IFERROR(S287/$P287,0)</f>
        <v>0</v>
      </c>
      <c r="U287" s="25"/>
      <c r="V287" s="26">
        <f t="shared" ref="V287:V293" si="164">IFERROR(U287/$P287,0)</f>
        <v>0</v>
      </c>
      <c r="W287" s="25"/>
      <c r="X287" s="26">
        <f t="shared" ref="X287:X293" si="165">IFERROR(W287/$P287,0)</f>
        <v>0</v>
      </c>
      <c r="Y287" s="25">
        <f>K287</f>
        <v>231</v>
      </c>
      <c r="Z287" s="25">
        <f>Y287</f>
        <v>231</v>
      </c>
    </row>
    <row r="288" spans="1:26" ht="13.9" customHeight="1" x14ac:dyDescent="0.25">
      <c r="A288" s="15">
        <v>5</v>
      </c>
      <c r="B288" s="15">
        <v>1</v>
      </c>
      <c r="C288" s="15">
        <v>2</v>
      </c>
      <c r="D288" s="11" t="s">
        <v>206</v>
      </c>
      <c r="E288" s="24">
        <v>620</v>
      </c>
      <c r="F288" s="24" t="s">
        <v>133</v>
      </c>
      <c r="G288" s="25">
        <v>80.739999999999995</v>
      </c>
      <c r="H288" s="25">
        <v>87.5</v>
      </c>
      <c r="I288" s="25">
        <v>81</v>
      </c>
      <c r="J288" s="25">
        <v>81</v>
      </c>
      <c r="K288" s="25">
        <v>81</v>
      </c>
      <c r="L288" s="25"/>
      <c r="M288" s="25"/>
      <c r="N288" s="25"/>
      <c r="O288" s="25"/>
      <c r="P288" s="25">
        <f>K288+SUM(L288:O288)</f>
        <v>81</v>
      </c>
      <c r="Q288" s="25">
        <v>0</v>
      </c>
      <c r="R288" s="26">
        <f t="shared" si="162"/>
        <v>0</v>
      </c>
      <c r="S288" s="25">
        <v>0</v>
      </c>
      <c r="T288" s="26">
        <f t="shared" si="163"/>
        <v>0</v>
      </c>
      <c r="U288" s="25"/>
      <c r="V288" s="26">
        <f t="shared" si="164"/>
        <v>0</v>
      </c>
      <c r="W288" s="25"/>
      <c r="X288" s="26">
        <f t="shared" si="165"/>
        <v>0</v>
      </c>
      <c r="Y288" s="25">
        <f>K288</f>
        <v>81</v>
      </c>
      <c r="Z288" s="25">
        <f>Y288</f>
        <v>81</v>
      </c>
    </row>
    <row r="289" spans="1:26" ht="13.9" hidden="1" customHeight="1" x14ac:dyDescent="0.25">
      <c r="A289" s="15">
        <v>5</v>
      </c>
      <c r="B289" s="15">
        <v>1</v>
      </c>
      <c r="C289" s="15">
        <v>2</v>
      </c>
      <c r="D289" s="11" t="s">
        <v>206</v>
      </c>
      <c r="E289" s="24">
        <v>630</v>
      </c>
      <c r="F289" s="24" t="s">
        <v>134</v>
      </c>
      <c r="G289" s="25">
        <v>0</v>
      </c>
      <c r="H289" s="25">
        <v>965.89</v>
      </c>
      <c r="I289" s="25">
        <v>0</v>
      </c>
      <c r="J289" s="25">
        <v>0</v>
      </c>
      <c r="K289" s="25">
        <v>0</v>
      </c>
      <c r="L289" s="25"/>
      <c r="M289" s="25"/>
      <c r="N289" s="25"/>
      <c r="O289" s="25"/>
      <c r="P289" s="25">
        <f>K289+SUM(L289:O289)</f>
        <v>0</v>
      </c>
      <c r="Q289" s="25"/>
      <c r="R289" s="26">
        <f t="shared" si="162"/>
        <v>0</v>
      </c>
      <c r="S289" s="25"/>
      <c r="T289" s="26">
        <f t="shared" si="163"/>
        <v>0</v>
      </c>
      <c r="U289" s="25"/>
      <c r="V289" s="26">
        <f t="shared" si="164"/>
        <v>0</v>
      </c>
      <c r="W289" s="25"/>
      <c r="X289" s="26">
        <f t="shared" si="165"/>
        <v>0</v>
      </c>
      <c r="Y289" s="25">
        <f>K289</f>
        <v>0</v>
      </c>
      <c r="Z289" s="25">
        <f>Y289</f>
        <v>0</v>
      </c>
    </row>
    <row r="290" spans="1:26" ht="13.9" customHeight="1" x14ac:dyDescent="0.25">
      <c r="A290" s="15">
        <v>5</v>
      </c>
      <c r="B290" s="15">
        <v>1</v>
      </c>
      <c r="C290" s="15">
        <v>2</v>
      </c>
      <c r="D290" s="79" t="s">
        <v>21</v>
      </c>
      <c r="E290" s="48">
        <v>111</v>
      </c>
      <c r="F290" s="48" t="s">
        <v>137</v>
      </c>
      <c r="G290" s="49">
        <f t="shared" ref="G290:Q290" si="166">SUM(G287:G289)</f>
        <v>311.89</v>
      </c>
      <c r="H290" s="49">
        <f t="shared" si="166"/>
        <v>1303.82</v>
      </c>
      <c r="I290" s="49">
        <f t="shared" si="166"/>
        <v>312</v>
      </c>
      <c r="J290" s="49">
        <f t="shared" si="166"/>
        <v>312</v>
      </c>
      <c r="K290" s="49">
        <f t="shared" si="166"/>
        <v>312</v>
      </c>
      <c r="L290" s="49">
        <f t="shared" si="166"/>
        <v>0</v>
      </c>
      <c r="M290" s="49">
        <f t="shared" si="166"/>
        <v>0</v>
      </c>
      <c r="N290" s="49">
        <f t="shared" si="166"/>
        <v>0</v>
      </c>
      <c r="O290" s="49">
        <f t="shared" si="166"/>
        <v>0</v>
      </c>
      <c r="P290" s="49">
        <f t="shared" si="166"/>
        <v>312</v>
      </c>
      <c r="Q290" s="49">
        <f t="shared" si="166"/>
        <v>0</v>
      </c>
      <c r="R290" s="50">
        <f t="shared" si="162"/>
        <v>0</v>
      </c>
      <c r="S290" s="49">
        <f>SUM(S287:S289)</f>
        <v>0</v>
      </c>
      <c r="T290" s="50">
        <f t="shared" si="163"/>
        <v>0</v>
      </c>
      <c r="U290" s="49">
        <f>SUM(U287:U289)</f>
        <v>0</v>
      </c>
      <c r="V290" s="50">
        <f t="shared" si="164"/>
        <v>0</v>
      </c>
      <c r="W290" s="49">
        <f>SUM(W287:W289)</f>
        <v>0</v>
      </c>
      <c r="X290" s="50">
        <f t="shared" si="165"/>
        <v>0</v>
      </c>
      <c r="Y290" s="49">
        <f>SUM(Y287:Y289)</f>
        <v>312</v>
      </c>
      <c r="Z290" s="49">
        <f>SUM(Z287:Z289)</f>
        <v>312</v>
      </c>
    </row>
    <row r="291" spans="1:26" ht="13.9" hidden="1" customHeight="1" x14ac:dyDescent="0.25">
      <c r="A291" s="15">
        <v>5</v>
      </c>
      <c r="B291" s="15">
        <v>1</v>
      </c>
      <c r="C291" s="15">
        <v>2</v>
      </c>
      <c r="D291" s="84" t="s">
        <v>206</v>
      </c>
      <c r="E291" s="24">
        <v>630</v>
      </c>
      <c r="F291" s="24" t="s">
        <v>134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/>
      <c r="M291" s="25"/>
      <c r="N291" s="25"/>
      <c r="O291" s="25"/>
      <c r="P291" s="25">
        <f>K291+SUM(L291:O291)</f>
        <v>0</v>
      </c>
      <c r="Q291" s="25"/>
      <c r="R291" s="26">
        <f t="shared" si="162"/>
        <v>0</v>
      </c>
      <c r="S291" s="25"/>
      <c r="T291" s="26">
        <f t="shared" si="163"/>
        <v>0</v>
      </c>
      <c r="U291" s="25"/>
      <c r="V291" s="26">
        <f t="shared" si="164"/>
        <v>0</v>
      </c>
      <c r="W291" s="25"/>
      <c r="X291" s="26">
        <f t="shared" si="165"/>
        <v>0</v>
      </c>
      <c r="Y291" s="25">
        <v>0</v>
      </c>
      <c r="Z291" s="25">
        <f>Y291</f>
        <v>0</v>
      </c>
    </row>
    <row r="292" spans="1:26" ht="13.9" hidden="1" customHeight="1" x14ac:dyDescent="0.25">
      <c r="A292" s="15">
        <v>5</v>
      </c>
      <c r="B292" s="15">
        <v>1</v>
      </c>
      <c r="C292" s="15">
        <v>2</v>
      </c>
      <c r="D292" s="79" t="s">
        <v>21</v>
      </c>
      <c r="E292" s="48">
        <v>41</v>
      </c>
      <c r="F292" s="48" t="s">
        <v>23</v>
      </c>
      <c r="G292" s="49">
        <f t="shared" ref="G292:Q292" si="167">SUM(G291)</f>
        <v>0</v>
      </c>
      <c r="H292" s="49">
        <f t="shared" si="167"/>
        <v>0</v>
      </c>
      <c r="I292" s="49">
        <f t="shared" si="167"/>
        <v>0</v>
      </c>
      <c r="J292" s="49">
        <f t="shared" si="167"/>
        <v>0</v>
      </c>
      <c r="K292" s="49">
        <f t="shared" si="167"/>
        <v>0</v>
      </c>
      <c r="L292" s="49">
        <f t="shared" si="167"/>
        <v>0</v>
      </c>
      <c r="M292" s="49">
        <f t="shared" si="167"/>
        <v>0</v>
      </c>
      <c r="N292" s="49">
        <f t="shared" si="167"/>
        <v>0</v>
      </c>
      <c r="O292" s="49">
        <f t="shared" si="167"/>
        <v>0</v>
      </c>
      <c r="P292" s="49">
        <f t="shared" si="167"/>
        <v>0</v>
      </c>
      <c r="Q292" s="49">
        <f t="shared" si="167"/>
        <v>0</v>
      </c>
      <c r="R292" s="50">
        <f t="shared" si="162"/>
        <v>0</v>
      </c>
      <c r="S292" s="49">
        <f>SUM(S291)</f>
        <v>0</v>
      </c>
      <c r="T292" s="50">
        <f t="shared" si="163"/>
        <v>0</v>
      </c>
      <c r="U292" s="49">
        <f>SUM(U291)</f>
        <v>0</v>
      </c>
      <c r="V292" s="50">
        <f t="shared" si="164"/>
        <v>0</v>
      </c>
      <c r="W292" s="49">
        <f>SUM(W291)</f>
        <v>0</v>
      </c>
      <c r="X292" s="50">
        <f t="shared" si="165"/>
        <v>0</v>
      </c>
      <c r="Y292" s="49">
        <f>SUM(Y291)</f>
        <v>0</v>
      </c>
      <c r="Z292" s="49">
        <f>SUM(Z291)</f>
        <v>0</v>
      </c>
    </row>
    <row r="293" spans="1:26" ht="13.9" customHeight="1" x14ac:dyDescent="0.25">
      <c r="A293" s="15">
        <v>5</v>
      </c>
      <c r="B293" s="15">
        <v>1</v>
      </c>
      <c r="C293" s="15">
        <v>2</v>
      </c>
      <c r="D293" s="30"/>
      <c r="E293" s="31"/>
      <c r="F293" s="27" t="s">
        <v>127</v>
      </c>
      <c r="G293" s="28">
        <f t="shared" ref="G293:Q293" si="168">G290+G292</f>
        <v>311.89</v>
      </c>
      <c r="H293" s="28">
        <f t="shared" si="168"/>
        <v>1303.82</v>
      </c>
      <c r="I293" s="28">
        <f t="shared" si="168"/>
        <v>312</v>
      </c>
      <c r="J293" s="28">
        <f t="shared" si="168"/>
        <v>312</v>
      </c>
      <c r="K293" s="28">
        <f t="shared" si="168"/>
        <v>312</v>
      </c>
      <c r="L293" s="28">
        <f t="shared" si="168"/>
        <v>0</v>
      </c>
      <c r="M293" s="28">
        <f t="shared" si="168"/>
        <v>0</v>
      </c>
      <c r="N293" s="28">
        <f t="shared" si="168"/>
        <v>0</v>
      </c>
      <c r="O293" s="28">
        <f t="shared" si="168"/>
        <v>0</v>
      </c>
      <c r="P293" s="28">
        <f t="shared" si="168"/>
        <v>312</v>
      </c>
      <c r="Q293" s="28">
        <f t="shared" si="168"/>
        <v>0</v>
      </c>
      <c r="R293" s="29">
        <f t="shared" si="162"/>
        <v>0</v>
      </c>
      <c r="S293" s="28">
        <f>S290+S292</f>
        <v>0</v>
      </c>
      <c r="T293" s="29">
        <f t="shared" si="163"/>
        <v>0</v>
      </c>
      <c r="U293" s="28">
        <f>U290+U292</f>
        <v>0</v>
      </c>
      <c r="V293" s="29">
        <f t="shared" si="164"/>
        <v>0</v>
      </c>
      <c r="W293" s="28">
        <f>W290+W292</f>
        <v>0</v>
      </c>
      <c r="X293" s="29">
        <f t="shared" si="165"/>
        <v>0</v>
      </c>
      <c r="Y293" s="28">
        <f>Y290+Y292</f>
        <v>312</v>
      </c>
      <c r="Z293" s="28">
        <f>Z290+Z292</f>
        <v>312</v>
      </c>
    </row>
    <row r="295" spans="1:26" ht="13.9" customHeight="1" x14ac:dyDescent="0.25">
      <c r="D295" s="73" t="s">
        <v>207</v>
      </c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4"/>
      <c r="S295" s="73"/>
      <c r="T295" s="74"/>
      <c r="U295" s="73"/>
      <c r="V295" s="74"/>
      <c r="W295" s="73"/>
      <c r="X295" s="74"/>
      <c r="Y295" s="73"/>
      <c r="Z295" s="73"/>
    </row>
    <row r="296" spans="1:26" ht="13.9" customHeight="1" x14ac:dyDescent="0.25">
      <c r="D296" s="21" t="s">
        <v>32</v>
      </c>
      <c r="E296" s="21" t="s">
        <v>33</v>
      </c>
      <c r="F296" s="21" t="s">
        <v>34</v>
      </c>
      <c r="G296" s="21" t="s">
        <v>1</v>
      </c>
      <c r="H296" s="21" t="s">
        <v>2</v>
      </c>
      <c r="I296" s="21" t="s">
        <v>3</v>
      </c>
      <c r="J296" s="21" t="s">
        <v>4</v>
      </c>
      <c r="K296" s="21" t="s">
        <v>5</v>
      </c>
      <c r="L296" s="21" t="s">
        <v>6</v>
      </c>
      <c r="M296" s="21" t="s">
        <v>7</v>
      </c>
      <c r="N296" s="21" t="s">
        <v>8</v>
      </c>
      <c r="O296" s="21" t="s">
        <v>9</v>
      </c>
      <c r="P296" s="21" t="s">
        <v>124</v>
      </c>
      <c r="Q296" s="21" t="s">
        <v>11</v>
      </c>
      <c r="R296" s="22" t="s">
        <v>12</v>
      </c>
      <c r="S296" s="21" t="s">
        <v>13</v>
      </c>
      <c r="T296" s="22" t="s">
        <v>14</v>
      </c>
      <c r="U296" s="21" t="s">
        <v>15</v>
      </c>
      <c r="V296" s="22" t="s">
        <v>16</v>
      </c>
      <c r="W296" s="21" t="s">
        <v>17</v>
      </c>
      <c r="X296" s="22" t="s">
        <v>18</v>
      </c>
      <c r="Y296" s="21" t="s">
        <v>19</v>
      </c>
      <c r="Z296" s="21" t="s">
        <v>20</v>
      </c>
    </row>
    <row r="297" spans="1:26" ht="13.9" hidden="1" customHeight="1" x14ac:dyDescent="0.25">
      <c r="A297" s="15">
        <v>5</v>
      </c>
      <c r="B297" s="15">
        <v>1</v>
      </c>
      <c r="C297" s="15">
        <v>3</v>
      </c>
      <c r="D297" s="51" t="s">
        <v>208</v>
      </c>
      <c r="E297" s="24">
        <v>630</v>
      </c>
      <c r="F297" s="24" t="s">
        <v>134</v>
      </c>
      <c r="G297" s="46">
        <v>0</v>
      </c>
      <c r="H297" s="46">
        <v>20625.84</v>
      </c>
      <c r="I297" s="25">
        <v>0</v>
      </c>
      <c r="J297" s="25">
        <v>0</v>
      </c>
      <c r="K297" s="25">
        <v>0</v>
      </c>
      <c r="L297" s="25"/>
      <c r="M297" s="25"/>
      <c r="N297" s="25"/>
      <c r="O297" s="25"/>
      <c r="P297" s="46">
        <f>K297+SUM(L297:O297)</f>
        <v>0</v>
      </c>
      <c r="Q297" s="46"/>
      <c r="R297" s="47">
        <f t="shared" ref="R297:R302" si="169">IFERROR(Q297/$P297,0)</f>
        <v>0</v>
      </c>
      <c r="S297" s="46"/>
      <c r="T297" s="47">
        <f t="shared" ref="T297:T302" si="170">IFERROR(S297/$P297,0)</f>
        <v>0</v>
      </c>
      <c r="U297" s="46"/>
      <c r="V297" s="47">
        <f t="shared" ref="V297:V302" si="171">IFERROR(U297/$P297,0)</f>
        <v>0</v>
      </c>
      <c r="W297" s="46"/>
      <c r="X297" s="47">
        <f t="shared" ref="X297:X302" si="172">IFERROR(W297/$P297,0)</f>
        <v>0</v>
      </c>
      <c r="Y297" s="25">
        <v>0</v>
      </c>
      <c r="Z297" s="25">
        <v>0</v>
      </c>
    </row>
    <row r="298" spans="1:26" ht="13.9" hidden="1" customHeight="1" x14ac:dyDescent="0.25">
      <c r="A298" s="15">
        <v>5</v>
      </c>
      <c r="B298" s="15">
        <v>1</v>
      </c>
      <c r="C298" s="15">
        <v>3</v>
      </c>
      <c r="D298" s="79" t="s">
        <v>21</v>
      </c>
      <c r="E298" s="48">
        <v>111</v>
      </c>
      <c r="F298" s="48" t="s">
        <v>45</v>
      </c>
      <c r="G298" s="49">
        <f t="shared" ref="G298:Q298" si="173">SUM(G297)</f>
        <v>0</v>
      </c>
      <c r="H298" s="49">
        <f t="shared" si="173"/>
        <v>20625.84</v>
      </c>
      <c r="I298" s="49">
        <f t="shared" si="173"/>
        <v>0</v>
      </c>
      <c r="J298" s="49">
        <f t="shared" si="173"/>
        <v>0</v>
      </c>
      <c r="K298" s="49">
        <f t="shared" si="173"/>
        <v>0</v>
      </c>
      <c r="L298" s="49">
        <f t="shared" si="173"/>
        <v>0</v>
      </c>
      <c r="M298" s="49">
        <f t="shared" si="173"/>
        <v>0</v>
      </c>
      <c r="N298" s="49">
        <f t="shared" si="173"/>
        <v>0</v>
      </c>
      <c r="O298" s="49">
        <f t="shared" si="173"/>
        <v>0</v>
      </c>
      <c r="P298" s="49">
        <f t="shared" si="173"/>
        <v>0</v>
      </c>
      <c r="Q298" s="49">
        <f t="shared" si="173"/>
        <v>0</v>
      </c>
      <c r="R298" s="50">
        <f t="shared" si="169"/>
        <v>0</v>
      </c>
      <c r="S298" s="49">
        <f>SUM(S297)</f>
        <v>0</v>
      </c>
      <c r="T298" s="50">
        <f t="shared" si="170"/>
        <v>0</v>
      </c>
      <c r="U298" s="49">
        <f>SUM(U297)</f>
        <v>0</v>
      </c>
      <c r="V298" s="50">
        <f t="shared" si="171"/>
        <v>0</v>
      </c>
      <c r="W298" s="49">
        <f>SUM(W297)</f>
        <v>0</v>
      </c>
      <c r="X298" s="50">
        <f t="shared" si="172"/>
        <v>0</v>
      </c>
      <c r="Y298" s="49">
        <f>SUM(Y297)</f>
        <v>0</v>
      </c>
      <c r="Z298" s="49">
        <f>SUM(Z297)</f>
        <v>0</v>
      </c>
    </row>
    <row r="299" spans="1:26" ht="13.9" customHeight="1" x14ac:dyDescent="0.25">
      <c r="A299" s="15">
        <v>5</v>
      </c>
      <c r="B299" s="15">
        <v>1</v>
      </c>
      <c r="C299" s="15">
        <v>3</v>
      </c>
      <c r="D299" s="5" t="s">
        <v>208</v>
      </c>
      <c r="E299" s="24">
        <v>620</v>
      </c>
      <c r="F299" s="24" t="s">
        <v>133</v>
      </c>
      <c r="G299" s="25">
        <v>284.52</v>
      </c>
      <c r="H299" s="25">
        <v>284.52</v>
      </c>
      <c r="I299" s="25">
        <v>285</v>
      </c>
      <c r="J299" s="25">
        <v>285</v>
      </c>
      <c r="K299" s="25">
        <v>285</v>
      </c>
      <c r="L299" s="25"/>
      <c r="M299" s="25"/>
      <c r="N299" s="25"/>
      <c r="O299" s="25"/>
      <c r="P299" s="25">
        <f>K299+SUM(L299:O299)</f>
        <v>285</v>
      </c>
      <c r="Q299" s="25">
        <v>71.13</v>
      </c>
      <c r="R299" s="26">
        <f t="shared" si="169"/>
        <v>0.24957894736842104</v>
      </c>
      <c r="S299" s="25">
        <v>142.26</v>
      </c>
      <c r="T299" s="26">
        <f t="shared" si="170"/>
        <v>0.49915789473684208</v>
      </c>
      <c r="U299" s="25"/>
      <c r="V299" s="26">
        <f t="shared" si="171"/>
        <v>0</v>
      </c>
      <c r="W299" s="25"/>
      <c r="X299" s="26">
        <f t="shared" si="172"/>
        <v>0</v>
      </c>
      <c r="Y299" s="25">
        <f>K299</f>
        <v>285</v>
      </c>
      <c r="Z299" s="25">
        <f>Y299</f>
        <v>285</v>
      </c>
    </row>
    <row r="300" spans="1:26" ht="13.9" customHeight="1" x14ac:dyDescent="0.25">
      <c r="A300" s="15">
        <v>5</v>
      </c>
      <c r="B300" s="15">
        <v>1</v>
      </c>
      <c r="C300" s="15">
        <v>3</v>
      </c>
      <c r="D300" s="5"/>
      <c r="E300" s="24">
        <v>630</v>
      </c>
      <c r="F300" s="24" t="s">
        <v>134</v>
      </c>
      <c r="G300" s="25">
        <v>18451.14</v>
      </c>
      <c r="H300" s="25">
        <v>8345.14</v>
      </c>
      <c r="I300" s="25">
        <v>28918</v>
      </c>
      <c r="J300" s="25">
        <v>14911</v>
      </c>
      <c r="K300" s="25">
        <v>14916</v>
      </c>
      <c r="L300" s="25"/>
      <c r="M300" s="25">
        <v>-290</v>
      </c>
      <c r="N300" s="25"/>
      <c r="O300" s="25"/>
      <c r="P300" s="25">
        <f>K300+SUM(L300:O300)</f>
        <v>14626</v>
      </c>
      <c r="Q300" s="25">
        <v>4845.55</v>
      </c>
      <c r="R300" s="26">
        <f t="shared" si="169"/>
        <v>0.33129700533296869</v>
      </c>
      <c r="S300" s="25">
        <v>8799.68</v>
      </c>
      <c r="T300" s="26">
        <f t="shared" si="170"/>
        <v>0.60164638315328867</v>
      </c>
      <c r="U300" s="25"/>
      <c r="V300" s="26">
        <f t="shared" si="171"/>
        <v>0</v>
      </c>
      <c r="W300" s="25"/>
      <c r="X300" s="26">
        <f t="shared" si="172"/>
        <v>0</v>
      </c>
      <c r="Y300" s="25">
        <f>K300</f>
        <v>14916</v>
      </c>
      <c r="Z300" s="25">
        <f>Y300</f>
        <v>14916</v>
      </c>
    </row>
    <row r="301" spans="1:26" ht="13.9" customHeight="1" x14ac:dyDescent="0.25">
      <c r="A301" s="15">
        <v>5</v>
      </c>
      <c r="B301" s="15">
        <v>1</v>
      </c>
      <c r="C301" s="15">
        <v>3</v>
      </c>
      <c r="D301" s="79" t="s">
        <v>21</v>
      </c>
      <c r="E301" s="48">
        <v>41</v>
      </c>
      <c r="F301" s="48" t="s">
        <v>23</v>
      </c>
      <c r="G301" s="49">
        <f t="shared" ref="G301:Q301" si="174">SUM(G299:G300)</f>
        <v>18735.66</v>
      </c>
      <c r="H301" s="49">
        <f t="shared" si="174"/>
        <v>8629.66</v>
      </c>
      <c r="I301" s="49">
        <f t="shared" si="174"/>
        <v>29203</v>
      </c>
      <c r="J301" s="49">
        <f t="shared" si="174"/>
        <v>15196</v>
      </c>
      <c r="K301" s="49">
        <f t="shared" si="174"/>
        <v>15201</v>
      </c>
      <c r="L301" s="49">
        <f t="shared" si="174"/>
        <v>0</v>
      </c>
      <c r="M301" s="49">
        <f t="shared" si="174"/>
        <v>-290</v>
      </c>
      <c r="N301" s="49">
        <f t="shared" si="174"/>
        <v>0</v>
      </c>
      <c r="O301" s="49">
        <f t="shared" si="174"/>
        <v>0</v>
      </c>
      <c r="P301" s="49">
        <f t="shared" si="174"/>
        <v>14911</v>
      </c>
      <c r="Q301" s="49">
        <f t="shared" si="174"/>
        <v>4916.68</v>
      </c>
      <c r="R301" s="50">
        <f t="shared" si="169"/>
        <v>0.32973509489638525</v>
      </c>
      <c r="S301" s="49">
        <f>SUM(S299:S300)</f>
        <v>8941.94</v>
      </c>
      <c r="T301" s="50">
        <f t="shared" si="170"/>
        <v>0.59968747904231778</v>
      </c>
      <c r="U301" s="49">
        <f>SUM(U299:U300)</f>
        <v>0</v>
      </c>
      <c r="V301" s="50">
        <f t="shared" si="171"/>
        <v>0</v>
      </c>
      <c r="W301" s="49">
        <f>SUM(W299:W300)</f>
        <v>0</v>
      </c>
      <c r="X301" s="50">
        <f t="shared" si="172"/>
        <v>0</v>
      </c>
      <c r="Y301" s="49">
        <f>SUM(Y299:Y300)</f>
        <v>15201</v>
      </c>
      <c r="Z301" s="49">
        <f>SUM(Z299:Z300)</f>
        <v>15201</v>
      </c>
    </row>
    <row r="302" spans="1:26" ht="13.9" customHeight="1" x14ac:dyDescent="0.25">
      <c r="A302" s="15">
        <v>5</v>
      </c>
      <c r="B302" s="15">
        <v>1</v>
      </c>
      <c r="C302" s="15">
        <v>3</v>
      </c>
      <c r="D302" s="86"/>
      <c r="E302" s="87"/>
      <c r="F302" s="27" t="s">
        <v>127</v>
      </c>
      <c r="G302" s="28">
        <f t="shared" ref="G302:Q302" si="175">G298+G301</f>
        <v>18735.66</v>
      </c>
      <c r="H302" s="28">
        <f t="shared" si="175"/>
        <v>29255.5</v>
      </c>
      <c r="I302" s="28">
        <f t="shared" si="175"/>
        <v>29203</v>
      </c>
      <c r="J302" s="28">
        <f t="shared" si="175"/>
        <v>15196</v>
      </c>
      <c r="K302" s="28">
        <f t="shared" si="175"/>
        <v>15201</v>
      </c>
      <c r="L302" s="28">
        <f t="shared" si="175"/>
        <v>0</v>
      </c>
      <c r="M302" s="28">
        <f t="shared" si="175"/>
        <v>-290</v>
      </c>
      <c r="N302" s="28">
        <f t="shared" si="175"/>
        <v>0</v>
      </c>
      <c r="O302" s="28">
        <f t="shared" si="175"/>
        <v>0</v>
      </c>
      <c r="P302" s="28">
        <f t="shared" si="175"/>
        <v>14911</v>
      </c>
      <c r="Q302" s="28">
        <f t="shared" si="175"/>
        <v>4916.68</v>
      </c>
      <c r="R302" s="29">
        <f t="shared" si="169"/>
        <v>0.32973509489638525</v>
      </c>
      <c r="S302" s="28">
        <f>S298+S301</f>
        <v>8941.94</v>
      </c>
      <c r="T302" s="29">
        <f t="shared" si="170"/>
        <v>0.59968747904231778</v>
      </c>
      <c r="U302" s="28">
        <f>U298+U301</f>
        <v>0</v>
      </c>
      <c r="V302" s="29">
        <f t="shared" si="171"/>
        <v>0</v>
      </c>
      <c r="W302" s="28">
        <f>W298+W301</f>
        <v>0</v>
      </c>
      <c r="X302" s="29">
        <f t="shared" si="172"/>
        <v>0</v>
      </c>
      <c r="Y302" s="28">
        <f>Y298+Y301</f>
        <v>15201</v>
      </c>
      <c r="Z302" s="28">
        <f>Z298+Z301</f>
        <v>15201</v>
      </c>
    </row>
    <row r="304" spans="1:26" ht="13.9" customHeight="1" x14ac:dyDescent="0.25">
      <c r="E304" s="52" t="s">
        <v>55</v>
      </c>
      <c r="F304" s="30" t="s">
        <v>150</v>
      </c>
      <c r="G304" s="53">
        <v>13134</v>
      </c>
      <c r="H304" s="53">
        <v>24806.18</v>
      </c>
      <c r="I304" s="53">
        <v>24807</v>
      </c>
      <c r="J304" s="53">
        <v>10572</v>
      </c>
      <c r="K304" s="53">
        <v>10570</v>
      </c>
      <c r="L304" s="53"/>
      <c r="M304" s="53"/>
      <c r="N304" s="53"/>
      <c r="O304" s="53"/>
      <c r="P304" s="53">
        <f>K304+SUM(L304:O304)</f>
        <v>10570</v>
      </c>
      <c r="Q304" s="53">
        <v>3906.07</v>
      </c>
      <c r="R304" s="54">
        <f>IFERROR(Q304/$P304,0)</f>
        <v>0.36954304635761592</v>
      </c>
      <c r="S304" s="53">
        <v>6920.72</v>
      </c>
      <c r="T304" s="54">
        <f>IFERROR(S304/$P304,0)</f>
        <v>0.65475118259224219</v>
      </c>
      <c r="U304" s="53"/>
      <c r="V304" s="54">
        <f>IFERROR(U304/$P304,0)</f>
        <v>0</v>
      </c>
      <c r="W304" s="53"/>
      <c r="X304" s="55">
        <f>IFERROR(W304/$P304,0)</f>
        <v>0</v>
      </c>
      <c r="Y304" s="53">
        <f>K304</f>
        <v>10570</v>
      </c>
      <c r="Z304" s="56">
        <f>Y304</f>
        <v>10570</v>
      </c>
    </row>
    <row r="305" spans="1:26" ht="13.9" customHeight="1" x14ac:dyDescent="0.25">
      <c r="E305" s="65"/>
      <c r="F305" s="97" t="s">
        <v>209</v>
      </c>
      <c r="G305" s="67">
        <v>4042.44</v>
      </c>
      <c r="H305" s="67">
        <v>4042.44</v>
      </c>
      <c r="I305" s="67">
        <v>4043</v>
      </c>
      <c r="J305" s="67">
        <v>4043</v>
      </c>
      <c r="K305" s="67">
        <v>4043</v>
      </c>
      <c r="L305" s="67"/>
      <c r="M305" s="67"/>
      <c r="N305" s="67"/>
      <c r="O305" s="67"/>
      <c r="P305" s="67">
        <f>K305+SUM(L305:O305)</f>
        <v>4043</v>
      </c>
      <c r="Q305" s="67">
        <v>1010.61</v>
      </c>
      <c r="R305" s="68">
        <f>IFERROR(Q305/$P305,0)</f>
        <v>0.24996537224833046</v>
      </c>
      <c r="S305" s="67">
        <v>2021.22</v>
      </c>
      <c r="T305" s="68">
        <f>IFERROR(S305/$P305,0)</f>
        <v>0.49993074449666092</v>
      </c>
      <c r="U305" s="67"/>
      <c r="V305" s="68">
        <f>IFERROR(U305/$P305,0)</f>
        <v>0</v>
      </c>
      <c r="W305" s="67"/>
      <c r="X305" s="69">
        <f>IFERROR(W305/$P305,0)</f>
        <v>0</v>
      </c>
      <c r="Y305" s="67">
        <f>K305</f>
        <v>4043</v>
      </c>
      <c r="Z305" s="70">
        <f>Y305</f>
        <v>4043</v>
      </c>
    </row>
    <row r="307" spans="1:26" ht="13.9" customHeight="1" x14ac:dyDescent="0.25">
      <c r="D307" s="73" t="s">
        <v>210</v>
      </c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4"/>
      <c r="S307" s="73"/>
      <c r="T307" s="74"/>
      <c r="U307" s="73"/>
      <c r="V307" s="74"/>
      <c r="W307" s="73"/>
      <c r="X307" s="74"/>
      <c r="Y307" s="73"/>
      <c r="Z307" s="73"/>
    </row>
    <row r="308" spans="1:26" ht="13.9" customHeight="1" x14ac:dyDescent="0.25">
      <c r="D308" s="21" t="s">
        <v>32</v>
      </c>
      <c r="E308" s="21" t="s">
        <v>33</v>
      </c>
      <c r="F308" s="21" t="s">
        <v>34</v>
      </c>
      <c r="G308" s="21" t="s">
        <v>1</v>
      </c>
      <c r="H308" s="21" t="s">
        <v>2</v>
      </c>
      <c r="I308" s="21" t="s">
        <v>3</v>
      </c>
      <c r="J308" s="21" t="s">
        <v>4</v>
      </c>
      <c r="K308" s="21" t="s">
        <v>5</v>
      </c>
      <c r="L308" s="21" t="s">
        <v>6</v>
      </c>
      <c r="M308" s="21" t="s">
        <v>7</v>
      </c>
      <c r="N308" s="21" t="s">
        <v>8</v>
      </c>
      <c r="O308" s="21" t="s">
        <v>9</v>
      </c>
      <c r="P308" s="21" t="s">
        <v>124</v>
      </c>
      <c r="Q308" s="21" t="s">
        <v>11</v>
      </c>
      <c r="R308" s="22" t="s">
        <v>12</v>
      </c>
      <c r="S308" s="21" t="s">
        <v>13</v>
      </c>
      <c r="T308" s="22" t="s">
        <v>14</v>
      </c>
      <c r="U308" s="21" t="s">
        <v>15</v>
      </c>
      <c r="V308" s="22" t="s">
        <v>16</v>
      </c>
      <c r="W308" s="21" t="s">
        <v>17</v>
      </c>
      <c r="X308" s="22" t="s">
        <v>18</v>
      </c>
      <c r="Y308" s="21" t="s">
        <v>19</v>
      </c>
      <c r="Z308" s="21" t="s">
        <v>20</v>
      </c>
    </row>
    <row r="309" spans="1:26" ht="13.9" customHeight="1" x14ac:dyDescent="0.25">
      <c r="A309" s="15">
        <v>5</v>
      </c>
      <c r="B309" s="15">
        <v>1</v>
      </c>
      <c r="C309" s="15">
        <v>4</v>
      </c>
      <c r="D309" s="84" t="s">
        <v>211</v>
      </c>
      <c r="E309" s="24">
        <v>630</v>
      </c>
      <c r="F309" s="24" t="s">
        <v>134</v>
      </c>
      <c r="G309" s="25">
        <v>26.62</v>
      </c>
      <c r="H309" s="25">
        <v>772.72</v>
      </c>
      <c r="I309" s="25">
        <v>800</v>
      </c>
      <c r="J309" s="25">
        <v>1976</v>
      </c>
      <c r="K309" s="25">
        <v>917</v>
      </c>
      <c r="L309" s="25"/>
      <c r="M309" s="25">
        <v>290</v>
      </c>
      <c r="N309" s="25"/>
      <c r="O309" s="25"/>
      <c r="P309" s="25">
        <f>K309+SUM(L309:O309)</f>
        <v>1207</v>
      </c>
      <c r="Q309" s="25">
        <v>360</v>
      </c>
      <c r="R309" s="26">
        <f>IFERROR(Q309/$P309,0)</f>
        <v>0.29826014913007459</v>
      </c>
      <c r="S309" s="25">
        <v>1182.9000000000001</v>
      </c>
      <c r="T309" s="26">
        <f>IFERROR(S309/$P309,0)</f>
        <v>0.98003314001657005</v>
      </c>
      <c r="U309" s="25"/>
      <c r="V309" s="26">
        <f>IFERROR(U309/$P309,0)</f>
        <v>0</v>
      </c>
      <c r="W309" s="25"/>
      <c r="X309" s="26">
        <f>IFERROR(W309/$P309,0)</f>
        <v>0</v>
      </c>
      <c r="Y309" s="25">
        <f>K309</f>
        <v>917</v>
      </c>
      <c r="Z309" s="25">
        <f>Y309</f>
        <v>917</v>
      </c>
    </row>
    <row r="310" spans="1:26" ht="13.9" customHeight="1" x14ac:dyDescent="0.25">
      <c r="A310" s="15">
        <v>5</v>
      </c>
      <c r="B310" s="15">
        <v>1</v>
      </c>
      <c r="C310" s="15">
        <v>4</v>
      </c>
      <c r="D310" s="79" t="s">
        <v>21</v>
      </c>
      <c r="E310" s="48">
        <v>41</v>
      </c>
      <c r="F310" s="48" t="s">
        <v>23</v>
      </c>
      <c r="G310" s="49">
        <f t="shared" ref="G310:Q310" si="176">SUM(G309)</f>
        <v>26.62</v>
      </c>
      <c r="H310" s="49">
        <f t="shared" si="176"/>
        <v>772.72</v>
      </c>
      <c r="I310" s="49">
        <f t="shared" si="176"/>
        <v>800</v>
      </c>
      <c r="J310" s="49">
        <f t="shared" si="176"/>
        <v>1976</v>
      </c>
      <c r="K310" s="49">
        <f t="shared" si="176"/>
        <v>917</v>
      </c>
      <c r="L310" s="49">
        <f t="shared" si="176"/>
        <v>0</v>
      </c>
      <c r="M310" s="49">
        <f t="shared" si="176"/>
        <v>290</v>
      </c>
      <c r="N310" s="49">
        <f t="shared" si="176"/>
        <v>0</v>
      </c>
      <c r="O310" s="49">
        <f t="shared" si="176"/>
        <v>0</v>
      </c>
      <c r="P310" s="49">
        <f t="shared" si="176"/>
        <v>1207</v>
      </c>
      <c r="Q310" s="49">
        <f t="shared" si="176"/>
        <v>360</v>
      </c>
      <c r="R310" s="50">
        <f>IFERROR(Q310/$P310,0)</f>
        <v>0.29826014913007459</v>
      </c>
      <c r="S310" s="49">
        <f>SUM(S309)</f>
        <v>1182.9000000000001</v>
      </c>
      <c r="T310" s="50">
        <f>IFERROR(S310/$P310,0)</f>
        <v>0.98003314001657005</v>
      </c>
      <c r="U310" s="49">
        <f>SUM(U309)</f>
        <v>0</v>
      </c>
      <c r="V310" s="50">
        <f>IFERROR(U310/$P310,0)</f>
        <v>0</v>
      </c>
      <c r="W310" s="49">
        <f>SUM(W309)</f>
        <v>0</v>
      </c>
      <c r="X310" s="50">
        <f>IFERROR(W310/$P310,0)</f>
        <v>0</v>
      </c>
      <c r="Y310" s="49">
        <f>SUM(Y309)</f>
        <v>917</v>
      </c>
      <c r="Z310" s="49">
        <f>SUM(Z309)</f>
        <v>917</v>
      </c>
    </row>
    <row r="311" spans="1:26" ht="13.9" customHeight="1" x14ac:dyDescent="0.25">
      <c r="A311" s="15">
        <v>5</v>
      </c>
      <c r="B311" s="15">
        <v>1</v>
      </c>
      <c r="C311" s="15">
        <v>4</v>
      </c>
      <c r="D311" s="86"/>
      <c r="E311" s="87"/>
      <c r="F311" s="27" t="s">
        <v>127</v>
      </c>
      <c r="G311" s="28">
        <f t="shared" ref="G311:Q311" si="177">G310</f>
        <v>26.62</v>
      </c>
      <c r="H311" s="28">
        <f t="shared" si="177"/>
        <v>772.72</v>
      </c>
      <c r="I311" s="28">
        <f t="shared" si="177"/>
        <v>800</v>
      </c>
      <c r="J311" s="28">
        <f t="shared" si="177"/>
        <v>1976</v>
      </c>
      <c r="K311" s="28">
        <f t="shared" si="177"/>
        <v>917</v>
      </c>
      <c r="L311" s="28">
        <f t="shared" si="177"/>
        <v>0</v>
      </c>
      <c r="M311" s="28">
        <f t="shared" si="177"/>
        <v>290</v>
      </c>
      <c r="N311" s="28">
        <f t="shared" si="177"/>
        <v>0</v>
      </c>
      <c r="O311" s="28">
        <f t="shared" si="177"/>
        <v>0</v>
      </c>
      <c r="P311" s="28">
        <f t="shared" si="177"/>
        <v>1207</v>
      </c>
      <c r="Q311" s="28">
        <f t="shared" si="177"/>
        <v>360</v>
      </c>
      <c r="R311" s="29">
        <f>IFERROR(Q311/$P311,0)</f>
        <v>0.29826014913007459</v>
      </c>
      <c r="S311" s="28">
        <f>S310</f>
        <v>1182.9000000000001</v>
      </c>
      <c r="T311" s="29">
        <f>IFERROR(S311/$P311,0)</f>
        <v>0.98003314001657005</v>
      </c>
      <c r="U311" s="28">
        <f>U310</f>
        <v>0</v>
      </c>
      <c r="V311" s="29">
        <f>IFERROR(U311/$P311,0)</f>
        <v>0</v>
      </c>
      <c r="W311" s="28">
        <f>W310</f>
        <v>0</v>
      </c>
      <c r="X311" s="29">
        <f>IFERROR(W311/$P311,0)</f>
        <v>0</v>
      </c>
      <c r="Y311" s="28">
        <f>Y310</f>
        <v>917</v>
      </c>
      <c r="Z311" s="28">
        <f>Z310</f>
        <v>917</v>
      </c>
    </row>
    <row r="313" spans="1:26" ht="13.9" customHeight="1" x14ac:dyDescent="0.25">
      <c r="D313" s="41" t="s">
        <v>212</v>
      </c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2"/>
      <c r="S313" s="41"/>
      <c r="T313" s="42"/>
      <c r="U313" s="41"/>
      <c r="V313" s="42"/>
      <c r="W313" s="41"/>
      <c r="X313" s="42"/>
      <c r="Y313" s="41"/>
      <c r="Z313" s="41"/>
    </row>
    <row r="314" spans="1:26" ht="13.9" customHeight="1" x14ac:dyDescent="0.25">
      <c r="D314" s="128"/>
      <c r="E314" s="128"/>
      <c r="F314" s="128"/>
      <c r="G314" s="21" t="s">
        <v>1</v>
      </c>
      <c r="H314" s="21" t="s">
        <v>2</v>
      </c>
      <c r="I314" s="21" t="s">
        <v>3</v>
      </c>
      <c r="J314" s="21" t="s">
        <v>4</v>
      </c>
      <c r="K314" s="21" t="s">
        <v>5</v>
      </c>
      <c r="L314" s="21" t="s">
        <v>6</v>
      </c>
      <c r="M314" s="21" t="s">
        <v>7</v>
      </c>
      <c r="N314" s="21" t="s">
        <v>8</v>
      </c>
      <c r="O314" s="21" t="s">
        <v>9</v>
      </c>
      <c r="P314" s="21" t="s">
        <v>124</v>
      </c>
      <c r="Q314" s="21" t="s">
        <v>11</v>
      </c>
      <c r="R314" s="22" t="s">
        <v>12</v>
      </c>
      <c r="S314" s="21" t="s">
        <v>13</v>
      </c>
      <c r="T314" s="22" t="s">
        <v>14</v>
      </c>
      <c r="U314" s="21" t="s">
        <v>15</v>
      </c>
      <c r="V314" s="22" t="s">
        <v>16</v>
      </c>
      <c r="W314" s="21" t="s">
        <v>17</v>
      </c>
      <c r="X314" s="22" t="s">
        <v>18</v>
      </c>
      <c r="Y314" s="21" t="s">
        <v>19</v>
      </c>
      <c r="Z314" s="21" t="s">
        <v>20</v>
      </c>
    </row>
    <row r="315" spans="1:26" ht="13.9" hidden="1" customHeight="1" x14ac:dyDescent="0.25">
      <c r="A315" s="15">
        <v>5</v>
      </c>
      <c r="B315" s="15">
        <v>2</v>
      </c>
      <c r="D315" s="23" t="s">
        <v>21</v>
      </c>
      <c r="E315" s="134" t="s">
        <v>213</v>
      </c>
      <c r="F315" s="24" t="s">
        <v>45</v>
      </c>
      <c r="G315" s="25">
        <f t="shared" ref="G315:Q315" si="178">G335+G349</f>
        <v>8290.2900000000009</v>
      </c>
      <c r="H315" s="25">
        <f t="shared" si="178"/>
        <v>659.61</v>
      </c>
      <c r="I315" s="25">
        <f t="shared" si="178"/>
        <v>0</v>
      </c>
      <c r="J315" s="25">
        <f t="shared" si="178"/>
        <v>4037</v>
      </c>
      <c r="K315" s="25">
        <f t="shared" si="178"/>
        <v>0</v>
      </c>
      <c r="L315" s="25">
        <f t="shared" si="178"/>
        <v>0</v>
      </c>
      <c r="M315" s="25">
        <f t="shared" si="178"/>
        <v>544</v>
      </c>
      <c r="N315" s="25">
        <f t="shared" si="178"/>
        <v>0</v>
      </c>
      <c r="O315" s="25">
        <f t="shared" si="178"/>
        <v>0</v>
      </c>
      <c r="P315" s="25">
        <f t="shared" si="178"/>
        <v>544</v>
      </c>
      <c r="Q315" s="25">
        <f t="shared" si="178"/>
        <v>0</v>
      </c>
      <c r="R315" s="26">
        <f>IFERROR(Q315/$P315,0)</f>
        <v>0</v>
      </c>
      <c r="S315" s="25">
        <f>S335+S349</f>
        <v>543.79999999999995</v>
      </c>
      <c r="T315" s="26">
        <f>IFERROR(S315/$P315,0)</f>
        <v>0.99963235294117636</v>
      </c>
      <c r="U315" s="25">
        <f>U335+U349</f>
        <v>0</v>
      </c>
      <c r="V315" s="26">
        <f>IFERROR(U315/$P315,0)</f>
        <v>0</v>
      </c>
      <c r="W315" s="25">
        <f>W335+W349</f>
        <v>0</v>
      </c>
      <c r="X315" s="26">
        <f>IFERROR(W315/$P315,0)</f>
        <v>0</v>
      </c>
      <c r="Y315" s="25">
        <f>Y335+Y349</f>
        <v>0</v>
      </c>
      <c r="Z315" s="25">
        <f>Z335+Z349</f>
        <v>0</v>
      </c>
    </row>
    <row r="316" spans="1:26" ht="13.9" customHeight="1" x14ac:dyDescent="0.25">
      <c r="A316" s="15">
        <v>5</v>
      </c>
      <c r="B316" s="15">
        <v>2</v>
      </c>
      <c r="D316" s="23" t="s">
        <v>21</v>
      </c>
      <c r="E316" s="24">
        <v>41</v>
      </c>
      <c r="F316" s="24" t="s">
        <v>23</v>
      </c>
      <c r="G316" s="25">
        <f t="shared" ref="G316:Q316" si="179">G324+G337+G353</f>
        <v>23233.62</v>
      </c>
      <c r="H316" s="25">
        <f t="shared" si="179"/>
        <v>10301.01</v>
      </c>
      <c r="I316" s="25">
        <f t="shared" si="179"/>
        <v>17525</v>
      </c>
      <c r="J316" s="25">
        <f t="shared" si="179"/>
        <v>16907</v>
      </c>
      <c r="K316" s="25">
        <f t="shared" si="179"/>
        <v>21379</v>
      </c>
      <c r="L316" s="25">
        <f t="shared" si="179"/>
        <v>0</v>
      </c>
      <c r="M316" s="25">
        <f t="shared" si="179"/>
        <v>855</v>
      </c>
      <c r="N316" s="25">
        <f t="shared" si="179"/>
        <v>0</v>
      </c>
      <c r="O316" s="25">
        <f t="shared" si="179"/>
        <v>0</v>
      </c>
      <c r="P316" s="25">
        <f t="shared" si="179"/>
        <v>22234</v>
      </c>
      <c r="Q316" s="25">
        <f t="shared" si="179"/>
        <v>4584.1499999999996</v>
      </c>
      <c r="R316" s="26">
        <f>IFERROR(Q316/$P316,0)</f>
        <v>0.20617747593775299</v>
      </c>
      <c r="S316" s="25">
        <f>S324+S337+S353</f>
        <v>8814.39</v>
      </c>
      <c r="T316" s="26">
        <f>IFERROR(S316/$P316,0)</f>
        <v>0.39643743815777638</v>
      </c>
      <c r="U316" s="25">
        <f>U324+U337+U353</f>
        <v>0</v>
      </c>
      <c r="V316" s="26">
        <f>IFERROR(U316/$P316,0)</f>
        <v>0</v>
      </c>
      <c r="W316" s="25">
        <f>W324+W337+W353</f>
        <v>0</v>
      </c>
      <c r="X316" s="26">
        <f>IFERROR(W316/$P316,0)</f>
        <v>0</v>
      </c>
      <c r="Y316" s="25">
        <f>Y324+Y337+Y353</f>
        <v>20947</v>
      </c>
      <c r="Z316" s="25">
        <f>Z324+Z337+Z353</f>
        <v>21648</v>
      </c>
    </row>
    <row r="317" spans="1:26" ht="13.9" hidden="1" customHeight="1" x14ac:dyDescent="0.25">
      <c r="A317" s="15">
        <v>5</v>
      </c>
      <c r="B317" s="15">
        <v>2</v>
      </c>
      <c r="D317" s="23" t="s">
        <v>21</v>
      </c>
      <c r="E317" s="24">
        <v>72</v>
      </c>
      <c r="F317" s="24" t="s">
        <v>25</v>
      </c>
      <c r="G317" s="25">
        <f t="shared" ref="G317:Q317" si="180">G355</f>
        <v>138.36000000000001</v>
      </c>
      <c r="H317" s="25">
        <f t="shared" si="180"/>
        <v>0</v>
      </c>
      <c r="I317" s="25">
        <f t="shared" si="180"/>
        <v>0</v>
      </c>
      <c r="J317" s="25">
        <f t="shared" si="180"/>
        <v>0</v>
      </c>
      <c r="K317" s="25">
        <f t="shared" si="180"/>
        <v>0</v>
      </c>
      <c r="L317" s="25">
        <f t="shared" si="180"/>
        <v>0</v>
      </c>
      <c r="M317" s="25">
        <f t="shared" si="180"/>
        <v>0</v>
      </c>
      <c r="N317" s="25">
        <f t="shared" si="180"/>
        <v>0</v>
      </c>
      <c r="O317" s="25">
        <f t="shared" si="180"/>
        <v>0</v>
      </c>
      <c r="P317" s="25">
        <f t="shared" si="180"/>
        <v>0</v>
      </c>
      <c r="Q317" s="25">
        <f t="shared" si="180"/>
        <v>0</v>
      </c>
      <c r="R317" s="26">
        <f>IFERROR(Q317/$P317,0)</f>
        <v>0</v>
      </c>
      <c r="S317" s="25">
        <f>S355</f>
        <v>0</v>
      </c>
      <c r="T317" s="26">
        <f>IFERROR(S317/$P317,0)</f>
        <v>0</v>
      </c>
      <c r="U317" s="25">
        <f>U355</f>
        <v>0</v>
      </c>
      <c r="V317" s="26">
        <f>IFERROR(U317/$P317,0)</f>
        <v>0</v>
      </c>
      <c r="W317" s="25">
        <f>W355</f>
        <v>0</v>
      </c>
      <c r="X317" s="26">
        <f>IFERROR(W317/$P317,0)</f>
        <v>0</v>
      </c>
      <c r="Y317" s="25">
        <f>Y355</f>
        <v>0</v>
      </c>
      <c r="Z317" s="25">
        <f>Z355</f>
        <v>0</v>
      </c>
    </row>
    <row r="318" spans="1:26" ht="13.9" customHeight="1" x14ac:dyDescent="0.25">
      <c r="A318" s="15">
        <v>5</v>
      </c>
      <c r="B318" s="15">
        <v>2</v>
      </c>
      <c r="D318" s="30"/>
      <c r="E318" s="31"/>
      <c r="F318" s="27" t="s">
        <v>127</v>
      </c>
      <c r="G318" s="28">
        <f t="shared" ref="G318:Q318" si="181">SUM(G315:G317)</f>
        <v>31662.27</v>
      </c>
      <c r="H318" s="28">
        <f t="shared" si="181"/>
        <v>10960.62</v>
      </c>
      <c r="I318" s="28">
        <f t="shared" si="181"/>
        <v>17525</v>
      </c>
      <c r="J318" s="28">
        <f t="shared" si="181"/>
        <v>20944</v>
      </c>
      <c r="K318" s="28">
        <f t="shared" si="181"/>
        <v>21379</v>
      </c>
      <c r="L318" s="28">
        <f t="shared" si="181"/>
        <v>0</v>
      </c>
      <c r="M318" s="28">
        <f t="shared" si="181"/>
        <v>1399</v>
      </c>
      <c r="N318" s="28">
        <f t="shared" si="181"/>
        <v>0</v>
      </c>
      <c r="O318" s="28">
        <f t="shared" si="181"/>
        <v>0</v>
      </c>
      <c r="P318" s="28">
        <f t="shared" si="181"/>
        <v>22778</v>
      </c>
      <c r="Q318" s="28">
        <f t="shared" si="181"/>
        <v>4584.1499999999996</v>
      </c>
      <c r="R318" s="29">
        <f>IFERROR(Q318/$P318,0)</f>
        <v>0.20125340240583017</v>
      </c>
      <c r="S318" s="28">
        <f>SUM(S315:S317)</f>
        <v>9358.1899999999987</v>
      </c>
      <c r="T318" s="29">
        <f>IFERROR(S318/$P318,0)</f>
        <v>0.41084335762577923</v>
      </c>
      <c r="U318" s="28">
        <f>SUM(U315:U317)</f>
        <v>0</v>
      </c>
      <c r="V318" s="29">
        <f>IFERROR(U318/$P318,0)</f>
        <v>0</v>
      </c>
      <c r="W318" s="28">
        <f>SUM(W315:W317)</f>
        <v>0</v>
      </c>
      <c r="X318" s="29">
        <f>IFERROR(W318/$P318,0)</f>
        <v>0</v>
      </c>
      <c r="Y318" s="28">
        <f>SUM(Y315:Y317)</f>
        <v>20947</v>
      </c>
      <c r="Z318" s="28">
        <f>SUM(Z315:Z317)</f>
        <v>21648</v>
      </c>
    </row>
    <row r="320" spans="1:26" ht="13.9" customHeight="1" x14ac:dyDescent="0.25">
      <c r="D320" s="73" t="s">
        <v>214</v>
      </c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4"/>
      <c r="S320" s="73"/>
      <c r="T320" s="74"/>
      <c r="U320" s="73"/>
      <c r="V320" s="74"/>
      <c r="W320" s="73"/>
      <c r="X320" s="74"/>
      <c r="Y320" s="73"/>
      <c r="Z320" s="73"/>
    </row>
    <row r="321" spans="1:26" ht="13.9" customHeight="1" x14ac:dyDescent="0.25">
      <c r="D321" s="21" t="s">
        <v>32</v>
      </c>
      <c r="E321" s="21" t="s">
        <v>33</v>
      </c>
      <c r="F321" s="21" t="s">
        <v>34</v>
      </c>
      <c r="G321" s="21" t="s">
        <v>1</v>
      </c>
      <c r="H321" s="21" t="s">
        <v>2</v>
      </c>
      <c r="I321" s="21" t="s">
        <v>3</v>
      </c>
      <c r="J321" s="21" t="s">
        <v>4</v>
      </c>
      <c r="K321" s="21" t="s">
        <v>5</v>
      </c>
      <c r="L321" s="21" t="s">
        <v>6</v>
      </c>
      <c r="M321" s="21" t="s">
        <v>7</v>
      </c>
      <c r="N321" s="21" t="s">
        <v>8</v>
      </c>
      <c r="O321" s="21" t="s">
        <v>9</v>
      </c>
      <c r="P321" s="21" t="s">
        <v>124</v>
      </c>
      <c r="Q321" s="21" t="s">
        <v>11</v>
      </c>
      <c r="R321" s="22" t="s">
        <v>12</v>
      </c>
      <c r="S321" s="21" t="s">
        <v>13</v>
      </c>
      <c r="T321" s="22" t="s">
        <v>14</v>
      </c>
      <c r="U321" s="21" t="s">
        <v>15</v>
      </c>
      <c r="V321" s="22" t="s">
        <v>16</v>
      </c>
      <c r="W321" s="21" t="s">
        <v>17</v>
      </c>
      <c r="X321" s="22" t="s">
        <v>18</v>
      </c>
      <c r="Y321" s="21" t="s">
        <v>19</v>
      </c>
      <c r="Z321" s="21" t="s">
        <v>20</v>
      </c>
    </row>
    <row r="322" spans="1:26" ht="13.9" customHeight="1" x14ac:dyDescent="0.25">
      <c r="A322" s="15">
        <v>5</v>
      </c>
      <c r="B322" s="15">
        <v>2</v>
      </c>
      <c r="C322" s="15">
        <v>1</v>
      </c>
      <c r="D322" s="11" t="s">
        <v>215</v>
      </c>
      <c r="E322" s="24">
        <v>630</v>
      </c>
      <c r="F322" s="24" t="s">
        <v>134</v>
      </c>
      <c r="G322" s="25">
        <v>6704.29</v>
      </c>
      <c r="H322" s="25">
        <v>3875.78</v>
      </c>
      <c r="I322" s="25">
        <v>6900</v>
      </c>
      <c r="J322" s="25">
        <v>2882</v>
      </c>
      <c r="K322" s="25">
        <v>3200</v>
      </c>
      <c r="L322" s="25"/>
      <c r="M322" s="25"/>
      <c r="N322" s="25"/>
      <c r="O322" s="25"/>
      <c r="P322" s="25">
        <f>K322+SUM(L322:O322)</f>
        <v>3200</v>
      </c>
      <c r="Q322" s="25">
        <v>2281.19</v>
      </c>
      <c r="R322" s="26">
        <f>IFERROR(Q322/$P322,0)</f>
        <v>0.71287187500000004</v>
      </c>
      <c r="S322" s="25">
        <v>2341.19</v>
      </c>
      <c r="T322" s="26">
        <f>IFERROR(S322/$P322,0)</f>
        <v>0.73162187499999998</v>
      </c>
      <c r="U322" s="25"/>
      <c r="V322" s="26">
        <f>IFERROR(U322/$P322,0)</f>
        <v>0</v>
      </c>
      <c r="W322" s="25"/>
      <c r="X322" s="26">
        <f>IFERROR(W322/$P322,0)</f>
        <v>0</v>
      </c>
      <c r="Y322" s="25">
        <f>K322</f>
        <v>3200</v>
      </c>
      <c r="Z322" s="25">
        <f>Y322</f>
        <v>3200</v>
      </c>
    </row>
    <row r="323" spans="1:26" ht="13.9" hidden="1" customHeight="1" x14ac:dyDescent="0.25">
      <c r="A323" s="15">
        <v>5</v>
      </c>
      <c r="B323" s="15">
        <v>2</v>
      </c>
      <c r="C323" s="15">
        <v>1</v>
      </c>
      <c r="D323" s="11"/>
      <c r="E323" s="24">
        <v>640</v>
      </c>
      <c r="F323" s="24" t="s">
        <v>135</v>
      </c>
      <c r="G323" s="25">
        <v>0</v>
      </c>
      <c r="H323" s="25">
        <v>0</v>
      </c>
      <c r="I323" s="25">
        <v>0</v>
      </c>
      <c r="J323" s="25">
        <v>100</v>
      </c>
      <c r="K323" s="25">
        <v>0</v>
      </c>
      <c r="L323" s="25"/>
      <c r="M323" s="25"/>
      <c r="N323" s="25"/>
      <c r="O323" s="25"/>
      <c r="P323" s="25">
        <f>K323+SUM(L323:O323)</f>
        <v>0</v>
      </c>
      <c r="Q323" s="25"/>
      <c r="R323" s="26">
        <f>IFERROR(Q323/$P323,0)</f>
        <v>0</v>
      </c>
      <c r="S323" s="25"/>
      <c r="T323" s="26">
        <f>IFERROR(S323/$P323,0)</f>
        <v>0</v>
      </c>
      <c r="U323" s="25"/>
      <c r="V323" s="26">
        <f>IFERROR(U323/$P323,0)</f>
        <v>0</v>
      </c>
      <c r="W323" s="25"/>
      <c r="X323" s="26">
        <f>IFERROR(W323/$P323,0)</f>
        <v>0</v>
      </c>
      <c r="Y323" s="25">
        <f>K323</f>
        <v>0</v>
      </c>
      <c r="Z323" s="25">
        <f>Y323</f>
        <v>0</v>
      </c>
    </row>
    <row r="324" spans="1:26" ht="13.9" customHeight="1" x14ac:dyDescent="0.25">
      <c r="A324" s="15">
        <v>5</v>
      </c>
      <c r="B324" s="15">
        <v>2</v>
      </c>
      <c r="C324" s="15">
        <v>1</v>
      </c>
      <c r="D324" s="79" t="s">
        <v>21</v>
      </c>
      <c r="E324" s="48">
        <v>41</v>
      </c>
      <c r="F324" s="48" t="s">
        <v>23</v>
      </c>
      <c r="G324" s="49">
        <f t="shared" ref="G324:Q324" si="182">SUM(G322:G323)</f>
        <v>6704.29</v>
      </c>
      <c r="H324" s="49">
        <f t="shared" si="182"/>
        <v>3875.78</v>
      </c>
      <c r="I324" s="49">
        <f t="shared" si="182"/>
        <v>6900</v>
      </c>
      <c r="J324" s="49">
        <f t="shared" si="182"/>
        <v>2982</v>
      </c>
      <c r="K324" s="49">
        <f t="shared" si="182"/>
        <v>3200</v>
      </c>
      <c r="L324" s="49">
        <f t="shared" si="182"/>
        <v>0</v>
      </c>
      <c r="M324" s="49">
        <f t="shared" si="182"/>
        <v>0</v>
      </c>
      <c r="N324" s="49">
        <f t="shared" si="182"/>
        <v>0</v>
      </c>
      <c r="O324" s="49">
        <f t="shared" si="182"/>
        <v>0</v>
      </c>
      <c r="P324" s="49">
        <f t="shared" si="182"/>
        <v>3200</v>
      </c>
      <c r="Q324" s="49">
        <f t="shared" si="182"/>
        <v>2281.19</v>
      </c>
      <c r="R324" s="50">
        <f>IFERROR(Q324/$P324,0)</f>
        <v>0.71287187500000004</v>
      </c>
      <c r="S324" s="49">
        <f>SUM(S322:S323)</f>
        <v>2341.19</v>
      </c>
      <c r="T324" s="50">
        <f>IFERROR(S324/$P324,0)</f>
        <v>0.73162187499999998</v>
      </c>
      <c r="U324" s="49">
        <f>SUM(U322:U323)</f>
        <v>0</v>
      </c>
      <c r="V324" s="50">
        <f>IFERROR(U324/$P324,0)</f>
        <v>0</v>
      </c>
      <c r="W324" s="49">
        <f>SUM(W322:W323)</f>
        <v>0</v>
      </c>
      <c r="X324" s="50">
        <f>IFERROR(W324/$P324,0)</f>
        <v>0</v>
      </c>
      <c r="Y324" s="49">
        <f>SUM(Y322:Y323)</f>
        <v>3200</v>
      </c>
      <c r="Z324" s="49">
        <f>SUM(Z322:Z323)</f>
        <v>3200</v>
      </c>
    </row>
    <row r="325" spans="1:26" ht="13.9" customHeight="1" x14ac:dyDescent="0.25">
      <c r="A325" s="15">
        <v>5</v>
      </c>
      <c r="B325" s="15">
        <v>2</v>
      </c>
      <c r="C325" s="15">
        <v>1</v>
      </c>
      <c r="D325" s="86"/>
      <c r="E325" s="87"/>
      <c r="F325" s="27" t="s">
        <v>127</v>
      </c>
      <c r="G325" s="28">
        <f t="shared" ref="G325:Q325" si="183">G324</f>
        <v>6704.29</v>
      </c>
      <c r="H325" s="28">
        <f t="shared" si="183"/>
        <v>3875.78</v>
      </c>
      <c r="I325" s="28">
        <f t="shared" si="183"/>
        <v>6900</v>
      </c>
      <c r="J325" s="28">
        <f t="shared" si="183"/>
        <v>2982</v>
      </c>
      <c r="K325" s="28">
        <f t="shared" si="183"/>
        <v>3200</v>
      </c>
      <c r="L325" s="28">
        <f t="shared" si="183"/>
        <v>0</v>
      </c>
      <c r="M325" s="28">
        <f t="shared" si="183"/>
        <v>0</v>
      </c>
      <c r="N325" s="28">
        <f t="shared" si="183"/>
        <v>0</v>
      </c>
      <c r="O325" s="28">
        <f t="shared" si="183"/>
        <v>0</v>
      </c>
      <c r="P325" s="28">
        <f t="shared" si="183"/>
        <v>3200</v>
      </c>
      <c r="Q325" s="28">
        <f t="shared" si="183"/>
        <v>2281.19</v>
      </c>
      <c r="R325" s="29">
        <f>IFERROR(Q325/$P325,0)</f>
        <v>0.71287187500000004</v>
      </c>
      <c r="S325" s="28">
        <f>S324</f>
        <v>2341.19</v>
      </c>
      <c r="T325" s="29">
        <f>IFERROR(S325/$P325,0)</f>
        <v>0.73162187499999998</v>
      </c>
      <c r="U325" s="28">
        <f>U324</f>
        <v>0</v>
      </c>
      <c r="V325" s="29">
        <f>IFERROR(U325/$P325,0)</f>
        <v>0</v>
      </c>
      <c r="W325" s="28">
        <f>W324</f>
        <v>0</v>
      </c>
      <c r="X325" s="29">
        <f>IFERROR(W325/$P325,0)</f>
        <v>0</v>
      </c>
      <c r="Y325" s="28">
        <f>Y324</f>
        <v>3200</v>
      </c>
      <c r="Z325" s="28">
        <f>Z324</f>
        <v>3200</v>
      </c>
    </row>
    <row r="327" spans="1:26" ht="13.9" customHeight="1" x14ac:dyDescent="0.25">
      <c r="E327" s="52" t="s">
        <v>55</v>
      </c>
      <c r="F327" s="30" t="s">
        <v>216</v>
      </c>
      <c r="G327" s="53">
        <v>5867.2</v>
      </c>
      <c r="H327" s="53">
        <v>3413.78</v>
      </c>
      <c r="I327" s="53">
        <v>3400</v>
      </c>
      <c r="J327" s="53">
        <v>928</v>
      </c>
      <c r="K327" s="53">
        <v>950</v>
      </c>
      <c r="L327" s="53"/>
      <c r="M327" s="53"/>
      <c r="N327" s="53"/>
      <c r="O327" s="53"/>
      <c r="P327" s="53">
        <f>K327+SUM(L327:O327)</f>
        <v>950</v>
      </c>
      <c r="Q327" s="53">
        <v>707.27</v>
      </c>
      <c r="R327" s="54">
        <f>IFERROR(Q327/$P327,0)</f>
        <v>0.74449473684210521</v>
      </c>
      <c r="S327" s="53">
        <v>707.27</v>
      </c>
      <c r="T327" s="54">
        <f>IFERROR(S327/$P327,0)</f>
        <v>0.74449473684210521</v>
      </c>
      <c r="U327" s="53"/>
      <c r="V327" s="54">
        <f>IFERROR(U327/$P327,0)</f>
        <v>0</v>
      </c>
      <c r="W327" s="53"/>
      <c r="X327" s="55">
        <f>IFERROR(W327/$P327,0)</f>
        <v>0</v>
      </c>
      <c r="Y327" s="53">
        <f>K327</f>
        <v>950</v>
      </c>
      <c r="Z327" s="56">
        <f>Y327</f>
        <v>950</v>
      </c>
    </row>
    <row r="328" spans="1:26" ht="13.9" customHeight="1" x14ac:dyDescent="0.25">
      <c r="E328" s="57"/>
      <c r="F328" s="58" t="s">
        <v>217</v>
      </c>
      <c r="G328" s="59">
        <v>200</v>
      </c>
      <c r="H328" s="59">
        <v>462</v>
      </c>
      <c r="I328" s="59">
        <v>400</v>
      </c>
      <c r="J328" s="59">
        <v>0</v>
      </c>
      <c r="K328" s="59">
        <v>300</v>
      </c>
      <c r="L328" s="59"/>
      <c r="M328" s="59"/>
      <c r="N328" s="59"/>
      <c r="O328" s="59"/>
      <c r="P328" s="59">
        <f>K328+SUM(L328:O328)</f>
        <v>300</v>
      </c>
      <c r="Q328" s="59">
        <v>0</v>
      </c>
      <c r="R328" s="16">
        <f>IFERROR(Q328/$P328,0)</f>
        <v>0</v>
      </c>
      <c r="S328" s="59">
        <v>60</v>
      </c>
      <c r="T328" s="16">
        <f>IFERROR(S328/$P328,0)</f>
        <v>0.2</v>
      </c>
      <c r="U328" s="59"/>
      <c r="V328" s="16">
        <f>IFERROR(U328/$P328,0)</f>
        <v>0</v>
      </c>
      <c r="W328" s="59"/>
      <c r="X328" s="60">
        <f>IFERROR(W328/$P328,0)</f>
        <v>0</v>
      </c>
      <c r="Y328" s="59">
        <f>K328</f>
        <v>300</v>
      </c>
      <c r="Z328" s="61">
        <f>Y328</f>
        <v>300</v>
      </c>
    </row>
    <row r="329" spans="1:26" ht="13.9" customHeight="1" x14ac:dyDescent="0.25">
      <c r="E329" s="57"/>
      <c r="F329" s="58" t="s">
        <v>218</v>
      </c>
      <c r="G329" s="59">
        <v>288.60000000000002</v>
      </c>
      <c r="H329" s="59">
        <v>0</v>
      </c>
      <c r="I329" s="59">
        <v>1000</v>
      </c>
      <c r="J329" s="59">
        <v>301</v>
      </c>
      <c r="K329" s="59">
        <v>300</v>
      </c>
      <c r="L329" s="59"/>
      <c r="M329" s="59"/>
      <c r="N329" s="59"/>
      <c r="O329" s="59"/>
      <c r="P329" s="59">
        <f>K329+SUM(L329:O329)</f>
        <v>300</v>
      </c>
      <c r="Q329" s="59">
        <v>248.95</v>
      </c>
      <c r="R329" s="16">
        <f>IFERROR(Q329/$P329,0)</f>
        <v>0.82983333333333331</v>
      </c>
      <c r="S329" s="59">
        <v>248.95</v>
      </c>
      <c r="T329" s="16">
        <f>IFERROR(S329/$P329,0)</f>
        <v>0.82983333333333331</v>
      </c>
      <c r="U329" s="59"/>
      <c r="V329" s="16">
        <f>IFERROR(U329/$P329,0)</f>
        <v>0</v>
      </c>
      <c r="W329" s="59"/>
      <c r="X329" s="60">
        <f>IFERROR(W329/$P329,0)</f>
        <v>0</v>
      </c>
      <c r="Y329" s="59">
        <f>K329</f>
        <v>300</v>
      </c>
      <c r="Z329" s="61">
        <f>Y329</f>
        <v>300</v>
      </c>
    </row>
    <row r="330" spans="1:26" ht="13.9" customHeight="1" x14ac:dyDescent="0.25">
      <c r="E330" s="65"/>
      <c r="F330" s="97" t="s">
        <v>219</v>
      </c>
      <c r="G330" s="67">
        <v>348.49</v>
      </c>
      <c r="H330" s="67">
        <v>0</v>
      </c>
      <c r="I330" s="67">
        <v>1600</v>
      </c>
      <c r="J330" s="67">
        <v>1653</v>
      </c>
      <c r="K330" s="67">
        <v>1650</v>
      </c>
      <c r="L330" s="67"/>
      <c r="M330" s="67"/>
      <c r="N330" s="67"/>
      <c r="O330" s="67"/>
      <c r="P330" s="67">
        <f>K330+SUM(L330:O330)</f>
        <v>1650</v>
      </c>
      <c r="Q330" s="67">
        <v>1324.97</v>
      </c>
      <c r="R330" s="68">
        <f>IFERROR(Q330/$P330,0)</f>
        <v>0.80301212121212118</v>
      </c>
      <c r="S330" s="67">
        <v>1324.97</v>
      </c>
      <c r="T330" s="68">
        <f>IFERROR(S330/$P330,0)</f>
        <v>0.80301212121212118</v>
      </c>
      <c r="U330" s="67"/>
      <c r="V330" s="68">
        <f>IFERROR(U330/$P330,0)</f>
        <v>0</v>
      </c>
      <c r="W330" s="67"/>
      <c r="X330" s="69">
        <f>IFERROR(W330/$P330,0)</f>
        <v>0</v>
      </c>
      <c r="Y330" s="67">
        <f>K330</f>
        <v>1650</v>
      </c>
      <c r="Z330" s="70">
        <f>Y330</f>
        <v>1650</v>
      </c>
    </row>
    <row r="331" spans="1:26" ht="13.9" customHeight="1" x14ac:dyDescent="0.25"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S331" s="59"/>
      <c r="U331" s="59"/>
      <c r="W331" s="59"/>
      <c r="Y331" s="59"/>
      <c r="Z331" s="59"/>
    </row>
    <row r="332" spans="1:26" ht="13.9" customHeight="1" x14ac:dyDescent="0.25">
      <c r="D332" s="73" t="s">
        <v>220</v>
      </c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4"/>
      <c r="S332" s="73"/>
      <c r="T332" s="74"/>
      <c r="U332" s="73"/>
      <c r="V332" s="74"/>
      <c r="W332" s="73"/>
      <c r="X332" s="74"/>
      <c r="Y332" s="73"/>
      <c r="Z332" s="73"/>
    </row>
    <row r="333" spans="1:26" ht="13.9" customHeight="1" x14ac:dyDescent="0.25">
      <c r="D333" s="21" t="s">
        <v>32</v>
      </c>
      <c r="E333" s="21" t="s">
        <v>33</v>
      </c>
      <c r="F333" s="21" t="s">
        <v>34</v>
      </c>
      <c r="G333" s="21" t="s">
        <v>1</v>
      </c>
      <c r="H333" s="21" t="s">
        <v>2</v>
      </c>
      <c r="I333" s="21" t="s">
        <v>3</v>
      </c>
      <c r="J333" s="21" t="s">
        <v>4</v>
      </c>
      <c r="K333" s="21" t="s">
        <v>5</v>
      </c>
      <c r="L333" s="21" t="s">
        <v>6</v>
      </c>
      <c r="M333" s="21" t="s">
        <v>7</v>
      </c>
      <c r="N333" s="21" t="s">
        <v>8</v>
      </c>
      <c r="O333" s="21" t="s">
        <v>9</v>
      </c>
      <c r="P333" s="21" t="s">
        <v>124</v>
      </c>
      <c r="Q333" s="21" t="s">
        <v>11</v>
      </c>
      <c r="R333" s="22" t="s">
        <v>12</v>
      </c>
      <c r="S333" s="21" t="s">
        <v>13</v>
      </c>
      <c r="T333" s="22" t="s">
        <v>14</v>
      </c>
      <c r="U333" s="21" t="s">
        <v>15</v>
      </c>
      <c r="V333" s="22" t="s">
        <v>16</v>
      </c>
      <c r="W333" s="21" t="s">
        <v>17</v>
      </c>
      <c r="X333" s="22" t="s">
        <v>18</v>
      </c>
      <c r="Y333" s="21" t="s">
        <v>19</v>
      </c>
      <c r="Z333" s="21" t="s">
        <v>20</v>
      </c>
    </row>
    <row r="334" spans="1:26" ht="13.9" hidden="1" customHeight="1" x14ac:dyDescent="0.25">
      <c r="A334" s="15">
        <v>5</v>
      </c>
      <c r="B334" s="15">
        <v>2</v>
      </c>
      <c r="C334" s="15">
        <v>2</v>
      </c>
      <c r="D334" s="51" t="s">
        <v>221</v>
      </c>
      <c r="E334" s="24">
        <v>630</v>
      </c>
      <c r="F334" s="24" t="s">
        <v>134</v>
      </c>
      <c r="G334" s="46">
        <v>0</v>
      </c>
      <c r="H334" s="46">
        <v>659.61</v>
      </c>
      <c r="I334" s="25">
        <v>0</v>
      </c>
      <c r="J334" s="25">
        <v>4037</v>
      </c>
      <c r="K334" s="25">
        <v>0</v>
      </c>
      <c r="L334" s="25"/>
      <c r="M334" s="25"/>
      <c r="N334" s="25"/>
      <c r="O334" s="25"/>
      <c r="P334" s="46">
        <f>K334+SUM(L334:O334)</f>
        <v>0</v>
      </c>
      <c r="Q334" s="46"/>
      <c r="R334" s="47">
        <f>IFERROR(Q334/$P334,0)</f>
        <v>0</v>
      </c>
      <c r="S334" s="46"/>
      <c r="T334" s="47">
        <f>IFERROR(S334/$P334,0)</f>
        <v>0</v>
      </c>
      <c r="U334" s="46"/>
      <c r="V334" s="47">
        <f>IFERROR(U334/$P334,0)</f>
        <v>0</v>
      </c>
      <c r="W334" s="46"/>
      <c r="X334" s="47">
        <f>IFERROR(W334/$P334,0)</f>
        <v>0</v>
      </c>
      <c r="Y334" s="25">
        <v>0</v>
      </c>
      <c r="Z334" s="25">
        <v>0</v>
      </c>
    </row>
    <row r="335" spans="1:26" ht="13.9" hidden="1" customHeight="1" x14ac:dyDescent="0.25">
      <c r="A335" s="15">
        <v>5</v>
      </c>
      <c r="B335" s="15">
        <v>2</v>
      </c>
      <c r="C335" s="15">
        <v>2</v>
      </c>
      <c r="D335" s="79" t="s">
        <v>21</v>
      </c>
      <c r="E335" s="48">
        <v>111</v>
      </c>
      <c r="F335" s="48" t="s">
        <v>23</v>
      </c>
      <c r="G335" s="49">
        <f t="shared" ref="G335:Q335" si="184">SUM(G334)</f>
        <v>0</v>
      </c>
      <c r="H335" s="49">
        <f t="shared" si="184"/>
        <v>659.61</v>
      </c>
      <c r="I335" s="49">
        <f t="shared" si="184"/>
        <v>0</v>
      </c>
      <c r="J335" s="49">
        <f t="shared" si="184"/>
        <v>4037</v>
      </c>
      <c r="K335" s="49">
        <f t="shared" si="184"/>
        <v>0</v>
      </c>
      <c r="L335" s="49">
        <f t="shared" si="184"/>
        <v>0</v>
      </c>
      <c r="M335" s="49">
        <f t="shared" si="184"/>
        <v>0</v>
      </c>
      <c r="N335" s="49">
        <f t="shared" si="184"/>
        <v>0</v>
      </c>
      <c r="O335" s="49">
        <f t="shared" si="184"/>
        <v>0</v>
      </c>
      <c r="P335" s="49">
        <f t="shared" si="184"/>
        <v>0</v>
      </c>
      <c r="Q335" s="49">
        <f t="shared" si="184"/>
        <v>0</v>
      </c>
      <c r="R335" s="50">
        <f>IFERROR(Q335/$P335,0)</f>
        <v>0</v>
      </c>
      <c r="S335" s="49">
        <f>SUM(S334)</f>
        <v>0</v>
      </c>
      <c r="T335" s="50">
        <f>IFERROR(S335/$P335,0)</f>
        <v>0</v>
      </c>
      <c r="U335" s="49">
        <f>SUM(U334)</f>
        <v>0</v>
      </c>
      <c r="V335" s="50">
        <f>IFERROR(U335/$P335,0)</f>
        <v>0</v>
      </c>
      <c r="W335" s="49">
        <f>SUM(W334)</f>
        <v>0</v>
      </c>
      <c r="X335" s="50">
        <f>IFERROR(W335/$P335,0)</f>
        <v>0</v>
      </c>
      <c r="Y335" s="49">
        <f>SUM(Y334)</f>
        <v>0</v>
      </c>
      <c r="Z335" s="49">
        <f>SUM(Z334)</f>
        <v>0</v>
      </c>
    </row>
    <row r="336" spans="1:26" ht="13.9" customHeight="1" x14ac:dyDescent="0.25">
      <c r="A336" s="15">
        <v>5</v>
      </c>
      <c r="B336" s="15">
        <v>2</v>
      </c>
      <c r="C336" s="15">
        <v>2</v>
      </c>
      <c r="D336" s="84" t="s">
        <v>221</v>
      </c>
      <c r="E336" s="24">
        <v>630</v>
      </c>
      <c r="F336" s="24" t="s">
        <v>134</v>
      </c>
      <c r="G336" s="25">
        <v>10197.35</v>
      </c>
      <c r="H336" s="25">
        <v>3131.21</v>
      </c>
      <c r="I336" s="25">
        <v>4511</v>
      </c>
      <c r="J336" s="25">
        <v>8125</v>
      </c>
      <c r="K336" s="25">
        <v>3621</v>
      </c>
      <c r="L336" s="25"/>
      <c r="M336" s="25">
        <v>855</v>
      </c>
      <c r="N336" s="25"/>
      <c r="O336" s="25"/>
      <c r="P336" s="25">
        <f>K336+SUM(L336:O336)</f>
        <v>4476</v>
      </c>
      <c r="Q336" s="25">
        <v>672.92</v>
      </c>
      <c r="R336" s="26">
        <f>IFERROR(Q336/$P336,0)</f>
        <v>0.15033958891867738</v>
      </c>
      <c r="S336" s="25">
        <v>3162.08</v>
      </c>
      <c r="T336" s="26">
        <f>IFERROR(S336/$P336,0)</f>
        <v>0.70645218945487043</v>
      </c>
      <c r="U336" s="25"/>
      <c r="V336" s="26">
        <f>IFERROR(U336/$P336,0)</f>
        <v>0</v>
      </c>
      <c r="W336" s="25"/>
      <c r="X336" s="26">
        <f>IFERROR(W336/$P336,0)</f>
        <v>0</v>
      </c>
      <c r="Y336" s="25">
        <f>K336</f>
        <v>3621</v>
      </c>
      <c r="Z336" s="25">
        <f>Y336</f>
        <v>3621</v>
      </c>
    </row>
    <row r="337" spans="1:26" ht="13.9" customHeight="1" x14ac:dyDescent="0.25">
      <c r="A337" s="15">
        <v>5</v>
      </c>
      <c r="B337" s="15">
        <v>2</v>
      </c>
      <c r="C337" s="15">
        <v>2</v>
      </c>
      <c r="D337" s="79" t="s">
        <v>21</v>
      </c>
      <c r="E337" s="48">
        <v>41</v>
      </c>
      <c r="F337" s="48" t="s">
        <v>23</v>
      </c>
      <c r="G337" s="49">
        <f t="shared" ref="G337:Q337" si="185">SUM(G336)</f>
        <v>10197.35</v>
      </c>
      <c r="H337" s="49">
        <f t="shared" si="185"/>
        <v>3131.21</v>
      </c>
      <c r="I337" s="49">
        <f t="shared" si="185"/>
        <v>4511</v>
      </c>
      <c r="J337" s="49">
        <f t="shared" si="185"/>
        <v>8125</v>
      </c>
      <c r="K337" s="49">
        <f t="shared" si="185"/>
        <v>3621</v>
      </c>
      <c r="L337" s="49">
        <f t="shared" si="185"/>
        <v>0</v>
      </c>
      <c r="M337" s="49">
        <f t="shared" si="185"/>
        <v>855</v>
      </c>
      <c r="N337" s="49">
        <f t="shared" si="185"/>
        <v>0</v>
      </c>
      <c r="O337" s="49">
        <f t="shared" si="185"/>
        <v>0</v>
      </c>
      <c r="P337" s="49">
        <f t="shared" si="185"/>
        <v>4476</v>
      </c>
      <c r="Q337" s="49">
        <f t="shared" si="185"/>
        <v>672.92</v>
      </c>
      <c r="R337" s="50">
        <f>IFERROR(Q337/$P337,0)</f>
        <v>0.15033958891867738</v>
      </c>
      <c r="S337" s="49">
        <f>SUM(S336)</f>
        <v>3162.08</v>
      </c>
      <c r="T337" s="50">
        <f>IFERROR(S337/$P337,0)</f>
        <v>0.70645218945487043</v>
      </c>
      <c r="U337" s="49">
        <f>SUM(U336)</f>
        <v>0</v>
      </c>
      <c r="V337" s="50">
        <f>IFERROR(U337/$P337,0)</f>
        <v>0</v>
      </c>
      <c r="W337" s="49">
        <f>SUM(W336)</f>
        <v>0</v>
      </c>
      <c r="X337" s="50">
        <f>IFERROR(W337/$P337,0)</f>
        <v>0</v>
      </c>
      <c r="Y337" s="49">
        <f>SUM(Y336)</f>
        <v>3621</v>
      </c>
      <c r="Z337" s="49">
        <f>SUM(Z336)</f>
        <v>3621</v>
      </c>
    </row>
    <row r="338" spans="1:26" ht="13.9" customHeight="1" x14ac:dyDescent="0.25">
      <c r="A338" s="15">
        <v>5</v>
      </c>
      <c r="B338" s="15">
        <v>2</v>
      </c>
      <c r="C338" s="15">
        <v>2</v>
      </c>
      <c r="D338" s="86"/>
      <c r="E338" s="87"/>
      <c r="F338" s="27" t="s">
        <v>127</v>
      </c>
      <c r="G338" s="28">
        <f t="shared" ref="G338:Q338" si="186">G335+G337</f>
        <v>10197.35</v>
      </c>
      <c r="H338" s="28">
        <f t="shared" si="186"/>
        <v>3790.82</v>
      </c>
      <c r="I338" s="28">
        <f t="shared" si="186"/>
        <v>4511</v>
      </c>
      <c r="J338" s="28">
        <f t="shared" si="186"/>
        <v>12162</v>
      </c>
      <c r="K338" s="28">
        <f t="shared" si="186"/>
        <v>3621</v>
      </c>
      <c r="L338" s="28">
        <f t="shared" si="186"/>
        <v>0</v>
      </c>
      <c r="M338" s="28">
        <f t="shared" si="186"/>
        <v>855</v>
      </c>
      <c r="N338" s="28">
        <f t="shared" si="186"/>
        <v>0</v>
      </c>
      <c r="O338" s="28">
        <f t="shared" si="186"/>
        <v>0</v>
      </c>
      <c r="P338" s="28">
        <f t="shared" si="186"/>
        <v>4476</v>
      </c>
      <c r="Q338" s="28">
        <f t="shared" si="186"/>
        <v>672.92</v>
      </c>
      <c r="R338" s="29">
        <f>IFERROR(Q338/$P338,0)</f>
        <v>0.15033958891867738</v>
      </c>
      <c r="S338" s="28">
        <f>S335+S337</f>
        <v>3162.08</v>
      </c>
      <c r="T338" s="29">
        <f>IFERROR(S338/$P338,0)</f>
        <v>0.70645218945487043</v>
      </c>
      <c r="U338" s="28">
        <f>U335+U337</f>
        <v>0</v>
      </c>
      <c r="V338" s="29">
        <f>IFERROR(U338/$P338,0)</f>
        <v>0</v>
      </c>
      <c r="W338" s="28">
        <f>W335+W337</f>
        <v>0</v>
      </c>
      <c r="X338" s="29">
        <f>IFERROR(W338/$P338,0)</f>
        <v>0</v>
      </c>
      <c r="Y338" s="28">
        <f>Y335+Y337</f>
        <v>3621</v>
      </c>
      <c r="Z338" s="28">
        <f>Z335+Z337</f>
        <v>3621</v>
      </c>
    </row>
    <row r="340" spans="1:26" ht="13.9" customHeight="1" x14ac:dyDescent="0.25">
      <c r="E340" s="52" t="s">
        <v>55</v>
      </c>
      <c r="F340" s="30" t="s">
        <v>222</v>
      </c>
      <c r="G340" s="53">
        <v>1441.24</v>
      </c>
      <c r="H340" s="53">
        <v>3012.57</v>
      </c>
      <c r="I340" s="53">
        <v>3013</v>
      </c>
      <c r="J340" s="53">
        <v>1197</v>
      </c>
      <c r="K340" s="53">
        <v>1200</v>
      </c>
      <c r="L340" s="53"/>
      <c r="M340" s="53"/>
      <c r="N340" s="53"/>
      <c r="O340" s="53"/>
      <c r="P340" s="53">
        <f>K340+SUM(L340:O340)</f>
        <v>1200</v>
      </c>
      <c r="Q340" s="53">
        <v>372.92</v>
      </c>
      <c r="R340" s="54">
        <f>IFERROR(Q340/$P340,0)</f>
        <v>0.31076666666666669</v>
      </c>
      <c r="S340" s="53">
        <v>744.38</v>
      </c>
      <c r="T340" s="54">
        <f>IFERROR(S340/$P340,0)</f>
        <v>0.62031666666666663</v>
      </c>
      <c r="U340" s="53"/>
      <c r="V340" s="54">
        <f>IFERROR(U340/$P340,0)</f>
        <v>0</v>
      </c>
      <c r="W340" s="53"/>
      <c r="X340" s="55">
        <f>IFERROR(W340/$P340,0)</f>
        <v>0</v>
      </c>
      <c r="Y340" s="53">
        <f>K340</f>
        <v>1200</v>
      </c>
      <c r="Z340" s="56">
        <f>Y340</f>
        <v>1200</v>
      </c>
    </row>
    <row r="341" spans="1:26" ht="13.9" customHeight="1" x14ac:dyDescent="0.25">
      <c r="E341" s="100"/>
      <c r="F341" s="119" t="s">
        <v>223</v>
      </c>
      <c r="G341" s="105">
        <v>4930</v>
      </c>
      <c r="H341" s="105">
        <v>0</v>
      </c>
      <c r="I341" s="105">
        <v>250</v>
      </c>
      <c r="J341" s="105">
        <v>300</v>
      </c>
      <c r="K341" s="105">
        <v>300</v>
      </c>
      <c r="L341" s="105"/>
      <c r="M341" s="105"/>
      <c r="N341" s="105"/>
      <c r="O341" s="105"/>
      <c r="P341" s="105">
        <f>K341+SUM(L341:O341)</f>
        <v>300</v>
      </c>
      <c r="Q341" s="105">
        <v>300</v>
      </c>
      <c r="R341" s="126">
        <f>IFERROR(Q341/$P341,0)</f>
        <v>1</v>
      </c>
      <c r="S341" s="105">
        <v>300</v>
      </c>
      <c r="T341" s="126">
        <f>IFERROR(S341/$P341,0)</f>
        <v>1</v>
      </c>
      <c r="U341" s="105"/>
      <c r="V341" s="126">
        <f>IFERROR(U341/$P341,0)</f>
        <v>0</v>
      </c>
      <c r="W341" s="105"/>
      <c r="X341" s="127">
        <f>IFERROR(W341/$P341,0)</f>
        <v>0</v>
      </c>
      <c r="Y341" s="95">
        <f>K341</f>
        <v>300</v>
      </c>
      <c r="Z341" s="61">
        <f>Y341</f>
        <v>300</v>
      </c>
    </row>
    <row r="342" spans="1:26" ht="13.9" hidden="1" customHeight="1" x14ac:dyDescent="0.25">
      <c r="E342" s="57"/>
      <c r="F342" s="92" t="s">
        <v>224</v>
      </c>
      <c r="G342" s="95"/>
      <c r="H342" s="95"/>
      <c r="I342" s="95">
        <v>0</v>
      </c>
      <c r="J342" s="95">
        <v>4488</v>
      </c>
      <c r="K342" s="95">
        <v>0</v>
      </c>
      <c r="L342" s="95"/>
      <c r="M342" s="95"/>
      <c r="N342" s="95"/>
      <c r="O342" s="95"/>
      <c r="P342" s="95">
        <f>K342+SUM(L342:O342)</f>
        <v>0</v>
      </c>
      <c r="Q342" s="95"/>
      <c r="R342" s="96">
        <f>IFERROR(Q342/$P342,0)</f>
        <v>0</v>
      </c>
      <c r="S342" s="95"/>
      <c r="T342" s="96">
        <f>IFERROR(S342/$P342,0)</f>
        <v>0</v>
      </c>
      <c r="U342" s="95"/>
      <c r="V342" s="96">
        <f>IFERROR(U342/$P342,0)</f>
        <v>0</v>
      </c>
      <c r="W342" s="95"/>
      <c r="X342" s="60">
        <f>IFERROR(W342/$P342,0)</f>
        <v>0</v>
      </c>
      <c r="Y342" s="95">
        <v>0</v>
      </c>
      <c r="Z342" s="61">
        <v>0</v>
      </c>
    </row>
    <row r="343" spans="1:26" ht="13.9" hidden="1" customHeight="1" x14ac:dyDescent="0.25">
      <c r="E343" s="65"/>
      <c r="F343" s="97" t="s">
        <v>225</v>
      </c>
      <c r="G343" s="67"/>
      <c r="H343" s="67"/>
      <c r="I343" s="67">
        <v>0</v>
      </c>
      <c r="J343" s="67">
        <v>4037</v>
      </c>
      <c r="K343" s="67">
        <v>0</v>
      </c>
      <c r="L343" s="67"/>
      <c r="M343" s="67"/>
      <c r="N343" s="67"/>
      <c r="O343" s="67"/>
      <c r="P343" s="67">
        <f>K343+SUM(L343:O343)</f>
        <v>0</v>
      </c>
      <c r="Q343" s="67"/>
      <c r="R343" s="68">
        <f>IFERROR(Q343/$P343,0)</f>
        <v>0</v>
      </c>
      <c r="S343" s="67"/>
      <c r="T343" s="68">
        <f>IFERROR(S343/$P343,0)</f>
        <v>0</v>
      </c>
      <c r="U343" s="67"/>
      <c r="V343" s="68">
        <f>IFERROR(U343/$P343,0)</f>
        <v>0</v>
      </c>
      <c r="W343" s="67"/>
      <c r="X343" s="69">
        <f>IFERROR(W343/$P343,0)</f>
        <v>0</v>
      </c>
      <c r="Y343" s="67">
        <v>0</v>
      </c>
      <c r="Z343" s="70">
        <v>0</v>
      </c>
    </row>
    <row r="345" spans="1:26" ht="13.9" customHeight="1" x14ac:dyDescent="0.25">
      <c r="D345" s="73" t="s">
        <v>226</v>
      </c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4"/>
      <c r="S345" s="73"/>
      <c r="T345" s="74"/>
      <c r="U345" s="73"/>
      <c r="V345" s="74"/>
      <c r="W345" s="73"/>
      <c r="X345" s="74"/>
      <c r="Y345" s="73"/>
      <c r="Z345" s="73"/>
    </row>
    <row r="346" spans="1:26" ht="13.9" customHeight="1" x14ac:dyDescent="0.25">
      <c r="D346" s="21" t="s">
        <v>32</v>
      </c>
      <c r="E346" s="21" t="s">
        <v>33</v>
      </c>
      <c r="F346" s="21" t="s">
        <v>34</v>
      </c>
      <c r="G346" s="21" t="s">
        <v>1</v>
      </c>
      <c r="H346" s="21" t="s">
        <v>2</v>
      </c>
      <c r="I346" s="21" t="s">
        <v>3</v>
      </c>
      <c r="J346" s="21" t="s">
        <v>4</v>
      </c>
      <c r="K346" s="21" t="s">
        <v>5</v>
      </c>
      <c r="L346" s="21" t="s">
        <v>6</v>
      </c>
      <c r="M346" s="21" t="s">
        <v>7</v>
      </c>
      <c r="N346" s="21" t="s">
        <v>8</v>
      </c>
      <c r="O346" s="21" t="s">
        <v>9</v>
      </c>
      <c r="P346" s="21" t="s">
        <v>124</v>
      </c>
      <c r="Q346" s="21" t="s">
        <v>11</v>
      </c>
      <c r="R346" s="22" t="s">
        <v>12</v>
      </c>
      <c r="S346" s="21" t="s">
        <v>13</v>
      </c>
      <c r="T346" s="22" t="s">
        <v>14</v>
      </c>
      <c r="U346" s="21" t="s">
        <v>15</v>
      </c>
      <c r="V346" s="22" t="s">
        <v>16</v>
      </c>
      <c r="W346" s="21" t="s">
        <v>17</v>
      </c>
      <c r="X346" s="22" t="s">
        <v>18</v>
      </c>
      <c r="Y346" s="21" t="s">
        <v>19</v>
      </c>
      <c r="Z346" s="21" t="s">
        <v>20</v>
      </c>
    </row>
    <row r="347" spans="1:26" ht="13.9" customHeight="1" x14ac:dyDescent="0.25">
      <c r="A347" s="15">
        <v>5</v>
      </c>
      <c r="B347" s="15">
        <v>2</v>
      </c>
      <c r="C347" s="15">
        <v>3</v>
      </c>
      <c r="D347" s="5" t="s">
        <v>221</v>
      </c>
      <c r="E347" s="24">
        <v>610</v>
      </c>
      <c r="F347" s="24" t="s">
        <v>132</v>
      </c>
      <c r="G347" s="25">
        <v>6042.59</v>
      </c>
      <c r="H347" s="25">
        <v>0</v>
      </c>
      <c r="I347" s="25">
        <v>0</v>
      </c>
      <c r="J347" s="25">
        <v>0</v>
      </c>
      <c r="K347" s="25">
        <v>0</v>
      </c>
      <c r="L347" s="25"/>
      <c r="M347" s="25">
        <v>400</v>
      </c>
      <c r="N347" s="25"/>
      <c r="O347" s="25"/>
      <c r="P347" s="25">
        <f>K347+SUM(L347:O347)</f>
        <v>400</v>
      </c>
      <c r="Q347" s="25">
        <v>0</v>
      </c>
      <c r="R347" s="26">
        <f t="shared" ref="R347:R356" si="187">IFERROR(Q347/$P347,0)</f>
        <v>0</v>
      </c>
      <c r="S347" s="25">
        <v>400</v>
      </c>
      <c r="T347" s="26">
        <f t="shared" ref="T347:T356" si="188">IFERROR(S347/$P347,0)</f>
        <v>1</v>
      </c>
      <c r="U347" s="25"/>
      <c r="V347" s="26">
        <f t="shared" ref="V347:V356" si="189">IFERROR(U347/$P347,0)</f>
        <v>0</v>
      </c>
      <c r="W347" s="25"/>
      <c r="X347" s="26">
        <f t="shared" ref="X347:X356" si="190">IFERROR(W347/$P347,0)</f>
        <v>0</v>
      </c>
      <c r="Y347" s="25">
        <v>0</v>
      </c>
      <c r="Z347" s="25">
        <f>Y347</f>
        <v>0</v>
      </c>
    </row>
    <row r="348" spans="1:26" ht="13.9" customHeight="1" x14ac:dyDescent="0.25">
      <c r="A348" s="15">
        <v>5</v>
      </c>
      <c r="B348" s="15">
        <v>2</v>
      </c>
      <c r="C348" s="15">
        <v>3</v>
      </c>
      <c r="D348" s="5"/>
      <c r="E348" s="24">
        <v>620</v>
      </c>
      <c r="F348" s="24" t="s">
        <v>133</v>
      </c>
      <c r="G348" s="25">
        <v>2247.6999999999998</v>
      </c>
      <c r="H348" s="25">
        <v>0</v>
      </c>
      <c r="I348" s="25">
        <v>0</v>
      </c>
      <c r="J348" s="25">
        <v>0</v>
      </c>
      <c r="K348" s="25">
        <v>0</v>
      </c>
      <c r="L348" s="25"/>
      <c r="M348" s="25">
        <v>144</v>
      </c>
      <c r="N348" s="25"/>
      <c r="O348" s="25"/>
      <c r="P348" s="25">
        <f>K348+SUM(L348:O348)</f>
        <v>144</v>
      </c>
      <c r="Q348" s="25">
        <v>0</v>
      </c>
      <c r="R348" s="26">
        <f t="shared" si="187"/>
        <v>0</v>
      </c>
      <c r="S348" s="25">
        <v>143.80000000000001</v>
      </c>
      <c r="T348" s="26">
        <f t="shared" si="188"/>
        <v>0.99861111111111123</v>
      </c>
      <c r="U348" s="25"/>
      <c r="V348" s="26">
        <f t="shared" si="189"/>
        <v>0</v>
      </c>
      <c r="W348" s="25"/>
      <c r="X348" s="26">
        <f t="shared" si="190"/>
        <v>0</v>
      </c>
      <c r="Y348" s="25">
        <v>0</v>
      </c>
      <c r="Z348" s="25">
        <f>Y348</f>
        <v>0</v>
      </c>
    </row>
    <row r="349" spans="1:26" ht="13.9" customHeight="1" x14ac:dyDescent="0.25">
      <c r="A349" s="15">
        <v>5</v>
      </c>
      <c r="B349" s="15">
        <v>2</v>
      </c>
      <c r="C349" s="15">
        <v>3</v>
      </c>
      <c r="D349" s="108" t="s">
        <v>21</v>
      </c>
      <c r="E349" s="85">
        <v>111</v>
      </c>
      <c r="F349" s="48" t="s">
        <v>45</v>
      </c>
      <c r="G349" s="49">
        <f t="shared" ref="G349:Q349" si="191">SUM(G347:G348)</f>
        <v>8290.2900000000009</v>
      </c>
      <c r="H349" s="49">
        <f t="shared" si="191"/>
        <v>0</v>
      </c>
      <c r="I349" s="49">
        <f t="shared" si="191"/>
        <v>0</v>
      </c>
      <c r="J349" s="49">
        <f t="shared" si="191"/>
        <v>0</v>
      </c>
      <c r="K349" s="49">
        <f t="shared" si="191"/>
        <v>0</v>
      </c>
      <c r="L349" s="49">
        <f t="shared" si="191"/>
        <v>0</v>
      </c>
      <c r="M349" s="49">
        <f t="shared" si="191"/>
        <v>544</v>
      </c>
      <c r="N349" s="49">
        <f t="shared" si="191"/>
        <v>0</v>
      </c>
      <c r="O349" s="49">
        <f t="shared" si="191"/>
        <v>0</v>
      </c>
      <c r="P349" s="49">
        <f t="shared" si="191"/>
        <v>544</v>
      </c>
      <c r="Q349" s="49">
        <f t="shared" si="191"/>
        <v>0</v>
      </c>
      <c r="R349" s="50">
        <f t="shared" si="187"/>
        <v>0</v>
      </c>
      <c r="S349" s="49">
        <f>SUM(S347:S348)</f>
        <v>543.79999999999995</v>
      </c>
      <c r="T349" s="50">
        <f t="shared" si="188"/>
        <v>0.99963235294117636</v>
      </c>
      <c r="U349" s="49">
        <f>SUM(U347:U348)</f>
        <v>0</v>
      </c>
      <c r="V349" s="50">
        <f t="shared" si="189"/>
        <v>0</v>
      </c>
      <c r="W349" s="49">
        <f>SUM(W347:W348)</f>
        <v>0</v>
      </c>
      <c r="X349" s="50">
        <f t="shared" si="190"/>
        <v>0</v>
      </c>
      <c r="Y349" s="49">
        <f>SUM(Y347:Y348)</f>
        <v>0</v>
      </c>
      <c r="Z349" s="49">
        <f>SUM(Z347:Z348)</f>
        <v>0</v>
      </c>
    </row>
    <row r="350" spans="1:26" ht="13.9" customHeight="1" x14ac:dyDescent="0.25">
      <c r="A350" s="15">
        <v>5</v>
      </c>
      <c r="B350" s="15">
        <v>2</v>
      </c>
      <c r="C350" s="15">
        <v>3</v>
      </c>
      <c r="D350" s="5" t="s">
        <v>221</v>
      </c>
      <c r="E350" s="24">
        <v>610</v>
      </c>
      <c r="F350" s="24" t="s">
        <v>132</v>
      </c>
      <c r="G350" s="25">
        <v>4162.46</v>
      </c>
      <c r="H350" s="25">
        <v>2450</v>
      </c>
      <c r="I350" s="25">
        <v>4500</v>
      </c>
      <c r="J350" s="25">
        <v>4150</v>
      </c>
      <c r="K350" s="25">
        <v>10526</v>
      </c>
      <c r="L350" s="25"/>
      <c r="M350" s="25"/>
      <c r="N350" s="25"/>
      <c r="O350" s="25"/>
      <c r="P350" s="25">
        <f>K350+SUM(L350:O350)</f>
        <v>10526</v>
      </c>
      <c r="Q350" s="25">
        <v>1191</v>
      </c>
      <c r="R350" s="26">
        <f t="shared" si="187"/>
        <v>0.11314839445183356</v>
      </c>
      <c r="S350" s="25">
        <v>2415</v>
      </c>
      <c r="T350" s="26">
        <f t="shared" si="188"/>
        <v>0.2294318829564887</v>
      </c>
      <c r="U350" s="25"/>
      <c r="V350" s="26">
        <f t="shared" si="189"/>
        <v>0</v>
      </c>
      <c r="W350" s="25"/>
      <c r="X350" s="26">
        <f t="shared" si="190"/>
        <v>0</v>
      </c>
      <c r="Y350" s="25">
        <v>10212</v>
      </c>
      <c r="Z350" s="25">
        <v>10723</v>
      </c>
    </row>
    <row r="351" spans="1:26" ht="13.9" customHeight="1" x14ac:dyDescent="0.25">
      <c r="A351" s="15">
        <v>5</v>
      </c>
      <c r="B351" s="15">
        <v>2</v>
      </c>
      <c r="C351" s="15">
        <v>3</v>
      </c>
      <c r="D351" s="5"/>
      <c r="E351" s="24">
        <v>620</v>
      </c>
      <c r="F351" s="24" t="s">
        <v>133</v>
      </c>
      <c r="G351" s="25">
        <v>1246.9000000000001</v>
      </c>
      <c r="H351" s="25">
        <v>819.49</v>
      </c>
      <c r="I351" s="25">
        <v>1573</v>
      </c>
      <c r="J351" s="25">
        <v>1606</v>
      </c>
      <c r="K351" s="25">
        <v>3784</v>
      </c>
      <c r="L351" s="25"/>
      <c r="M351" s="25"/>
      <c r="N351" s="25"/>
      <c r="O351" s="25"/>
      <c r="P351" s="25">
        <f>K351+SUM(L351:O351)</f>
        <v>3784</v>
      </c>
      <c r="Q351" s="25">
        <v>428.14</v>
      </c>
      <c r="R351" s="26">
        <f t="shared" si="187"/>
        <v>0.11314482029598308</v>
      </c>
      <c r="S351" s="25">
        <v>868.15</v>
      </c>
      <c r="T351" s="26">
        <f t="shared" si="188"/>
        <v>0.22942653276955602</v>
      </c>
      <c r="U351" s="25"/>
      <c r="V351" s="26">
        <f t="shared" si="189"/>
        <v>0</v>
      </c>
      <c r="W351" s="25"/>
      <c r="X351" s="26">
        <f t="shared" si="190"/>
        <v>0</v>
      </c>
      <c r="Y351" s="25">
        <v>3671</v>
      </c>
      <c r="Z351" s="25">
        <v>3855</v>
      </c>
    </row>
    <row r="352" spans="1:26" ht="13.9" customHeight="1" x14ac:dyDescent="0.25">
      <c r="A352" s="15">
        <v>5</v>
      </c>
      <c r="B352" s="15">
        <v>2</v>
      </c>
      <c r="C352" s="15">
        <v>3</v>
      </c>
      <c r="D352" s="5"/>
      <c r="E352" s="24">
        <v>630</v>
      </c>
      <c r="F352" s="24" t="s">
        <v>134</v>
      </c>
      <c r="G352" s="25">
        <v>922.62</v>
      </c>
      <c r="H352" s="25">
        <v>24.53</v>
      </c>
      <c r="I352" s="25">
        <v>41</v>
      </c>
      <c r="J352" s="25">
        <v>44</v>
      </c>
      <c r="K352" s="25">
        <f>98+150</f>
        <v>248</v>
      </c>
      <c r="L352" s="25"/>
      <c r="M352" s="25"/>
      <c r="N352" s="25"/>
      <c r="O352" s="25"/>
      <c r="P352" s="25">
        <f>K352+SUM(L352:O352)</f>
        <v>248</v>
      </c>
      <c r="Q352" s="25">
        <v>10.9</v>
      </c>
      <c r="R352" s="26">
        <f t="shared" si="187"/>
        <v>4.3951612903225808E-2</v>
      </c>
      <c r="S352" s="25">
        <v>27.97</v>
      </c>
      <c r="T352" s="26">
        <f t="shared" si="188"/>
        <v>0.11278225806451612</v>
      </c>
      <c r="U352" s="25"/>
      <c r="V352" s="26">
        <f t="shared" si="189"/>
        <v>0</v>
      </c>
      <c r="W352" s="25"/>
      <c r="X352" s="26">
        <f t="shared" si="190"/>
        <v>0</v>
      </c>
      <c r="Y352" s="25">
        <f>93+150</f>
        <v>243</v>
      </c>
      <c r="Z352" s="25">
        <f>99+150</f>
        <v>249</v>
      </c>
    </row>
    <row r="353" spans="1:26" ht="13.9" customHeight="1" x14ac:dyDescent="0.25">
      <c r="A353" s="15">
        <v>5</v>
      </c>
      <c r="B353" s="15">
        <v>2</v>
      </c>
      <c r="C353" s="15">
        <v>3</v>
      </c>
      <c r="D353" s="108" t="s">
        <v>21</v>
      </c>
      <c r="E353" s="48">
        <v>41</v>
      </c>
      <c r="F353" s="48" t="s">
        <v>23</v>
      </c>
      <c r="G353" s="49">
        <f t="shared" ref="G353:Q353" si="192">SUM(G350:G352)</f>
        <v>6331.9800000000005</v>
      </c>
      <c r="H353" s="49">
        <f t="shared" si="192"/>
        <v>3294.02</v>
      </c>
      <c r="I353" s="49">
        <f t="shared" si="192"/>
        <v>6114</v>
      </c>
      <c r="J353" s="49">
        <f t="shared" si="192"/>
        <v>5800</v>
      </c>
      <c r="K353" s="49">
        <f t="shared" si="192"/>
        <v>14558</v>
      </c>
      <c r="L353" s="49">
        <f t="shared" si="192"/>
        <v>0</v>
      </c>
      <c r="M353" s="49">
        <f t="shared" si="192"/>
        <v>0</v>
      </c>
      <c r="N353" s="49">
        <f t="shared" si="192"/>
        <v>0</v>
      </c>
      <c r="O353" s="49">
        <f t="shared" si="192"/>
        <v>0</v>
      </c>
      <c r="P353" s="49">
        <f t="shared" si="192"/>
        <v>14558</v>
      </c>
      <c r="Q353" s="49">
        <f t="shared" si="192"/>
        <v>1630.04</v>
      </c>
      <c r="R353" s="50">
        <f t="shared" si="187"/>
        <v>0.11196867701607363</v>
      </c>
      <c r="S353" s="49">
        <f>SUM(S350:S352)</f>
        <v>3311.12</v>
      </c>
      <c r="T353" s="50">
        <f t="shared" si="188"/>
        <v>0.2274433301277648</v>
      </c>
      <c r="U353" s="49">
        <f>SUM(U350:U352)</f>
        <v>0</v>
      </c>
      <c r="V353" s="50">
        <f t="shared" si="189"/>
        <v>0</v>
      </c>
      <c r="W353" s="49">
        <f>SUM(W350:W352)</f>
        <v>0</v>
      </c>
      <c r="X353" s="50">
        <f t="shared" si="190"/>
        <v>0</v>
      </c>
      <c r="Y353" s="49">
        <f>SUM(Y350:Y352)</f>
        <v>14126</v>
      </c>
      <c r="Z353" s="49">
        <f>SUM(Z350:Z352)</f>
        <v>14827</v>
      </c>
    </row>
    <row r="354" spans="1:26" ht="13.9" hidden="1" customHeight="1" x14ac:dyDescent="0.25">
      <c r="A354" s="15">
        <v>5</v>
      </c>
      <c r="B354" s="15">
        <v>2</v>
      </c>
      <c r="C354" s="15">
        <v>3</v>
      </c>
      <c r="D354" s="135" t="s">
        <v>221</v>
      </c>
      <c r="E354" s="24">
        <v>640</v>
      </c>
      <c r="F354" s="24" t="s">
        <v>135</v>
      </c>
      <c r="G354" s="25">
        <v>138.36000000000001</v>
      </c>
      <c r="H354" s="25">
        <v>0</v>
      </c>
      <c r="I354" s="25">
        <v>0</v>
      </c>
      <c r="J354" s="25">
        <v>0</v>
      </c>
      <c r="K354" s="25">
        <v>0</v>
      </c>
      <c r="L354" s="25"/>
      <c r="M354" s="25"/>
      <c r="N354" s="25"/>
      <c r="O354" s="25"/>
      <c r="P354" s="25">
        <f>K354+SUM(L354:O354)</f>
        <v>0</v>
      </c>
      <c r="Q354" s="25"/>
      <c r="R354" s="26">
        <f t="shared" si="187"/>
        <v>0</v>
      </c>
      <c r="S354" s="25"/>
      <c r="T354" s="26">
        <f t="shared" si="188"/>
        <v>0</v>
      </c>
      <c r="U354" s="25"/>
      <c r="V354" s="26">
        <f t="shared" si="189"/>
        <v>0</v>
      </c>
      <c r="W354" s="25"/>
      <c r="X354" s="26">
        <f t="shared" si="190"/>
        <v>0</v>
      </c>
      <c r="Y354" s="25">
        <v>0</v>
      </c>
      <c r="Z354" s="25">
        <v>0</v>
      </c>
    </row>
    <row r="355" spans="1:26" ht="13.9" hidden="1" customHeight="1" x14ac:dyDescent="0.25">
      <c r="A355" s="15">
        <v>5</v>
      </c>
      <c r="B355" s="15">
        <v>2</v>
      </c>
      <c r="C355" s="15">
        <v>3</v>
      </c>
      <c r="D355" s="108" t="s">
        <v>21</v>
      </c>
      <c r="E355" s="48">
        <v>72</v>
      </c>
      <c r="F355" s="48" t="s">
        <v>25</v>
      </c>
      <c r="G355" s="49">
        <f t="shared" ref="G355:Q355" si="193">SUM(G354)</f>
        <v>138.36000000000001</v>
      </c>
      <c r="H355" s="49">
        <f t="shared" si="193"/>
        <v>0</v>
      </c>
      <c r="I355" s="49">
        <f t="shared" si="193"/>
        <v>0</v>
      </c>
      <c r="J355" s="49">
        <f t="shared" si="193"/>
        <v>0</v>
      </c>
      <c r="K355" s="49">
        <f t="shared" si="193"/>
        <v>0</v>
      </c>
      <c r="L355" s="49">
        <f t="shared" si="193"/>
        <v>0</v>
      </c>
      <c r="M355" s="49">
        <f t="shared" si="193"/>
        <v>0</v>
      </c>
      <c r="N355" s="49">
        <f t="shared" si="193"/>
        <v>0</v>
      </c>
      <c r="O355" s="49">
        <f t="shared" si="193"/>
        <v>0</v>
      </c>
      <c r="P355" s="49">
        <f t="shared" si="193"/>
        <v>0</v>
      </c>
      <c r="Q355" s="49">
        <f t="shared" si="193"/>
        <v>0</v>
      </c>
      <c r="R355" s="50">
        <f t="shared" si="187"/>
        <v>0</v>
      </c>
      <c r="S355" s="49">
        <f>SUM(S354)</f>
        <v>0</v>
      </c>
      <c r="T355" s="50">
        <f t="shared" si="188"/>
        <v>0</v>
      </c>
      <c r="U355" s="49">
        <f>SUM(U354)</f>
        <v>0</v>
      </c>
      <c r="V355" s="50">
        <f t="shared" si="189"/>
        <v>0</v>
      </c>
      <c r="W355" s="49">
        <f>SUM(W354)</f>
        <v>0</v>
      </c>
      <c r="X355" s="50">
        <f t="shared" si="190"/>
        <v>0</v>
      </c>
      <c r="Y355" s="49">
        <f>SUM(Y354)</f>
        <v>0</v>
      </c>
      <c r="Z355" s="49">
        <f>SUM(Z354)</f>
        <v>0</v>
      </c>
    </row>
    <row r="356" spans="1:26" ht="13.9" customHeight="1" x14ac:dyDescent="0.25">
      <c r="A356" s="15">
        <v>5</v>
      </c>
      <c r="B356" s="15">
        <v>2</v>
      </c>
      <c r="C356" s="15">
        <v>3</v>
      </c>
      <c r="D356" s="30"/>
      <c r="E356" s="31"/>
      <c r="F356" s="27" t="s">
        <v>127</v>
      </c>
      <c r="G356" s="28">
        <f t="shared" ref="G356:Q356" si="194">G349+G353+G355</f>
        <v>14760.630000000001</v>
      </c>
      <c r="H356" s="28">
        <f t="shared" si="194"/>
        <v>3294.02</v>
      </c>
      <c r="I356" s="28">
        <f t="shared" si="194"/>
        <v>6114</v>
      </c>
      <c r="J356" s="28">
        <f t="shared" si="194"/>
        <v>5800</v>
      </c>
      <c r="K356" s="28">
        <f t="shared" si="194"/>
        <v>14558</v>
      </c>
      <c r="L356" s="28">
        <f t="shared" si="194"/>
        <v>0</v>
      </c>
      <c r="M356" s="28">
        <f t="shared" si="194"/>
        <v>544</v>
      </c>
      <c r="N356" s="28">
        <f t="shared" si="194"/>
        <v>0</v>
      </c>
      <c r="O356" s="28">
        <f t="shared" si="194"/>
        <v>0</v>
      </c>
      <c r="P356" s="28">
        <f t="shared" si="194"/>
        <v>15102</v>
      </c>
      <c r="Q356" s="28">
        <f t="shared" si="194"/>
        <v>1630.04</v>
      </c>
      <c r="R356" s="29">
        <f t="shared" si="187"/>
        <v>0.10793537279830485</v>
      </c>
      <c r="S356" s="28">
        <f>S349+S353+S355</f>
        <v>3854.92</v>
      </c>
      <c r="T356" s="29">
        <f t="shared" si="188"/>
        <v>0.25525890610515162</v>
      </c>
      <c r="U356" s="28">
        <f>U349+U353+U355</f>
        <v>0</v>
      </c>
      <c r="V356" s="29">
        <f t="shared" si="189"/>
        <v>0</v>
      </c>
      <c r="W356" s="28">
        <f>W349+W353+W355</f>
        <v>0</v>
      </c>
      <c r="X356" s="29">
        <f t="shared" si="190"/>
        <v>0</v>
      </c>
      <c r="Y356" s="28">
        <f>Y349+Y353+Y355</f>
        <v>14126</v>
      </c>
      <c r="Z356" s="28">
        <f>Z349+Z353+Z355</f>
        <v>14827</v>
      </c>
    </row>
    <row r="358" spans="1:26" ht="13.9" customHeight="1" x14ac:dyDescent="0.25">
      <c r="D358" s="32" t="s">
        <v>227</v>
      </c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3"/>
      <c r="S358" s="32"/>
      <c r="T358" s="33"/>
      <c r="U358" s="32"/>
      <c r="V358" s="33"/>
      <c r="W358" s="32"/>
      <c r="X358" s="33"/>
      <c r="Y358" s="32"/>
      <c r="Z358" s="32"/>
    </row>
    <row r="359" spans="1:26" ht="13.9" customHeight="1" x14ac:dyDescent="0.25">
      <c r="D359" s="20"/>
      <c r="E359" s="20"/>
      <c r="F359" s="20"/>
      <c r="G359" s="21" t="s">
        <v>1</v>
      </c>
      <c r="H359" s="21" t="s">
        <v>2</v>
      </c>
      <c r="I359" s="21" t="s">
        <v>3</v>
      </c>
      <c r="J359" s="21" t="s">
        <v>4</v>
      </c>
      <c r="K359" s="21" t="s">
        <v>5</v>
      </c>
      <c r="L359" s="21" t="s">
        <v>6</v>
      </c>
      <c r="M359" s="21" t="s">
        <v>7</v>
      </c>
      <c r="N359" s="21" t="s">
        <v>8</v>
      </c>
      <c r="O359" s="21" t="s">
        <v>9</v>
      </c>
      <c r="P359" s="21" t="s">
        <v>124</v>
      </c>
      <c r="Q359" s="21" t="s">
        <v>11</v>
      </c>
      <c r="R359" s="22" t="s">
        <v>12</v>
      </c>
      <c r="S359" s="21" t="s">
        <v>13</v>
      </c>
      <c r="T359" s="22" t="s">
        <v>14</v>
      </c>
      <c r="U359" s="21" t="s">
        <v>15</v>
      </c>
      <c r="V359" s="22" t="s">
        <v>16</v>
      </c>
      <c r="W359" s="21" t="s">
        <v>17</v>
      </c>
      <c r="X359" s="22" t="s">
        <v>18</v>
      </c>
      <c r="Y359" s="21" t="s">
        <v>19</v>
      </c>
      <c r="Z359" s="21" t="s">
        <v>20</v>
      </c>
    </row>
    <row r="360" spans="1:26" ht="13.9" hidden="1" customHeight="1" x14ac:dyDescent="0.25">
      <c r="A360" s="15">
        <v>6</v>
      </c>
      <c r="D360" s="12" t="s">
        <v>21</v>
      </c>
      <c r="E360" s="35">
        <v>111</v>
      </c>
      <c r="F360" s="35" t="s">
        <v>137</v>
      </c>
      <c r="G360" s="36">
        <f t="shared" ref="G360:Q360" si="195">G366+G395+G431</f>
        <v>0</v>
      </c>
      <c r="H360" s="36">
        <f t="shared" si="195"/>
        <v>1030.4100000000001</v>
      </c>
      <c r="I360" s="36">
        <f t="shared" si="195"/>
        <v>0</v>
      </c>
      <c r="J360" s="36">
        <f t="shared" si="195"/>
        <v>0</v>
      </c>
      <c r="K360" s="36">
        <f t="shared" si="195"/>
        <v>0</v>
      </c>
      <c r="L360" s="36">
        <f t="shared" si="195"/>
        <v>0</v>
      </c>
      <c r="M360" s="36">
        <f t="shared" si="195"/>
        <v>0</v>
      </c>
      <c r="N360" s="36">
        <f t="shared" si="195"/>
        <v>0</v>
      </c>
      <c r="O360" s="36">
        <f t="shared" si="195"/>
        <v>0</v>
      </c>
      <c r="P360" s="36">
        <f t="shared" si="195"/>
        <v>0</v>
      </c>
      <c r="Q360" s="36">
        <f t="shared" si="195"/>
        <v>0</v>
      </c>
      <c r="R360" s="37">
        <f>IFERROR(Q360/$P360,0)</f>
        <v>0</v>
      </c>
      <c r="S360" s="36">
        <f>S366+S395+S431</f>
        <v>0</v>
      </c>
      <c r="T360" s="37">
        <f>IFERROR(S360/$P360,0)</f>
        <v>0</v>
      </c>
      <c r="U360" s="36">
        <f>U366+U395+U431</f>
        <v>0</v>
      </c>
      <c r="V360" s="37">
        <f>IFERROR(U360/$P360,0)</f>
        <v>0</v>
      </c>
      <c r="W360" s="36">
        <f>W366+W395+W431</f>
        <v>0</v>
      </c>
      <c r="X360" s="37">
        <f>IFERROR(W360/$P360,0)</f>
        <v>0</v>
      </c>
      <c r="Y360" s="36">
        <f>Y366+Y395+Y431</f>
        <v>0</v>
      </c>
      <c r="Z360" s="36">
        <f>Z366+Z395+Z431</f>
        <v>0</v>
      </c>
    </row>
    <row r="361" spans="1:26" ht="13.9" customHeight="1" x14ac:dyDescent="0.25">
      <c r="A361" s="15">
        <v>6</v>
      </c>
      <c r="D361" s="12" t="s">
        <v>21</v>
      </c>
      <c r="E361" s="35">
        <v>41</v>
      </c>
      <c r="F361" s="35" t="s">
        <v>23</v>
      </c>
      <c r="G361" s="36">
        <f>G367+G396+G433</f>
        <v>39882.36</v>
      </c>
      <c r="H361" s="36">
        <f t="shared" ref="H361:Q361" si="196">H367+H396+H432</f>
        <v>46795.770000000004</v>
      </c>
      <c r="I361" s="36">
        <f t="shared" si="196"/>
        <v>47091</v>
      </c>
      <c r="J361" s="36">
        <f t="shared" si="196"/>
        <v>51521</v>
      </c>
      <c r="K361" s="36">
        <f t="shared" si="196"/>
        <v>49735</v>
      </c>
      <c r="L361" s="36">
        <f t="shared" si="196"/>
        <v>700</v>
      </c>
      <c r="M361" s="36">
        <f t="shared" si="196"/>
        <v>19</v>
      </c>
      <c r="N361" s="36">
        <f t="shared" si="196"/>
        <v>0</v>
      </c>
      <c r="O361" s="36">
        <f t="shared" si="196"/>
        <v>0</v>
      </c>
      <c r="P361" s="36">
        <f t="shared" si="196"/>
        <v>50454</v>
      </c>
      <c r="Q361" s="36">
        <f t="shared" si="196"/>
        <v>13958.31</v>
      </c>
      <c r="R361" s="37">
        <f>IFERROR(Q361/$P361,0)</f>
        <v>0.27665418004518966</v>
      </c>
      <c r="S361" s="36">
        <f>S367+S396+S432</f>
        <v>33226.22</v>
      </c>
      <c r="T361" s="37">
        <f>IFERROR(S361/$P361,0)</f>
        <v>0.65854481309707857</v>
      </c>
      <c r="U361" s="36">
        <f>U367+U396+U432</f>
        <v>0</v>
      </c>
      <c r="V361" s="37">
        <f>IFERROR(U361/$P361,0)</f>
        <v>0</v>
      </c>
      <c r="W361" s="36">
        <f>W367+W396+W432</f>
        <v>0</v>
      </c>
      <c r="X361" s="37">
        <f>IFERROR(W361/$P361,0)</f>
        <v>0</v>
      </c>
      <c r="Y361" s="36">
        <f>Y367+Y396+Y432</f>
        <v>47435</v>
      </c>
      <c r="Z361" s="36">
        <f>Z367+Z396+Z432</f>
        <v>47435</v>
      </c>
    </row>
    <row r="362" spans="1:26" ht="13.9" customHeight="1" x14ac:dyDescent="0.25">
      <c r="A362" s="15">
        <v>6</v>
      </c>
      <c r="D362" s="30"/>
      <c r="E362" s="31"/>
      <c r="F362" s="38" t="s">
        <v>127</v>
      </c>
      <c r="G362" s="39">
        <f t="shared" ref="G362:Q362" si="197">SUM(G360:G361)</f>
        <v>39882.36</v>
      </c>
      <c r="H362" s="39">
        <f t="shared" si="197"/>
        <v>47826.180000000008</v>
      </c>
      <c r="I362" s="39">
        <f t="shared" si="197"/>
        <v>47091</v>
      </c>
      <c r="J362" s="39">
        <f t="shared" si="197"/>
        <v>51521</v>
      </c>
      <c r="K362" s="39">
        <f t="shared" si="197"/>
        <v>49735</v>
      </c>
      <c r="L362" s="39">
        <f t="shared" si="197"/>
        <v>700</v>
      </c>
      <c r="M362" s="39">
        <f t="shared" si="197"/>
        <v>19</v>
      </c>
      <c r="N362" s="39">
        <f t="shared" si="197"/>
        <v>0</v>
      </c>
      <c r="O362" s="39">
        <f t="shared" si="197"/>
        <v>0</v>
      </c>
      <c r="P362" s="39">
        <f t="shared" si="197"/>
        <v>50454</v>
      </c>
      <c r="Q362" s="39">
        <f t="shared" si="197"/>
        <v>13958.31</v>
      </c>
      <c r="R362" s="40">
        <f>IFERROR(Q362/$P362,0)</f>
        <v>0.27665418004518966</v>
      </c>
      <c r="S362" s="39">
        <f>SUM(S360:S361)</f>
        <v>33226.22</v>
      </c>
      <c r="T362" s="40">
        <f>IFERROR(S362/$P362,0)</f>
        <v>0.65854481309707857</v>
      </c>
      <c r="U362" s="39">
        <f>SUM(U360:U361)</f>
        <v>0</v>
      </c>
      <c r="V362" s="40">
        <f>IFERROR(U362/$P362,0)</f>
        <v>0</v>
      </c>
      <c r="W362" s="39">
        <f>SUM(W360:W361)</f>
        <v>0</v>
      </c>
      <c r="X362" s="40">
        <f>IFERROR(W362/$P362,0)</f>
        <v>0</v>
      </c>
      <c r="Y362" s="39">
        <f>SUM(Y360:Y361)</f>
        <v>47435</v>
      </c>
      <c r="Z362" s="39">
        <f>SUM(Z360:Z361)</f>
        <v>47435</v>
      </c>
    </row>
    <row r="364" spans="1:26" ht="13.9" customHeight="1" x14ac:dyDescent="0.25">
      <c r="D364" s="41" t="s">
        <v>228</v>
      </c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2"/>
      <c r="S364" s="41"/>
      <c r="T364" s="42"/>
      <c r="U364" s="41"/>
      <c r="V364" s="42"/>
      <c r="W364" s="41"/>
      <c r="X364" s="42"/>
      <c r="Y364" s="41"/>
      <c r="Z364" s="41"/>
    </row>
    <row r="365" spans="1:26" ht="13.9" customHeight="1" x14ac:dyDescent="0.25">
      <c r="D365" s="128"/>
      <c r="E365" s="128"/>
      <c r="F365" s="128"/>
      <c r="G365" s="21" t="s">
        <v>1</v>
      </c>
      <c r="H365" s="21" t="s">
        <v>2</v>
      </c>
      <c r="I365" s="21" t="s">
        <v>3</v>
      </c>
      <c r="J365" s="21" t="s">
        <v>4</v>
      </c>
      <c r="K365" s="21" t="s">
        <v>5</v>
      </c>
      <c r="L365" s="21" t="s">
        <v>6</v>
      </c>
      <c r="M365" s="21" t="s">
        <v>7</v>
      </c>
      <c r="N365" s="21" t="s">
        <v>8</v>
      </c>
      <c r="O365" s="21" t="s">
        <v>9</v>
      </c>
      <c r="P365" s="21" t="s">
        <v>124</v>
      </c>
      <c r="Q365" s="21" t="s">
        <v>11</v>
      </c>
      <c r="R365" s="22" t="s">
        <v>12</v>
      </c>
      <c r="S365" s="21" t="s">
        <v>13</v>
      </c>
      <c r="T365" s="22" t="s">
        <v>14</v>
      </c>
      <c r="U365" s="21" t="s">
        <v>15</v>
      </c>
      <c r="V365" s="22" t="s">
        <v>16</v>
      </c>
      <c r="W365" s="21" t="s">
        <v>17</v>
      </c>
      <c r="X365" s="22" t="s">
        <v>18</v>
      </c>
      <c r="Y365" s="21" t="s">
        <v>19</v>
      </c>
      <c r="Z365" s="21" t="s">
        <v>20</v>
      </c>
    </row>
    <row r="366" spans="1:26" ht="13.9" hidden="1" customHeight="1" x14ac:dyDescent="0.25">
      <c r="A366" s="15">
        <v>6</v>
      </c>
      <c r="B366" s="15">
        <v>1</v>
      </c>
      <c r="D366" s="13" t="s">
        <v>21</v>
      </c>
      <c r="E366" s="24">
        <v>111</v>
      </c>
      <c r="F366" s="24" t="s">
        <v>137</v>
      </c>
      <c r="G366" s="25">
        <f t="shared" ref="G366:Q366" si="198">G373</f>
        <v>0</v>
      </c>
      <c r="H366" s="25">
        <f t="shared" si="198"/>
        <v>488.97</v>
      </c>
      <c r="I366" s="25">
        <f t="shared" si="198"/>
        <v>0</v>
      </c>
      <c r="J366" s="25">
        <f t="shared" si="198"/>
        <v>0</v>
      </c>
      <c r="K366" s="25">
        <f t="shared" si="198"/>
        <v>0</v>
      </c>
      <c r="L366" s="25">
        <f t="shared" si="198"/>
        <v>0</v>
      </c>
      <c r="M366" s="25">
        <f t="shared" si="198"/>
        <v>0</v>
      </c>
      <c r="N366" s="25">
        <f t="shared" si="198"/>
        <v>0</v>
      </c>
      <c r="O366" s="25">
        <f t="shared" si="198"/>
        <v>0</v>
      </c>
      <c r="P366" s="25">
        <f t="shared" si="198"/>
        <v>0</v>
      </c>
      <c r="Q366" s="25">
        <f t="shared" si="198"/>
        <v>0</v>
      </c>
      <c r="R366" s="26">
        <f>IFERROR(Q366/$P366,0)</f>
        <v>0</v>
      </c>
      <c r="S366" s="25">
        <f>S373</f>
        <v>0</v>
      </c>
      <c r="T366" s="26">
        <f>IFERROR(S366/$P366,0)</f>
        <v>0</v>
      </c>
      <c r="U366" s="25">
        <f>U373</f>
        <v>0</v>
      </c>
      <c r="V366" s="26">
        <f>IFERROR(U366/$P366,0)</f>
        <v>0</v>
      </c>
      <c r="W366" s="25">
        <f>W373</f>
        <v>0</v>
      </c>
      <c r="X366" s="26">
        <f>IFERROR(W366/$P366,0)</f>
        <v>0</v>
      </c>
      <c r="Y366" s="25">
        <f>Y373</f>
        <v>0</v>
      </c>
      <c r="Z366" s="25">
        <f>Z373</f>
        <v>0</v>
      </c>
    </row>
    <row r="367" spans="1:26" ht="13.9" customHeight="1" x14ac:dyDescent="0.25">
      <c r="A367" s="15">
        <v>6</v>
      </c>
      <c r="B367" s="15">
        <v>1</v>
      </c>
      <c r="D367" s="13" t="s">
        <v>21</v>
      </c>
      <c r="E367" s="24">
        <v>41</v>
      </c>
      <c r="F367" s="24" t="s">
        <v>23</v>
      </c>
      <c r="G367" s="25">
        <f t="shared" ref="G367:Q367" si="199">G377+G386</f>
        <v>15331.27</v>
      </c>
      <c r="H367" s="25">
        <f t="shared" si="199"/>
        <v>22242.639999999999</v>
      </c>
      <c r="I367" s="25">
        <f t="shared" si="199"/>
        <v>20736</v>
      </c>
      <c r="J367" s="25">
        <f t="shared" si="199"/>
        <v>23534</v>
      </c>
      <c r="K367" s="25">
        <f t="shared" si="199"/>
        <v>25007</v>
      </c>
      <c r="L367" s="25">
        <f t="shared" si="199"/>
        <v>300</v>
      </c>
      <c r="M367" s="25">
        <f t="shared" si="199"/>
        <v>0</v>
      </c>
      <c r="N367" s="25">
        <f t="shared" si="199"/>
        <v>0</v>
      </c>
      <c r="O367" s="25">
        <f t="shared" si="199"/>
        <v>0</v>
      </c>
      <c r="P367" s="25">
        <f t="shared" si="199"/>
        <v>25307</v>
      </c>
      <c r="Q367" s="25">
        <f t="shared" si="199"/>
        <v>8934.6299999999992</v>
      </c>
      <c r="R367" s="26">
        <f>IFERROR(Q367/$P367,0)</f>
        <v>0.35304974908128184</v>
      </c>
      <c r="S367" s="25">
        <f>S377+S386</f>
        <v>17652.93</v>
      </c>
      <c r="T367" s="26">
        <f>IFERROR(S367/$P367,0)</f>
        <v>0.69755127039949427</v>
      </c>
      <c r="U367" s="25">
        <f>U377+U386</f>
        <v>0</v>
      </c>
      <c r="V367" s="26">
        <f>IFERROR(U367/$P367,0)</f>
        <v>0</v>
      </c>
      <c r="W367" s="25">
        <f>W377+W386</f>
        <v>0</v>
      </c>
      <c r="X367" s="26">
        <f>IFERROR(W367/$P367,0)</f>
        <v>0</v>
      </c>
      <c r="Y367" s="25">
        <f>Y377+Y386</f>
        <v>22407</v>
      </c>
      <c r="Z367" s="25">
        <f>Z377+Z386</f>
        <v>22407</v>
      </c>
    </row>
    <row r="368" spans="1:26" ht="13.9" customHeight="1" x14ac:dyDescent="0.25">
      <c r="A368" s="15">
        <v>6</v>
      </c>
      <c r="B368" s="15">
        <v>1</v>
      </c>
      <c r="D368" s="30"/>
      <c r="E368" s="31"/>
      <c r="F368" s="27" t="s">
        <v>127</v>
      </c>
      <c r="G368" s="28">
        <f t="shared" ref="G368:Q368" si="200">SUM(G366:G367)</f>
        <v>15331.27</v>
      </c>
      <c r="H368" s="28">
        <f t="shared" si="200"/>
        <v>22731.61</v>
      </c>
      <c r="I368" s="28">
        <f t="shared" si="200"/>
        <v>20736</v>
      </c>
      <c r="J368" s="28">
        <f t="shared" si="200"/>
        <v>23534</v>
      </c>
      <c r="K368" s="28">
        <f t="shared" si="200"/>
        <v>25007</v>
      </c>
      <c r="L368" s="28">
        <f t="shared" si="200"/>
        <v>300</v>
      </c>
      <c r="M368" s="28">
        <f t="shared" si="200"/>
        <v>0</v>
      </c>
      <c r="N368" s="28">
        <f t="shared" si="200"/>
        <v>0</v>
      </c>
      <c r="O368" s="28">
        <f t="shared" si="200"/>
        <v>0</v>
      </c>
      <c r="P368" s="28">
        <f t="shared" si="200"/>
        <v>25307</v>
      </c>
      <c r="Q368" s="28">
        <f t="shared" si="200"/>
        <v>8934.6299999999992</v>
      </c>
      <c r="R368" s="29">
        <f>IFERROR(Q368/$P368,0)</f>
        <v>0.35304974908128184</v>
      </c>
      <c r="S368" s="28">
        <f>SUM(S366:S367)</f>
        <v>17652.93</v>
      </c>
      <c r="T368" s="29">
        <f>IFERROR(S368/$P368,0)</f>
        <v>0.69755127039949427</v>
      </c>
      <c r="U368" s="28">
        <f>SUM(U366:U367)</f>
        <v>0</v>
      </c>
      <c r="V368" s="29">
        <f>IFERROR(U368/$P368,0)</f>
        <v>0</v>
      </c>
      <c r="W368" s="28">
        <f>SUM(W366:W367)</f>
        <v>0</v>
      </c>
      <c r="X368" s="29">
        <f>IFERROR(W368/$P368,0)</f>
        <v>0</v>
      </c>
      <c r="Y368" s="28">
        <f>SUM(Y366:Y367)</f>
        <v>22407</v>
      </c>
      <c r="Z368" s="28">
        <f>SUM(Z366:Z367)</f>
        <v>22407</v>
      </c>
    </row>
    <row r="370" spans="1:26" ht="13.9" customHeight="1" x14ac:dyDescent="0.25">
      <c r="D370" s="73" t="s">
        <v>229</v>
      </c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4"/>
      <c r="S370" s="73"/>
      <c r="T370" s="74"/>
      <c r="U370" s="73"/>
      <c r="V370" s="74"/>
      <c r="W370" s="73"/>
      <c r="X370" s="74"/>
      <c r="Y370" s="73"/>
      <c r="Z370" s="73"/>
    </row>
    <row r="371" spans="1:26" ht="13.9" customHeight="1" x14ac:dyDescent="0.25">
      <c r="D371" s="21" t="s">
        <v>32</v>
      </c>
      <c r="E371" s="21" t="s">
        <v>33</v>
      </c>
      <c r="F371" s="21" t="s">
        <v>34</v>
      </c>
      <c r="G371" s="21" t="s">
        <v>1</v>
      </c>
      <c r="H371" s="21" t="s">
        <v>2</v>
      </c>
      <c r="I371" s="21" t="s">
        <v>3</v>
      </c>
      <c r="J371" s="21" t="s">
        <v>4</v>
      </c>
      <c r="K371" s="21" t="s">
        <v>5</v>
      </c>
      <c r="L371" s="21" t="s">
        <v>6</v>
      </c>
      <c r="M371" s="21" t="s">
        <v>7</v>
      </c>
      <c r="N371" s="21" t="s">
        <v>8</v>
      </c>
      <c r="O371" s="21" t="s">
        <v>9</v>
      </c>
      <c r="P371" s="21" t="s">
        <v>124</v>
      </c>
      <c r="Q371" s="21" t="s">
        <v>11</v>
      </c>
      <c r="R371" s="22" t="s">
        <v>12</v>
      </c>
      <c r="S371" s="21" t="s">
        <v>13</v>
      </c>
      <c r="T371" s="22" t="s">
        <v>14</v>
      </c>
      <c r="U371" s="21" t="s">
        <v>15</v>
      </c>
      <c r="V371" s="22" t="s">
        <v>16</v>
      </c>
      <c r="W371" s="21" t="s">
        <v>17</v>
      </c>
      <c r="X371" s="22" t="s">
        <v>18</v>
      </c>
      <c r="Y371" s="21" t="s">
        <v>19</v>
      </c>
      <c r="Z371" s="21" t="s">
        <v>20</v>
      </c>
    </row>
    <row r="372" spans="1:26" ht="13.9" hidden="1" customHeight="1" x14ac:dyDescent="0.25">
      <c r="A372" s="15">
        <v>6</v>
      </c>
      <c r="B372" s="15">
        <v>1</v>
      </c>
      <c r="C372" s="15">
        <v>1</v>
      </c>
      <c r="D372" s="84" t="s">
        <v>230</v>
      </c>
      <c r="E372" s="24">
        <v>630</v>
      </c>
      <c r="F372" s="24" t="s">
        <v>134</v>
      </c>
      <c r="G372" s="25">
        <v>0</v>
      </c>
      <c r="H372" s="25">
        <v>488.97</v>
      </c>
      <c r="I372" s="25">
        <v>0</v>
      </c>
      <c r="J372" s="25">
        <v>0</v>
      </c>
      <c r="K372" s="25">
        <v>0</v>
      </c>
      <c r="L372" s="25"/>
      <c r="M372" s="25"/>
      <c r="N372" s="25"/>
      <c r="O372" s="25"/>
      <c r="P372" s="25">
        <f>K372+SUM(L372:O372)</f>
        <v>0</v>
      </c>
      <c r="Q372" s="25"/>
      <c r="R372" s="26">
        <f t="shared" ref="R372:R378" si="201">IFERROR(Q372/$P372,0)</f>
        <v>0</v>
      </c>
      <c r="S372" s="25"/>
      <c r="T372" s="26">
        <f t="shared" ref="T372:T378" si="202">IFERROR(S372/$P372,0)</f>
        <v>0</v>
      </c>
      <c r="U372" s="25"/>
      <c r="V372" s="26">
        <f t="shared" ref="V372:V378" si="203">IFERROR(U372/$P372,0)</f>
        <v>0</v>
      </c>
      <c r="W372" s="25"/>
      <c r="X372" s="26">
        <f t="shared" ref="X372:X378" si="204">IFERROR(W372/$P372,0)</f>
        <v>0</v>
      </c>
      <c r="Y372" s="25">
        <v>0</v>
      </c>
      <c r="Z372" s="25">
        <f>Y372</f>
        <v>0</v>
      </c>
    </row>
    <row r="373" spans="1:26" ht="13.9" hidden="1" customHeight="1" x14ac:dyDescent="0.25">
      <c r="A373" s="15">
        <v>6</v>
      </c>
      <c r="B373" s="15">
        <v>1</v>
      </c>
      <c r="C373" s="15">
        <v>1</v>
      </c>
      <c r="D373" s="79" t="s">
        <v>21</v>
      </c>
      <c r="E373" s="85">
        <v>111</v>
      </c>
      <c r="F373" s="48" t="s">
        <v>137</v>
      </c>
      <c r="G373" s="49">
        <f t="shared" ref="G373:Q373" si="205">SUM(G372)</f>
        <v>0</v>
      </c>
      <c r="H373" s="49">
        <f t="shared" si="205"/>
        <v>488.97</v>
      </c>
      <c r="I373" s="49">
        <f t="shared" si="205"/>
        <v>0</v>
      </c>
      <c r="J373" s="49">
        <f t="shared" si="205"/>
        <v>0</v>
      </c>
      <c r="K373" s="49">
        <f t="shared" si="205"/>
        <v>0</v>
      </c>
      <c r="L373" s="49">
        <f t="shared" si="205"/>
        <v>0</v>
      </c>
      <c r="M373" s="49">
        <f t="shared" si="205"/>
        <v>0</v>
      </c>
      <c r="N373" s="49">
        <f t="shared" si="205"/>
        <v>0</v>
      </c>
      <c r="O373" s="49">
        <f t="shared" si="205"/>
        <v>0</v>
      </c>
      <c r="P373" s="49">
        <f t="shared" si="205"/>
        <v>0</v>
      </c>
      <c r="Q373" s="49">
        <f t="shared" si="205"/>
        <v>0</v>
      </c>
      <c r="R373" s="50">
        <f t="shared" si="201"/>
        <v>0</v>
      </c>
      <c r="S373" s="49">
        <f>SUM(S372)</f>
        <v>0</v>
      </c>
      <c r="T373" s="50">
        <f t="shared" si="202"/>
        <v>0</v>
      </c>
      <c r="U373" s="49">
        <f>SUM(U372)</f>
        <v>0</v>
      </c>
      <c r="V373" s="50">
        <f t="shared" si="203"/>
        <v>0</v>
      </c>
      <c r="W373" s="49">
        <f>SUM(W372)</f>
        <v>0</v>
      </c>
      <c r="X373" s="50">
        <f t="shared" si="204"/>
        <v>0</v>
      </c>
      <c r="Y373" s="49">
        <f>SUM(Y372)</f>
        <v>0</v>
      </c>
      <c r="Z373" s="49">
        <f>SUM(Z372)</f>
        <v>0</v>
      </c>
    </row>
    <row r="374" spans="1:26" ht="13.9" customHeight="1" x14ac:dyDescent="0.25">
      <c r="A374" s="15">
        <v>6</v>
      </c>
      <c r="B374" s="15">
        <v>1</v>
      </c>
      <c r="C374" s="15">
        <v>1</v>
      </c>
      <c r="D374" s="11" t="s">
        <v>230</v>
      </c>
      <c r="E374" s="24">
        <v>620</v>
      </c>
      <c r="F374" s="24" t="s">
        <v>133</v>
      </c>
      <c r="G374" s="25">
        <v>108.24</v>
      </c>
      <c r="H374" s="25">
        <v>250.5</v>
      </c>
      <c r="I374" s="25">
        <v>393</v>
      </c>
      <c r="J374" s="25">
        <v>725</v>
      </c>
      <c r="K374" s="25">
        <v>1651</v>
      </c>
      <c r="L374" s="25"/>
      <c r="M374" s="25"/>
      <c r="N374" s="25"/>
      <c r="O374" s="25"/>
      <c r="P374" s="25">
        <f>K374+SUM(L374:O374)</f>
        <v>1651</v>
      </c>
      <c r="Q374" s="25">
        <v>384.27</v>
      </c>
      <c r="R374" s="26">
        <f t="shared" si="201"/>
        <v>0.23274984857662023</v>
      </c>
      <c r="S374" s="25">
        <v>768.54</v>
      </c>
      <c r="T374" s="26">
        <f t="shared" si="202"/>
        <v>0.46549969715324047</v>
      </c>
      <c r="U374" s="25"/>
      <c r="V374" s="26">
        <f t="shared" si="203"/>
        <v>0</v>
      </c>
      <c r="W374" s="25"/>
      <c r="X374" s="26">
        <f t="shared" si="204"/>
        <v>0</v>
      </c>
      <c r="Y374" s="25">
        <f>K374</f>
        <v>1651</v>
      </c>
      <c r="Z374" s="25">
        <f>Y374</f>
        <v>1651</v>
      </c>
    </row>
    <row r="375" spans="1:26" ht="13.9" customHeight="1" x14ac:dyDescent="0.25">
      <c r="A375" s="15">
        <v>6</v>
      </c>
      <c r="B375" s="15">
        <v>1</v>
      </c>
      <c r="C375" s="15">
        <v>1</v>
      </c>
      <c r="D375" s="11" t="s">
        <v>230</v>
      </c>
      <c r="E375" s="24">
        <v>630</v>
      </c>
      <c r="F375" s="24" t="s">
        <v>134</v>
      </c>
      <c r="G375" s="25">
        <v>4723.03</v>
      </c>
      <c r="H375" s="25">
        <v>9692.14</v>
      </c>
      <c r="I375" s="25">
        <v>9043</v>
      </c>
      <c r="J375" s="25">
        <v>10509</v>
      </c>
      <c r="K375" s="25">
        <v>10856</v>
      </c>
      <c r="L375" s="25"/>
      <c r="M375" s="25"/>
      <c r="N375" s="25"/>
      <c r="O375" s="25"/>
      <c r="P375" s="25">
        <f>K375+SUM(L375:O375)</f>
        <v>10856</v>
      </c>
      <c r="Q375" s="25">
        <v>1350.36</v>
      </c>
      <c r="R375" s="26">
        <f t="shared" si="201"/>
        <v>0.12438835666912305</v>
      </c>
      <c r="S375" s="25">
        <v>4184.3900000000003</v>
      </c>
      <c r="T375" s="26">
        <f t="shared" si="202"/>
        <v>0.3854449152542373</v>
      </c>
      <c r="U375" s="25"/>
      <c r="V375" s="26">
        <f t="shared" si="203"/>
        <v>0</v>
      </c>
      <c r="W375" s="25"/>
      <c r="X375" s="26">
        <f t="shared" si="204"/>
        <v>0</v>
      </c>
      <c r="Y375" s="25">
        <f>K375</f>
        <v>10856</v>
      </c>
      <c r="Z375" s="25">
        <f>Y375</f>
        <v>10856</v>
      </c>
    </row>
    <row r="376" spans="1:26" ht="13.9" customHeight="1" x14ac:dyDescent="0.25">
      <c r="A376" s="15">
        <v>6</v>
      </c>
      <c r="B376" s="15">
        <v>1</v>
      </c>
      <c r="C376" s="15">
        <v>1</v>
      </c>
      <c r="D376" s="11" t="s">
        <v>230</v>
      </c>
      <c r="E376" s="24">
        <v>640</v>
      </c>
      <c r="F376" s="24" t="s">
        <v>135</v>
      </c>
      <c r="G376" s="25">
        <v>5000</v>
      </c>
      <c r="H376" s="25">
        <v>6000</v>
      </c>
      <c r="I376" s="25">
        <v>5000</v>
      </c>
      <c r="J376" s="25">
        <v>6000</v>
      </c>
      <c r="K376" s="46">
        <v>6600</v>
      </c>
      <c r="L376" s="25"/>
      <c r="M376" s="25"/>
      <c r="N376" s="25"/>
      <c r="O376" s="25"/>
      <c r="P376" s="25">
        <f>K376+SUM(L376:O376)</f>
        <v>6600</v>
      </c>
      <c r="Q376" s="25">
        <v>6600</v>
      </c>
      <c r="R376" s="26">
        <f t="shared" si="201"/>
        <v>1</v>
      </c>
      <c r="S376" s="25">
        <v>6600</v>
      </c>
      <c r="T376" s="26">
        <f t="shared" si="202"/>
        <v>1</v>
      </c>
      <c r="U376" s="25"/>
      <c r="V376" s="26">
        <f t="shared" si="203"/>
        <v>0</v>
      </c>
      <c r="W376" s="25"/>
      <c r="X376" s="26">
        <f t="shared" si="204"/>
        <v>0</v>
      </c>
      <c r="Y376" s="25">
        <f>K376</f>
        <v>6600</v>
      </c>
      <c r="Z376" s="25">
        <f>Y376</f>
        <v>6600</v>
      </c>
    </row>
    <row r="377" spans="1:26" ht="13.9" customHeight="1" x14ac:dyDescent="0.25">
      <c r="A377" s="15">
        <v>6</v>
      </c>
      <c r="B377" s="15">
        <v>1</v>
      </c>
      <c r="C377" s="15">
        <v>1</v>
      </c>
      <c r="D377" s="79" t="s">
        <v>21</v>
      </c>
      <c r="E377" s="48">
        <v>41</v>
      </c>
      <c r="F377" s="48" t="s">
        <v>23</v>
      </c>
      <c r="G377" s="49">
        <f t="shared" ref="G377:Q377" si="206">SUM(G374:G376)</f>
        <v>9831.27</v>
      </c>
      <c r="H377" s="49">
        <f t="shared" si="206"/>
        <v>15942.64</v>
      </c>
      <c r="I377" s="49">
        <f t="shared" si="206"/>
        <v>14436</v>
      </c>
      <c r="J377" s="49">
        <f t="shared" si="206"/>
        <v>17234</v>
      </c>
      <c r="K377" s="49">
        <f t="shared" si="206"/>
        <v>19107</v>
      </c>
      <c r="L377" s="49">
        <f t="shared" si="206"/>
        <v>0</v>
      </c>
      <c r="M377" s="49">
        <f t="shared" si="206"/>
        <v>0</v>
      </c>
      <c r="N377" s="49">
        <f t="shared" si="206"/>
        <v>0</v>
      </c>
      <c r="O377" s="49">
        <f t="shared" si="206"/>
        <v>0</v>
      </c>
      <c r="P377" s="49">
        <f t="shared" si="206"/>
        <v>19107</v>
      </c>
      <c r="Q377" s="49">
        <f t="shared" si="206"/>
        <v>8334.6299999999992</v>
      </c>
      <c r="R377" s="50">
        <f t="shared" si="201"/>
        <v>0.43620819594912857</v>
      </c>
      <c r="S377" s="49">
        <f>SUM(S374:S376)</f>
        <v>11552.93</v>
      </c>
      <c r="T377" s="50">
        <f t="shared" si="202"/>
        <v>0.60464384780446956</v>
      </c>
      <c r="U377" s="49">
        <f>SUM(U374:U376)</f>
        <v>0</v>
      </c>
      <c r="V377" s="50">
        <f t="shared" si="203"/>
        <v>0</v>
      </c>
      <c r="W377" s="49">
        <f>SUM(W374:W376)</f>
        <v>0</v>
      </c>
      <c r="X377" s="50">
        <f t="shared" si="204"/>
        <v>0</v>
      </c>
      <c r="Y377" s="49">
        <f>SUM(Y374:Y376)</f>
        <v>19107</v>
      </c>
      <c r="Z377" s="49">
        <f>SUM(Z374:Z376)</f>
        <v>19107</v>
      </c>
    </row>
    <row r="378" spans="1:26" ht="13.9" customHeight="1" x14ac:dyDescent="0.25">
      <c r="A378" s="15">
        <v>6</v>
      </c>
      <c r="B378" s="15">
        <v>1</v>
      </c>
      <c r="C378" s="15">
        <v>1</v>
      </c>
      <c r="D378" s="86"/>
      <c r="E378" s="87"/>
      <c r="F378" s="27" t="s">
        <v>127</v>
      </c>
      <c r="G378" s="28">
        <f t="shared" ref="G378:Q378" si="207">G373+G377</f>
        <v>9831.27</v>
      </c>
      <c r="H378" s="28">
        <f t="shared" si="207"/>
        <v>16431.61</v>
      </c>
      <c r="I378" s="28">
        <f t="shared" si="207"/>
        <v>14436</v>
      </c>
      <c r="J378" s="28">
        <f t="shared" si="207"/>
        <v>17234</v>
      </c>
      <c r="K378" s="28">
        <f t="shared" si="207"/>
        <v>19107</v>
      </c>
      <c r="L378" s="28">
        <f t="shared" si="207"/>
        <v>0</v>
      </c>
      <c r="M378" s="28">
        <f t="shared" si="207"/>
        <v>0</v>
      </c>
      <c r="N378" s="28">
        <f t="shared" si="207"/>
        <v>0</v>
      </c>
      <c r="O378" s="28">
        <f t="shared" si="207"/>
        <v>0</v>
      </c>
      <c r="P378" s="28">
        <f t="shared" si="207"/>
        <v>19107</v>
      </c>
      <c r="Q378" s="28">
        <f t="shared" si="207"/>
        <v>8334.6299999999992</v>
      </c>
      <c r="R378" s="29">
        <f t="shared" si="201"/>
        <v>0.43620819594912857</v>
      </c>
      <c r="S378" s="28">
        <f>S373+S377</f>
        <v>11552.93</v>
      </c>
      <c r="T378" s="29">
        <f t="shared" si="202"/>
        <v>0.60464384780446956</v>
      </c>
      <c r="U378" s="28">
        <f>U373+U377</f>
        <v>0</v>
      </c>
      <c r="V378" s="29">
        <f t="shared" si="203"/>
        <v>0</v>
      </c>
      <c r="W378" s="28">
        <f>W373+W377</f>
        <v>0</v>
      </c>
      <c r="X378" s="29">
        <f t="shared" si="204"/>
        <v>0</v>
      </c>
      <c r="Y378" s="28">
        <f>Y373+Y377</f>
        <v>19107</v>
      </c>
      <c r="Z378" s="28">
        <f>Z373+Z377</f>
        <v>19107</v>
      </c>
    </row>
    <row r="380" spans="1:26" ht="13.9" customHeight="1" x14ac:dyDescent="0.25">
      <c r="E380" s="52" t="s">
        <v>55</v>
      </c>
      <c r="F380" s="30" t="s">
        <v>150</v>
      </c>
      <c r="G380" s="118">
        <v>946</v>
      </c>
      <c r="H380" s="118">
        <v>2401.6799999999998</v>
      </c>
      <c r="I380" s="118">
        <v>2402</v>
      </c>
      <c r="J380" s="118">
        <v>1078</v>
      </c>
      <c r="K380" s="118">
        <v>1080</v>
      </c>
      <c r="L380" s="118"/>
      <c r="M380" s="118"/>
      <c r="N380" s="118"/>
      <c r="O380" s="118"/>
      <c r="P380" s="118">
        <f>K380+SUM(L380:O380)</f>
        <v>1080</v>
      </c>
      <c r="Q380" s="118">
        <v>281.25</v>
      </c>
      <c r="R380" s="124">
        <f>IFERROR(Q380/$P380,0)</f>
        <v>0.26041666666666669</v>
      </c>
      <c r="S380" s="118">
        <v>561.27</v>
      </c>
      <c r="T380" s="124">
        <f>IFERROR(S380/$P380,0)</f>
        <v>0.51969444444444446</v>
      </c>
      <c r="U380" s="118"/>
      <c r="V380" s="124">
        <f>IFERROR(U380/$P380,0)</f>
        <v>0</v>
      </c>
      <c r="W380" s="118"/>
      <c r="X380" s="125">
        <f>IFERROR(W380/$P380,0)</f>
        <v>0</v>
      </c>
      <c r="Y380" s="53">
        <f>K380</f>
        <v>1080</v>
      </c>
      <c r="Z380" s="56">
        <f>Y380</f>
        <v>1080</v>
      </c>
    </row>
    <row r="381" spans="1:26" ht="13.9" customHeight="1" x14ac:dyDescent="0.25">
      <c r="E381" s="65"/>
      <c r="F381" s="97" t="s">
        <v>231</v>
      </c>
      <c r="G381" s="120">
        <v>0</v>
      </c>
      <c r="H381" s="120">
        <v>2358</v>
      </c>
      <c r="I381" s="120">
        <v>4484</v>
      </c>
      <c r="J381" s="120">
        <v>4487</v>
      </c>
      <c r="K381" s="120">
        <v>5813</v>
      </c>
      <c r="L381" s="120"/>
      <c r="M381" s="120"/>
      <c r="N381" s="120"/>
      <c r="O381" s="120"/>
      <c r="P381" s="120">
        <f>K381+SUM(L381:O381)</f>
        <v>5813</v>
      </c>
      <c r="Q381" s="120">
        <v>1453.38</v>
      </c>
      <c r="R381" s="121">
        <f>IFERROR(Q381/$P381,0)</f>
        <v>0.25002236366764152</v>
      </c>
      <c r="S381" s="120">
        <v>2906.76</v>
      </c>
      <c r="T381" s="121">
        <f>IFERROR(S381/$P381,0)</f>
        <v>0.50004472733528305</v>
      </c>
      <c r="U381" s="120"/>
      <c r="V381" s="121">
        <f>IFERROR(U381/$P381,0)</f>
        <v>0</v>
      </c>
      <c r="W381" s="120"/>
      <c r="X381" s="122">
        <f>IFERROR(W381/$P381,0)</f>
        <v>0</v>
      </c>
      <c r="Y381" s="67">
        <f>K381</f>
        <v>5813</v>
      </c>
      <c r="Z381" s="70">
        <f>Y381</f>
        <v>5813</v>
      </c>
    </row>
    <row r="383" spans="1:26" ht="13.9" customHeight="1" x14ac:dyDescent="0.25">
      <c r="D383" s="73" t="s">
        <v>232</v>
      </c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4"/>
      <c r="S383" s="73"/>
      <c r="T383" s="74"/>
      <c r="U383" s="73"/>
      <c r="V383" s="74"/>
      <c r="W383" s="73"/>
      <c r="X383" s="74"/>
      <c r="Y383" s="73"/>
      <c r="Z383" s="73"/>
    </row>
    <row r="384" spans="1:26" ht="13.9" customHeight="1" x14ac:dyDescent="0.25">
      <c r="D384" s="21" t="s">
        <v>32</v>
      </c>
      <c r="E384" s="21" t="s">
        <v>33</v>
      </c>
      <c r="F384" s="21" t="s">
        <v>34</v>
      </c>
      <c r="G384" s="21" t="s">
        <v>1</v>
      </c>
      <c r="H384" s="21" t="s">
        <v>2</v>
      </c>
      <c r="I384" s="21" t="s">
        <v>3</v>
      </c>
      <c r="J384" s="21" t="s">
        <v>4</v>
      </c>
      <c r="K384" s="21" t="s">
        <v>5</v>
      </c>
      <c r="L384" s="21" t="s">
        <v>6</v>
      </c>
      <c r="M384" s="21" t="s">
        <v>7</v>
      </c>
      <c r="N384" s="21" t="s">
        <v>8</v>
      </c>
      <c r="O384" s="21" t="s">
        <v>9</v>
      </c>
      <c r="P384" s="21" t="s">
        <v>124</v>
      </c>
      <c r="Q384" s="21" t="s">
        <v>11</v>
      </c>
      <c r="R384" s="22" t="s">
        <v>12</v>
      </c>
      <c r="S384" s="21" t="s">
        <v>13</v>
      </c>
      <c r="T384" s="22" t="s">
        <v>14</v>
      </c>
      <c r="U384" s="21" t="s">
        <v>15</v>
      </c>
      <c r="V384" s="22" t="s">
        <v>16</v>
      </c>
      <c r="W384" s="21" t="s">
        <v>17</v>
      </c>
      <c r="X384" s="22" t="s">
        <v>18</v>
      </c>
      <c r="Y384" s="21" t="s">
        <v>19</v>
      </c>
      <c r="Z384" s="21" t="s">
        <v>20</v>
      </c>
    </row>
    <row r="385" spans="1:26" ht="13.9" customHeight="1" x14ac:dyDescent="0.25">
      <c r="A385" s="15">
        <v>6</v>
      </c>
      <c r="B385" s="15">
        <v>1</v>
      </c>
      <c r="C385" s="15">
        <v>2</v>
      </c>
      <c r="D385" s="84" t="s">
        <v>230</v>
      </c>
      <c r="E385" s="24">
        <v>640</v>
      </c>
      <c r="F385" s="24" t="s">
        <v>135</v>
      </c>
      <c r="G385" s="25">
        <v>5500</v>
      </c>
      <c r="H385" s="25">
        <v>6300</v>
      </c>
      <c r="I385" s="25">
        <f>SUM(I389:I391)</f>
        <v>6300</v>
      </c>
      <c r="J385" s="25">
        <f>SUM(J389:J391)</f>
        <v>6300</v>
      </c>
      <c r="K385" s="25">
        <f>SUM(K389:K391)</f>
        <v>5900</v>
      </c>
      <c r="L385" s="25">
        <v>300</v>
      </c>
      <c r="M385" s="25"/>
      <c r="N385" s="25"/>
      <c r="O385" s="25"/>
      <c r="P385" s="25">
        <f>K385+SUM(L385:O385)</f>
        <v>6200</v>
      </c>
      <c r="Q385" s="25">
        <v>600</v>
      </c>
      <c r="R385" s="26">
        <f>IFERROR(Q385/$P385,0)</f>
        <v>9.6774193548387094E-2</v>
      </c>
      <c r="S385" s="25">
        <v>6100</v>
      </c>
      <c r="T385" s="26">
        <f>IFERROR(S385/$P385,0)</f>
        <v>0.9838709677419355</v>
      </c>
      <c r="U385" s="25"/>
      <c r="V385" s="26">
        <f>IFERROR(U385/$P385,0)</f>
        <v>0</v>
      </c>
      <c r="W385" s="25"/>
      <c r="X385" s="26">
        <f>IFERROR(W385/$P385,0)</f>
        <v>0</v>
      </c>
      <c r="Y385" s="25">
        <f>SUM(Y389:Y391)</f>
        <v>3300</v>
      </c>
      <c r="Z385" s="25">
        <f>SUM(Z389:Z391)</f>
        <v>3300</v>
      </c>
    </row>
    <row r="386" spans="1:26" ht="13.9" customHeight="1" x14ac:dyDescent="0.25">
      <c r="A386" s="15">
        <v>6</v>
      </c>
      <c r="B386" s="15">
        <v>1</v>
      </c>
      <c r="C386" s="15">
        <v>2</v>
      </c>
      <c r="D386" s="79" t="s">
        <v>21</v>
      </c>
      <c r="E386" s="48">
        <v>41</v>
      </c>
      <c r="F386" s="48" t="s">
        <v>23</v>
      </c>
      <c r="G386" s="49">
        <f t="shared" ref="G386:Q386" si="208">SUM(G385)</f>
        <v>5500</v>
      </c>
      <c r="H386" s="49">
        <f t="shared" si="208"/>
        <v>6300</v>
      </c>
      <c r="I386" s="49">
        <f t="shared" si="208"/>
        <v>6300</v>
      </c>
      <c r="J386" s="49">
        <f t="shared" si="208"/>
        <v>6300</v>
      </c>
      <c r="K386" s="49">
        <f t="shared" si="208"/>
        <v>5900</v>
      </c>
      <c r="L386" s="49">
        <f t="shared" si="208"/>
        <v>300</v>
      </c>
      <c r="M386" s="49">
        <f t="shared" si="208"/>
        <v>0</v>
      </c>
      <c r="N386" s="49">
        <f t="shared" si="208"/>
        <v>0</v>
      </c>
      <c r="O386" s="49">
        <f t="shared" si="208"/>
        <v>0</v>
      </c>
      <c r="P386" s="49">
        <f t="shared" si="208"/>
        <v>6200</v>
      </c>
      <c r="Q386" s="49">
        <f t="shared" si="208"/>
        <v>600</v>
      </c>
      <c r="R386" s="50">
        <f>IFERROR(Q386/$P386,0)</f>
        <v>9.6774193548387094E-2</v>
      </c>
      <c r="S386" s="49">
        <f>SUM(S385)</f>
        <v>6100</v>
      </c>
      <c r="T386" s="50">
        <f>IFERROR(S386/$P386,0)</f>
        <v>0.9838709677419355</v>
      </c>
      <c r="U386" s="49">
        <f>SUM(U385)</f>
        <v>0</v>
      </c>
      <c r="V386" s="50">
        <f>IFERROR(U386/$P386,0)</f>
        <v>0</v>
      </c>
      <c r="W386" s="49">
        <f>SUM(W385)</f>
        <v>0</v>
      </c>
      <c r="X386" s="50">
        <f>IFERROR(W386/$P386,0)</f>
        <v>0</v>
      </c>
      <c r="Y386" s="49">
        <f>SUM(Y385)</f>
        <v>3300</v>
      </c>
      <c r="Z386" s="49">
        <f>SUM(Z385)</f>
        <v>3300</v>
      </c>
    </row>
    <row r="387" spans="1:26" ht="13.9" customHeight="1" x14ac:dyDescent="0.25">
      <c r="A387" s="15">
        <v>6</v>
      </c>
      <c r="B387" s="15">
        <v>1</v>
      </c>
      <c r="C387" s="15">
        <v>2</v>
      </c>
      <c r="D387" s="86"/>
      <c r="E387" s="87"/>
      <c r="F387" s="27" t="s">
        <v>127</v>
      </c>
      <c r="G387" s="28">
        <f t="shared" ref="G387:Q387" si="209">G386</f>
        <v>5500</v>
      </c>
      <c r="H387" s="28">
        <f t="shared" si="209"/>
        <v>6300</v>
      </c>
      <c r="I387" s="28">
        <f t="shared" si="209"/>
        <v>6300</v>
      </c>
      <c r="J387" s="28">
        <f t="shared" si="209"/>
        <v>6300</v>
      </c>
      <c r="K387" s="28">
        <f t="shared" si="209"/>
        <v>5900</v>
      </c>
      <c r="L387" s="28">
        <f t="shared" si="209"/>
        <v>300</v>
      </c>
      <c r="M387" s="28">
        <f t="shared" si="209"/>
        <v>0</v>
      </c>
      <c r="N387" s="28">
        <f t="shared" si="209"/>
        <v>0</v>
      </c>
      <c r="O387" s="28">
        <f t="shared" si="209"/>
        <v>0</v>
      </c>
      <c r="P387" s="28">
        <f t="shared" si="209"/>
        <v>6200</v>
      </c>
      <c r="Q387" s="28">
        <f t="shared" si="209"/>
        <v>600</v>
      </c>
      <c r="R387" s="29">
        <f>IFERROR(Q387/$P387,0)</f>
        <v>9.6774193548387094E-2</v>
      </c>
      <c r="S387" s="28">
        <f>S386</f>
        <v>6100</v>
      </c>
      <c r="T387" s="29">
        <f>IFERROR(S387/$P387,0)</f>
        <v>0.9838709677419355</v>
      </c>
      <c r="U387" s="28">
        <f>U386</f>
        <v>0</v>
      </c>
      <c r="V387" s="29">
        <f>IFERROR(U387/$P387,0)</f>
        <v>0</v>
      </c>
      <c r="W387" s="28">
        <f>W386</f>
        <v>0</v>
      </c>
      <c r="X387" s="29">
        <f>IFERROR(W387/$P387,0)</f>
        <v>0</v>
      </c>
      <c r="Y387" s="28">
        <f>Y386</f>
        <v>3300</v>
      </c>
      <c r="Z387" s="28">
        <f>Z386</f>
        <v>3300</v>
      </c>
    </row>
    <row r="389" spans="1:26" ht="13.9" customHeight="1" x14ac:dyDescent="0.25">
      <c r="E389" s="52" t="s">
        <v>55</v>
      </c>
      <c r="F389" s="30" t="s">
        <v>233</v>
      </c>
      <c r="G389" s="53">
        <v>500</v>
      </c>
      <c r="H389" s="53">
        <v>300</v>
      </c>
      <c r="I389" s="53">
        <v>300</v>
      </c>
      <c r="J389" s="53">
        <v>300</v>
      </c>
      <c r="K389" s="118">
        <v>400</v>
      </c>
      <c r="L389" s="53"/>
      <c r="M389" s="53"/>
      <c r="N389" s="53"/>
      <c r="O389" s="53"/>
      <c r="P389" s="53">
        <f>K389+SUM(L389:O389)</f>
        <v>400</v>
      </c>
      <c r="Q389" s="53">
        <v>300</v>
      </c>
      <c r="R389" s="54">
        <f>IFERROR(Q389/$P389,0)</f>
        <v>0.75</v>
      </c>
      <c r="S389" s="53">
        <v>300</v>
      </c>
      <c r="T389" s="54">
        <f>IFERROR(S389/$P389,0)</f>
        <v>0.75</v>
      </c>
      <c r="U389" s="53"/>
      <c r="V389" s="54">
        <f>IFERROR(U389/$P389,0)</f>
        <v>0</v>
      </c>
      <c r="W389" s="53"/>
      <c r="X389" s="55">
        <f>IFERROR(W389/$P389,0)</f>
        <v>0</v>
      </c>
      <c r="Y389" s="53">
        <v>300</v>
      </c>
      <c r="Z389" s="56">
        <f>Y389</f>
        <v>300</v>
      </c>
    </row>
    <row r="390" spans="1:26" ht="13.9" customHeight="1" x14ac:dyDescent="0.25">
      <c r="E390" s="57"/>
      <c r="F390" s="92" t="s">
        <v>234</v>
      </c>
      <c r="G390" s="95"/>
      <c r="H390" s="95"/>
      <c r="I390" s="95"/>
      <c r="J390" s="95"/>
      <c r="K390" s="93">
        <v>0</v>
      </c>
      <c r="L390" s="95">
        <v>300</v>
      </c>
      <c r="M390" s="95"/>
      <c r="N390" s="95"/>
      <c r="O390" s="95"/>
      <c r="P390" s="95">
        <f>K390+SUM(L390:O390)</f>
        <v>300</v>
      </c>
      <c r="Q390" s="95">
        <v>300</v>
      </c>
      <c r="R390" s="96">
        <f>IFERROR(Q390/$P390,0)</f>
        <v>1</v>
      </c>
      <c r="S390" s="95">
        <v>300</v>
      </c>
      <c r="T390" s="96">
        <f>IFERROR(S390/$P390,0)</f>
        <v>1</v>
      </c>
      <c r="U390" s="95"/>
      <c r="V390" s="96">
        <f>IFERROR(U390/$P390,0)</f>
        <v>0</v>
      </c>
      <c r="W390" s="95"/>
      <c r="X390" s="60">
        <f>IFERROR(W390/$P390,0)</f>
        <v>0</v>
      </c>
      <c r="Y390" s="53"/>
      <c r="Z390" s="56"/>
    </row>
    <row r="391" spans="1:26" ht="13.9" customHeight="1" x14ac:dyDescent="0.25">
      <c r="E391" s="100"/>
      <c r="F391" s="101" t="s">
        <v>235</v>
      </c>
      <c r="G391" s="105">
        <v>5000</v>
      </c>
      <c r="H391" s="105">
        <v>6000</v>
      </c>
      <c r="I391" s="105">
        <v>6000</v>
      </c>
      <c r="J391" s="105">
        <v>6000</v>
      </c>
      <c r="K391" s="102">
        <v>5500</v>
      </c>
      <c r="L391" s="105"/>
      <c r="M391" s="105"/>
      <c r="N391" s="105"/>
      <c r="O391" s="105"/>
      <c r="P391" s="105">
        <f>K391+SUM(L391:O391)</f>
        <v>5500</v>
      </c>
      <c r="Q391" s="105">
        <v>0</v>
      </c>
      <c r="R391" s="126">
        <f>IFERROR(Q391/$P391,0)</f>
        <v>0</v>
      </c>
      <c r="S391" s="105">
        <v>5500</v>
      </c>
      <c r="T391" s="126">
        <f>IFERROR(S391/$P391,0)</f>
        <v>1</v>
      </c>
      <c r="U391" s="105"/>
      <c r="V391" s="126">
        <f>IFERROR(U391/$P391,0)</f>
        <v>0</v>
      </c>
      <c r="W391" s="105"/>
      <c r="X391" s="127">
        <f>IFERROR(W391/$P391,0)</f>
        <v>0</v>
      </c>
      <c r="Y391" s="105">
        <v>3000</v>
      </c>
      <c r="Z391" s="106">
        <f>Y391</f>
        <v>3000</v>
      </c>
    </row>
    <row r="393" spans="1:26" ht="13.9" customHeight="1" x14ac:dyDescent="0.25">
      <c r="D393" s="41" t="s">
        <v>236</v>
      </c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2"/>
      <c r="S393" s="41"/>
      <c r="T393" s="42"/>
      <c r="U393" s="41"/>
      <c r="V393" s="42"/>
      <c r="W393" s="41"/>
      <c r="X393" s="42"/>
      <c r="Y393" s="41"/>
      <c r="Z393" s="41"/>
    </row>
    <row r="394" spans="1:26" ht="13.9" customHeight="1" x14ac:dyDescent="0.25">
      <c r="D394" s="128"/>
      <c r="E394" s="128"/>
      <c r="F394" s="128"/>
      <c r="G394" s="21" t="s">
        <v>1</v>
      </c>
      <c r="H394" s="21" t="s">
        <v>2</v>
      </c>
      <c r="I394" s="21" t="s">
        <v>3</v>
      </c>
      <c r="J394" s="21" t="s">
        <v>4</v>
      </c>
      <c r="K394" s="21" t="s">
        <v>5</v>
      </c>
      <c r="L394" s="21" t="s">
        <v>6</v>
      </c>
      <c r="M394" s="21" t="s">
        <v>7</v>
      </c>
      <c r="N394" s="21" t="s">
        <v>8</v>
      </c>
      <c r="O394" s="21" t="s">
        <v>9</v>
      </c>
      <c r="P394" s="21" t="s">
        <v>124</v>
      </c>
      <c r="Q394" s="21" t="s">
        <v>11</v>
      </c>
      <c r="R394" s="22" t="s">
        <v>12</v>
      </c>
      <c r="S394" s="21" t="s">
        <v>13</v>
      </c>
      <c r="T394" s="22" t="s">
        <v>14</v>
      </c>
      <c r="U394" s="21" t="s">
        <v>15</v>
      </c>
      <c r="V394" s="22" t="s">
        <v>16</v>
      </c>
      <c r="W394" s="21" t="s">
        <v>17</v>
      </c>
      <c r="X394" s="22" t="s">
        <v>18</v>
      </c>
      <c r="Y394" s="21" t="s">
        <v>19</v>
      </c>
      <c r="Z394" s="21" t="s">
        <v>20</v>
      </c>
    </row>
    <row r="395" spans="1:26" ht="13.9" hidden="1" customHeight="1" x14ac:dyDescent="0.25">
      <c r="A395" s="15">
        <v>6</v>
      </c>
      <c r="B395" s="15">
        <v>2</v>
      </c>
      <c r="D395" s="3" t="s">
        <v>21</v>
      </c>
      <c r="E395" s="24">
        <v>111</v>
      </c>
      <c r="F395" s="24" t="s">
        <v>137</v>
      </c>
      <c r="G395" s="25">
        <f t="shared" ref="G395:Q395" si="210">G402</f>
        <v>0</v>
      </c>
      <c r="H395" s="25">
        <f t="shared" si="210"/>
        <v>71.28</v>
      </c>
      <c r="I395" s="25">
        <f t="shared" si="210"/>
        <v>0</v>
      </c>
      <c r="J395" s="25">
        <f t="shared" si="210"/>
        <v>0</v>
      </c>
      <c r="K395" s="25">
        <f t="shared" si="210"/>
        <v>0</v>
      </c>
      <c r="L395" s="25">
        <f t="shared" si="210"/>
        <v>0</v>
      </c>
      <c r="M395" s="25">
        <f t="shared" si="210"/>
        <v>0</v>
      </c>
      <c r="N395" s="25">
        <f t="shared" si="210"/>
        <v>0</v>
      </c>
      <c r="O395" s="25">
        <f t="shared" si="210"/>
        <v>0</v>
      </c>
      <c r="P395" s="25">
        <f t="shared" si="210"/>
        <v>0</v>
      </c>
      <c r="Q395" s="25">
        <f t="shared" si="210"/>
        <v>0</v>
      </c>
      <c r="R395" s="26">
        <f>IFERROR(Q395/$P395,0)</f>
        <v>0</v>
      </c>
      <c r="S395" s="25">
        <f>S402</f>
        <v>0</v>
      </c>
      <c r="T395" s="26">
        <f>IFERROR(S395/$P395,0)</f>
        <v>0</v>
      </c>
      <c r="U395" s="25">
        <f>U402</f>
        <v>0</v>
      </c>
      <c r="V395" s="26">
        <f>IFERROR(U395/$P395,0)</f>
        <v>0</v>
      </c>
      <c r="W395" s="25">
        <f>W402</f>
        <v>0</v>
      </c>
      <c r="X395" s="26">
        <f>IFERROR(W395/$P395,0)</f>
        <v>0</v>
      </c>
      <c r="Y395" s="25">
        <f>Y402</f>
        <v>0</v>
      </c>
      <c r="Z395" s="25">
        <f>Z402</f>
        <v>0</v>
      </c>
    </row>
    <row r="396" spans="1:26" ht="13.9" customHeight="1" x14ac:dyDescent="0.25">
      <c r="A396" s="15">
        <v>6</v>
      </c>
      <c r="B396" s="15">
        <v>2</v>
      </c>
      <c r="D396" s="3" t="s">
        <v>21</v>
      </c>
      <c r="E396" s="137">
        <v>41</v>
      </c>
      <c r="F396" s="137" t="s">
        <v>23</v>
      </c>
      <c r="G396" s="25">
        <f t="shared" ref="G396:O396" si="211">G404+G415+G427</f>
        <v>12610.43</v>
      </c>
      <c r="H396" s="25">
        <f t="shared" si="211"/>
        <v>15022.25</v>
      </c>
      <c r="I396" s="25">
        <f t="shared" si="211"/>
        <v>15981</v>
      </c>
      <c r="J396" s="25">
        <f t="shared" si="211"/>
        <v>16409</v>
      </c>
      <c r="K396" s="25">
        <f t="shared" si="211"/>
        <v>13800</v>
      </c>
      <c r="L396" s="25">
        <f t="shared" si="211"/>
        <v>400</v>
      </c>
      <c r="M396" s="25">
        <f t="shared" si="211"/>
        <v>19</v>
      </c>
      <c r="N396" s="25">
        <f t="shared" si="211"/>
        <v>0</v>
      </c>
      <c r="O396" s="25">
        <f t="shared" si="211"/>
        <v>0</v>
      </c>
      <c r="P396" s="25">
        <f>K396+SUM(L396:O396)</f>
        <v>14219</v>
      </c>
      <c r="Q396" s="25">
        <f>Q404+Q415+Q427</f>
        <v>1722.43</v>
      </c>
      <c r="R396" s="26">
        <f>IFERROR(Q396/$P396,0)</f>
        <v>0.12113580420564035</v>
      </c>
      <c r="S396" s="25">
        <f>S404+S415+S427</f>
        <v>6815.33</v>
      </c>
      <c r="T396" s="26">
        <f>IFERROR(S396/$P396,0)</f>
        <v>0.47931148463323719</v>
      </c>
      <c r="U396" s="25">
        <f>U404+U415+U427</f>
        <v>0</v>
      </c>
      <c r="V396" s="26">
        <f>IFERROR(U396/$P396,0)</f>
        <v>0</v>
      </c>
      <c r="W396" s="25">
        <f>W404+W415+W427</f>
        <v>0</v>
      </c>
      <c r="X396" s="26">
        <f>IFERROR(W396/$P396,0)</f>
        <v>0</v>
      </c>
      <c r="Y396" s="25">
        <f>Y404+Y415+Y427</f>
        <v>13800</v>
      </c>
      <c r="Z396" s="25">
        <f>Z404+Z415+Z427</f>
        <v>13800</v>
      </c>
    </row>
    <row r="397" spans="1:26" ht="13.9" customHeight="1" x14ac:dyDescent="0.25">
      <c r="A397" s="15">
        <v>6</v>
      </c>
      <c r="B397" s="15">
        <v>2</v>
      </c>
      <c r="D397" s="30"/>
      <c r="E397" s="31"/>
      <c r="F397" s="27" t="s">
        <v>127</v>
      </c>
      <c r="G397" s="28">
        <f t="shared" ref="G397:Q397" si="212">SUM(G395:G396)</f>
        <v>12610.43</v>
      </c>
      <c r="H397" s="28">
        <f t="shared" si="212"/>
        <v>15093.53</v>
      </c>
      <c r="I397" s="28">
        <f t="shared" si="212"/>
        <v>15981</v>
      </c>
      <c r="J397" s="28">
        <f t="shared" si="212"/>
        <v>16409</v>
      </c>
      <c r="K397" s="28">
        <f t="shared" si="212"/>
        <v>13800</v>
      </c>
      <c r="L397" s="28">
        <f t="shared" si="212"/>
        <v>400</v>
      </c>
      <c r="M397" s="28">
        <f t="shared" si="212"/>
        <v>19</v>
      </c>
      <c r="N397" s="28">
        <f t="shared" si="212"/>
        <v>0</v>
      </c>
      <c r="O397" s="28">
        <f t="shared" si="212"/>
        <v>0</v>
      </c>
      <c r="P397" s="28">
        <f t="shared" si="212"/>
        <v>14219</v>
      </c>
      <c r="Q397" s="28">
        <f t="shared" si="212"/>
        <v>1722.43</v>
      </c>
      <c r="R397" s="29">
        <f>IFERROR(Q397/$P397,0)</f>
        <v>0.12113580420564035</v>
      </c>
      <c r="S397" s="28">
        <f>SUM(S395:S396)</f>
        <v>6815.33</v>
      </c>
      <c r="T397" s="29">
        <f>IFERROR(S397/$P397,0)</f>
        <v>0.47931148463323719</v>
      </c>
      <c r="U397" s="28">
        <f>SUM(U395:U396)</f>
        <v>0</v>
      </c>
      <c r="V397" s="29">
        <f>IFERROR(U397/$P397,0)</f>
        <v>0</v>
      </c>
      <c r="W397" s="28">
        <f>SUM(W395:W396)</f>
        <v>0</v>
      </c>
      <c r="X397" s="29">
        <f>IFERROR(W397/$P397,0)</f>
        <v>0</v>
      </c>
      <c r="Y397" s="28">
        <f>SUM(Y395:Y396)</f>
        <v>13800</v>
      </c>
      <c r="Z397" s="28">
        <f>SUM(Z395:Z396)</f>
        <v>13800</v>
      </c>
    </row>
    <row r="399" spans="1:26" ht="13.9" customHeight="1" x14ac:dyDescent="0.25">
      <c r="D399" s="73" t="s">
        <v>237</v>
      </c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4"/>
      <c r="S399" s="73"/>
      <c r="T399" s="74"/>
      <c r="U399" s="73"/>
      <c r="V399" s="74"/>
      <c r="W399" s="73"/>
      <c r="X399" s="74"/>
      <c r="Y399" s="73"/>
      <c r="Z399" s="73"/>
    </row>
    <row r="400" spans="1:26" ht="13.9" customHeight="1" x14ac:dyDescent="0.25">
      <c r="D400" s="21" t="s">
        <v>32</v>
      </c>
      <c r="E400" s="21" t="s">
        <v>33</v>
      </c>
      <c r="F400" s="21" t="s">
        <v>34</v>
      </c>
      <c r="G400" s="21" t="s">
        <v>1</v>
      </c>
      <c r="H400" s="21" t="s">
        <v>2</v>
      </c>
      <c r="I400" s="21" t="s">
        <v>3</v>
      </c>
      <c r="J400" s="21" t="s">
        <v>4</v>
      </c>
      <c r="K400" s="21" t="s">
        <v>5</v>
      </c>
      <c r="L400" s="21" t="s">
        <v>6</v>
      </c>
      <c r="M400" s="21" t="s">
        <v>7</v>
      </c>
      <c r="N400" s="21" t="s">
        <v>8</v>
      </c>
      <c r="O400" s="21" t="s">
        <v>9</v>
      </c>
      <c r="P400" s="21" t="s">
        <v>124</v>
      </c>
      <c r="Q400" s="21" t="s">
        <v>11</v>
      </c>
      <c r="R400" s="22" t="s">
        <v>12</v>
      </c>
      <c r="S400" s="21" t="s">
        <v>13</v>
      </c>
      <c r="T400" s="22" t="s">
        <v>14</v>
      </c>
      <c r="U400" s="21" t="s">
        <v>15</v>
      </c>
      <c r="V400" s="22" t="s">
        <v>16</v>
      </c>
      <c r="W400" s="21" t="s">
        <v>17</v>
      </c>
      <c r="X400" s="22" t="s">
        <v>18</v>
      </c>
      <c r="Y400" s="21" t="s">
        <v>19</v>
      </c>
      <c r="Z400" s="21" t="s">
        <v>20</v>
      </c>
    </row>
    <row r="401" spans="1:26" ht="13.9" hidden="1" customHeight="1" x14ac:dyDescent="0.25">
      <c r="A401" s="15">
        <v>6</v>
      </c>
      <c r="B401" s="15">
        <v>2</v>
      </c>
      <c r="C401" s="15">
        <v>1</v>
      </c>
      <c r="D401" s="84" t="s">
        <v>238</v>
      </c>
      <c r="E401" s="24">
        <v>630</v>
      </c>
      <c r="F401" s="24" t="s">
        <v>134</v>
      </c>
      <c r="G401" s="25">
        <v>0</v>
      </c>
      <c r="H401" s="25">
        <v>71.28</v>
      </c>
      <c r="I401" s="25">
        <v>0</v>
      </c>
      <c r="J401" s="25">
        <v>0</v>
      </c>
      <c r="K401" s="25">
        <v>0</v>
      </c>
      <c r="L401" s="25"/>
      <c r="M401" s="25"/>
      <c r="N401" s="25"/>
      <c r="O401" s="25"/>
      <c r="P401" s="25">
        <f>K401+SUM(L401:O401)</f>
        <v>0</v>
      </c>
      <c r="Q401" s="25"/>
      <c r="R401" s="26">
        <f>IFERROR(Q401/$P401,0)</f>
        <v>0</v>
      </c>
      <c r="S401" s="25"/>
      <c r="T401" s="26">
        <f>IFERROR(S401/$P401,0)</f>
        <v>0</v>
      </c>
      <c r="U401" s="25"/>
      <c r="V401" s="26">
        <f>IFERROR(U401/$P401,0)</f>
        <v>0</v>
      </c>
      <c r="W401" s="25"/>
      <c r="X401" s="26">
        <f>IFERROR(W401/$P401,0)</f>
        <v>0</v>
      </c>
      <c r="Y401" s="25">
        <v>0</v>
      </c>
      <c r="Z401" s="25">
        <f>Y401</f>
        <v>0</v>
      </c>
    </row>
    <row r="402" spans="1:26" ht="13.9" hidden="1" customHeight="1" x14ac:dyDescent="0.25">
      <c r="A402" s="15">
        <v>6</v>
      </c>
      <c r="B402" s="15">
        <v>2</v>
      </c>
      <c r="C402" s="15">
        <v>1</v>
      </c>
      <c r="D402" s="79" t="s">
        <v>21</v>
      </c>
      <c r="E402" s="85">
        <v>111</v>
      </c>
      <c r="F402" s="48" t="s">
        <v>137</v>
      </c>
      <c r="G402" s="49">
        <f t="shared" ref="G402:Q402" si="213">SUM(G401)</f>
        <v>0</v>
      </c>
      <c r="H402" s="49">
        <f t="shared" si="213"/>
        <v>71.28</v>
      </c>
      <c r="I402" s="49">
        <f t="shared" si="213"/>
        <v>0</v>
      </c>
      <c r="J402" s="49">
        <f t="shared" si="213"/>
        <v>0</v>
      </c>
      <c r="K402" s="49">
        <f t="shared" si="213"/>
        <v>0</v>
      </c>
      <c r="L402" s="49">
        <f t="shared" si="213"/>
        <v>0</v>
      </c>
      <c r="M402" s="49">
        <f t="shared" si="213"/>
        <v>0</v>
      </c>
      <c r="N402" s="49">
        <f t="shared" si="213"/>
        <v>0</v>
      </c>
      <c r="O402" s="49">
        <f t="shared" si="213"/>
        <v>0</v>
      </c>
      <c r="P402" s="49">
        <f t="shared" si="213"/>
        <v>0</v>
      </c>
      <c r="Q402" s="49">
        <f t="shared" si="213"/>
        <v>0</v>
      </c>
      <c r="R402" s="50">
        <f>IFERROR(Q402/$P402,0)</f>
        <v>0</v>
      </c>
      <c r="S402" s="49">
        <f>SUM(S401)</f>
        <v>0</v>
      </c>
      <c r="T402" s="50">
        <f>IFERROR(S402/$P402,0)</f>
        <v>0</v>
      </c>
      <c r="U402" s="49">
        <f>SUM(U401)</f>
        <v>0</v>
      </c>
      <c r="V402" s="50">
        <f>IFERROR(U402/$P402,0)</f>
        <v>0</v>
      </c>
      <c r="W402" s="49">
        <f>SUM(W401)</f>
        <v>0</v>
      </c>
      <c r="X402" s="50">
        <f>IFERROR(W402/$P402,0)</f>
        <v>0</v>
      </c>
      <c r="Y402" s="49">
        <f>SUM(Y401)</f>
        <v>0</v>
      </c>
      <c r="Z402" s="49">
        <f>SUM(Z401)</f>
        <v>0</v>
      </c>
    </row>
    <row r="403" spans="1:26" ht="13.9" customHeight="1" x14ac:dyDescent="0.25">
      <c r="A403" s="15">
        <v>6</v>
      </c>
      <c r="B403" s="15">
        <v>2</v>
      </c>
      <c r="C403" s="15">
        <v>1</v>
      </c>
      <c r="D403" s="84" t="s">
        <v>238</v>
      </c>
      <c r="E403" s="24">
        <v>630</v>
      </c>
      <c r="F403" s="24" t="s">
        <v>134</v>
      </c>
      <c r="G403" s="46">
        <v>434.5</v>
      </c>
      <c r="H403" s="46">
        <v>603.65</v>
      </c>
      <c r="I403" s="46">
        <v>675</v>
      </c>
      <c r="J403" s="46">
        <v>466</v>
      </c>
      <c r="K403" s="46">
        <v>467</v>
      </c>
      <c r="L403" s="46"/>
      <c r="M403" s="46">
        <v>19</v>
      </c>
      <c r="N403" s="46"/>
      <c r="O403" s="46"/>
      <c r="P403" s="46">
        <f>K403+SUM(L403:O403)</f>
        <v>486</v>
      </c>
      <c r="Q403" s="46">
        <v>150.5</v>
      </c>
      <c r="R403" s="47">
        <f>IFERROR(Q403/$P403,0)</f>
        <v>0.30967078189300412</v>
      </c>
      <c r="S403" s="46">
        <v>295.22000000000003</v>
      </c>
      <c r="T403" s="47">
        <f>IFERROR(S403/$P403,0)</f>
        <v>0.60744855967078193</v>
      </c>
      <c r="U403" s="46"/>
      <c r="V403" s="47">
        <f>IFERROR(U403/$P403,0)</f>
        <v>0</v>
      </c>
      <c r="W403" s="46"/>
      <c r="X403" s="47">
        <f>IFERROR(W403/$P403,0)</f>
        <v>0</v>
      </c>
      <c r="Y403" s="46">
        <f>K403</f>
        <v>467</v>
      </c>
      <c r="Z403" s="46">
        <f>Y403</f>
        <v>467</v>
      </c>
    </row>
    <row r="404" spans="1:26" ht="13.9" customHeight="1" x14ac:dyDescent="0.25">
      <c r="A404" s="15">
        <v>6</v>
      </c>
      <c r="B404" s="15">
        <v>2</v>
      </c>
      <c r="C404" s="15">
        <v>1</v>
      </c>
      <c r="D404" s="79" t="s">
        <v>21</v>
      </c>
      <c r="E404" s="48">
        <v>41</v>
      </c>
      <c r="F404" s="48" t="s">
        <v>23</v>
      </c>
      <c r="G404" s="49">
        <f t="shared" ref="G404:Q404" si="214">SUM(G403)</f>
        <v>434.5</v>
      </c>
      <c r="H404" s="49">
        <f t="shared" si="214"/>
        <v>603.65</v>
      </c>
      <c r="I404" s="49">
        <f t="shared" si="214"/>
        <v>675</v>
      </c>
      <c r="J404" s="49">
        <f t="shared" si="214"/>
        <v>466</v>
      </c>
      <c r="K404" s="49">
        <f t="shared" si="214"/>
        <v>467</v>
      </c>
      <c r="L404" s="49">
        <f t="shared" si="214"/>
        <v>0</v>
      </c>
      <c r="M404" s="49">
        <f t="shared" si="214"/>
        <v>19</v>
      </c>
      <c r="N404" s="49">
        <f t="shared" si="214"/>
        <v>0</v>
      </c>
      <c r="O404" s="49">
        <f t="shared" si="214"/>
        <v>0</v>
      </c>
      <c r="P404" s="49">
        <f t="shared" si="214"/>
        <v>486</v>
      </c>
      <c r="Q404" s="49">
        <f t="shared" si="214"/>
        <v>150.5</v>
      </c>
      <c r="R404" s="50">
        <f>IFERROR(Q404/$P404,0)</f>
        <v>0.30967078189300412</v>
      </c>
      <c r="S404" s="49">
        <f>SUM(S403)</f>
        <v>295.22000000000003</v>
      </c>
      <c r="T404" s="50">
        <f>IFERROR(S404/$P404,0)</f>
        <v>0.60744855967078193</v>
      </c>
      <c r="U404" s="49">
        <f>SUM(U403)</f>
        <v>0</v>
      </c>
      <c r="V404" s="50">
        <f>IFERROR(U404/$P404,0)</f>
        <v>0</v>
      </c>
      <c r="W404" s="49">
        <f>SUM(W403)</f>
        <v>0</v>
      </c>
      <c r="X404" s="50">
        <f>IFERROR(W404/$P404,0)</f>
        <v>0</v>
      </c>
      <c r="Y404" s="49">
        <f>SUM(Y403)</f>
        <v>467</v>
      </c>
      <c r="Z404" s="49">
        <f>SUM(Z403)</f>
        <v>467</v>
      </c>
    </row>
    <row r="405" spans="1:26" ht="13.9" customHeight="1" x14ac:dyDescent="0.25">
      <c r="A405" s="15">
        <v>6</v>
      </c>
      <c r="B405" s="15">
        <v>2</v>
      </c>
      <c r="C405" s="15">
        <v>1</v>
      </c>
      <c r="D405" s="86"/>
      <c r="E405" s="87"/>
      <c r="F405" s="27" t="s">
        <v>127</v>
      </c>
      <c r="G405" s="28">
        <f t="shared" ref="G405:Q405" si="215">G402+G404</f>
        <v>434.5</v>
      </c>
      <c r="H405" s="28">
        <f t="shared" si="215"/>
        <v>674.93</v>
      </c>
      <c r="I405" s="28">
        <f t="shared" si="215"/>
        <v>675</v>
      </c>
      <c r="J405" s="28">
        <f t="shared" si="215"/>
        <v>466</v>
      </c>
      <c r="K405" s="28">
        <f t="shared" si="215"/>
        <v>467</v>
      </c>
      <c r="L405" s="28">
        <f t="shared" si="215"/>
        <v>0</v>
      </c>
      <c r="M405" s="28">
        <f t="shared" si="215"/>
        <v>19</v>
      </c>
      <c r="N405" s="28">
        <f t="shared" si="215"/>
        <v>0</v>
      </c>
      <c r="O405" s="28">
        <f t="shared" si="215"/>
        <v>0</v>
      </c>
      <c r="P405" s="28">
        <f t="shared" si="215"/>
        <v>486</v>
      </c>
      <c r="Q405" s="28">
        <f t="shared" si="215"/>
        <v>150.5</v>
      </c>
      <c r="R405" s="29">
        <f>IFERROR(Q405/$P405,0)</f>
        <v>0.30967078189300412</v>
      </c>
      <c r="S405" s="28">
        <f>S402+S404</f>
        <v>295.22000000000003</v>
      </c>
      <c r="T405" s="29">
        <f>IFERROR(S405/$P405,0)</f>
        <v>0.60744855967078193</v>
      </c>
      <c r="U405" s="28">
        <f>U402+U404</f>
        <v>0</v>
      </c>
      <c r="V405" s="29">
        <f>IFERROR(U405/$P405,0)</f>
        <v>0</v>
      </c>
      <c r="W405" s="28">
        <f>W402+W404</f>
        <v>0</v>
      </c>
      <c r="X405" s="29">
        <f>IFERROR(W405/$P405,0)</f>
        <v>0</v>
      </c>
      <c r="Y405" s="28">
        <f>Y402+Y404</f>
        <v>467</v>
      </c>
      <c r="Z405" s="28">
        <f>Z402+Z404</f>
        <v>467</v>
      </c>
    </row>
    <row r="407" spans="1:26" ht="13.9" customHeight="1" x14ac:dyDescent="0.25">
      <c r="E407" s="52" t="s">
        <v>55</v>
      </c>
      <c r="F407" s="30" t="s">
        <v>150</v>
      </c>
      <c r="G407" s="53">
        <v>385</v>
      </c>
      <c r="H407" s="53">
        <v>630.92999999999995</v>
      </c>
      <c r="I407" s="53">
        <v>631</v>
      </c>
      <c r="J407" s="53">
        <v>444</v>
      </c>
      <c r="K407" s="53">
        <v>445</v>
      </c>
      <c r="L407" s="53"/>
      <c r="M407" s="53"/>
      <c r="N407" s="53"/>
      <c r="O407" s="53"/>
      <c r="P407" s="53">
        <f>K407+SUM(L407:O407)</f>
        <v>445</v>
      </c>
      <c r="Q407" s="53">
        <v>136.97999999999999</v>
      </c>
      <c r="R407" s="54">
        <f>IFERROR(Q407/$P407,0)</f>
        <v>0.30782022471910109</v>
      </c>
      <c r="S407" s="53">
        <v>272.7</v>
      </c>
      <c r="T407" s="54">
        <f>IFERROR(S407/$P407,0)</f>
        <v>0.61280898876404488</v>
      </c>
      <c r="U407" s="53"/>
      <c r="V407" s="54">
        <f>IFERROR(U407/$P407,0)</f>
        <v>0</v>
      </c>
      <c r="W407" s="53"/>
      <c r="X407" s="55">
        <f>IFERROR(W407/$P407,0)</f>
        <v>0</v>
      </c>
      <c r="Y407" s="53">
        <f>P407</f>
        <v>445</v>
      </c>
      <c r="Z407" s="56">
        <f>Y407</f>
        <v>445</v>
      </c>
    </row>
    <row r="408" spans="1:26" ht="13.9" customHeight="1" x14ac:dyDescent="0.25">
      <c r="E408" s="65"/>
      <c r="F408" s="66" t="s">
        <v>151</v>
      </c>
      <c r="G408" s="67">
        <v>49.5</v>
      </c>
      <c r="H408" s="67">
        <v>44</v>
      </c>
      <c r="I408" s="67">
        <v>44</v>
      </c>
      <c r="J408" s="67">
        <v>22</v>
      </c>
      <c r="K408" s="67">
        <v>22</v>
      </c>
      <c r="L408" s="67"/>
      <c r="M408" s="67">
        <v>19</v>
      </c>
      <c r="N408" s="67"/>
      <c r="O408" s="67"/>
      <c r="P408" s="67">
        <f>K408+SUM(L408:O408)</f>
        <v>41</v>
      </c>
      <c r="Q408" s="67">
        <v>13.52</v>
      </c>
      <c r="R408" s="68">
        <f>IFERROR(Q408/$P408,0)</f>
        <v>0.32975609756097563</v>
      </c>
      <c r="S408" s="67">
        <v>22.52</v>
      </c>
      <c r="T408" s="68">
        <f>IFERROR(S408/$P408,0)</f>
        <v>0.54926829268292687</v>
      </c>
      <c r="U408" s="67"/>
      <c r="V408" s="68">
        <f>IFERROR(U408/$P408,0)</f>
        <v>0</v>
      </c>
      <c r="W408" s="67"/>
      <c r="X408" s="69">
        <f>IFERROR(W408/$P408,0)</f>
        <v>0</v>
      </c>
      <c r="Y408" s="67">
        <f>P408</f>
        <v>41</v>
      </c>
      <c r="Z408" s="70">
        <f>Y408</f>
        <v>41</v>
      </c>
    </row>
    <row r="410" spans="1:26" ht="13.9" customHeight="1" x14ac:dyDescent="0.25">
      <c r="D410" s="73" t="s">
        <v>239</v>
      </c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4"/>
      <c r="S410" s="73"/>
      <c r="T410" s="74"/>
      <c r="U410" s="73"/>
      <c r="V410" s="74"/>
      <c r="W410" s="73"/>
      <c r="X410" s="74"/>
      <c r="Y410" s="73"/>
      <c r="Z410" s="73"/>
    </row>
    <row r="411" spans="1:26" ht="13.9" customHeight="1" x14ac:dyDescent="0.25">
      <c r="D411" s="21" t="s">
        <v>32</v>
      </c>
      <c r="E411" s="21" t="s">
        <v>33</v>
      </c>
      <c r="F411" s="21" t="s">
        <v>34</v>
      </c>
      <c r="G411" s="21" t="s">
        <v>1</v>
      </c>
      <c r="H411" s="21" t="s">
        <v>2</v>
      </c>
      <c r="I411" s="21" t="s">
        <v>3</v>
      </c>
      <c r="J411" s="21" t="s">
        <v>4</v>
      </c>
      <c r="K411" s="21" t="s">
        <v>5</v>
      </c>
      <c r="L411" s="21" t="s">
        <v>6</v>
      </c>
      <c r="M411" s="21" t="s">
        <v>7</v>
      </c>
      <c r="N411" s="21" t="s">
        <v>8</v>
      </c>
      <c r="O411" s="21" t="s">
        <v>9</v>
      </c>
      <c r="P411" s="21" t="s">
        <v>124</v>
      </c>
      <c r="Q411" s="21" t="s">
        <v>11</v>
      </c>
      <c r="R411" s="22" t="s">
        <v>12</v>
      </c>
      <c r="S411" s="21" t="s">
        <v>13</v>
      </c>
      <c r="T411" s="22" t="s">
        <v>14</v>
      </c>
      <c r="U411" s="21" t="s">
        <v>15</v>
      </c>
      <c r="V411" s="22" t="s">
        <v>16</v>
      </c>
      <c r="W411" s="21" t="s">
        <v>17</v>
      </c>
      <c r="X411" s="22" t="s">
        <v>18</v>
      </c>
      <c r="Y411" s="21" t="s">
        <v>19</v>
      </c>
      <c r="Z411" s="21" t="s">
        <v>20</v>
      </c>
    </row>
    <row r="412" spans="1:26" ht="13.9" customHeight="1" x14ac:dyDescent="0.25">
      <c r="A412" s="15">
        <v>6</v>
      </c>
      <c r="B412" s="15">
        <v>2</v>
      </c>
      <c r="C412" s="15">
        <v>2</v>
      </c>
      <c r="D412" s="5" t="s">
        <v>238</v>
      </c>
      <c r="E412" s="24">
        <v>620</v>
      </c>
      <c r="F412" s="24" t="s">
        <v>133</v>
      </c>
      <c r="G412" s="25">
        <v>0</v>
      </c>
      <c r="H412" s="25">
        <v>0</v>
      </c>
      <c r="I412" s="25">
        <v>0</v>
      </c>
      <c r="J412" s="25">
        <v>54</v>
      </c>
      <c r="K412" s="25">
        <v>0</v>
      </c>
      <c r="L412" s="25">
        <v>43</v>
      </c>
      <c r="M412" s="25">
        <v>35</v>
      </c>
      <c r="N412" s="25"/>
      <c r="O412" s="25"/>
      <c r="P412" s="25">
        <f>K412+SUM(L412:O412)</f>
        <v>78</v>
      </c>
      <c r="Q412" s="25">
        <v>0</v>
      </c>
      <c r="R412" s="26">
        <f>IFERROR(Q412/$P412,0)</f>
        <v>0</v>
      </c>
      <c r="S412" s="25">
        <v>79.16</v>
      </c>
      <c r="T412" s="26">
        <f>IFERROR(S412/$P412,0)</f>
        <v>1.0148717948717949</v>
      </c>
      <c r="U412" s="25"/>
      <c r="V412" s="26">
        <f>IFERROR(U412/$P412,0)</f>
        <v>0</v>
      </c>
      <c r="W412" s="25"/>
      <c r="X412" s="26">
        <f>IFERROR(W412/$P412,0)</f>
        <v>0</v>
      </c>
      <c r="Y412" s="25">
        <f>K412</f>
        <v>0</v>
      </c>
      <c r="Z412" s="25">
        <f>Y412</f>
        <v>0</v>
      </c>
    </row>
    <row r="413" spans="1:26" ht="13.9" customHeight="1" x14ac:dyDescent="0.25">
      <c r="A413" s="15">
        <v>6</v>
      </c>
      <c r="B413" s="15">
        <v>2</v>
      </c>
      <c r="C413" s="15">
        <v>2</v>
      </c>
      <c r="D413" s="5"/>
      <c r="E413" s="24">
        <v>630</v>
      </c>
      <c r="F413" s="24" t="s">
        <v>134</v>
      </c>
      <c r="G413" s="25">
        <v>6662.96</v>
      </c>
      <c r="H413" s="25">
        <v>9020.7999999999993</v>
      </c>
      <c r="I413" s="25">
        <v>9000</v>
      </c>
      <c r="J413" s="25">
        <v>9637</v>
      </c>
      <c r="K413" s="25">
        <v>9700</v>
      </c>
      <c r="L413" s="25">
        <v>-43</v>
      </c>
      <c r="M413" s="25">
        <v>-35</v>
      </c>
      <c r="N413" s="25"/>
      <c r="O413" s="25"/>
      <c r="P413" s="25">
        <f>K413+SUM(L413:O413)</f>
        <v>9622</v>
      </c>
      <c r="Q413" s="25">
        <v>611.95000000000005</v>
      </c>
      <c r="R413" s="26">
        <f>IFERROR(Q413/$P413,0)</f>
        <v>6.3599043857825818E-2</v>
      </c>
      <c r="S413" s="25">
        <v>4430.09</v>
      </c>
      <c r="T413" s="26">
        <f>IFERROR(S413/$P413,0)</f>
        <v>0.46041259613385993</v>
      </c>
      <c r="U413" s="25"/>
      <c r="V413" s="26">
        <f>IFERROR(U413/$P413,0)</f>
        <v>0</v>
      </c>
      <c r="W413" s="25"/>
      <c r="X413" s="26">
        <f>IFERROR(W413/$P413,0)</f>
        <v>0</v>
      </c>
      <c r="Y413" s="25">
        <f>K413</f>
        <v>9700</v>
      </c>
      <c r="Z413" s="25">
        <f>Y413</f>
        <v>9700</v>
      </c>
    </row>
    <row r="414" spans="1:26" ht="13.9" customHeight="1" x14ac:dyDescent="0.25">
      <c r="A414" s="15">
        <v>6</v>
      </c>
      <c r="B414" s="15">
        <v>2</v>
      </c>
      <c r="C414" s="15">
        <v>2</v>
      </c>
      <c r="D414" s="5" t="s">
        <v>238</v>
      </c>
      <c r="E414" s="24">
        <v>640</v>
      </c>
      <c r="F414" s="24" t="s">
        <v>135</v>
      </c>
      <c r="G414" s="25">
        <v>2675</v>
      </c>
      <c r="H414" s="25">
        <v>2675</v>
      </c>
      <c r="I414" s="25">
        <v>3450</v>
      </c>
      <c r="J414" s="25">
        <v>3650</v>
      </c>
      <c r="K414" s="25">
        <v>250</v>
      </c>
      <c r="L414" s="25">
        <v>400</v>
      </c>
      <c r="M414" s="25"/>
      <c r="N414" s="25"/>
      <c r="O414" s="25"/>
      <c r="P414" s="25">
        <f>K414+SUM(L414:O414)</f>
        <v>650</v>
      </c>
      <c r="Q414" s="25">
        <v>400</v>
      </c>
      <c r="R414" s="26">
        <f>IFERROR(Q414/$P414,0)</f>
        <v>0.61538461538461542</v>
      </c>
      <c r="S414" s="25">
        <v>650</v>
      </c>
      <c r="T414" s="26">
        <f>IFERROR(S414/$P414,0)</f>
        <v>1</v>
      </c>
      <c r="U414" s="25"/>
      <c r="V414" s="26">
        <f>IFERROR(U414/$P414,0)</f>
        <v>0</v>
      </c>
      <c r="W414" s="25"/>
      <c r="X414" s="26">
        <f>IFERROR(W414/$P414,0)</f>
        <v>0</v>
      </c>
      <c r="Y414" s="25">
        <f>K414</f>
        <v>250</v>
      </c>
      <c r="Z414" s="25">
        <f>Y414</f>
        <v>250</v>
      </c>
    </row>
    <row r="415" spans="1:26" ht="13.9" customHeight="1" x14ac:dyDescent="0.25">
      <c r="A415" s="15">
        <v>6</v>
      </c>
      <c r="B415" s="15">
        <v>2</v>
      </c>
      <c r="C415" s="15">
        <v>2</v>
      </c>
      <c r="D415" s="79" t="s">
        <v>21</v>
      </c>
      <c r="E415" s="48">
        <v>41</v>
      </c>
      <c r="F415" s="48" t="s">
        <v>23</v>
      </c>
      <c r="G415" s="49">
        <f t="shared" ref="G415:Q415" si="216">SUM(G412:G414)</f>
        <v>9337.9599999999991</v>
      </c>
      <c r="H415" s="49">
        <f t="shared" si="216"/>
        <v>11695.8</v>
      </c>
      <c r="I415" s="49">
        <f t="shared" si="216"/>
        <v>12450</v>
      </c>
      <c r="J415" s="49">
        <f t="shared" si="216"/>
        <v>13341</v>
      </c>
      <c r="K415" s="49">
        <f t="shared" si="216"/>
        <v>9950</v>
      </c>
      <c r="L415" s="49">
        <f t="shared" si="216"/>
        <v>400</v>
      </c>
      <c r="M415" s="49">
        <f t="shared" si="216"/>
        <v>0</v>
      </c>
      <c r="N415" s="49">
        <f t="shared" si="216"/>
        <v>0</v>
      </c>
      <c r="O415" s="49">
        <f t="shared" si="216"/>
        <v>0</v>
      </c>
      <c r="P415" s="49">
        <f t="shared" si="216"/>
        <v>10350</v>
      </c>
      <c r="Q415" s="49">
        <f t="shared" si="216"/>
        <v>1011.95</v>
      </c>
      <c r="R415" s="50">
        <f>IFERROR(Q415/$P415,0)</f>
        <v>9.7772946859903384E-2</v>
      </c>
      <c r="S415" s="49">
        <f>SUM(S412:S414)</f>
        <v>5159.25</v>
      </c>
      <c r="T415" s="50">
        <f>IFERROR(S415/$P415,0)</f>
        <v>0.4984782608695652</v>
      </c>
      <c r="U415" s="49">
        <f>SUM(U412:U414)</f>
        <v>0</v>
      </c>
      <c r="V415" s="50">
        <f>IFERROR(U415/$P415,0)</f>
        <v>0</v>
      </c>
      <c r="W415" s="49">
        <f>SUM(W412:W414)</f>
        <v>0</v>
      </c>
      <c r="X415" s="50">
        <f>IFERROR(W415/$P415,0)</f>
        <v>0</v>
      </c>
      <c r="Y415" s="49">
        <f>SUM(Y412:Y414)</f>
        <v>9950</v>
      </c>
      <c r="Z415" s="49">
        <f>SUM(Z412:Z414)</f>
        <v>9950</v>
      </c>
    </row>
    <row r="416" spans="1:26" ht="13.9" customHeight="1" x14ac:dyDescent="0.25">
      <c r="A416" s="15">
        <v>6</v>
      </c>
      <c r="B416" s="15">
        <v>2</v>
      </c>
      <c r="C416" s="15">
        <v>2</v>
      </c>
      <c r="D416" s="86"/>
      <c r="E416" s="87"/>
      <c r="F416" s="27" t="s">
        <v>127</v>
      </c>
      <c r="G416" s="28">
        <f t="shared" ref="G416:Q416" si="217">G415</f>
        <v>9337.9599999999991</v>
      </c>
      <c r="H416" s="28">
        <f t="shared" si="217"/>
        <v>11695.8</v>
      </c>
      <c r="I416" s="28">
        <f t="shared" si="217"/>
        <v>12450</v>
      </c>
      <c r="J416" s="28">
        <f t="shared" si="217"/>
        <v>13341</v>
      </c>
      <c r="K416" s="28">
        <f t="shared" si="217"/>
        <v>9950</v>
      </c>
      <c r="L416" s="28">
        <f t="shared" si="217"/>
        <v>400</v>
      </c>
      <c r="M416" s="28">
        <f t="shared" si="217"/>
        <v>0</v>
      </c>
      <c r="N416" s="28">
        <f t="shared" si="217"/>
        <v>0</v>
      </c>
      <c r="O416" s="28">
        <f t="shared" si="217"/>
        <v>0</v>
      </c>
      <c r="P416" s="28">
        <f t="shared" si="217"/>
        <v>10350</v>
      </c>
      <c r="Q416" s="28">
        <f t="shared" si="217"/>
        <v>1011.95</v>
      </c>
      <c r="R416" s="29">
        <f>IFERROR(Q416/$P416,0)</f>
        <v>9.7772946859903384E-2</v>
      </c>
      <c r="S416" s="28">
        <f>S415</f>
        <v>5159.25</v>
      </c>
      <c r="T416" s="29">
        <f>IFERROR(S416/$P416,0)</f>
        <v>0.4984782608695652</v>
      </c>
      <c r="U416" s="28">
        <f>U415</f>
        <v>0</v>
      </c>
      <c r="V416" s="29">
        <f>IFERROR(U416/$P416,0)</f>
        <v>0</v>
      </c>
      <c r="W416" s="28">
        <f>W415</f>
        <v>0</v>
      </c>
      <c r="X416" s="29">
        <f>IFERROR(W416/$P416,0)</f>
        <v>0</v>
      </c>
      <c r="Y416" s="28">
        <f>Y415</f>
        <v>9950</v>
      </c>
      <c r="Z416" s="28">
        <f>Z415</f>
        <v>9950</v>
      </c>
    </row>
    <row r="418" spans="1:26" ht="13.9" hidden="1" customHeight="1" x14ac:dyDescent="0.25">
      <c r="E418" s="52" t="s">
        <v>55</v>
      </c>
      <c r="F418" s="30" t="s">
        <v>240</v>
      </c>
      <c r="G418" s="53">
        <v>2500</v>
      </c>
      <c r="H418" s="53">
        <v>2500</v>
      </c>
      <c r="I418" s="53">
        <v>3200</v>
      </c>
      <c r="J418" s="53">
        <v>3200</v>
      </c>
      <c r="K418" s="53">
        <v>0</v>
      </c>
      <c r="L418" s="53"/>
      <c r="M418" s="53"/>
      <c r="N418" s="53"/>
      <c r="O418" s="53"/>
      <c r="P418" s="53">
        <f>K418+SUM(L418:O418)</f>
        <v>0</v>
      </c>
      <c r="Q418" s="53"/>
      <c r="R418" s="54">
        <f>IFERROR(Q418/$P418,0)</f>
        <v>0</v>
      </c>
      <c r="S418" s="53"/>
      <c r="T418" s="54">
        <f>IFERROR(S418/$P418,0)</f>
        <v>0</v>
      </c>
      <c r="U418" s="53"/>
      <c r="V418" s="54">
        <f>IFERROR(U418/$P418,0)</f>
        <v>0</v>
      </c>
      <c r="W418" s="53"/>
      <c r="X418" s="55">
        <f>IFERROR(W418/$P418,0)</f>
        <v>0</v>
      </c>
      <c r="Y418" s="53">
        <f>K418</f>
        <v>0</v>
      </c>
      <c r="Z418" s="56">
        <f>Y418</f>
        <v>0</v>
      </c>
    </row>
    <row r="419" spans="1:26" ht="13.9" customHeight="1" x14ac:dyDescent="0.25">
      <c r="E419" s="138" t="s">
        <v>55</v>
      </c>
      <c r="F419" s="139" t="s">
        <v>241</v>
      </c>
      <c r="G419" s="140">
        <v>175</v>
      </c>
      <c r="H419" s="140">
        <v>175</v>
      </c>
      <c r="I419" s="140">
        <v>250</v>
      </c>
      <c r="J419" s="140">
        <v>450</v>
      </c>
      <c r="K419" s="140">
        <v>250</v>
      </c>
      <c r="L419" s="140">
        <v>400</v>
      </c>
      <c r="M419" s="140"/>
      <c r="N419" s="140"/>
      <c r="O419" s="140"/>
      <c r="P419" s="140">
        <f>K419+SUM(L419:O419)</f>
        <v>650</v>
      </c>
      <c r="Q419" s="140">
        <v>400</v>
      </c>
      <c r="R419" s="141">
        <f>IFERROR(Q419/$P419,0)</f>
        <v>0.61538461538461542</v>
      </c>
      <c r="S419" s="140">
        <v>650</v>
      </c>
      <c r="T419" s="141">
        <f>IFERROR(S419/$P419,0)</f>
        <v>1</v>
      </c>
      <c r="U419" s="140"/>
      <c r="V419" s="141">
        <f>IFERROR(U419/$P419,0)</f>
        <v>0</v>
      </c>
      <c r="W419" s="140"/>
      <c r="X419" s="142">
        <f>IFERROR(W419/$P419,0)</f>
        <v>0</v>
      </c>
      <c r="Y419" s="59">
        <f>K419</f>
        <v>250</v>
      </c>
      <c r="Z419" s="61">
        <f>Y419</f>
        <v>250</v>
      </c>
    </row>
    <row r="420" spans="1:26" ht="13.9" customHeight="1" x14ac:dyDescent="0.25">
      <c r="E420" s="57"/>
      <c r="F420" s="15" t="s">
        <v>242</v>
      </c>
      <c r="G420" s="62">
        <v>5528.96</v>
      </c>
      <c r="H420" s="62">
        <v>5640.8</v>
      </c>
      <c r="I420" s="62">
        <v>5500</v>
      </c>
      <c r="J420" s="62">
        <v>5788</v>
      </c>
      <c r="K420" s="62">
        <v>5800</v>
      </c>
      <c r="L420" s="62"/>
      <c r="M420" s="62"/>
      <c r="N420" s="62"/>
      <c r="O420" s="62"/>
      <c r="P420" s="62">
        <f>K420+SUM(L420:O420)</f>
        <v>5800</v>
      </c>
      <c r="Q420" s="62">
        <v>0</v>
      </c>
      <c r="R420" s="63">
        <f>IFERROR(Q420/$P420,0)</f>
        <v>0</v>
      </c>
      <c r="S420" s="62">
        <v>3050</v>
      </c>
      <c r="T420" s="63">
        <f>IFERROR(S420/$P420,0)</f>
        <v>0.52586206896551724</v>
      </c>
      <c r="U420" s="62"/>
      <c r="V420" s="63">
        <f>IFERROR(U420/$P420,0)</f>
        <v>0</v>
      </c>
      <c r="W420" s="62"/>
      <c r="X420" s="64">
        <f>IFERROR(W420/$P420,0)</f>
        <v>0</v>
      </c>
      <c r="Y420" s="59">
        <f>K420</f>
        <v>5800</v>
      </c>
      <c r="Z420" s="61">
        <f>Y420</f>
        <v>5800</v>
      </c>
    </row>
    <row r="421" spans="1:26" ht="13.9" customHeight="1" x14ac:dyDescent="0.25">
      <c r="E421" s="65"/>
      <c r="F421" s="97" t="s">
        <v>243</v>
      </c>
      <c r="G421" s="120">
        <v>1134</v>
      </c>
      <c r="H421" s="120">
        <v>3380.4</v>
      </c>
      <c r="I421" s="120">
        <v>3500</v>
      </c>
      <c r="J421" s="120">
        <v>3903</v>
      </c>
      <c r="K421" s="120">
        <v>3900</v>
      </c>
      <c r="L421" s="120"/>
      <c r="M421" s="120"/>
      <c r="N421" s="120"/>
      <c r="O421" s="120"/>
      <c r="P421" s="120">
        <f>K421+SUM(L421:O421)</f>
        <v>3900</v>
      </c>
      <c r="Q421" s="120">
        <v>611.95000000000005</v>
      </c>
      <c r="R421" s="121">
        <f>IFERROR(Q421/$P421,0)</f>
        <v>0.15691025641025641</v>
      </c>
      <c r="S421" s="120">
        <v>1459.25</v>
      </c>
      <c r="T421" s="121">
        <f>IFERROR(S421/$P421,0)</f>
        <v>0.37416666666666665</v>
      </c>
      <c r="U421" s="120"/>
      <c r="V421" s="121">
        <f>IFERROR(U421/$P421,0)</f>
        <v>0</v>
      </c>
      <c r="W421" s="120"/>
      <c r="X421" s="122">
        <f>IFERROR(W421/$P421,0)</f>
        <v>0</v>
      </c>
      <c r="Y421" s="120">
        <f>K421</f>
        <v>3900</v>
      </c>
      <c r="Z421" s="70">
        <f>Y421</f>
        <v>3900</v>
      </c>
    </row>
    <row r="423" spans="1:26" ht="13.9" customHeight="1" x14ac:dyDescent="0.25">
      <c r="D423" s="73" t="s">
        <v>244</v>
      </c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4"/>
      <c r="S423" s="73"/>
      <c r="T423" s="74"/>
      <c r="U423" s="73"/>
      <c r="V423" s="74"/>
      <c r="W423" s="73"/>
      <c r="X423" s="74"/>
      <c r="Y423" s="73"/>
      <c r="Z423" s="73"/>
    </row>
    <row r="424" spans="1:26" ht="13.9" customHeight="1" x14ac:dyDescent="0.25">
      <c r="D424" s="21" t="s">
        <v>32</v>
      </c>
      <c r="E424" s="21" t="s">
        <v>33</v>
      </c>
      <c r="F424" s="21" t="s">
        <v>34</v>
      </c>
      <c r="G424" s="21" t="s">
        <v>1</v>
      </c>
      <c r="H424" s="21" t="s">
        <v>2</v>
      </c>
      <c r="I424" s="21" t="s">
        <v>3</v>
      </c>
      <c r="J424" s="21" t="s">
        <v>4</v>
      </c>
      <c r="K424" s="21" t="s">
        <v>5</v>
      </c>
      <c r="L424" s="21" t="s">
        <v>6</v>
      </c>
      <c r="M424" s="21" t="s">
        <v>7</v>
      </c>
      <c r="N424" s="21" t="s">
        <v>8</v>
      </c>
      <c r="O424" s="21" t="s">
        <v>9</v>
      </c>
      <c r="P424" s="21" t="s">
        <v>124</v>
      </c>
      <c r="Q424" s="21" t="s">
        <v>11</v>
      </c>
      <c r="R424" s="22" t="s">
        <v>12</v>
      </c>
      <c r="S424" s="21" t="s">
        <v>13</v>
      </c>
      <c r="T424" s="22" t="s">
        <v>14</v>
      </c>
      <c r="U424" s="21" t="s">
        <v>15</v>
      </c>
      <c r="V424" s="22" t="s">
        <v>16</v>
      </c>
      <c r="W424" s="21" t="s">
        <v>17</v>
      </c>
      <c r="X424" s="22" t="s">
        <v>18</v>
      </c>
      <c r="Y424" s="21" t="s">
        <v>19</v>
      </c>
      <c r="Z424" s="21" t="s">
        <v>20</v>
      </c>
    </row>
    <row r="425" spans="1:26" ht="13.9" customHeight="1" x14ac:dyDescent="0.25">
      <c r="A425" s="15">
        <v>6</v>
      </c>
      <c r="B425" s="15">
        <v>2</v>
      </c>
      <c r="C425" s="15">
        <v>3</v>
      </c>
      <c r="D425" s="11" t="s">
        <v>238</v>
      </c>
      <c r="E425" s="24">
        <v>620</v>
      </c>
      <c r="F425" s="24" t="s">
        <v>133</v>
      </c>
      <c r="G425" s="25">
        <v>17.760000000000002</v>
      </c>
      <c r="H425" s="25">
        <v>17.760000000000002</v>
      </c>
      <c r="I425" s="25">
        <v>18</v>
      </c>
      <c r="J425" s="25">
        <v>18</v>
      </c>
      <c r="K425" s="25">
        <v>44</v>
      </c>
      <c r="L425" s="25"/>
      <c r="M425" s="25"/>
      <c r="N425" s="25"/>
      <c r="O425" s="25"/>
      <c r="P425" s="25">
        <f>K425+SUM(L425:O425)</f>
        <v>44</v>
      </c>
      <c r="Q425" s="25">
        <v>4.4400000000000004</v>
      </c>
      <c r="R425" s="26">
        <f>IFERROR(Q425/$P425,0)</f>
        <v>0.10090909090909092</v>
      </c>
      <c r="S425" s="25">
        <v>8.8800000000000008</v>
      </c>
      <c r="T425" s="26">
        <f>IFERROR(S425/$P425,0)</f>
        <v>0.20181818181818184</v>
      </c>
      <c r="U425" s="25"/>
      <c r="V425" s="26">
        <f>IFERROR(U425/$P425,0)</f>
        <v>0</v>
      </c>
      <c r="W425" s="25"/>
      <c r="X425" s="26">
        <f>IFERROR(W425/$P425,0)</f>
        <v>0</v>
      </c>
      <c r="Y425" s="25">
        <f>K425</f>
        <v>44</v>
      </c>
      <c r="Z425" s="25">
        <f>Y425</f>
        <v>44</v>
      </c>
    </row>
    <row r="426" spans="1:26" ht="13.9" customHeight="1" x14ac:dyDescent="0.25">
      <c r="A426" s="15">
        <v>6</v>
      </c>
      <c r="B426" s="15">
        <v>2</v>
      </c>
      <c r="C426" s="15">
        <v>3</v>
      </c>
      <c r="D426" s="11" t="s">
        <v>238</v>
      </c>
      <c r="E426" s="24">
        <v>630</v>
      </c>
      <c r="F426" s="24" t="s">
        <v>134</v>
      </c>
      <c r="G426" s="25">
        <v>2820.21</v>
      </c>
      <c r="H426" s="25">
        <v>2705.04</v>
      </c>
      <c r="I426" s="25">
        <v>2838</v>
      </c>
      <c r="J426" s="25">
        <v>2584</v>
      </c>
      <c r="K426" s="46">
        <v>3339</v>
      </c>
      <c r="L426" s="25"/>
      <c r="M426" s="25"/>
      <c r="N426" s="25"/>
      <c r="O426" s="25"/>
      <c r="P426" s="25">
        <f>K426+SUM(L426:O426)</f>
        <v>3339</v>
      </c>
      <c r="Q426" s="25">
        <v>555.54</v>
      </c>
      <c r="R426" s="26">
        <f>IFERROR(Q426/$P426,0)</f>
        <v>0.16637915543575921</v>
      </c>
      <c r="S426" s="25">
        <v>1351.98</v>
      </c>
      <c r="T426" s="26">
        <f>IFERROR(S426/$P426,0)</f>
        <v>0.40490566037735848</v>
      </c>
      <c r="U426" s="25"/>
      <c r="V426" s="26">
        <f>IFERROR(U426/$P426,0)</f>
        <v>0</v>
      </c>
      <c r="W426" s="25"/>
      <c r="X426" s="26">
        <f>IFERROR(W426/$P426,0)</f>
        <v>0</v>
      </c>
      <c r="Y426" s="25">
        <f>K426</f>
        <v>3339</v>
      </c>
      <c r="Z426" s="25">
        <f>Y426</f>
        <v>3339</v>
      </c>
    </row>
    <row r="427" spans="1:26" ht="13.9" customHeight="1" x14ac:dyDescent="0.25">
      <c r="A427" s="15">
        <v>6</v>
      </c>
      <c r="B427" s="15">
        <v>2</v>
      </c>
      <c r="C427" s="15">
        <v>3</v>
      </c>
      <c r="D427" s="79" t="s">
        <v>21</v>
      </c>
      <c r="E427" s="48">
        <v>41</v>
      </c>
      <c r="F427" s="48" t="s">
        <v>23</v>
      </c>
      <c r="G427" s="49">
        <f t="shared" ref="G427:Q427" si="218">SUM(G425:G426)</f>
        <v>2837.9700000000003</v>
      </c>
      <c r="H427" s="49">
        <f t="shared" si="218"/>
        <v>2722.8</v>
      </c>
      <c r="I427" s="49">
        <f t="shared" si="218"/>
        <v>2856</v>
      </c>
      <c r="J427" s="49">
        <f t="shared" si="218"/>
        <v>2602</v>
      </c>
      <c r="K427" s="49">
        <f t="shared" si="218"/>
        <v>3383</v>
      </c>
      <c r="L427" s="49">
        <f t="shared" si="218"/>
        <v>0</v>
      </c>
      <c r="M427" s="49">
        <f t="shared" si="218"/>
        <v>0</v>
      </c>
      <c r="N427" s="49">
        <f t="shared" si="218"/>
        <v>0</v>
      </c>
      <c r="O427" s="49">
        <f t="shared" si="218"/>
        <v>0</v>
      </c>
      <c r="P427" s="49">
        <f t="shared" si="218"/>
        <v>3383</v>
      </c>
      <c r="Q427" s="49">
        <f t="shared" si="218"/>
        <v>559.98</v>
      </c>
      <c r="R427" s="50">
        <f>IFERROR(Q427/$P427,0)</f>
        <v>0.16552763819095478</v>
      </c>
      <c r="S427" s="49">
        <f>SUM(S425:S426)</f>
        <v>1360.8600000000001</v>
      </c>
      <c r="T427" s="50">
        <f>IFERROR(S427/$P427,0)</f>
        <v>0.40226426248891523</v>
      </c>
      <c r="U427" s="49">
        <f>SUM(U425:U426)</f>
        <v>0</v>
      </c>
      <c r="V427" s="50">
        <f>IFERROR(U427/$P427,0)</f>
        <v>0</v>
      </c>
      <c r="W427" s="49">
        <f>SUM(W425:W426)</f>
        <v>0</v>
      </c>
      <c r="X427" s="50">
        <f>IFERROR(W427/$P427,0)</f>
        <v>0</v>
      </c>
      <c r="Y427" s="49">
        <f>SUM(Y425:Y426)</f>
        <v>3383</v>
      </c>
      <c r="Z427" s="49">
        <f>SUM(Z425:Z426)</f>
        <v>3383</v>
      </c>
    </row>
    <row r="428" spans="1:26" ht="13.9" customHeight="1" x14ac:dyDescent="0.25">
      <c r="A428" s="15">
        <v>6</v>
      </c>
      <c r="B428" s="15">
        <v>2</v>
      </c>
      <c r="C428" s="15">
        <v>3</v>
      </c>
      <c r="D428" s="86"/>
      <c r="E428" s="87"/>
      <c r="F428" s="27" t="s">
        <v>127</v>
      </c>
      <c r="G428" s="28">
        <f t="shared" ref="G428:Q428" si="219">G427</f>
        <v>2837.9700000000003</v>
      </c>
      <c r="H428" s="28">
        <f t="shared" si="219"/>
        <v>2722.8</v>
      </c>
      <c r="I428" s="28">
        <f t="shared" si="219"/>
        <v>2856</v>
      </c>
      <c r="J428" s="28">
        <f t="shared" si="219"/>
        <v>2602</v>
      </c>
      <c r="K428" s="28">
        <f t="shared" si="219"/>
        <v>3383</v>
      </c>
      <c r="L428" s="28">
        <f t="shared" si="219"/>
        <v>0</v>
      </c>
      <c r="M428" s="28">
        <f t="shared" si="219"/>
        <v>0</v>
      </c>
      <c r="N428" s="28">
        <f t="shared" si="219"/>
        <v>0</v>
      </c>
      <c r="O428" s="28">
        <f t="shared" si="219"/>
        <v>0</v>
      </c>
      <c r="P428" s="28">
        <f t="shared" si="219"/>
        <v>3383</v>
      </c>
      <c r="Q428" s="28">
        <f t="shared" si="219"/>
        <v>559.98</v>
      </c>
      <c r="R428" s="29">
        <f>IFERROR(Q428/$P428,0)</f>
        <v>0.16552763819095478</v>
      </c>
      <c r="S428" s="28">
        <f>S427</f>
        <v>1360.8600000000001</v>
      </c>
      <c r="T428" s="29">
        <f>IFERROR(S428/$P428,0)</f>
        <v>0.40226426248891523</v>
      </c>
      <c r="U428" s="28">
        <f>U427</f>
        <v>0</v>
      </c>
      <c r="V428" s="29">
        <f>IFERROR(U428/$P428,0)</f>
        <v>0</v>
      </c>
      <c r="W428" s="28">
        <f>W427</f>
        <v>0</v>
      </c>
      <c r="X428" s="29">
        <f>IFERROR(W428/$P428,0)</f>
        <v>0</v>
      </c>
      <c r="Y428" s="28">
        <f>Y427</f>
        <v>3383</v>
      </c>
      <c r="Z428" s="28">
        <f>Z427</f>
        <v>3383</v>
      </c>
    </row>
    <row r="430" spans="1:26" ht="13.9" customHeight="1" x14ac:dyDescent="0.25">
      <c r="D430" s="41" t="s">
        <v>245</v>
      </c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2"/>
      <c r="S430" s="41"/>
      <c r="T430" s="42"/>
      <c r="U430" s="41"/>
      <c r="V430" s="42"/>
      <c r="W430" s="41"/>
      <c r="X430" s="42"/>
      <c r="Y430" s="41"/>
      <c r="Z430" s="41"/>
    </row>
    <row r="431" spans="1:26" ht="13.9" hidden="1" customHeight="1" x14ac:dyDescent="0.25">
      <c r="A431" s="15">
        <v>6</v>
      </c>
      <c r="B431" s="15">
        <v>3</v>
      </c>
      <c r="D431" s="13" t="s">
        <v>21</v>
      </c>
      <c r="E431" s="24">
        <v>111</v>
      </c>
      <c r="F431" s="24" t="s">
        <v>137</v>
      </c>
      <c r="G431" s="25">
        <f t="shared" ref="G431:Q431" si="220">G438</f>
        <v>0</v>
      </c>
      <c r="H431" s="25">
        <f t="shared" si="220"/>
        <v>470.16</v>
      </c>
      <c r="I431" s="25">
        <f t="shared" si="220"/>
        <v>0</v>
      </c>
      <c r="J431" s="25">
        <f t="shared" si="220"/>
        <v>0</v>
      </c>
      <c r="K431" s="25">
        <f t="shared" si="220"/>
        <v>0</v>
      </c>
      <c r="L431" s="25">
        <f t="shared" si="220"/>
        <v>0</v>
      </c>
      <c r="M431" s="25">
        <f t="shared" si="220"/>
        <v>0</v>
      </c>
      <c r="N431" s="25">
        <f t="shared" si="220"/>
        <v>0</v>
      </c>
      <c r="O431" s="25">
        <f t="shared" si="220"/>
        <v>0</v>
      </c>
      <c r="P431" s="25">
        <f t="shared" si="220"/>
        <v>0</v>
      </c>
      <c r="Q431" s="25">
        <f t="shared" si="220"/>
        <v>0</v>
      </c>
      <c r="R431" s="26">
        <f>IFERROR(Q431/$P431,0)</f>
        <v>0</v>
      </c>
      <c r="S431" s="25">
        <f>S438</f>
        <v>0</v>
      </c>
      <c r="T431" s="26">
        <f>IFERROR(S431/$P431,0)</f>
        <v>0</v>
      </c>
      <c r="U431" s="25">
        <f>U438</f>
        <v>0</v>
      </c>
      <c r="V431" s="26">
        <f>IFERROR(U431/$P431,0)</f>
        <v>0</v>
      </c>
      <c r="W431" s="25">
        <f>W438</f>
        <v>0</v>
      </c>
      <c r="X431" s="26">
        <f>IFERROR(W431/$P431,0)</f>
        <v>0</v>
      </c>
      <c r="Y431" s="25">
        <f>Y438</f>
        <v>0</v>
      </c>
      <c r="Z431" s="25">
        <f>Z438</f>
        <v>0</v>
      </c>
    </row>
    <row r="432" spans="1:26" ht="13.9" customHeight="1" x14ac:dyDescent="0.25">
      <c r="A432" s="15">
        <v>6</v>
      </c>
      <c r="B432" s="15">
        <v>3</v>
      </c>
      <c r="D432" s="13" t="s">
        <v>21</v>
      </c>
      <c r="E432" s="24">
        <v>41</v>
      </c>
      <c r="F432" s="24" t="s">
        <v>23</v>
      </c>
      <c r="G432" s="25">
        <f t="shared" ref="G432:Q432" si="221">G440+G450</f>
        <v>11940.66</v>
      </c>
      <c r="H432" s="25">
        <f t="shared" si="221"/>
        <v>9530.880000000001</v>
      </c>
      <c r="I432" s="25">
        <f t="shared" si="221"/>
        <v>10374</v>
      </c>
      <c r="J432" s="25">
        <f t="shared" si="221"/>
        <v>11578</v>
      </c>
      <c r="K432" s="25">
        <f t="shared" si="221"/>
        <v>10928</v>
      </c>
      <c r="L432" s="25">
        <f t="shared" si="221"/>
        <v>0</v>
      </c>
      <c r="M432" s="25">
        <f t="shared" si="221"/>
        <v>0</v>
      </c>
      <c r="N432" s="25">
        <f t="shared" si="221"/>
        <v>0</v>
      </c>
      <c r="O432" s="25">
        <f t="shared" si="221"/>
        <v>0</v>
      </c>
      <c r="P432" s="25">
        <f t="shared" si="221"/>
        <v>10928</v>
      </c>
      <c r="Q432" s="25">
        <f t="shared" si="221"/>
        <v>3301.25</v>
      </c>
      <c r="R432" s="26">
        <f>IFERROR(Q432/$P432,0)</f>
        <v>0.30209095900439237</v>
      </c>
      <c r="S432" s="25">
        <f>S440+S450</f>
        <v>8757.9599999999991</v>
      </c>
      <c r="T432" s="26">
        <f>IFERROR(S432/$P432,0)</f>
        <v>0.80142386530014631</v>
      </c>
      <c r="U432" s="25">
        <f>U440+U450</f>
        <v>0</v>
      </c>
      <c r="V432" s="26">
        <f>IFERROR(U432/$P432,0)</f>
        <v>0</v>
      </c>
      <c r="W432" s="25">
        <f>W440+W450</f>
        <v>0</v>
      </c>
      <c r="X432" s="26">
        <f>IFERROR(W432/$P432,0)</f>
        <v>0</v>
      </c>
      <c r="Y432" s="25">
        <f>Y440+Y450</f>
        <v>11228</v>
      </c>
      <c r="Z432" s="25">
        <f>Z440+Z450</f>
        <v>11228</v>
      </c>
    </row>
    <row r="433" spans="1:26" ht="13.9" customHeight="1" x14ac:dyDescent="0.25">
      <c r="A433" s="15">
        <v>6</v>
      </c>
      <c r="B433" s="15">
        <v>3</v>
      </c>
      <c r="D433" s="30"/>
      <c r="E433" s="31"/>
      <c r="F433" s="27" t="s">
        <v>127</v>
      </c>
      <c r="G433" s="28">
        <f t="shared" ref="G433:Q433" si="222">SUM(G431:G432)</f>
        <v>11940.66</v>
      </c>
      <c r="H433" s="28">
        <f t="shared" si="222"/>
        <v>10001.040000000001</v>
      </c>
      <c r="I433" s="28">
        <f t="shared" si="222"/>
        <v>10374</v>
      </c>
      <c r="J433" s="28">
        <f t="shared" si="222"/>
        <v>11578</v>
      </c>
      <c r="K433" s="28">
        <f t="shared" si="222"/>
        <v>10928</v>
      </c>
      <c r="L433" s="28">
        <f t="shared" si="222"/>
        <v>0</v>
      </c>
      <c r="M433" s="28">
        <f t="shared" si="222"/>
        <v>0</v>
      </c>
      <c r="N433" s="28">
        <f t="shared" si="222"/>
        <v>0</v>
      </c>
      <c r="O433" s="28">
        <f t="shared" si="222"/>
        <v>0</v>
      </c>
      <c r="P433" s="28">
        <f t="shared" si="222"/>
        <v>10928</v>
      </c>
      <c r="Q433" s="28">
        <f t="shared" si="222"/>
        <v>3301.25</v>
      </c>
      <c r="R433" s="29">
        <f>IFERROR(Q433/$P433,0)</f>
        <v>0.30209095900439237</v>
      </c>
      <c r="S433" s="28">
        <f>SUM(S431:S432)</f>
        <v>8757.9599999999991</v>
      </c>
      <c r="T433" s="29">
        <f>IFERROR(S433/$P433,0)</f>
        <v>0.80142386530014631</v>
      </c>
      <c r="U433" s="28">
        <f>SUM(U431:U432)</f>
        <v>0</v>
      </c>
      <c r="V433" s="29">
        <f>IFERROR(U433/$P433,0)</f>
        <v>0</v>
      </c>
      <c r="W433" s="28">
        <f>SUM(W431:W432)</f>
        <v>0</v>
      </c>
      <c r="X433" s="29">
        <f>IFERROR(W433/$P433,0)</f>
        <v>0</v>
      </c>
      <c r="Y433" s="28">
        <f>SUM(Y431:Y432)</f>
        <v>11228</v>
      </c>
      <c r="Z433" s="28">
        <f>SUM(Z431:Z432)</f>
        <v>11228</v>
      </c>
    </row>
    <row r="435" spans="1:26" ht="13.9" customHeight="1" x14ac:dyDescent="0.25">
      <c r="D435" s="73" t="s">
        <v>246</v>
      </c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4"/>
      <c r="S435" s="73"/>
      <c r="T435" s="74"/>
      <c r="U435" s="73"/>
      <c r="V435" s="74"/>
      <c r="W435" s="73"/>
      <c r="X435" s="74"/>
      <c r="Y435" s="73"/>
      <c r="Z435" s="73"/>
    </row>
    <row r="436" spans="1:26" ht="13.9" customHeight="1" x14ac:dyDescent="0.25">
      <c r="D436" s="21" t="s">
        <v>32</v>
      </c>
      <c r="E436" s="21" t="s">
        <v>33</v>
      </c>
      <c r="F436" s="21" t="s">
        <v>34</v>
      </c>
      <c r="G436" s="21" t="s">
        <v>1</v>
      </c>
      <c r="H436" s="21" t="s">
        <v>2</v>
      </c>
      <c r="I436" s="21" t="s">
        <v>3</v>
      </c>
      <c r="J436" s="21" t="s">
        <v>4</v>
      </c>
      <c r="K436" s="21" t="s">
        <v>5</v>
      </c>
      <c r="L436" s="21" t="s">
        <v>6</v>
      </c>
      <c r="M436" s="21" t="s">
        <v>7</v>
      </c>
      <c r="N436" s="21" t="s">
        <v>8</v>
      </c>
      <c r="O436" s="21" t="s">
        <v>9</v>
      </c>
      <c r="P436" s="21" t="s">
        <v>124</v>
      </c>
      <c r="Q436" s="21" t="s">
        <v>11</v>
      </c>
      <c r="R436" s="22" t="s">
        <v>12</v>
      </c>
      <c r="S436" s="21" t="s">
        <v>13</v>
      </c>
      <c r="T436" s="22" t="s">
        <v>14</v>
      </c>
      <c r="U436" s="21" t="s">
        <v>15</v>
      </c>
      <c r="V436" s="22" t="s">
        <v>16</v>
      </c>
      <c r="W436" s="21" t="s">
        <v>17</v>
      </c>
      <c r="X436" s="22" t="s">
        <v>18</v>
      </c>
      <c r="Y436" s="21" t="s">
        <v>19</v>
      </c>
      <c r="Z436" s="21" t="s">
        <v>20</v>
      </c>
    </row>
    <row r="437" spans="1:26" ht="13.9" hidden="1" customHeight="1" x14ac:dyDescent="0.25">
      <c r="A437" s="15">
        <v>6</v>
      </c>
      <c r="B437" s="15">
        <v>3</v>
      </c>
      <c r="C437" s="15">
        <v>1</v>
      </c>
      <c r="D437" s="84" t="s">
        <v>247</v>
      </c>
      <c r="E437" s="24">
        <v>630</v>
      </c>
      <c r="F437" s="24" t="s">
        <v>134</v>
      </c>
      <c r="G437" s="25">
        <v>0</v>
      </c>
      <c r="H437" s="25">
        <v>470.16</v>
      </c>
      <c r="I437" s="25">
        <v>0</v>
      </c>
      <c r="J437" s="25">
        <v>0</v>
      </c>
      <c r="K437" s="25">
        <v>0</v>
      </c>
      <c r="L437" s="25"/>
      <c r="M437" s="25"/>
      <c r="N437" s="25"/>
      <c r="O437" s="25"/>
      <c r="P437" s="25">
        <f>K437+SUM(L437:O437)</f>
        <v>0</v>
      </c>
      <c r="Q437" s="25"/>
      <c r="R437" s="26">
        <f>IFERROR(Q437/$P437,0)</f>
        <v>0</v>
      </c>
      <c r="S437" s="25"/>
      <c r="T437" s="26">
        <f>IFERROR(S437/$P437,0)</f>
        <v>0</v>
      </c>
      <c r="U437" s="25"/>
      <c r="V437" s="26">
        <f>IFERROR(U437/$P437,0)</f>
        <v>0</v>
      </c>
      <c r="W437" s="25"/>
      <c r="X437" s="26">
        <f>IFERROR(W437/$P437,0)</f>
        <v>0</v>
      </c>
      <c r="Y437" s="25">
        <v>0</v>
      </c>
      <c r="Z437" s="25">
        <f>Y437</f>
        <v>0</v>
      </c>
    </row>
    <row r="438" spans="1:26" ht="13.9" hidden="1" customHeight="1" x14ac:dyDescent="0.25">
      <c r="A438" s="15">
        <v>6</v>
      </c>
      <c r="B438" s="15">
        <v>3</v>
      </c>
      <c r="C438" s="15">
        <v>1</v>
      </c>
      <c r="D438" s="79" t="s">
        <v>21</v>
      </c>
      <c r="E438" s="85">
        <v>111</v>
      </c>
      <c r="F438" s="48" t="s">
        <v>137</v>
      </c>
      <c r="G438" s="49">
        <f t="shared" ref="G438:Q438" si="223">SUM(G437)</f>
        <v>0</v>
      </c>
      <c r="H438" s="49">
        <f t="shared" si="223"/>
        <v>470.16</v>
      </c>
      <c r="I438" s="49">
        <f t="shared" si="223"/>
        <v>0</v>
      </c>
      <c r="J438" s="49">
        <f t="shared" si="223"/>
        <v>0</v>
      </c>
      <c r="K438" s="49">
        <f t="shared" si="223"/>
        <v>0</v>
      </c>
      <c r="L438" s="49">
        <f t="shared" si="223"/>
        <v>0</v>
      </c>
      <c r="M438" s="49">
        <f t="shared" si="223"/>
        <v>0</v>
      </c>
      <c r="N438" s="49">
        <f t="shared" si="223"/>
        <v>0</v>
      </c>
      <c r="O438" s="49">
        <f t="shared" si="223"/>
        <v>0</v>
      </c>
      <c r="P438" s="49">
        <f t="shared" si="223"/>
        <v>0</v>
      </c>
      <c r="Q438" s="49">
        <f t="shared" si="223"/>
        <v>0</v>
      </c>
      <c r="R438" s="50">
        <f>IFERROR(Q438/$P438,0)</f>
        <v>0</v>
      </c>
      <c r="S438" s="49">
        <f>SUM(S437)</f>
        <v>0</v>
      </c>
      <c r="T438" s="50">
        <f>IFERROR(S438/$P438,0)</f>
        <v>0</v>
      </c>
      <c r="U438" s="49">
        <f>SUM(U437)</f>
        <v>0</v>
      </c>
      <c r="V438" s="50">
        <f>IFERROR(U438/$P438,0)</f>
        <v>0</v>
      </c>
      <c r="W438" s="49">
        <f>SUM(W437)</f>
        <v>0</v>
      </c>
      <c r="X438" s="50">
        <f>IFERROR(W438/$P438,0)</f>
        <v>0</v>
      </c>
      <c r="Y438" s="49">
        <f>SUM(Y437)</f>
        <v>0</v>
      </c>
      <c r="Z438" s="49">
        <f>SUM(Z437)</f>
        <v>0</v>
      </c>
    </row>
    <row r="439" spans="1:26" ht="13.9" customHeight="1" x14ac:dyDescent="0.25">
      <c r="A439" s="15">
        <v>6</v>
      </c>
      <c r="B439" s="15">
        <v>3</v>
      </c>
      <c r="C439" s="15">
        <v>1</v>
      </c>
      <c r="D439" s="84" t="s">
        <v>247</v>
      </c>
      <c r="E439" s="24">
        <v>630</v>
      </c>
      <c r="F439" s="24" t="s">
        <v>134</v>
      </c>
      <c r="G439" s="25">
        <v>7740.66</v>
      </c>
      <c r="H439" s="25">
        <v>5130.88</v>
      </c>
      <c r="I439" s="25">
        <v>5674</v>
      </c>
      <c r="J439" s="25">
        <v>6728</v>
      </c>
      <c r="K439" s="25">
        <v>5078</v>
      </c>
      <c r="L439" s="25"/>
      <c r="M439" s="25"/>
      <c r="N439" s="25"/>
      <c r="O439" s="25"/>
      <c r="P439" s="25">
        <f>K439+SUM(L439:O439)</f>
        <v>5078</v>
      </c>
      <c r="Q439" s="25">
        <v>1801.25</v>
      </c>
      <c r="R439" s="26">
        <f>IFERROR(Q439/$P439,0)</f>
        <v>0.35471642378889329</v>
      </c>
      <c r="S439" s="25">
        <v>3307.96</v>
      </c>
      <c r="T439" s="26">
        <f>IFERROR(S439/$P439,0)</f>
        <v>0.65142969673099649</v>
      </c>
      <c r="U439" s="25"/>
      <c r="V439" s="26">
        <f>IFERROR(U439/$P439,0)</f>
        <v>0</v>
      </c>
      <c r="W439" s="25"/>
      <c r="X439" s="26">
        <f>IFERROR(W439/$P439,0)</f>
        <v>0</v>
      </c>
      <c r="Y439" s="25">
        <f>K439</f>
        <v>5078</v>
      </c>
      <c r="Z439" s="25">
        <f>Y439</f>
        <v>5078</v>
      </c>
    </row>
    <row r="440" spans="1:26" ht="13.9" customHeight="1" x14ac:dyDescent="0.25">
      <c r="A440" s="15">
        <v>6</v>
      </c>
      <c r="B440" s="15">
        <v>3</v>
      </c>
      <c r="C440" s="15">
        <v>1</v>
      </c>
      <c r="D440" s="79" t="s">
        <v>21</v>
      </c>
      <c r="E440" s="48">
        <v>41</v>
      </c>
      <c r="F440" s="48" t="s">
        <v>23</v>
      </c>
      <c r="G440" s="49">
        <f t="shared" ref="G440:Q440" si="224">SUM(G439)</f>
        <v>7740.66</v>
      </c>
      <c r="H440" s="49">
        <f t="shared" si="224"/>
        <v>5130.88</v>
      </c>
      <c r="I440" s="49">
        <f t="shared" si="224"/>
        <v>5674</v>
      </c>
      <c r="J440" s="49">
        <f t="shared" si="224"/>
        <v>6728</v>
      </c>
      <c r="K440" s="49">
        <f t="shared" si="224"/>
        <v>5078</v>
      </c>
      <c r="L440" s="49">
        <f t="shared" si="224"/>
        <v>0</v>
      </c>
      <c r="M440" s="49">
        <f t="shared" si="224"/>
        <v>0</v>
      </c>
      <c r="N440" s="49">
        <f t="shared" si="224"/>
        <v>0</v>
      </c>
      <c r="O440" s="49">
        <f t="shared" si="224"/>
        <v>0</v>
      </c>
      <c r="P440" s="49">
        <f t="shared" si="224"/>
        <v>5078</v>
      </c>
      <c r="Q440" s="49">
        <f t="shared" si="224"/>
        <v>1801.25</v>
      </c>
      <c r="R440" s="50">
        <f>IFERROR(Q440/$P440,0)</f>
        <v>0.35471642378889329</v>
      </c>
      <c r="S440" s="49">
        <f>SUM(S439)</f>
        <v>3307.96</v>
      </c>
      <c r="T440" s="50">
        <f>IFERROR(S440/$P440,0)</f>
        <v>0.65142969673099649</v>
      </c>
      <c r="U440" s="49">
        <f>SUM(U439)</f>
        <v>0</v>
      </c>
      <c r="V440" s="50">
        <f>IFERROR(U440/$P440,0)</f>
        <v>0</v>
      </c>
      <c r="W440" s="49">
        <f>SUM(W439)</f>
        <v>0</v>
      </c>
      <c r="X440" s="50">
        <f>IFERROR(W440/$P440,0)</f>
        <v>0</v>
      </c>
      <c r="Y440" s="49">
        <f>SUM(Y439)</f>
        <v>5078</v>
      </c>
      <c r="Z440" s="49">
        <f>SUM(Z439)</f>
        <v>5078</v>
      </c>
    </row>
    <row r="441" spans="1:26" ht="13.9" customHeight="1" x14ac:dyDescent="0.25">
      <c r="A441" s="15">
        <v>6</v>
      </c>
      <c r="B441" s="15">
        <v>3</v>
      </c>
      <c r="C441" s="15">
        <v>1</v>
      </c>
      <c r="D441" s="86"/>
      <c r="E441" s="87"/>
      <c r="F441" s="27" t="s">
        <v>127</v>
      </c>
      <c r="G441" s="28">
        <f t="shared" ref="G441:Q441" si="225">G438+G440</f>
        <v>7740.66</v>
      </c>
      <c r="H441" s="28">
        <f t="shared" si="225"/>
        <v>5601.04</v>
      </c>
      <c r="I441" s="28">
        <f t="shared" si="225"/>
        <v>5674</v>
      </c>
      <c r="J441" s="28">
        <f t="shared" si="225"/>
        <v>6728</v>
      </c>
      <c r="K441" s="28">
        <f t="shared" si="225"/>
        <v>5078</v>
      </c>
      <c r="L441" s="28">
        <f t="shared" si="225"/>
        <v>0</v>
      </c>
      <c r="M441" s="28">
        <f t="shared" si="225"/>
        <v>0</v>
      </c>
      <c r="N441" s="28">
        <f t="shared" si="225"/>
        <v>0</v>
      </c>
      <c r="O441" s="28">
        <f t="shared" si="225"/>
        <v>0</v>
      </c>
      <c r="P441" s="28">
        <f t="shared" si="225"/>
        <v>5078</v>
      </c>
      <c r="Q441" s="28">
        <f t="shared" si="225"/>
        <v>1801.25</v>
      </c>
      <c r="R441" s="29">
        <f>IFERROR(Q441/$P441,0)</f>
        <v>0.35471642378889329</v>
      </c>
      <c r="S441" s="28">
        <f>S438+S440</f>
        <v>3307.96</v>
      </c>
      <c r="T441" s="29">
        <f>IFERROR(S441/$P441,0)</f>
        <v>0.65142969673099649</v>
      </c>
      <c r="U441" s="28">
        <f>U438+U440</f>
        <v>0</v>
      </c>
      <c r="V441" s="29">
        <f>IFERROR(U441/$P441,0)</f>
        <v>0</v>
      </c>
      <c r="W441" s="28">
        <f>W438+W440</f>
        <v>0</v>
      </c>
      <c r="X441" s="29">
        <f>IFERROR(W441/$P441,0)</f>
        <v>0</v>
      </c>
      <c r="Y441" s="28">
        <f>Y438+Y440</f>
        <v>5078</v>
      </c>
      <c r="Z441" s="28">
        <f>Z438+Z440</f>
        <v>5078</v>
      </c>
    </row>
    <row r="443" spans="1:26" ht="13.9" customHeight="1" x14ac:dyDescent="0.25">
      <c r="E443" s="52" t="s">
        <v>55</v>
      </c>
      <c r="F443" s="30" t="s">
        <v>150</v>
      </c>
      <c r="G443" s="53">
        <v>1694</v>
      </c>
      <c r="H443" s="53">
        <v>2296</v>
      </c>
      <c r="I443" s="53">
        <v>2296</v>
      </c>
      <c r="J443" s="53">
        <v>1221</v>
      </c>
      <c r="K443" s="53">
        <v>1220</v>
      </c>
      <c r="L443" s="53"/>
      <c r="M443" s="53"/>
      <c r="N443" s="53"/>
      <c r="O443" s="53"/>
      <c r="P443" s="53">
        <f>K443+SUM(L443:O443)</f>
        <v>1220</v>
      </c>
      <c r="Q443" s="53">
        <v>301.25</v>
      </c>
      <c r="R443" s="54">
        <f>IFERROR(Q443/$P443,0)</f>
        <v>0.24692622950819673</v>
      </c>
      <c r="S443" s="53">
        <v>909.49</v>
      </c>
      <c r="T443" s="54">
        <f>IFERROR(S443/$P443,0)</f>
        <v>0.74548360655737711</v>
      </c>
      <c r="U443" s="53"/>
      <c r="V443" s="54">
        <f>IFERROR(U443/$P443,0)</f>
        <v>0</v>
      </c>
      <c r="W443" s="53"/>
      <c r="X443" s="55">
        <f>IFERROR(W443/$P443,0)</f>
        <v>0</v>
      </c>
      <c r="Y443" s="53">
        <f>K443</f>
        <v>1220</v>
      </c>
      <c r="Z443" s="56">
        <f>Y443</f>
        <v>1220</v>
      </c>
    </row>
    <row r="444" spans="1:26" ht="13.9" customHeight="1" x14ac:dyDescent="0.25">
      <c r="E444" s="57"/>
      <c r="F444" s="92" t="s">
        <v>248</v>
      </c>
      <c r="G444" s="95">
        <v>4500</v>
      </c>
      <c r="H444" s="95">
        <v>3000</v>
      </c>
      <c r="I444" s="95">
        <v>3000</v>
      </c>
      <c r="J444" s="95">
        <v>3000</v>
      </c>
      <c r="K444" s="95">
        <v>3000</v>
      </c>
      <c r="L444" s="95"/>
      <c r="M444" s="95"/>
      <c r="N444" s="95"/>
      <c r="O444" s="95"/>
      <c r="P444" s="95">
        <f>K444+SUM(L444:O444)</f>
        <v>3000</v>
      </c>
      <c r="Q444" s="95">
        <v>1500</v>
      </c>
      <c r="R444" s="96">
        <f>IFERROR(Q444/$P444,0)</f>
        <v>0.5</v>
      </c>
      <c r="S444" s="95">
        <v>2250</v>
      </c>
      <c r="T444" s="96">
        <f>IFERROR(S444/$P444,0)</f>
        <v>0.75</v>
      </c>
      <c r="U444" s="95"/>
      <c r="V444" s="96">
        <f>IFERROR(U444/$P444,0)</f>
        <v>0</v>
      </c>
      <c r="W444" s="95"/>
      <c r="X444" s="60">
        <f>IFERROR(W444/$P444,0)</f>
        <v>0</v>
      </c>
      <c r="Y444" s="95">
        <f>K444</f>
        <v>3000</v>
      </c>
      <c r="Z444" s="61">
        <f>Y444</f>
        <v>3000</v>
      </c>
    </row>
    <row r="445" spans="1:26" ht="13.9" customHeight="1" x14ac:dyDescent="0.25">
      <c r="E445" s="65"/>
      <c r="F445" s="97" t="s">
        <v>249</v>
      </c>
      <c r="G445" s="67">
        <v>1386.06</v>
      </c>
      <c r="H445" s="67">
        <v>226.8</v>
      </c>
      <c r="I445" s="67">
        <v>300</v>
      </c>
      <c r="J445" s="67">
        <v>1950</v>
      </c>
      <c r="K445" s="67">
        <v>300</v>
      </c>
      <c r="L445" s="67"/>
      <c r="M445" s="67"/>
      <c r="N445" s="67"/>
      <c r="O445" s="67"/>
      <c r="P445" s="67">
        <f>K445+SUM(L445:O445)</f>
        <v>300</v>
      </c>
      <c r="Q445" s="67">
        <v>0</v>
      </c>
      <c r="R445" s="68">
        <f>IFERROR(Q445/$P445,0)</f>
        <v>0</v>
      </c>
      <c r="S445" s="67">
        <v>60.47</v>
      </c>
      <c r="T445" s="68">
        <f>IFERROR(S445/$P445,0)</f>
        <v>0.20156666666666667</v>
      </c>
      <c r="U445" s="67"/>
      <c r="V445" s="68">
        <f>IFERROR(U445/$P445,0)</f>
        <v>0</v>
      </c>
      <c r="W445" s="67"/>
      <c r="X445" s="69">
        <f>IFERROR(W445/$P445,0)</f>
        <v>0</v>
      </c>
      <c r="Y445" s="67">
        <f>K445</f>
        <v>300</v>
      </c>
      <c r="Z445" s="70">
        <f>Y445</f>
        <v>300</v>
      </c>
    </row>
    <row r="447" spans="1:26" ht="13.9" customHeight="1" x14ac:dyDescent="0.25">
      <c r="D447" s="73" t="s">
        <v>250</v>
      </c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4"/>
      <c r="S447" s="73"/>
      <c r="T447" s="74"/>
      <c r="U447" s="73"/>
      <c r="V447" s="74"/>
      <c r="W447" s="73"/>
      <c r="X447" s="74"/>
      <c r="Y447" s="73"/>
      <c r="Z447" s="73"/>
    </row>
    <row r="448" spans="1:26" ht="13.9" customHeight="1" x14ac:dyDescent="0.25">
      <c r="D448" s="21" t="s">
        <v>32</v>
      </c>
      <c r="E448" s="21" t="s">
        <v>33</v>
      </c>
      <c r="F448" s="21" t="s">
        <v>34</v>
      </c>
      <c r="G448" s="21" t="s">
        <v>1</v>
      </c>
      <c r="H448" s="21" t="s">
        <v>2</v>
      </c>
      <c r="I448" s="21" t="s">
        <v>3</v>
      </c>
      <c r="J448" s="21" t="s">
        <v>4</v>
      </c>
      <c r="K448" s="21" t="s">
        <v>5</v>
      </c>
      <c r="L448" s="21" t="s">
        <v>6</v>
      </c>
      <c r="M448" s="21" t="s">
        <v>7</v>
      </c>
      <c r="N448" s="21" t="s">
        <v>8</v>
      </c>
      <c r="O448" s="21" t="s">
        <v>9</v>
      </c>
      <c r="P448" s="21" t="s">
        <v>124</v>
      </c>
      <c r="Q448" s="21" t="s">
        <v>11</v>
      </c>
      <c r="R448" s="22" t="s">
        <v>12</v>
      </c>
      <c r="S448" s="21" t="s">
        <v>13</v>
      </c>
      <c r="T448" s="22" t="s">
        <v>14</v>
      </c>
      <c r="U448" s="21" t="s">
        <v>15</v>
      </c>
      <c r="V448" s="22" t="s">
        <v>16</v>
      </c>
      <c r="W448" s="21" t="s">
        <v>17</v>
      </c>
      <c r="X448" s="22" t="s">
        <v>18</v>
      </c>
      <c r="Y448" s="21" t="s">
        <v>19</v>
      </c>
      <c r="Z448" s="21" t="s">
        <v>20</v>
      </c>
    </row>
    <row r="449" spans="1:26" ht="13.9" customHeight="1" x14ac:dyDescent="0.25">
      <c r="A449" s="15">
        <v>6</v>
      </c>
      <c r="B449" s="15">
        <v>3</v>
      </c>
      <c r="C449" s="15">
        <v>2</v>
      </c>
      <c r="D449" s="84" t="s">
        <v>247</v>
      </c>
      <c r="E449" s="24">
        <v>640</v>
      </c>
      <c r="F449" s="24" t="s">
        <v>135</v>
      </c>
      <c r="G449" s="25">
        <f>SUM(G453:G456)</f>
        <v>4200</v>
      </c>
      <c r="H449" s="25">
        <v>4400</v>
      </c>
      <c r="I449" s="25">
        <f>SUM(I453:I456)</f>
        <v>4700</v>
      </c>
      <c r="J449" s="25">
        <f>SUM(J453:J456)</f>
        <v>4850</v>
      </c>
      <c r="K449" s="25">
        <f>SUM(K453:K456)</f>
        <v>5850</v>
      </c>
      <c r="L449" s="25"/>
      <c r="M449" s="25"/>
      <c r="N449" s="25"/>
      <c r="O449" s="25"/>
      <c r="P449" s="25">
        <f>K449+SUM(L449:O449)</f>
        <v>5850</v>
      </c>
      <c r="Q449" s="25">
        <v>1500</v>
      </c>
      <c r="R449" s="26">
        <f>IFERROR(Q449/$P449,0)</f>
        <v>0.25641025641025639</v>
      </c>
      <c r="S449" s="25">
        <v>5450</v>
      </c>
      <c r="T449" s="26">
        <f>IFERROR(S449/$P449,0)</f>
        <v>0.93162393162393164</v>
      </c>
      <c r="U449" s="25"/>
      <c r="V449" s="26">
        <f>IFERROR(U449/$P449,0)</f>
        <v>0</v>
      </c>
      <c r="W449" s="25"/>
      <c r="X449" s="26">
        <f>IFERROR(W449/$P449,0)</f>
        <v>0</v>
      </c>
      <c r="Y449" s="25">
        <f>SUM(Y453:Y456)</f>
        <v>6150</v>
      </c>
      <c r="Z449" s="25">
        <f>SUM(Z453:Z456)</f>
        <v>6150</v>
      </c>
    </row>
    <row r="450" spans="1:26" ht="13.9" customHeight="1" x14ac:dyDescent="0.25">
      <c r="A450" s="15">
        <v>6</v>
      </c>
      <c r="B450" s="15">
        <v>3</v>
      </c>
      <c r="C450" s="15">
        <v>2</v>
      </c>
      <c r="D450" s="79" t="s">
        <v>21</v>
      </c>
      <c r="E450" s="48">
        <v>41</v>
      </c>
      <c r="F450" s="48" t="s">
        <v>23</v>
      </c>
      <c r="G450" s="49">
        <f t="shared" ref="G450:Q450" si="226">SUM(G449)</f>
        <v>4200</v>
      </c>
      <c r="H450" s="49">
        <f t="shared" si="226"/>
        <v>4400</v>
      </c>
      <c r="I450" s="49">
        <f t="shared" si="226"/>
        <v>4700</v>
      </c>
      <c r="J450" s="49">
        <f t="shared" si="226"/>
        <v>4850</v>
      </c>
      <c r="K450" s="49">
        <f t="shared" si="226"/>
        <v>5850</v>
      </c>
      <c r="L450" s="49">
        <f t="shared" si="226"/>
        <v>0</v>
      </c>
      <c r="M450" s="49">
        <f t="shared" si="226"/>
        <v>0</v>
      </c>
      <c r="N450" s="49">
        <f t="shared" si="226"/>
        <v>0</v>
      </c>
      <c r="O450" s="49">
        <f t="shared" si="226"/>
        <v>0</v>
      </c>
      <c r="P450" s="49">
        <f t="shared" si="226"/>
        <v>5850</v>
      </c>
      <c r="Q450" s="49">
        <f t="shared" si="226"/>
        <v>1500</v>
      </c>
      <c r="R450" s="50">
        <f>IFERROR(Q450/$P450,0)</f>
        <v>0.25641025641025639</v>
      </c>
      <c r="S450" s="49">
        <f>SUM(S449)</f>
        <v>5450</v>
      </c>
      <c r="T450" s="50">
        <f>IFERROR(S450/$P450,0)</f>
        <v>0.93162393162393164</v>
      </c>
      <c r="U450" s="49">
        <f>SUM(U449)</f>
        <v>0</v>
      </c>
      <c r="V450" s="50">
        <f>IFERROR(U450/$P450,0)</f>
        <v>0</v>
      </c>
      <c r="W450" s="49">
        <f>SUM(W449)</f>
        <v>0</v>
      </c>
      <c r="X450" s="50">
        <f>IFERROR(W450/$P450,0)</f>
        <v>0</v>
      </c>
      <c r="Y450" s="49">
        <f>SUM(Y449)</f>
        <v>6150</v>
      </c>
      <c r="Z450" s="49">
        <f>SUM(Z449)</f>
        <v>6150</v>
      </c>
    </row>
    <row r="451" spans="1:26" ht="13.9" customHeight="1" x14ac:dyDescent="0.25">
      <c r="A451" s="15">
        <v>6</v>
      </c>
      <c r="B451" s="15">
        <v>3</v>
      </c>
      <c r="C451" s="15">
        <v>2</v>
      </c>
      <c r="D451" s="86"/>
      <c r="E451" s="87"/>
      <c r="F451" s="27" t="s">
        <v>127</v>
      </c>
      <c r="G451" s="28">
        <f t="shared" ref="G451:Q451" si="227">G450</f>
        <v>4200</v>
      </c>
      <c r="H451" s="28">
        <f t="shared" si="227"/>
        <v>4400</v>
      </c>
      <c r="I451" s="28">
        <f t="shared" si="227"/>
        <v>4700</v>
      </c>
      <c r="J451" s="28">
        <f t="shared" si="227"/>
        <v>4850</v>
      </c>
      <c r="K451" s="28">
        <f t="shared" si="227"/>
        <v>5850</v>
      </c>
      <c r="L451" s="28">
        <f t="shared" si="227"/>
        <v>0</v>
      </c>
      <c r="M451" s="28">
        <f t="shared" si="227"/>
        <v>0</v>
      </c>
      <c r="N451" s="28">
        <f t="shared" si="227"/>
        <v>0</v>
      </c>
      <c r="O451" s="28">
        <f t="shared" si="227"/>
        <v>0</v>
      </c>
      <c r="P451" s="28">
        <f t="shared" si="227"/>
        <v>5850</v>
      </c>
      <c r="Q451" s="28">
        <f t="shared" si="227"/>
        <v>1500</v>
      </c>
      <c r="R451" s="29">
        <f>IFERROR(Q451/$P451,0)</f>
        <v>0.25641025641025639</v>
      </c>
      <c r="S451" s="28">
        <f>S450</f>
        <v>5450</v>
      </c>
      <c r="T451" s="29">
        <f>IFERROR(S451/$P451,0)</f>
        <v>0.93162393162393164</v>
      </c>
      <c r="U451" s="28">
        <f>U450</f>
        <v>0</v>
      </c>
      <c r="V451" s="29">
        <f>IFERROR(U451/$P451,0)</f>
        <v>0</v>
      </c>
      <c r="W451" s="28">
        <f>W450</f>
        <v>0</v>
      </c>
      <c r="X451" s="29">
        <f>IFERROR(W451/$P451,0)</f>
        <v>0</v>
      </c>
      <c r="Y451" s="28">
        <f>Y450</f>
        <v>6150</v>
      </c>
      <c r="Z451" s="28">
        <f>Z450</f>
        <v>6150</v>
      </c>
    </row>
    <row r="453" spans="1:26" ht="13.9" customHeight="1" x14ac:dyDescent="0.25">
      <c r="E453" s="52" t="s">
        <v>55</v>
      </c>
      <c r="F453" s="30" t="s">
        <v>251</v>
      </c>
      <c r="G453" s="53">
        <v>1100</v>
      </c>
      <c r="H453" s="53">
        <v>1200</v>
      </c>
      <c r="I453" s="53">
        <v>1200</v>
      </c>
      <c r="J453" s="53">
        <v>1200</v>
      </c>
      <c r="K453" s="118">
        <v>1700</v>
      </c>
      <c r="L453" s="53"/>
      <c r="M453" s="53"/>
      <c r="N453" s="53"/>
      <c r="O453" s="53"/>
      <c r="P453" s="53">
        <f>K453+SUM(L453:O453)</f>
        <v>1700</v>
      </c>
      <c r="Q453" s="53">
        <v>1500</v>
      </c>
      <c r="R453" s="54">
        <f>IFERROR(Q453/$P453,0)</f>
        <v>0.88235294117647056</v>
      </c>
      <c r="S453" s="53">
        <v>1500</v>
      </c>
      <c r="T453" s="54">
        <f>IFERROR(S453/$P453,0)</f>
        <v>0.88235294117647056</v>
      </c>
      <c r="U453" s="53"/>
      <c r="V453" s="54">
        <f>IFERROR(U453/$P453,0)</f>
        <v>0</v>
      </c>
      <c r="W453" s="53"/>
      <c r="X453" s="55">
        <f>IFERROR(W453/$P453,0)</f>
        <v>0</v>
      </c>
      <c r="Y453" s="53">
        <v>2000</v>
      </c>
      <c r="Z453" s="56">
        <f>Y453</f>
        <v>2000</v>
      </c>
    </row>
    <row r="454" spans="1:26" ht="13.9" customHeight="1" x14ac:dyDescent="0.25">
      <c r="E454" s="57"/>
      <c r="F454" s="58" t="s">
        <v>252</v>
      </c>
      <c r="G454" s="59">
        <v>2000</v>
      </c>
      <c r="H454" s="59">
        <v>2000</v>
      </c>
      <c r="I454" s="59">
        <v>2000</v>
      </c>
      <c r="J454" s="59">
        <v>2000</v>
      </c>
      <c r="K454" s="62">
        <v>2000</v>
      </c>
      <c r="L454" s="59"/>
      <c r="M454" s="59"/>
      <c r="N454" s="59"/>
      <c r="O454" s="59"/>
      <c r="P454" s="59">
        <f>K454+SUM(L454:O454)</f>
        <v>2000</v>
      </c>
      <c r="Q454" s="59">
        <v>0</v>
      </c>
      <c r="R454" s="16">
        <f>IFERROR(Q454/$P454,0)</f>
        <v>0</v>
      </c>
      <c r="S454" s="59">
        <v>2000</v>
      </c>
      <c r="T454" s="16">
        <f>IFERROR(S454/$P454,0)</f>
        <v>1</v>
      </c>
      <c r="U454" s="59"/>
      <c r="V454" s="16">
        <f>IFERROR(U454/$P454,0)</f>
        <v>0</v>
      </c>
      <c r="W454" s="59"/>
      <c r="X454" s="60">
        <f>IFERROR(W454/$P454,0)</f>
        <v>0</v>
      </c>
      <c r="Y454" s="59">
        <f>K454</f>
        <v>2000</v>
      </c>
      <c r="Z454" s="61">
        <f>Y454</f>
        <v>2000</v>
      </c>
    </row>
    <row r="455" spans="1:26" ht="13.9" customHeight="1" x14ac:dyDescent="0.25">
      <c r="E455" s="57"/>
      <c r="F455" s="143" t="s">
        <v>253</v>
      </c>
      <c r="G455" s="95">
        <v>1100</v>
      </c>
      <c r="H455" s="95">
        <v>1200</v>
      </c>
      <c r="I455" s="95">
        <v>1500</v>
      </c>
      <c r="J455" s="95">
        <v>1500</v>
      </c>
      <c r="K455" s="93">
        <v>2000</v>
      </c>
      <c r="L455" s="95"/>
      <c r="M455" s="95"/>
      <c r="N455" s="95"/>
      <c r="O455" s="95"/>
      <c r="P455" s="95">
        <f>K455+SUM(L455:O455)</f>
        <v>2000</v>
      </c>
      <c r="Q455" s="95">
        <v>0</v>
      </c>
      <c r="R455" s="96">
        <f>IFERROR(Q455/$P455,0)</f>
        <v>0</v>
      </c>
      <c r="S455" s="95">
        <v>1800</v>
      </c>
      <c r="T455" s="96">
        <f>IFERROR(S455/$P455,0)</f>
        <v>0.9</v>
      </c>
      <c r="U455" s="95"/>
      <c r="V455" s="96">
        <f>IFERROR(U455/$P455,0)</f>
        <v>0</v>
      </c>
      <c r="W455" s="95"/>
      <c r="X455" s="60">
        <f>IFERROR(W455/$P455,0)</f>
        <v>0</v>
      </c>
      <c r="Y455" s="95">
        <f>K455</f>
        <v>2000</v>
      </c>
      <c r="Z455" s="61">
        <f>Y455</f>
        <v>2000</v>
      </c>
    </row>
    <row r="456" spans="1:26" ht="13.9" customHeight="1" x14ac:dyDescent="0.25">
      <c r="E456" s="65"/>
      <c r="F456" s="66" t="s">
        <v>254</v>
      </c>
      <c r="G456" s="67"/>
      <c r="H456" s="67"/>
      <c r="I456" s="120"/>
      <c r="J456" s="67">
        <v>150</v>
      </c>
      <c r="K456" s="120">
        <v>150</v>
      </c>
      <c r="L456" s="67"/>
      <c r="M456" s="67"/>
      <c r="N456" s="67"/>
      <c r="O456" s="67"/>
      <c r="P456" s="67">
        <f>K456+SUM(L456:O456)</f>
        <v>150</v>
      </c>
      <c r="Q456" s="67">
        <v>0</v>
      </c>
      <c r="R456" s="68">
        <f>IFERROR(Q456/$P456,0)</f>
        <v>0</v>
      </c>
      <c r="S456" s="67">
        <v>150</v>
      </c>
      <c r="T456" s="68">
        <f>IFERROR(S456/$P456,0)</f>
        <v>1</v>
      </c>
      <c r="U456" s="67"/>
      <c r="V456" s="68">
        <f>IFERROR(U456/$P456,0)</f>
        <v>0</v>
      </c>
      <c r="W456" s="67"/>
      <c r="X456" s="69">
        <f>IFERROR(W456/$P456,0)</f>
        <v>0</v>
      </c>
      <c r="Y456" s="67">
        <f>K456</f>
        <v>150</v>
      </c>
      <c r="Z456" s="70">
        <f>Y456</f>
        <v>150</v>
      </c>
    </row>
    <row r="458" spans="1:26" ht="13.9" customHeight="1" x14ac:dyDescent="0.25">
      <c r="D458" s="32" t="s">
        <v>255</v>
      </c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3"/>
      <c r="S458" s="32"/>
      <c r="T458" s="33"/>
      <c r="U458" s="32"/>
      <c r="V458" s="33"/>
      <c r="W458" s="32"/>
      <c r="X458" s="33"/>
      <c r="Y458" s="32"/>
      <c r="Z458" s="32"/>
    </row>
    <row r="459" spans="1:26" ht="13.9" customHeight="1" x14ac:dyDescent="0.25">
      <c r="D459" s="20"/>
      <c r="E459" s="20"/>
      <c r="F459" s="20"/>
      <c r="G459" s="21" t="s">
        <v>1</v>
      </c>
      <c r="H459" s="21" t="s">
        <v>2</v>
      </c>
      <c r="I459" s="21" t="s">
        <v>3</v>
      </c>
      <c r="J459" s="21" t="s">
        <v>4</v>
      </c>
      <c r="K459" s="21" t="s">
        <v>5</v>
      </c>
      <c r="L459" s="21" t="s">
        <v>6</v>
      </c>
      <c r="M459" s="21" t="s">
        <v>7</v>
      </c>
      <c r="N459" s="21" t="s">
        <v>8</v>
      </c>
      <c r="O459" s="21" t="s">
        <v>9</v>
      </c>
      <c r="P459" s="21" t="s">
        <v>124</v>
      </c>
      <c r="Q459" s="21" t="s">
        <v>11</v>
      </c>
      <c r="R459" s="22" t="s">
        <v>12</v>
      </c>
      <c r="S459" s="21" t="s">
        <v>13</v>
      </c>
      <c r="T459" s="22" t="s">
        <v>14</v>
      </c>
      <c r="U459" s="21" t="s">
        <v>15</v>
      </c>
      <c r="V459" s="22" t="s">
        <v>16</v>
      </c>
      <c r="W459" s="21" t="s">
        <v>17</v>
      </c>
      <c r="X459" s="22" t="s">
        <v>18</v>
      </c>
      <c r="Y459" s="21" t="s">
        <v>19</v>
      </c>
      <c r="Z459" s="21" t="s">
        <v>20</v>
      </c>
    </row>
    <row r="460" spans="1:26" ht="13.9" customHeight="1" x14ac:dyDescent="0.25">
      <c r="A460" s="15">
        <v>7</v>
      </c>
      <c r="D460" s="12" t="s">
        <v>21</v>
      </c>
      <c r="E460" s="35">
        <v>111</v>
      </c>
      <c r="F460" s="35" t="s">
        <v>45</v>
      </c>
      <c r="G460" s="36">
        <f t="shared" ref="G460:Q460" si="228">G467+G516</f>
        <v>115462.17</v>
      </c>
      <c r="H460" s="36">
        <f t="shared" si="228"/>
        <v>119480.9</v>
      </c>
      <c r="I460" s="36">
        <f t="shared" si="228"/>
        <v>65581</v>
      </c>
      <c r="J460" s="36">
        <f t="shared" si="228"/>
        <v>127733</v>
      </c>
      <c r="K460" s="36">
        <f t="shared" si="228"/>
        <v>76134</v>
      </c>
      <c r="L460" s="36">
        <f t="shared" si="228"/>
        <v>15414</v>
      </c>
      <c r="M460" s="36">
        <f t="shared" si="228"/>
        <v>11662</v>
      </c>
      <c r="N460" s="36">
        <f t="shared" si="228"/>
        <v>0</v>
      </c>
      <c r="O460" s="36">
        <f t="shared" si="228"/>
        <v>0</v>
      </c>
      <c r="P460" s="36">
        <f t="shared" si="228"/>
        <v>103210</v>
      </c>
      <c r="Q460" s="36">
        <f t="shared" si="228"/>
        <v>33053.1</v>
      </c>
      <c r="R460" s="37">
        <f>IFERROR(Q460/$P460,0)</f>
        <v>0.32025094467590348</v>
      </c>
      <c r="S460" s="36">
        <f>S467+S516</f>
        <v>63534.28</v>
      </c>
      <c r="T460" s="37">
        <f>IFERROR(S460/$P460,0)</f>
        <v>0.61558259858540842</v>
      </c>
      <c r="U460" s="36">
        <f>U467+U516</f>
        <v>0</v>
      </c>
      <c r="V460" s="37">
        <f>IFERROR(U460/$P460,0)</f>
        <v>0</v>
      </c>
      <c r="W460" s="36">
        <f>W467+W516</f>
        <v>0</v>
      </c>
      <c r="X460" s="37">
        <f>IFERROR(W460/$P460,0)</f>
        <v>0</v>
      </c>
      <c r="Y460" s="36">
        <f>Y467+Y516</f>
        <v>76134</v>
      </c>
      <c r="Z460" s="36">
        <f>Z467+Z516</f>
        <v>76134</v>
      </c>
    </row>
    <row r="461" spans="1:26" ht="13.9" customHeight="1" x14ac:dyDescent="0.25">
      <c r="A461" s="15">
        <v>7</v>
      </c>
      <c r="D461" s="12"/>
      <c r="E461" s="35">
        <v>41</v>
      </c>
      <c r="F461" s="35" t="s">
        <v>23</v>
      </c>
      <c r="G461" s="36">
        <f t="shared" ref="G461:Q461" si="229">G468+G518</f>
        <v>99582.87999999999</v>
      </c>
      <c r="H461" s="36">
        <f t="shared" si="229"/>
        <v>116506.71</v>
      </c>
      <c r="I461" s="36">
        <f t="shared" si="229"/>
        <v>122869</v>
      </c>
      <c r="J461" s="36">
        <f t="shared" si="229"/>
        <v>107300</v>
      </c>
      <c r="K461" s="36">
        <f t="shared" si="229"/>
        <v>126124</v>
      </c>
      <c r="L461" s="36">
        <f t="shared" si="229"/>
        <v>0</v>
      </c>
      <c r="M461" s="36">
        <f t="shared" si="229"/>
        <v>-556</v>
      </c>
      <c r="N461" s="36">
        <f t="shared" si="229"/>
        <v>0</v>
      </c>
      <c r="O461" s="36">
        <f t="shared" si="229"/>
        <v>0</v>
      </c>
      <c r="P461" s="36">
        <f t="shared" si="229"/>
        <v>125568</v>
      </c>
      <c r="Q461" s="36">
        <f t="shared" si="229"/>
        <v>18914.810000000001</v>
      </c>
      <c r="R461" s="37">
        <f>IFERROR(Q461/$P461,0)</f>
        <v>0.15063399910805303</v>
      </c>
      <c r="S461" s="36">
        <f>S468+S518</f>
        <v>43532.420000000006</v>
      </c>
      <c r="T461" s="37">
        <f>IFERROR(S461/$P461,0)</f>
        <v>0.34668402777777785</v>
      </c>
      <c r="U461" s="36">
        <f>U468+U518</f>
        <v>0</v>
      </c>
      <c r="V461" s="37">
        <f>IFERROR(U461/$P461,0)</f>
        <v>0</v>
      </c>
      <c r="W461" s="36">
        <f>W468+W518</f>
        <v>0</v>
      </c>
      <c r="X461" s="37">
        <f>IFERROR(W461/$P461,0)</f>
        <v>0</v>
      </c>
      <c r="Y461" s="36">
        <f>Y468+Y518</f>
        <v>128109</v>
      </c>
      <c r="Z461" s="36">
        <f>Z468+Z518</f>
        <v>130889</v>
      </c>
    </row>
    <row r="462" spans="1:26" ht="13.9" customHeight="1" x14ac:dyDescent="0.25">
      <c r="A462" s="15">
        <v>7</v>
      </c>
      <c r="D462" s="12"/>
      <c r="E462" s="35">
        <v>72</v>
      </c>
      <c r="F462" s="35" t="s">
        <v>25</v>
      </c>
      <c r="G462" s="36">
        <f t="shared" ref="G462:Q462" si="230">G469</f>
        <v>1221.0899999999999</v>
      </c>
      <c r="H462" s="36">
        <f t="shared" si="230"/>
        <v>1166.6600000000001</v>
      </c>
      <c r="I462" s="36">
        <f t="shared" si="230"/>
        <v>1085</v>
      </c>
      <c r="J462" s="36">
        <f t="shared" si="230"/>
        <v>953</v>
      </c>
      <c r="K462" s="36">
        <f t="shared" si="230"/>
        <v>1359</v>
      </c>
      <c r="L462" s="36">
        <f t="shared" si="230"/>
        <v>0</v>
      </c>
      <c r="M462" s="36">
        <f t="shared" si="230"/>
        <v>0</v>
      </c>
      <c r="N462" s="36">
        <f t="shared" si="230"/>
        <v>0</v>
      </c>
      <c r="O462" s="36">
        <f t="shared" si="230"/>
        <v>0</v>
      </c>
      <c r="P462" s="36">
        <f t="shared" si="230"/>
        <v>1359</v>
      </c>
      <c r="Q462" s="36">
        <f t="shared" si="230"/>
        <v>0</v>
      </c>
      <c r="R462" s="37">
        <f>IFERROR(Q462/$P462,0)</f>
        <v>0</v>
      </c>
      <c r="S462" s="36">
        <f>S469</f>
        <v>0</v>
      </c>
      <c r="T462" s="37">
        <f>IFERROR(S462/$P462,0)</f>
        <v>0</v>
      </c>
      <c r="U462" s="36">
        <f>U469</f>
        <v>0</v>
      </c>
      <c r="V462" s="37">
        <f>IFERROR(U462/$P462,0)</f>
        <v>0</v>
      </c>
      <c r="W462" s="36">
        <f>W469</f>
        <v>0</v>
      </c>
      <c r="X462" s="37">
        <f>IFERROR(W462/$P462,0)</f>
        <v>0</v>
      </c>
      <c r="Y462" s="36">
        <f>Y469</f>
        <v>1432</v>
      </c>
      <c r="Z462" s="36">
        <f>Z469</f>
        <v>1432</v>
      </c>
    </row>
    <row r="463" spans="1:26" ht="13.9" customHeight="1" x14ac:dyDescent="0.25">
      <c r="A463" s="15">
        <v>7</v>
      </c>
      <c r="D463" s="30"/>
      <c r="E463" s="31"/>
      <c r="F463" s="38" t="s">
        <v>127</v>
      </c>
      <c r="G463" s="39">
        <f t="shared" ref="G463:Q463" si="231">SUM(G460:G462)</f>
        <v>216266.13999999998</v>
      </c>
      <c r="H463" s="39">
        <f t="shared" si="231"/>
        <v>237154.27</v>
      </c>
      <c r="I463" s="39">
        <f t="shared" si="231"/>
        <v>189535</v>
      </c>
      <c r="J463" s="39">
        <f t="shared" si="231"/>
        <v>235986</v>
      </c>
      <c r="K463" s="39">
        <f t="shared" si="231"/>
        <v>203617</v>
      </c>
      <c r="L463" s="39">
        <f t="shared" si="231"/>
        <v>15414</v>
      </c>
      <c r="M463" s="39">
        <f t="shared" si="231"/>
        <v>11106</v>
      </c>
      <c r="N463" s="39">
        <f t="shared" si="231"/>
        <v>0</v>
      </c>
      <c r="O463" s="39">
        <f t="shared" si="231"/>
        <v>0</v>
      </c>
      <c r="P463" s="39">
        <f t="shared" si="231"/>
        <v>230137</v>
      </c>
      <c r="Q463" s="39">
        <f t="shared" si="231"/>
        <v>51967.91</v>
      </c>
      <c r="R463" s="40">
        <f>IFERROR(Q463/$P463,0)</f>
        <v>0.22581292882065901</v>
      </c>
      <c r="S463" s="39">
        <f>SUM(S460:S462)</f>
        <v>107066.70000000001</v>
      </c>
      <c r="T463" s="40">
        <f>IFERROR(S463/$P463,0)</f>
        <v>0.46523027587915028</v>
      </c>
      <c r="U463" s="39">
        <f>SUM(U460:U462)</f>
        <v>0</v>
      </c>
      <c r="V463" s="40">
        <f>IFERROR(U463/$P463,0)</f>
        <v>0</v>
      </c>
      <c r="W463" s="39">
        <f>SUM(W460:W462)</f>
        <v>0</v>
      </c>
      <c r="X463" s="40">
        <f>IFERROR(W463/$P463,0)</f>
        <v>0</v>
      </c>
      <c r="Y463" s="39">
        <f>SUM(Y460:Y462)</f>
        <v>205675</v>
      </c>
      <c r="Z463" s="39">
        <f>SUM(Z460:Z462)</f>
        <v>208455</v>
      </c>
    </row>
    <row r="465" spans="1:26" ht="13.9" customHeight="1" x14ac:dyDescent="0.25">
      <c r="D465" s="41" t="s">
        <v>256</v>
      </c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2"/>
      <c r="S465" s="41"/>
      <c r="T465" s="42"/>
      <c r="U465" s="41"/>
      <c r="V465" s="42"/>
      <c r="W465" s="41"/>
      <c r="X465" s="42"/>
      <c r="Y465" s="41"/>
      <c r="Z465" s="41"/>
    </row>
    <row r="466" spans="1:26" ht="13.9" customHeight="1" x14ac:dyDescent="0.25">
      <c r="D466" s="128"/>
      <c r="E466" s="128"/>
      <c r="F466" s="128"/>
      <c r="G466" s="21" t="s">
        <v>1</v>
      </c>
      <c r="H466" s="21" t="s">
        <v>2</v>
      </c>
      <c r="I466" s="21" t="s">
        <v>3</v>
      </c>
      <c r="J466" s="21" t="s">
        <v>4</v>
      </c>
      <c r="K466" s="21" t="s">
        <v>5</v>
      </c>
      <c r="L466" s="21" t="s">
        <v>6</v>
      </c>
      <c r="M466" s="21" t="s">
        <v>7</v>
      </c>
      <c r="N466" s="21" t="s">
        <v>8</v>
      </c>
      <c r="O466" s="21" t="s">
        <v>9</v>
      </c>
      <c r="P466" s="21" t="s">
        <v>124</v>
      </c>
      <c r="Q466" s="21" t="s">
        <v>11</v>
      </c>
      <c r="R466" s="22" t="s">
        <v>12</v>
      </c>
      <c r="S466" s="21" t="s">
        <v>13</v>
      </c>
      <c r="T466" s="22" t="s">
        <v>14</v>
      </c>
      <c r="U466" s="21" t="s">
        <v>15</v>
      </c>
      <c r="V466" s="22" t="s">
        <v>16</v>
      </c>
      <c r="W466" s="21" t="s">
        <v>17</v>
      </c>
      <c r="X466" s="22" t="s">
        <v>18</v>
      </c>
      <c r="Y466" s="21" t="s">
        <v>19</v>
      </c>
      <c r="Z466" s="21" t="s">
        <v>20</v>
      </c>
    </row>
    <row r="467" spans="1:26" ht="13.9" customHeight="1" x14ac:dyDescent="0.25">
      <c r="A467" s="15">
        <v>7</v>
      </c>
      <c r="B467" s="15">
        <v>1</v>
      </c>
      <c r="D467" s="13" t="s">
        <v>21</v>
      </c>
      <c r="E467" s="24">
        <v>111</v>
      </c>
      <c r="F467" s="24" t="s">
        <v>45</v>
      </c>
      <c r="G467" s="25">
        <f t="shared" ref="G467:Q467" si="232">G477+G497</f>
        <v>53712</v>
      </c>
      <c r="H467" s="25">
        <f t="shared" si="232"/>
        <v>62573.7</v>
      </c>
      <c r="I467" s="25">
        <f t="shared" si="232"/>
        <v>58701</v>
      </c>
      <c r="J467" s="25">
        <f t="shared" si="232"/>
        <v>57174</v>
      </c>
      <c r="K467" s="25">
        <f t="shared" si="232"/>
        <v>72534</v>
      </c>
      <c r="L467" s="25">
        <f t="shared" si="232"/>
        <v>0</v>
      </c>
      <c r="M467" s="25">
        <f t="shared" si="232"/>
        <v>9982</v>
      </c>
      <c r="N467" s="25">
        <f t="shared" si="232"/>
        <v>0</v>
      </c>
      <c r="O467" s="25">
        <f t="shared" si="232"/>
        <v>0</v>
      </c>
      <c r="P467" s="25">
        <f t="shared" si="232"/>
        <v>82516</v>
      </c>
      <c r="Q467" s="25">
        <f t="shared" si="232"/>
        <v>17621.599999999999</v>
      </c>
      <c r="R467" s="26">
        <f>IFERROR(Q467/$P467,0)</f>
        <v>0.21355373503320565</v>
      </c>
      <c r="S467" s="25">
        <f>S477+S497</f>
        <v>45211.78</v>
      </c>
      <c r="T467" s="26">
        <f>IFERROR(S467/$P467,0)</f>
        <v>0.54791531339376609</v>
      </c>
      <c r="U467" s="25">
        <f>U477+U497</f>
        <v>0</v>
      </c>
      <c r="V467" s="26">
        <f>IFERROR(U467/$P467,0)</f>
        <v>0</v>
      </c>
      <c r="W467" s="25">
        <f>W477+W497</f>
        <v>0</v>
      </c>
      <c r="X467" s="26">
        <f>IFERROR(W467/$P467,0)</f>
        <v>0</v>
      </c>
      <c r="Y467" s="25">
        <f>Y477+Y497</f>
        <v>72534</v>
      </c>
      <c r="Z467" s="25">
        <f>Z477+Z497</f>
        <v>72534</v>
      </c>
    </row>
    <row r="468" spans="1:26" ht="13.9" customHeight="1" x14ac:dyDescent="0.25">
      <c r="A468" s="15">
        <v>7</v>
      </c>
      <c r="B468" s="15">
        <v>1</v>
      </c>
      <c r="D468" s="13"/>
      <c r="E468" s="24">
        <v>41</v>
      </c>
      <c r="F468" s="24" t="s">
        <v>23</v>
      </c>
      <c r="G468" s="25">
        <f t="shared" ref="G468:Q468" si="233">G482+G502</f>
        <v>95982.87999999999</v>
      </c>
      <c r="H468" s="25">
        <f t="shared" si="233"/>
        <v>114706.71</v>
      </c>
      <c r="I468" s="25">
        <f t="shared" si="233"/>
        <v>119869</v>
      </c>
      <c r="J468" s="25">
        <f t="shared" si="233"/>
        <v>104200</v>
      </c>
      <c r="K468" s="25">
        <f t="shared" si="233"/>
        <v>123124</v>
      </c>
      <c r="L468" s="25">
        <f t="shared" si="233"/>
        <v>0</v>
      </c>
      <c r="M468" s="25">
        <f t="shared" si="233"/>
        <v>-556</v>
      </c>
      <c r="N468" s="25">
        <f t="shared" si="233"/>
        <v>0</v>
      </c>
      <c r="O468" s="25">
        <f t="shared" si="233"/>
        <v>0</v>
      </c>
      <c r="P468" s="25">
        <f t="shared" si="233"/>
        <v>122568</v>
      </c>
      <c r="Q468" s="25">
        <f t="shared" si="233"/>
        <v>18814.810000000001</v>
      </c>
      <c r="R468" s="26">
        <f>IFERROR(Q468/$P468,0)</f>
        <v>0.15350507473402519</v>
      </c>
      <c r="S468" s="25">
        <f>S482+S502</f>
        <v>42832.420000000006</v>
      </c>
      <c r="T468" s="26">
        <f>IFERROR(S468/$P468,0)</f>
        <v>0.34945842307943348</v>
      </c>
      <c r="U468" s="25">
        <f>U482+U502</f>
        <v>0</v>
      </c>
      <c r="V468" s="26">
        <f>IFERROR(U468/$P468,0)</f>
        <v>0</v>
      </c>
      <c r="W468" s="25">
        <f>W482+W502</f>
        <v>0</v>
      </c>
      <c r="X468" s="26">
        <f>IFERROR(W468/$P468,0)</f>
        <v>0</v>
      </c>
      <c r="Y468" s="25">
        <f>Y482+Y502</f>
        <v>125109</v>
      </c>
      <c r="Z468" s="25">
        <f>Z482+Z502</f>
        <v>127889</v>
      </c>
    </row>
    <row r="469" spans="1:26" ht="13.9" customHeight="1" x14ac:dyDescent="0.25">
      <c r="A469" s="15">
        <v>7</v>
      </c>
      <c r="B469" s="15">
        <v>1</v>
      </c>
      <c r="D469" s="13"/>
      <c r="E469" s="24">
        <v>72</v>
      </c>
      <c r="F469" s="24" t="s">
        <v>25</v>
      </c>
      <c r="G469" s="25">
        <f t="shared" ref="G469:Q469" si="234">G484+G504</f>
        <v>1221.0899999999999</v>
      </c>
      <c r="H469" s="25">
        <f t="shared" si="234"/>
        <v>1166.6600000000001</v>
      </c>
      <c r="I469" s="25">
        <f t="shared" si="234"/>
        <v>1085</v>
      </c>
      <c r="J469" s="25">
        <f t="shared" si="234"/>
        <v>953</v>
      </c>
      <c r="K469" s="25">
        <f t="shared" si="234"/>
        <v>1359</v>
      </c>
      <c r="L469" s="25">
        <f t="shared" si="234"/>
        <v>0</v>
      </c>
      <c r="M469" s="25">
        <f t="shared" si="234"/>
        <v>0</v>
      </c>
      <c r="N469" s="25">
        <f t="shared" si="234"/>
        <v>0</v>
      </c>
      <c r="O469" s="25">
        <f t="shared" si="234"/>
        <v>0</v>
      </c>
      <c r="P469" s="25">
        <f t="shared" si="234"/>
        <v>1359</v>
      </c>
      <c r="Q469" s="25">
        <f t="shared" si="234"/>
        <v>0</v>
      </c>
      <c r="R469" s="26">
        <f>IFERROR(Q469/$P469,0)</f>
        <v>0</v>
      </c>
      <c r="S469" s="25">
        <f>S484+S504</f>
        <v>0</v>
      </c>
      <c r="T469" s="26">
        <f>IFERROR(S469/$P469,0)</f>
        <v>0</v>
      </c>
      <c r="U469" s="25">
        <f>U484+U504</f>
        <v>0</v>
      </c>
      <c r="V469" s="26">
        <f>IFERROR(U469/$P469,0)</f>
        <v>0</v>
      </c>
      <c r="W469" s="25">
        <f>W484+W504</f>
        <v>0</v>
      </c>
      <c r="X469" s="26">
        <f>IFERROR(W469/$P469,0)</f>
        <v>0</v>
      </c>
      <c r="Y469" s="25">
        <f>Y484+Y504</f>
        <v>1432</v>
      </c>
      <c r="Z469" s="25">
        <f>Z484+Z504</f>
        <v>1432</v>
      </c>
    </row>
    <row r="470" spans="1:26" ht="13.9" customHeight="1" x14ac:dyDescent="0.25">
      <c r="A470" s="15">
        <v>7</v>
      </c>
      <c r="B470" s="15">
        <v>1</v>
      </c>
      <c r="D470" s="30"/>
      <c r="E470" s="31"/>
      <c r="F470" s="27" t="s">
        <v>127</v>
      </c>
      <c r="G470" s="28">
        <f t="shared" ref="G470:Q470" si="235">SUM(G467:G469)</f>
        <v>150915.97</v>
      </c>
      <c r="H470" s="28">
        <f t="shared" si="235"/>
        <v>178447.07</v>
      </c>
      <c r="I470" s="28">
        <f t="shared" si="235"/>
        <v>179655</v>
      </c>
      <c r="J470" s="28">
        <f t="shared" si="235"/>
        <v>162327</v>
      </c>
      <c r="K470" s="28">
        <f t="shared" si="235"/>
        <v>197017</v>
      </c>
      <c r="L470" s="28">
        <f t="shared" si="235"/>
        <v>0</v>
      </c>
      <c r="M470" s="28">
        <f t="shared" si="235"/>
        <v>9426</v>
      </c>
      <c r="N470" s="28">
        <f t="shared" si="235"/>
        <v>0</v>
      </c>
      <c r="O470" s="28">
        <f t="shared" si="235"/>
        <v>0</v>
      </c>
      <c r="P470" s="28">
        <f t="shared" si="235"/>
        <v>206443</v>
      </c>
      <c r="Q470" s="28">
        <f t="shared" si="235"/>
        <v>36436.410000000003</v>
      </c>
      <c r="R470" s="29">
        <f>IFERROR(Q470/$P470,0)</f>
        <v>0.17649622413935084</v>
      </c>
      <c r="S470" s="28">
        <f>SUM(S467:S469)</f>
        <v>88044.200000000012</v>
      </c>
      <c r="T470" s="29">
        <f>IFERROR(S470/$P470,0)</f>
        <v>0.42648188604118331</v>
      </c>
      <c r="U470" s="28">
        <f>SUM(U467:U469)</f>
        <v>0</v>
      </c>
      <c r="V470" s="29">
        <f>IFERROR(U470/$P470,0)</f>
        <v>0</v>
      </c>
      <c r="W470" s="28">
        <f>SUM(W467:W469)</f>
        <v>0</v>
      </c>
      <c r="X470" s="29">
        <f>IFERROR(W470/$P470,0)</f>
        <v>0</v>
      </c>
      <c r="Y470" s="28">
        <f>SUM(Y467:Y469)</f>
        <v>199075</v>
      </c>
      <c r="Z470" s="28">
        <f>SUM(Z467:Z469)</f>
        <v>201855</v>
      </c>
    </row>
    <row r="472" spans="1:26" ht="13.9" customHeight="1" x14ac:dyDescent="0.25">
      <c r="D472" s="73" t="s">
        <v>257</v>
      </c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4"/>
      <c r="S472" s="73"/>
      <c r="T472" s="74"/>
      <c r="U472" s="73"/>
      <c r="V472" s="74"/>
      <c r="W472" s="73"/>
      <c r="X472" s="74"/>
      <c r="Y472" s="73"/>
      <c r="Z472" s="73"/>
    </row>
    <row r="473" spans="1:26" ht="13.9" customHeight="1" x14ac:dyDescent="0.25">
      <c r="D473" s="21" t="s">
        <v>32</v>
      </c>
      <c r="E473" s="21" t="s">
        <v>33</v>
      </c>
      <c r="F473" s="21" t="s">
        <v>34</v>
      </c>
      <c r="G473" s="21" t="s">
        <v>1</v>
      </c>
      <c r="H473" s="21" t="s">
        <v>2</v>
      </c>
      <c r="I473" s="21" t="s">
        <v>3</v>
      </c>
      <c r="J473" s="21" t="s">
        <v>4</v>
      </c>
      <c r="K473" s="21" t="s">
        <v>5</v>
      </c>
      <c r="L473" s="21" t="s">
        <v>6</v>
      </c>
      <c r="M473" s="21" t="s">
        <v>7</v>
      </c>
      <c r="N473" s="21" t="s">
        <v>8</v>
      </c>
      <c r="O473" s="21" t="s">
        <v>9</v>
      </c>
      <c r="P473" s="21" t="s">
        <v>124</v>
      </c>
      <c r="Q473" s="21" t="s">
        <v>11</v>
      </c>
      <c r="R473" s="22" t="s">
        <v>12</v>
      </c>
      <c r="S473" s="21" t="s">
        <v>13</v>
      </c>
      <c r="T473" s="22" t="s">
        <v>14</v>
      </c>
      <c r="U473" s="21" t="s">
        <v>15</v>
      </c>
      <c r="V473" s="22" t="s">
        <v>16</v>
      </c>
      <c r="W473" s="21" t="s">
        <v>17</v>
      </c>
      <c r="X473" s="22" t="s">
        <v>18</v>
      </c>
      <c r="Y473" s="21" t="s">
        <v>19</v>
      </c>
      <c r="Z473" s="21" t="s">
        <v>20</v>
      </c>
    </row>
    <row r="474" spans="1:26" ht="13.9" customHeight="1" x14ac:dyDescent="0.25">
      <c r="A474" s="15">
        <v>7</v>
      </c>
      <c r="B474" s="15">
        <v>1</v>
      </c>
      <c r="C474" s="15">
        <v>1</v>
      </c>
      <c r="D474" s="11" t="s">
        <v>258</v>
      </c>
      <c r="E474" s="24">
        <v>610</v>
      </c>
      <c r="F474" s="24" t="s">
        <v>132</v>
      </c>
      <c r="G474" s="25">
        <v>36838.400000000001</v>
      </c>
      <c r="H474" s="25">
        <v>30797.75</v>
      </c>
      <c r="I474" s="25">
        <v>42664</v>
      </c>
      <c r="J474" s="25">
        <v>37870</v>
      </c>
      <c r="K474" s="25">
        <v>47463</v>
      </c>
      <c r="L474" s="25"/>
      <c r="M474" s="25">
        <v>6134</v>
      </c>
      <c r="N474" s="25"/>
      <c r="O474" s="25"/>
      <c r="P474" s="25">
        <f>K474+SUM(L474:O474)</f>
        <v>53597</v>
      </c>
      <c r="Q474" s="25">
        <v>11892.8</v>
      </c>
      <c r="R474" s="26">
        <f t="shared" ref="R474:R485" si="236">IFERROR(Q474/$P474,0)</f>
        <v>0.22189301640017164</v>
      </c>
      <c r="S474" s="25">
        <v>29214.99</v>
      </c>
      <c r="T474" s="26">
        <f t="shared" ref="T474:T485" si="237">IFERROR(S474/$P474,0)</f>
        <v>0.54508629214321702</v>
      </c>
      <c r="U474" s="25"/>
      <c r="V474" s="26">
        <f t="shared" ref="V474:V485" si="238">IFERROR(U474/$P474,0)</f>
        <v>0</v>
      </c>
      <c r="W474" s="25"/>
      <c r="X474" s="26">
        <f t="shared" ref="X474:X485" si="239">IFERROR(W474/$P474,0)</f>
        <v>0</v>
      </c>
      <c r="Y474" s="25">
        <f>K474</f>
        <v>47463</v>
      </c>
      <c r="Z474" s="25">
        <f>Y474</f>
        <v>47463</v>
      </c>
    </row>
    <row r="475" spans="1:26" ht="13.9" customHeight="1" x14ac:dyDescent="0.25">
      <c r="A475" s="15">
        <v>7</v>
      </c>
      <c r="B475" s="15">
        <v>1</v>
      </c>
      <c r="C475" s="15">
        <v>1</v>
      </c>
      <c r="D475" s="11"/>
      <c r="E475" s="24">
        <v>620</v>
      </c>
      <c r="F475" s="24" t="s">
        <v>133</v>
      </c>
      <c r="G475" s="25">
        <v>13273.6</v>
      </c>
      <c r="H475" s="25">
        <v>10857.64</v>
      </c>
      <c r="I475" s="25">
        <v>14456</v>
      </c>
      <c r="J475" s="25">
        <v>13663</v>
      </c>
      <c r="K475" s="25">
        <v>18180</v>
      </c>
      <c r="L475" s="25"/>
      <c r="M475" s="25">
        <v>2205</v>
      </c>
      <c r="N475" s="25"/>
      <c r="O475" s="25"/>
      <c r="P475" s="25">
        <f>K475+SUM(L475:O475)</f>
        <v>20385</v>
      </c>
      <c r="Q475" s="25">
        <v>4293</v>
      </c>
      <c r="R475" s="26">
        <f t="shared" si="236"/>
        <v>0.21059602649006623</v>
      </c>
      <c r="S475" s="25">
        <v>11674.97</v>
      </c>
      <c r="T475" s="26">
        <f t="shared" si="237"/>
        <v>0.57272357125337259</v>
      </c>
      <c r="U475" s="25"/>
      <c r="V475" s="26">
        <f t="shared" si="238"/>
        <v>0</v>
      </c>
      <c r="W475" s="25"/>
      <c r="X475" s="26">
        <f t="shared" si="239"/>
        <v>0</v>
      </c>
      <c r="Y475" s="25">
        <f>K475</f>
        <v>18180</v>
      </c>
      <c r="Z475" s="25">
        <f>Y475</f>
        <v>18180</v>
      </c>
    </row>
    <row r="476" spans="1:26" ht="13.9" customHeight="1" x14ac:dyDescent="0.25">
      <c r="A476" s="15">
        <v>7</v>
      </c>
      <c r="B476" s="15">
        <v>1</v>
      </c>
      <c r="C476" s="15">
        <v>1</v>
      </c>
      <c r="D476" s="11"/>
      <c r="E476" s="24">
        <v>630</v>
      </c>
      <c r="F476" s="24" t="s">
        <v>134</v>
      </c>
      <c r="G476" s="25">
        <v>3600</v>
      </c>
      <c r="H476" s="25">
        <v>20918.310000000001</v>
      </c>
      <c r="I476" s="25">
        <v>1581</v>
      </c>
      <c r="J476" s="25">
        <v>5641</v>
      </c>
      <c r="K476" s="25">
        <v>6891</v>
      </c>
      <c r="L476" s="25"/>
      <c r="M476" s="25">
        <v>556</v>
      </c>
      <c r="N476" s="25"/>
      <c r="O476" s="25"/>
      <c r="P476" s="25">
        <f>K476+SUM(L476:O476)</f>
        <v>7447</v>
      </c>
      <c r="Q476" s="25">
        <v>1435.8</v>
      </c>
      <c r="R476" s="26">
        <f t="shared" si="236"/>
        <v>0.19280247079360815</v>
      </c>
      <c r="S476" s="25">
        <v>3234.22</v>
      </c>
      <c r="T476" s="26">
        <f t="shared" si="237"/>
        <v>0.4342983751846381</v>
      </c>
      <c r="U476" s="25"/>
      <c r="V476" s="26">
        <f t="shared" si="238"/>
        <v>0</v>
      </c>
      <c r="W476" s="25"/>
      <c r="X476" s="26">
        <f t="shared" si="239"/>
        <v>0</v>
      </c>
      <c r="Y476" s="25">
        <f>K476</f>
        <v>6891</v>
      </c>
      <c r="Z476" s="25">
        <f>Y476</f>
        <v>6891</v>
      </c>
    </row>
    <row r="477" spans="1:26" ht="13.9" customHeight="1" x14ac:dyDescent="0.25">
      <c r="A477" s="15">
        <v>7</v>
      </c>
      <c r="B477" s="15">
        <v>1</v>
      </c>
      <c r="C477" s="15">
        <v>1</v>
      </c>
      <c r="D477" s="79" t="s">
        <v>21</v>
      </c>
      <c r="E477" s="48">
        <v>111</v>
      </c>
      <c r="F477" s="48" t="s">
        <v>137</v>
      </c>
      <c r="G477" s="98">
        <f t="shared" ref="G477:Q477" si="240">SUM(G474:G476)</f>
        <v>53712</v>
      </c>
      <c r="H477" s="98">
        <f t="shared" si="240"/>
        <v>62573.7</v>
      </c>
      <c r="I477" s="98">
        <f t="shared" si="240"/>
        <v>58701</v>
      </c>
      <c r="J477" s="98">
        <f t="shared" si="240"/>
        <v>57174</v>
      </c>
      <c r="K477" s="98">
        <f t="shared" si="240"/>
        <v>72534</v>
      </c>
      <c r="L477" s="98">
        <f t="shared" si="240"/>
        <v>0</v>
      </c>
      <c r="M477" s="98">
        <f t="shared" si="240"/>
        <v>8895</v>
      </c>
      <c r="N477" s="98">
        <f t="shared" si="240"/>
        <v>0</v>
      </c>
      <c r="O477" s="98">
        <f t="shared" si="240"/>
        <v>0</v>
      </c>
      <c r="P477" s="98">
        <f t="shared" si="240"/>
        <v>81429</v>
      </c>
      <c r="Q477" s="98">
        <f t="shared" si="240"/>
        <v>17621.599999999999</v>
      </c>
      <c r="R477" s="99">
        <f t="shared" si="236"/>
        <v>0.21640447506416632</v>
      </c>
      <c r="S477" s="98">
        <f>SUM(S474:S476)</f>
        <v>44124.18</v>
      </c>
      <c r="T477" s="99">
        <f t="shared" si="237"/>
        <v>0.54187304277345905</v>
      </c>
      <c r="U477" s="98">
        <f>SUM(U474:U476)</f>
        <v>0</v>
      </c>
      <c r="V477" s="99">
        <f t="shared" si="238"/>
        <v>0</v>
      </c>
      <c r="W477" s="98">
        <f>SUM(W474:W476)</f>
        <v>0</v>
      </c>
      <c r="X477" s="99">
        <f t="shared" si="239"/>
        <v>0</v>
      </c>
      <c r="Y477" s="98">
        <f>SUM(Y474:Y476)</f>
        <v>72534</v>
      </c>
      <c r="Z477" s="98">
        <f>SUM(Z474:Z476)</f>
        <v>72534</v>
      </c>
    </row>
    <row r="478" spans="1:26" ht="13.9" customHeight="1" x14ac:dyDescent="0.25">
      <c r="A478" s="15">
        <v>7</v>
      </c>
      <c r="B478" s="15">
        <v>1</v>
      </c>
      <c r="C478" s="15">
        <v>1</v>
      </c>
      <c r="D478" s="5" t="s">
        <v>258</v>
      </c>
      <c r="E478" s="24">
        <v>610</v>
      </c>
      <c r="F478" s="24" t="s">
        <v>132</v>
      </c>
      <c r="G478" s="25">
        <v>39073.97</v>
      </c>
      <c r="H478" s="25">
        <v>48593</v>
      </c>
      <c r="I478" s="25">
        <v>47448</v>
      </c>
      <c r="J478" s="25">
        <v>43203</v>
      </c>
      <c r="K478" s="25">
        <v>39226</v>
      </c>
      <c r="L478" s="25"/>
      <c r="M478" s="25">
        <v>-722</v>
      </c>
      <c r="N478" s="25"/>
      <c r="O478" s="25"/>
      <c r="P478" s="25">
        <f>K478+SUM(L478:O478)</f>
        <v>38504</v>
      </c>
      <c r="Q478" s="25">
        <v>4976.5</v>
      </c>
      <c r="R478" s="26">
        <f t="shared" si="236"/>
        <v>0.12924631207147311</v>
      </c>
      <c r="S478" s="25">
        <v>13541.38</v>
      </c>
      <c r="T478" s="26">
        <f t="shared" si="237"/>
        <v>0.35168761687097444</v>
      </c>
      <c r="U478" s="25"/>
      <c r="V478" s="26">
        <f t="shared" si="238"/>
        <v>0</v>
      </c>
      <c r="W478" s="25"/>
      <c r="X478" s="26">
        <f t="shared" si="239"/>
        <v>0</v>
      </c>
      <c r="Y478" s="25">
        <v>35451</v>
      </c>
      <c r="Z478" s="25">
        <v>36528</v>
      </c>
    </row>
    <row r="479" spans="1:26" ht="13.9" customHeight="1" x14ac:dyDescent="0.25">
      <c r="A479" s="15">
        <v>7</v>
      </c>
      <c r="B479" s="15">
        <v>1</v>
      </c>
      <c r="C479" s="15">
        <v>1</v>
      </c>
      <c r="D479" s="5"/>
      <c r="E479" s="24">
        <v>620</v>
      </c>
      <c r="F479" s="24" t="s">
        <v>133</v>
      </c>
      <c r="G479" s="25">
        <v>14864.56</v>
      </c>
      <c r="H479" s="25">
        <v>18282.89</v>
      </c>
      <c r="I479" s="25">
        <v>18645</v>
      </c>
      <c r="J479" s="25">
        <v>17173</v>
      </c>
      <c r="K479" s="25">
        <v>15914</v>
      </c>
      <c r="L479" s="25"/>
      <c r="M479" s="25"/>
      <c r="N479" s="25"/>
      <c r="O479" s="25"/>
      <c r="P479" s="25">
        <f>K479+SUM(L479:O479)</f>
        <v>15914</v>
      </c>
      <c r="Q479" s="25">
        <v>2068.34</v>
      </c>
      <c r="R479" s="26">
        <f t="shared" si="236"/>
        <v>0.12996983787859748</v>
      </c>
      <c r="S479" s="25">
        <v>4265.5200000000004</v>
      </c>
      <c r="T479" s="26">
        <f t="shared" si="237"/>
        <v>0.26803569184365972</v>
      </c>
      <c r="U479" s="25"/>
      <c r="V479" s="26">
        <f t="shared" si="238"/>
        <v>0</v>
      </c>
      <c r="W479" s="25"/>
      <c r="X479" s="26">
        <f t="shared" si="239"/>
        <v>0</v>
      </c>
      <c r="Y479" s="25">
        <v>14482</v>
      </c>
      <c r="Z479" s="25">
        <v>14889</v>
      </c>
    </row>
    <row r="480" spans="1:26" ht="13.9" customHeight="1" x14ac:dyDescent="0.25">
      <c r="A480" s="15">
        <v>7</v>
      </c>
      <c r="B480" s="15">
        <v>1</v>
      </c>
      <c r="C480" s="15">
        <v>1</v>
      </c>
      <c r="D480" s="5"/>
      <c r="E480" s="24">
        <v>630</v>
      </c>
      <c r="F480" s="24" t="s">
        <v>134</v>
      </c>
      <c r="G480" s="25">
        <v>33659.120000000003</v>
      </c>
      <c r="H480" s="25">
        <v>44699.11</v>
      </c>
      <c r="I480" s="25">
        <f>10911+39865</f>
        <v>50776</v>
      </c>
      <c r="J480" s="25">
        <v>40722</v>
      </c>
      <c r="K480" s="25">
        <f>10748+29460</f>
        <v>40208</v>
      </c>
      <c r="L480" s="25"/>
      <c r="M480" s="25"/>
      <c r="N480" s="25"/>
      <c r="O480" s="25"/>
      <c r="P480" s="25">
        <f>K480+SUM(L480:O480)</f>
        <v>40208</v>
      </c>
      <c r="Q480" s="25">
        <v>9008.5400000000009</v>
      </c>
      <c r="R480" s="26">
        <f t="shared" si="236"/>
        <v>0.22404844807003582</v>
      </c>
      <c r="S480" s="25">
        <v>17510.2</v>
      </c>
      <c r="T480" s="26">
        <f t="shared" si="237"/>
        <v>0.43549044966175887</v>
      </c>
      <c r="U480" s="25"/>
      <c r="V480" s="26">
        <f t="shared" si="238"/>
        <v>0</v>
      </c>
      <c r="W480" s="25"/>
      <c r="X480" s="26">
        <f t="shared" si="239"/>
        <v>0</v>
      </c>
      <c r="Y480" s="25">
        <f>10781+29460</f>
        <v>40241</v>
      </c>
      <c r="Z480" s="25">
        <f>10843+29460</f>
        <v>40303</v>
      </c>
    </row>
    <row r="481" spans="1:26" ht="13.9" customHeight="1" x14ac:dyDescent="0.25">
      <c r="A481" s="15">
        <v>7</v>
      </c>
      <c r="B481" s="15">
        <v>1</v>
      </c>
      <c r="C481" s="15">
        <v>1</v>
      </c>
      <c r="D481" s="5"/>
      <c r="E481" s="24">
        <v>640</v>
      </c>
      <c r="F481" s="24" t="s">
        <v>135</v>
      </c>
      <c r="G481" s="25">
        <v>6568.23</v>
      </c>
      <c r="H481" s="25">
        <v>227.66</v>
      </c>
      <c r="I481" s="25">
        <v>0</v>
      </c>
      <c r="J481" s="25">
        <v>365</v>
      </c>
      <c r="K481" s="25">
        <v>0</v>
      </c>
      <c r="L481" s="25"/>
      <c r="M481" s="25">
        <v>166</v>
      </c>
      <c r="N481" s="25"/>
      <c r="O481" s="25"/>
      <c r="P481" s="25">
        <f>K481+SUM(L481:O481)</f>
        <v>166</v>
      </c>
      <c r="Q481" s="25">
        <v>0</v>
      </c>
      <c r="R481" s="26">
        <f t="shared" si="236"/>
        <v>0</v>
      </c>
      <c r="S481" s="25">
        <v>165.99</v>
      </c>
      <c r="T481" s="26">
        <f t="shared" si="237"/>
        <v>0.99993975903614463</v>
      </c>
      <c r="U481" s="25"/>
      <c r="V481" s="26">
        <f t="shared" si="238"/>
        <v>0</v>
      </c>
      <c r="W481" s="25"/>
      <c r="X481" s="26">
        <f t="shared" si="239"/>
        <v>0</v>
      </c>
      <c r="Y481" s="25">
        <v>0</v>
      </c>
      <c r="Z481" s="25">
        <v>0</v>
      </c>
    </row>
    <row r="482" spans="1:26" ht="13.9" customHeight="1" x14ac:dyDescent="0.25">
      <c r="A482" s="15">
        <v>7</v>
      </c>
      <c r="B482" s="15">
        <v>1</v>
      </c>
      <c r="C482" s="15">
        <v>1</v>
      </c>
      <c r="D482" s="79" t="s">
        <v>21</v>
      </c>
      <c r="E482" s="48">
        <v>41</v>
      </c>
      <c r="F482" s="48" t="s">
        <v>23</v>
      </c>
      <c r="G482" s="49">
        <f t="shared" ref="G482:Q482" si="241">SUM(G478:G481)</f>
        <v>94165.87999999999</v>
      </c>
      <c r="H482" s="49">
        <f t="shared" si="241"/>
        <v>111802.66</v>
      </c>
      <c r="I482" s="49">
        <f t="shared" si="241"/>
        <v>116869</v>
      </c>
      <c r="J482" s="49">
        <f t="shared" si="241"/>
        <v>101463</v>
      </c>
      <c r="K482" s="49">
        <f t="shared" si="241"/>
        <v>95348</v>
      </c>
      <c r="L482" s="49">
        <f t="shared" si="241"/>
        <v>0</v>
      </c>
      <c r="M482" s="49">
        <f t="shared" si="241"/>
        <v>-556</v>
      </c>
      <c r="N482" s="49">
        <f t="shared" si="241"/>
        <v>0</v>
      </c>
      <c r="O482" s="49">
        <f t="shared" si="241"/>
        <v>0</v>
      </c>
      <c r="P482" s="49">
        <f t="shared" si="241"/>
        <v>94792</v>
      </c>
      <c r="Q482" s="49">
        <f t="shared" si="241"/>
        <v>16053.380000000001</v>
      </c>
      <c r="R482" s="50">
        <f t="shared" si="236"/>
        <v>0.16935374293189301</v>
      </c>
      <c r="S482" s="49">
        <f>SUM(S478:S481)</f>
        <v>35483.090000000004</v>
      </c>
      <c r="T482" s="50">
        <f t="shared" si="237"/>
        <v>0.37432578698624358</v>
      </c>
      <c r="U482" s="49">
        <f>SUM(U478:U481)</f>
        <v>0</v>
      </c>
      <c r="V482" s="50">
        <f t="shared" si="238"/>
        <v>0</v>
      </c>
      <c r="W482" s="49">
        <f>SUM(W478:W481)</f>
        <v>0</v>
      </c>
      <c r="X482" s="50">
        <f t="shared" si="239"/>
        <v>0</v>
      </c>
      <c r="Y482" s="49">
        <f>SUM(Y478:Y481)</f>
        <v>90174</v>
      </c>
      <c r="Z482" s="49">
        <f>SUM(Z478:Z481)</f>
        <v>91720</v>
      </c>
    </row>
    <row r="483" spans="1:26" ht="13.9" customHeight="1" x14ac:dyDescent="0.25">
      <c r="A483" s="15">
        <v>7</v>
      </c>
      <c r="B483" s="15">
        <v>1</v>
      </c>
      <c r="C483" s="15">
        <v>1</v>
      </c>
      <c r="D483" s="51" t="s">
        <v>258</v>
      </c>
      <c r="E483" s="24">
        <v>640</v>
      </c>
      <c r="F483" s="24" t="s">
        <v>135</v>
      </c>
      <c r="G483" s="25">
        <v>1221.0899999999999</v>
      </c>
      <c r="H483" s="25">
        <v>1166.6600000000001</v>
      </c>
      <c r="I483" s="25">
        <v>1085</v>
      </c>
      <c r="J483" s="25">
        <v>953</v>
      </c>
      <c r="K483" s="25">
        <v>1074</v>
      </c>
      <c r="L483" s="25"/>
      <c r="M483" s="25"/>
      <c r="N483" s="25"/>
      <c r="O483" s="25"/>
      <c r="P483" s="25">
        <f>K483+SUM(L483:O483)</f>
        <v>1074</v>
      </c>
      <c r="Q483" s="25">
        <v>0</v>
      </c>
      <c r="R483" s="26">
        <f t="shared" si="236"/>
        <v>0</v>
      </c>
      <c r="S483" s="25">
        <v>0</v>
      </c>
      <c r="T483" s="26">
        <f t="shared" si="237"/>
        <v>0</v>
      </c>
      <c r="U483" s="25"/>
      <c r="V483" s="26">
        <f t="shared" si="238"/>
        <v>0</v>
      </c>
      <c r="W483" s="25"/>
      <c r="X483" s="26">
        <f t="shared" si="239"/>
        <v>0</v>
      </c>
      <c r="Y483" s="25">
        <f>K483</f>
        <v>1074</v>
      </c>
      <c r="Z483" s="25">
        <f>Y483</f>
        <v>1074</v>
      </c>
    </row>
    <row r="484" spans="1:26" ht="13.9" customHeight="1" x14ac:dyDescent="0.25">
      <c r="A484" s="15">
        <v>7</v>
      </c>
      <c r="B484" s="15">
        <v>1</v>
      </c>
      <c r="C484" s="15">
        <v>1</v>
      </c>
      <c r="D484" s="79" t="s">
        <v>21</v>
      </c>
      <c r="E484" s="48">
        <v>72</v>
      </c>
      <c r="F484" s="48" t="s">
        <v>25</v>
      </c>
      <c r="G484" s="49">
        <f t="shared" ref="G484:Q484" si="242">SUM(G483)</f>
        <v>1221.0899999999999</v>
      </c>
      <c r="H484" s="49">
        <f t="shared" si="242"/>
        <v>1166.6600000000001</v>
      </c>
      <c r="I484" s="49">
        <f t="shared" si="242"/>
        <v>1085</v>
      </c>
      <c r="J484" s="49">
        <f t="shared" si="242"/>
        <v>953</v>
      </c>
      <c r="K484" s="49">
        <f t="shared" si="242"/>
        <v>1074</v>
      </c>
      <c r="L484" s="49">
        <f t="shared" si="242"/>
        <v>0</v>
      </c>
      <c r="M484" s="49">
        <f t="shared" si="242"/>
        <v>0</v>
      </c>
      <c r="N484" s="49">
        <f t="shared" si="242"/>
        <v>0</v>
      </c>
      <c r="O484" s="49">
        <f t="shared" si="242"/>
        <v>0</v>
      </c>
      <c r="P484" s="49">
        <f t="shared" si="242"/>
        <v>1074</v>
      </c>
      <c r="Q484" s="49">
        <f t="shared" si="242"/>
        <v>0</v>
      </c>
      <c r="R484" s="50">
        <f t="shared" si="236"/>
        <v>0</v>
      </c>
      <c r="S484" s="49">
        <f>SUM(S483)</f>
        <v>0</v>
      </c>
      <c r="T484" s="50">
        <f t="shared" si="237"/>
        <v>0</v>
      </c>
      <c r="U484" s="49">
        <f>SUM(U483)</f>
        <v>0</v>
      </c>
      <c r="V484" s="50">
        <f t="shared" si="238"/>
        <v>0</v>
      </c>
      <c r="W484" s="49">
        <f>SUM(W483)</f>
        <v>0</v>
      </c>
      <c r="X484" s="50">
        <f t="shared" si="239"/>
        <v>0</v>
      </c>
      <c r="Y484" s="49">
        <f>SUM(Y483)</f>
        <v>1074</v>
      </c>
      <c r="Z484" s="49">
        <f>SUM(Z483)</f>
        <v>1074</v>
      </c>
    </row>
    <row r="485" spans="1:26" ht="13.9" customHeight="1" x14ac:dyDescent="0.25">
      <c r="A485" s="15">
        <v>7</v>
      </c>
      <c r="B485" s="15">
        <v>1</v>
      </c>
      <c r="C485" s="15">
        <v>1</v>
      </c>
      <c r="D485" s="30"/>
      <c r="E485" s="31"/>
      <c r="F485" s="27" t="s">
        <v>127</v>
      </c>
      <c r="G485" s="28">
        <f t="shared" ref="G485:Q485" si="243">G477+G482+G484</f>
        <v>149098.97</v>
      </c>
      <c r="H485" s="28">
        <f t="shared" si="243"/>
        <v>175543.02</v>
      </c>
      <c r="I485" s="28">
        <f t="shared" si="243"/>
        <v>176655</v>
      </c>
      <c r="J485" s="28">
        <f t="shared" si="243"/>
        <v>159590</v>
      </c>
      <c r="K485" s="28">
        <f t="shared" si="243"/>
        <v>168956</v>
      </c>
      <c r="L485" s="28">
        <f t="shared" si="243"/>
        <v>0</v>
      </c>
      <c r="M485" s="28">
        <f t="shared" si="243"/>
        <v>8339</v>
      </c>
      <c r="N485" s="28">
        <f t="shared" si="243"/>
        <v>0</v>
      </c>
      <c r="O485" s="28">
        <f t="shared" si="243"/>
        <v>0</v>
      </c>
      <c r="P485" s="28">
        <f t="shared" si="243"/>
        <v>177295</v>
      </c>
      <c r="Q485" s="28">
        <f t="shared" si="243"/>
        <v>33674.979999999996</v>
      </c>
      <c r="R485" s="29">
        <f t="shared" si="236"/>
        <v>0.18993756169096701</v>
      </c>
      <c r="S485" s="28">
        <f>S477+S482+S484</f>
        <v>79607.27</v>
      </c>
      <c r="T485" s="29">
        <f t="shared" si="237"/>
        <v>0.44901023717532929</v>
      </c>
      <c r="U485" s="28">
        <f>U477+U482+U484</f>
        <v>0</v>
      </c>
      <c r="V485" s="29">
        <f t="shared" si="238"/>
        <v>0</v>
      </c>
      <c r="W485" s="28">
        <f>W477+W482+W484</f>
        <v>0</v>
      </c>
      <c r="X485" s="29">
        <f t="shared" si="239"/>
        <v>0</v>
      </c>
      <c r="Y485" s="28">
        <f>Y477+Y482+Y484</f>
        <v>163782</v>
      </c>
      <c r="Z485" s="28">
        <f>Z477+Z482+Z484</f>
        <v>165328</v>
      </c>
    </row>
    <row r="487" spans="1:26" ht="13.9" customHeight="1" x14ac:dyDescent="0.25">
      <c r="E487" s="52" t="s">
        <v>55</v>
      </c>
      <c r="F487" s="30" t="s">
        <v>150</v>
      </c>
      <c r="G487" s="53">
        <v>3960</v>
      </c>
      <c r="H487" s="53">
        <v>7363</v>
      </c>
      <c r="I487" s="53">
        <v>7363</v>
      </c>
      <c r="J487" s="53">
        <v>1843</v>
      </c>
      <c r="K487" s="53">
        <v>1835</v>
      </c>
      <c r="L487" s="53"/>
      <c r="M487" s="53"/>
      <c r="N487" s="53"/>
      <c r="O487" s="53"/>
      <c r="P487" s="53">
        <f>K487+SUM(L487:O487)</f>
        <v>1835</v>
      </c>
      <c r="Q487" s="53">
        <v>613.08000000000004</v>
      </c>
      <c r="R487" s="54">
        <f>IFERROR(Q487/$P487,0)</f>
        <v>0.33410354223433247</v>
      </c>
      <c r="S487" s="53">
        <v>965.9</v>
      </c>
      <c r="T487" s="54">
        <f>IFERROR(S487/$P487,0)</f>
        <v>0.52637602179836507</v>
      </c>
      <c r="U487" s="53"/>
      <c r="V487" s="54">
        <f>IFERROR(U487/$P487,0)</f>
        <v>0</v>
      </c>
      <c r="W487" s="53"/>
      <c r="X487" s="55">
        <f>IFERROR(W487/$P487,0)</f>
        <v>0</v>
      </c>
      <c r="Y487" s="53">
        <f>K487</f>
        <v>1835</v>
      </c>
      <c r="Z487" s="56">
        <f>Y487</f>
        <v>1835</v>
      </c>
    </row>
    <row r="488" spans="1:26" ht="13.9" customHeight="1" x14ac:dyDescent="0.25">
      <c r="E488" s="57"/>
      <c r="F488" s="92" t="s">
        <v>151</v>
      </c>
      <c r="G488" s="95">
        <v>4856.5</v>
      </c>
      <c r="H488" s="95">
        <v>6567</v>
      </c>
      <c r="I488" s="95">
        <v>6567</v>
      </c>
      <c r="J488" s="95">
        <v>2211</v>
      </c>
      <c r="K488" s="95">
        <v>2210</v>
      </c>
      <c r="L488" s="95"/>
      <c r="M488" s="95"/>
      <c r="N488" s="95"/>
      <c r="O488" s="95"/>
      <c r="P488" s="95">
        <f>K488+SUM(L488:O488)</f>
        <v>2210</v>
      </c>
      <c r="Q488" s="95">
        <v>1030.4100000000001</v>
      </c>
      <c r="R488" s="96">
        <f>IFERROR(Q488/$P488,0)</f>
        <v>0.46624886877828059</v>
      </c>
      <c r="S488" s="95">
        <v>1648.41</v>
      </c>
      <c r="T488" s="96">
        <f>IFERROR(S488/$P488,0)</f>
        <v>0.7458868778280543</v>
      </c>
      <c r="U488" s="95"/>
      <c r="V488" s="96">
        <f>IFERROR(U488/$P488,0)</f>
        <v>0</v>
      </c>
      <c r="W488" s="95"/>
      <c r="X488" s="60">
        <f>IFERROR(W488/$P488,0)</f>
        <v>0</v>
      </c>
      <c r="Y488" s="95">
        <f>K488</f>
        <v>2210</v>
      </c>
      <c r="Z488" s="61">
        <f>Y488</f>
        <v>2210</v>
      </c>
    </row>
    <row r="489" spans="1:26" ht="13.9" hidden="1" customHeight="1" x14ac:dyDescent="0.25">
      <c r="E489" s="57"/>
      <c r="F489" s="92" t="s">
        <v>259</v>
      </c>
      <c r="G489" s="95"/>
      <c r="H489" s="95">
        <v>2500</v>
      </c>
      <c r="I489" s="95">
        <v>250</v>
      </c>
      <c r="J489" s="95">
        <v>0</v>
      </c>
      <c r="K489" s="95">
        <v>0</v>
      </c>
      <c r="L489" s="95"/>
      <c r="M489" s="95"/>
      <c r="N489" s="95"/>
      <c r="O489" s="95"/>
      <c r="P489" s="95">
        <f>K489+SUM(L489:O489)</f>
        <v>0</v>
      </c>
      <c r="Q489" s="95"/>
      <c r="R489" s="96">
        <f>IFERROR(Q489/$P489,0)</f>
        <v>0</v>
      </c>
      <c r="S489" s="95"/>
      <c r="T489" s="96">
        <f>IFERROR(S489/$P489,0)</f>
        <v>0</v>
      </c>
      <c r="U489" s="95"/>
      <c r="V489" s="96">
        <f>IFERROR(U489/$P489,0)</f>
        <v>0</v>
      </c>
      <c r="W489" s="95"/>
      <c r="X489" s="60">
        <f>IFERROR(W489/$P489,0)</f>
        <v>0</v>
      </c>
      <c r="Y489" s="95">
        <f>K489</f>
        <v>0</v>
      </c>
      <c r="Z489" s="61">
        <f>Y489</f>
        <v>0</v>
      </c>
    </row>
    <row r="490" spans="1:26" ht="13.9" customHeight="1" x14ac:dyDescent="0.25">
      <c r="E490" s="100"/>
      <c r="F490" s="119" t="s">
        <v>260</v>
      </c>
      <c r="G490" s="105">
        <v>14424.66</v>
      </c>
      <c r="H490" s="105">
        <v>14993.74</v>
      </c>
      <c r="I490" s="105">
        <v>19400</v>
      </c>
      <c r="J490" s="105">
        <v>15687</v>
      </c>
      <c r="K490" s="105">
        <v>19053</v>
      </c>
      <c r="L490" s="105"/>
      <c r="M490" s="105"/>
      <c r="N490" s="105"/>
      <c r="O490" s="105"/>
      <c r="P490" s="105">
        <f>K490+SUM(L490:O490)</f>
        <v>19053</v>
      </c>
      <c r="Q490" s="105">
        <v>3983.91</v>
      </c>
      <c r="R490" s="126">
        <f>IFERROR(Q490/$P490,0)</f>
        <v>0.20909620532199652</v>
      </c>
      <c r="S490" s="105">
        <v>8213.7199999999993</v>
      </c>
      <c r="T490" s="126">
        <f>IFERROR(S490/$P490,0)</f>
        <v>0.4310985146696058</v>
      </c>
      <c r="U490" s="105"/>
      <c r="V490" s="126">
        <f>IFERROR(U490/$P490,0)</f>
        <v>0</v>
      </c>
      <c r="W490" s="105"/>
      <c r="X490" s="127">
        <f>IFERROR(W490/$P490,0)</f>
        <v>0</v>
      </c>
      <c r="Y490" s="95">
        <f>K490</f>
        <v>19053</v>
      </c>
      <c r="Z490" s="61">
        <f>Y490</f>
        <v>19053</v>
      </c>
    </row>
    <row r="491" spans="1:26" ht="13.9" hidden="1" customHeight="1" x14ac:dyDescent="0.25">
      <c r="E491" s="65"/>
      <c r="F491" s="97" t="s">
        <v>261</v>
      </c>
      <c r="G491" s="67">
        <v>6469</v>
      </c>
      <c r="H491" s="67">
        <v>0</v>
      </c>
      <c r="I491" s="67">
        <v>0</v>
      </c>
      <c r="J491" s="67">
        <v>0</v>
      </c>
      <c r="K491" s="67">
        <v>0</v>
      </c>
      <c r="L491" s="67"/>
      <c r="M491" s="67"/>
      <c r="N491" s="67"/>
      <c r="O491" s="67"/>
      <c r="P491" s="67">
        <f>K491+SUM(L491:O491)</f>
        <v>0</v>
      </c>
      <c r="Q491" s="67"/>
      <c r="R491" s="68">
        <f>IFERROR(Q491/$P491,0)</f>
        <v>0</v>
      </c>
      <c r="S491" s="67"/>
      <c r="T491" s="68">
        <f>IFERROR(S491/$P491,0)</f>
        <v>0</v>
      </c>
      <c r="U491" s="67"/>
      <c r="V491" s="68">
        <f>IFERROR(U491/$P491,0)</f>
        <v>0</v>
      </c>
      <c r="W491" s="67"/>
      <c r="X491" s="69">
        <f>IFERROR(W491/$P491,0)</f>
        <v>0</v>
      </c>
      <c r="Y491" s="67">
        <v>0</v>
      </c>
      <c r="Z491" s="70">
        <v>0</v>
      </c>
    </row>
    <row r="493" spans="1:26" ht="13.9" customHeight="1" x14ac:dyDescent="0.25">
      <c r="D493" s="73" t="s">
        <v>262</v>
      </c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4"/>
      <c r="S493" s="73"/>
      <c r="T493" s="74"/>
      <c r="U493" s="73"/>
      <c r="V493" s="74"/>
      <c r="W493" s="73"/>
      <c r="X493" s="74"/>
      <c r="Y493" s="73"/>
      <c r="Z493" s="73"/>
    </row>
    <row r="494" spans="1:26" ht="13.9" customHeight="1" x14ac:dyDescent="0.25">
      <c r="D494" s="21" t="s">
        <v>32</v>
      </c>
      <c r="E494" s="21" t="s">
        <v>33</v>
      </c>
      <c r="F494" s="21" t="s">
        <v>34</v>
      </c>
      <c r="G494" s="21" t="s">
        <v>1</v>
      </c>
      <c r="H494" s="21" t="s">
        <v>2</v>
      </c>
      <c r="I494" s="21" t="s">
        <v>3</v>
      </c>
      <c r="J494" s="21" t="s">
        <v>4</v>
      </c>
      <c r="K494" s="21" t="s">
        <v>5</v>
      </c>
      <c r="L494" s="21" t="s">
        <v>6</v>
      </c>
      <c r="M494" s="21" t="s">
        <v>7</v>
      </c>
      <c r="N494" s="21" t="s">
        <v>8</v>
      </c>
      <c r="O494" s="21" t="s">
        <v>9</v>
      </c>
      <c r="P494" s="21" t="s">
        <v>124</v>
      </c>
      <c r="Q494" s="21" t="s">
        <v>11</v>
      </c>
      <c r="R494" s="22" t="s">
        <v>12</v>
      </c>
      <c r="S494" s="21" t="s">
        <v>13</v>
      </c>
      <c r="T494" s="22" t="s">
        <v>14</v>
      </c>
      <c r="U494" s="21" t="s">
        <v>15</v>
      </c>
      <c r="V494" s="22" t="s">
        <v>16</v>
      </c>
      <c r="W494" s="21" t="s">
        <v>17</v>
      </c>
      <c r="X494" s="22" t="s">
        <v>18</v>
      </c>
      <c r="Y494" s="21" t="s">
        <v>19</v>
      </c>
      <c r="Z494" s="21" t="s">
        <v>20</v>
      </c>
    </row>
    <row r="495" spans="1:26" ht="13.9" customHeight="1" x14ac:dyDescent="0.25">
      <c r="D495" s="11" t="s">
        <v>258</v>
      </c>
      <c r="E495" s="24">
        <v>610</v>
      </c>
      <c r="F495" s="24" t="s">
        <v>132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/>
      <c r="M495" s="25">
        <v>800</v>
      </c>
      <c r="N495" s="25"/>
      <c r="O495" s="25"/>
      <c r="P495" s="25">
        <f>K495+SUM(L495:O495)</f>
        <v>800</v>
      </c>
      <c r="Q495" s="25">
        <v>0</v>
      </c>
      <c r="R495" s="26">
        <f t="shared" ref="R495:R505" si="244">IFERROR(Q495/$P495,0)</f>
        <v>0</v>
      </c>
      <c r="S495" s="25">
        <v>800</v>
      </c>
      <c r="T495" s="26">
        <f t="shared" ref="T495:T505" si="245">IFERROR(S495/$P495,0)</f>
        <v>1</v>
      </c>
      <c r="U495" s="25"/>
      <c r="V495" s="26">
        <f t="shared" ref="V495:V505" si="246">IFERROR(U495/$P495,0)</f>
        <v>0</v>
      </c>
      <c r="W495" s="25"/>
      <c r="X495" s="26">
        <f t="shared" ref="X495:X505" si="247">IFERROR(W495/$P495,0)</f>
        <v>0</v>
      </c>
      <c r="Y495" s="25">
        <v>0</v>
      </c>
      <c r="Z495" s="25">
        <v>0</v>
      </c>
    </row>
    <row r="496" spans="1:26" ht="13.9" customHeight="1" x14ac:dyDescent="0.25">
      <c r="D496" s="11"/>
      <c r="E496" s="24">
        <v>620</v>
      </c>
      <c r="F496" s="24" t="s">
        <v>133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/>
      <c r="M496" s="25">
        <v>287</v>
      </c>
      <c r="N496" s="25"/>
      <c r="O496" s="25"/>
      <c r="P496" s="25">
        <f>K496+SUM(L496:O496)</f>
        <v>287</v>
      </c>
      <c r="Q496" s="25">
        <v>0</v>
      </c>
      <c r="R496" s="26">
        <f t="shared" si="244"/>
        <v>0</v>
      </c>
      <c r="S496" s="25">
        <v>287.60000000000002</v>
      </c>
      <c r="T496" s="26">
        <f t="shared" si="245"/>
        <v>1.0020905923344949</v>
      </c>
      <c r="U496" s="25"/>
      <c r="V496" s="26">
        <f t="shared" si="246"/>
        <v>0</v>
      </c>
      <c r="W496" s="25"/>
      <c r="X496" s="26">
        <f t="shared" si="247"/>
        <v>0</v>
      </c>
      <c r="Y496" s="25">
        <v>0</v>
      </c>
      <c r="Z496" s="25">
        <v>0</v>
      </c>
    </row>
    <row r="497" spans="1:26" ht="13.9" customHeight="1" x14ac:dyDescent="0.25">
      <c r="D497" s="79" t="s">
        <v>21</v>
      </c>
      <c r="E497" s="48">
        <v>111</v>
      </c>
      <c r="F497" s="48" t="s">
        <v>137</v>
      </c>
      <c r="G497" s="49">
        <f t="shared" ref="G497:Q497" si="248">SUM(G495:G496)</f>
        <v>0</v>
      </c>
      <c r="H497" s="49">
        <f t="shared" si="248"/>
        <v>0</v>
      </c>
      <c r="I497" s="49">
        <f t="shared" si="248"/>
        <v>0</v>
      </c>
      <c r="J497" s="49">
        <f t="shared" si="248"/>
        <v>0</v>
      </c>
      <c r="K497" s="49">
        <f t="shared" si="248"/>
        <v>0</v>
      </c>
      <c r="L497" s="49">
        <f t="shared" si="248"/>
        <v>0</v>
      </c>
      <c r="M497" s="49">
        <f t="shared" si="248"/>
        <v>1087</v>
      </c>
      <c r="N497" s="49">
        <f t="shared" si="248"/>
        <v>0</v>
      </c>
      <c r="O497" s="49">
        <f t="shared" si="248"/>
        <v>0</v>
      </c>
      <c r="P497" s="49">
        <f t="shared" si="248"/>
        <v>1087</v>
      </c>
      <c r="Q497" s="49">
        <f t="shared" si="248"/>
        <v>0</v>
      </c>
      <c r="R497" s="50">
        <f t="shared" si="244"/>
        <v>0</v>
      </c>
      <c r="S497" s="49">
        <f>SUM(S495:S496)</f>
        <v>1087.5999999999999</v>
      </c>
      <c r="T497" s="50">
        <f t="shared" si="245"/>
        <v>1.0005519779208831</v>
      </c>
      <c r="U497" s="49">
        <f>SUM(U495:U496)</f>
        <v>0</v>
      </c>
      <c r="V497" s="50">
        <f t="shared" si="246"/>
        <v>0</v>
      </c>
      <c r="W497" s="49">
        <f>SUM(W495:W496)</f>
        <v>0</v>
      </c>
      <c r="X497" s="50">
        <f t="shared" si="247"/>
        <v>0</v>
      </c>
      <c r="Y497" s="49">
        <f>SUM(Y495:Y496)</f>
        <v>0</v>
      </c>
      <c r="Z497" s="49">
        <f>SUM(Z495:Z496)</f>
        <v>0</v>
      </c>
    </row>
    <row r="498" spans="1:26" ht="13.9" customHeight="1" x14ac:dyDescent="0.25">
      <c r="D498" s="11" t="s">
        <v>258</v>
      </c>
      <c r="E498" s="24">
        <v>610</v>
      </c>
      <c r="F498" s="24" t="s">
        <v>132</v>
      </c>
      <c r="G498" s="25">
        <v>0</v>
      </c>
      <c r="H498" s="25">
        <v>0</v>
      </c>
      <c r="I498" s="25">
        <v>0</v>
      </c>
      <c r="J498" s="25">
        <v>0</v>
      </c>
      <c r="K498" s="25">
        <v>16661</v>
      </c>
      <c r="L498" s="25">
        <v>-142</v>
      </c>
      <c r="M498" s="25"/>
      <c r="N498" s="25"/>
      <c r="O498" s="25"/>
      <c r="P498" s="25">
        <f>K498+SUM(L498:O498)</f>
        <v>16519</v>
      </c>
      <c r="Q498" s="25">
        <v>1515.71</v>
      </c>
      <c r="R498" s="26">
        <f t="shared" si="244"/>
        <v>9.1755554210303292E-2</v>
      </c>
      <c r="S498" s="25">
        <v>4315.62</v>
      </c>
      <c r="T498" s="26">
        <f t="shared" si="245"/>
        <v>0.2612518917610025</v>
      </c>
      <c r="U498" s="25"/>
      <c r="V498" s="26">
        <f t="shared" si="246"/>
        <v>0</v>
      </c>
      <c r="W498" s="25"/>
      <c r="X498" s="26">
        <f t="shared" si="247"/>
        <v>0</v>
      </c>
      <c r="Y498" s="25">
        <v>21277</v>
      </c>
      <c r="Z498" s="25">
        <v>22305</v>
      </c>
    </row>
    <row r="499" spans="1:26" ht="13.9" customHeight="1" x14ac:dyDescent="0.25">
      <c r="D499" s="11"/>
      <c r="E499" s="24">
        <v>620</v>
      </c>
      <c r="F499" s="24" t="s">
        <v>133</v>
      </c>
      <c r="G499" s="25">
        <v>0</v>
      </c>
      <c r="H499" s="25">
        <v>0</v>
      </c>
      <c r="I499" s="25">
        <v>0</v>
      </c>
      <c r="J499" s="25">
        <v>0</v>
      </c>
      <c r="K499" s="25">
        <v>3784</v>
      </c>
      <c r="L499" s="25"/>
      <c r="M499" s="25"/>
      <c r="N499" s="25"/>
      <c r="O499" s="25"/>
      <c r="P499" s="25">
        <f>K499+SUM(L499:O499)</f>
        <v>3784</v>
      </c>
      <c r="Q499" s="25">
        <v>544.79999999999995</v>
      </c>
      <c r="R499" s="26">
        <f t="shared" si="244"/>
        <v>0.14397463002114164</v>
      </c>
      <c r="S499" s="25">
        <v>1551.28</v>
      </c>
      <c r="T499" s="26">
        <f t="shared" si="245"/>
        <v>0.40995771670190273</v>
      </c>
      <c r="U499" s="25"/>
      <c r="V499" s="26">
        <f t="shared" si="246"/>
        <v>0</v>
      </c>
      <c r="W499" s="25"/>
      <c r="X499" s="26">
        <f t="shared" si="247"/>
        <v>0</v>
      </c>
      <c r="Y499" s="25">
        <v>3671</v>
      </c>
      <c r="Z499" s="25">
        <v>3855</v>
      </c>
    </row>
    <row r="500" spans="1:26" ht="13.9" customHeight="1" x14ac:dyDescent="0.25">
      <c r="A500" s="15">
        <v>7</v>
      </c>
      <c r="B500" s="15">
        <v>1</v>
      </c>
      <c r="C500" s="15">
        <v>2</v>
      </c>
      <c r="D500" s="11"/>
      <c r="E500" s="24">
        <v>630</v>
      </c>
      <c r="F500" s="24" t="s">
        <v>134</v>
      </c>
      <c r="G500" s="25">
        <v>1817</v>
      </c>
      <c r="H500" s="25">
        <v>2904.05</v>
      </c>
      <c r="I500" s="25">
        <v>3000</v>
      </c>
      <c r="J500" s="25">
        <v>2737</v>
      </c>
      <c r="K500" s="25">
        <f>2311+5020</f>
        <v>7331</v>
      </c>
      <c r="L500" s="25"/>
      <c r="M500" s="25"/>
      <c r="N500" s="25"/>
      <c r="O500" s="25"/>
      <c r="P500" s="25">
        <f>K500+SUM(L500:O500)</f>
        <v>7331</v>
      </c>
      <c r="Q500" s="25">
        <v>558.62</v>
      </c>
      <c r="R500" s="26">
        <f t="shared" si="244"/>
        <v>7.619969990451507E-2</v>
      </c>
      <c r="S500" s="25">
        <v>1340.13</v>
      </c>
      <c r="T500" s="26">
        <f t="shared" si="245"/>
        <v>0.1828031646432956</v>
      </c>
      <c r="U500" s="25"/>
      <c r="V500" s="26">
        <f t="shared" si="246"/>
        <v>0</v>
      </c>
      <c r="W500" s="25"/>
      <c r="X500" s="26">
        <f t="shared" si="247"/>
        <v>0</v>
      </c>
      <c r="Y500" s="25">
        <f>2947+7040</f>
        <v>9987</v>
      </c>
      <c r="Z500" s="25">
        <f>2969+7040</f>
        <v>10009</v>
      </c>
    </row>
    <row r="501" spans="1:26" ht="13.9" customHeight="1" x14ac:dyDescent="0.25">
      <c r="D501" s="11"/>
      <c r="E501" s="24">
        <v>640</v>
      </c>
      <c r="F501" s="24" t="s">
        <v>135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46">
        <v>142</v>
      </c>
      <c r="M501" s="25"/>
      <c r="N501" s="25"/>
      <c r="O501" s="25"/>
      <c r="P501" s="25">
        <f>K501+SUM(L501:O501)</f>
        <v>142</v>
      </c>
      <c r="Q501" s="25">
        <v>142.30000000000001</v>
      </c>
      <c r="R501" s="26">
        <f t="shared" si="244"/>
        <v>1.0021126760563381</v>
      </c>
      <c r="S501" s="25">
        <v>142.30000000000001</v>
      </c>
      <c r="T501" s="26">
        <f t="shared" si="245"/>
        <v>1.0021126760563381</v>
      </c>
      <c r="U501" s="25"/>
      <c r="V501" s="26">
        <f t="shared" si="246"/>
        <v>0</v>
      </c>
      <c r="W501" s="25"/>
      <c r="X501" s="26">
        <f t="shared" si="247"/>
        <v>0</v>
      </c>
      <c r="Y501" s="25">
        <v>0</v>
      </c>
      <c r="Z501" s="25">
        <v>0</v>
      </c>
    </row>
    <row r="502" spans="1:26" ht="13.9" customHeight="1" x14ac:dyDescent="0.25">
      <c r="A502" s="15">
        <v>7</v>
      </c>
      <c r="B502" s="15">
        <v>1</v>
      </c>
      <c r="C502" s="15">
        <v>2</v>
      </c>
      <c r="D502" s="79" t="s">
        <v>21</v>
      </c>
      <c r="E502" s="48">
        <v>41</v>
      </c>
      <c r="F502" s="48" t="s">
        <v>23</v>
      </c>
      <c r="G502" s="49">
        <f t="shared" ref="G502:Q502" si="249">SUM(G498:G501)</f>
        <v>1817</v>
      </c>
      <c r="H502" s="49">
        <f t="shared" si="249"/>
        <v>2904.05</v>
      </c>
      <c r="I502" s="49">
        <f t="shared" si="249"/>
        <v>3000</v>
      </c>
      <c r="J502" s="49">
        <f t="shared" si="249"/>
        <v>2737</v>
      </c>
      <c r="K502" s="49">
        <f t="shared" si="249"/>
        <v>27776</v>
      </c>
      <c r="L502" s="49">
        <f t="shared" si="249"/>
        <v>0</v>
      </c>
      <c r="M502" s="49">
        <f t="shared" si="249"/>
        <v>0</v>
      </c>
      <c r="N502" s="49">
        <f t="shared" si="249"/>
        <v>0</v>
      </c>
      <c r="O502" s="49">
        <f t="shared" si="249"/>
        <v>0</v>
      </c>
      <c r="P502" s="49">
        <f t="shared" si="249"/>
        <v>27776</v>
      </c>
      <c r="Q502" s="49">
        <f t="shared" si="249"/>
        <v>2761.4300000000003</v>
      </c>
      <c r="R502" s="50">
        <f t="shared" si="244"/>
        <v>9.9417842741935492E-2</v>
      </c>
      <c r="S502" s="49">
        <f>SUM(S498:S501)</f>
        <v>7349.33</v>
      </c>
      <c r="T502" s="50">
        <f t="shared" si="245"/>
        <v>0.26459281394009215</v>
      </c>
      <c r="U502" s="49">
        <f>SUM(U498:U501)</f>
        <v>0</v>
      </c>
      <c r="V502" s="50">
        <f t="shared" si="246"/>
        <v>0</v>
      </c>
      <c r="W502" s="49">
        <f>SUM(W498:W501)</f>
        <v>0</v>
      </c>
      <c r="X502" s="50">
        <f t="shared" si="247"/>
        <v>0</v>
      </c>
      <c r="Y502" s="49">
        <f>SUM(Y498:Y501)</f>
        <v>34935</v>
      </c>
      <c r="Z502" s="49">
        <f>SUM(Z498:Z501)</f>
        <v>36169</v>
      </c>
    </row>
    <row r="503" spans="1:26" ht="13.9" customHeight="1" x14ac:dyDescent="0.25">
      <c r="D503" s="51" t="s">
        <v>258</v>
      </c>
      <c r="E503" s="24">
        <v>640</v>
      </c>
      <c r="F503" s="24" t="s">
        <v>135</v>
      </c>
      <c r="G503" s="25">
        <v>0</v>
      </c>
      <c r="H503" s="25">
        <v>0</v>
      </c>
      <c r="I503" s="25">
        <v>0</v>
      </c>
      <c r="J503" s="25">
        <v>0</v>
      </c>
      <c r="K503" s="25">
        <v>285</v>
      </c>
      <c r="L503" s="25"/>
      <c r="M503" s="25"/>
      <c r="N503" s="25"/>
      <c r="O503" s="25"/>
      <c r="P503" s="25">
        <f>K503+SUM(L503:O503)</f>
        <v>285</v>
      </c>
      <c r="Q503" s="25">
        <v>0</v>
      </c>
      <c r="R503" s="26">
        <f t="shared" si="244"/>
        <v>0</v>
      </c>
      <c r="S503" s="25">
        <v>0</v>
      </c>
      <c r="T503" s="26">
        <f t="shared" si="245"/>
        <v>0</v>
      </c>
      <c r="U503" s="25"/>
      <c r="V503" s="26">
        <f t="shared" si="246"/>
        <v>0</v>
      </c>
      <c r="W503" s="25"/>
      <c r="X503" s="26">
        <f t="shared" si="247"/>
        <v>0</v>
      </c>
      <c r="Y503" s="25">
        <v>358</v>
      </c>
      <c r="Z503" s="25">
        <f>Y503</f>
        <v>358</v>
      </c>
    </row>
    <row r="504" spans="1:26" ht="13.9" customHeight="1" x14ac:dyDescent="0.25">
      <c r="D504" s="79" t="s">
        <v>21</v>
      </c>
      <c r="E504" s="48">
        <v>72</v>
      </c>
      <c r="F504" s="48" t="s">
        <v>25</v>
      </c>
      <c r="G504" s="49">
        <f t="shared" ref="G504:Q504" si="250">SUM(G503)</f>
        <v>0</v>
      </c>
      <c r="H504" s="49">
        <f t="shared" si="250"/>
        <v>0</v>
      </c>
      <c r="I504" s="49">
        <f t="shared" si="250"/>
        <v>0</v>
      </c>
      <c r="J504" s="49">
        <f t="shared" si="250"/>
        <v>0</v>
      </c>
      <c r="K504" s="49">
        <f t="shared" si="250"/>
        <v>285</v>
      </c>
      <c r="L504" s="49">
        <f t="shared" si="250"/>
        <v>0</v>
      </c>
      <c r="M504" s="49">
        <f t="shared" si="250"/>
        <v>0</v>
      </c>
      <c r="N504" s="49">
        <f t="shared" si="250"/>
        <v>0</v>
      </c>
      <c r="O504" s="49">
        <f t="shared" si="250"/>
        <v>0</v>
      </c>
      <c r="P504" s="49">
        <f t="shared" si="250"/>
        <v>285</v>
      </c>
      <c r="Q504" s="49">
        <f t="shared" si="250"/>
        <v>0</v>
      </c>
      <c r="R504" s="50">
        <f t="shared" si="244"/>
        <v>0</v>
      </c>
      <c r="S504" s="49">
        <f>SUM(S503)</f>
        <v>0</v>
      </c>
      <c r="T504" s="50">
        <f t="shared" si="245"/>
        <v>0</v>
      </c>
      <c r="U504" s="49">
        <f>SUM(U503)</f>
        <v>0</v>
      </c>
      <c r="V504" s="50">
        <f t="shared" si="246"/>
        <v>0</v>
      </c>
      <c r="W504" s="49">
        <f>SUM(W503)</f>
        <v>0</v>
      </c>
      <c r="X504" s="50">
        <f t="shared" si="247"/>
        <v>0</v>
      </c>
      <c r="Y504" s="49">
        <f>SUM(Y503)</f>
        <v>358</v>
      </c>
      <c r="Z504" s="49">
        <f>SUM(Z503)</f>
        <v>358</v>
      </c>
    </row>
    <row r="505" spans="1:26" ht="13.9" customHeight="1" x14ac:dyDescent="0.25">
      <c r="A505" s="15">
        <v>7</v>
      </c>
      <c r="B505" s="15">
        <v>1</v>
      </c>
      <c r="C505" s="15">
        <v>2</v>
      </c>
      <c r="D505" s="86"/>
      <c r="E505" s="87"/>
      <c r="F505" s="27" t="s">
        <v>127</v>
      </c>
      <c r="G505" s="28">
        <f t="shared" ref="G505:Q505" si="251">G497+G502+G504</f>
        <v>1817</v>
      </c>
      <c r="H505" s="28">
        <f t="shared" si="251"/>
        <v>2904.05</v>
      </c>
      <c r="I505" s="28">
        <f t="shared" si="251"/>
        <v>3000</v>
      </c>
      <c r="J505" s="28">
        <f t="shared" si="251"/>
        <v>2737</v>
      </c>
      <c r="K505" s="28">
        <f t="shared" si="251"/>
        <v>28061</v>
      </c>
      <c r="L505" s="28">
        <f t="shared" si="251"/>
        <v>0</v>
      </c>
      <c r="M505" s="28">
        <f t="shared" si="251"/>
        <v>1087</v>
      </c>
      <c r="N505" s="28">
        <f t="shared" si="251"/>
        <v>0</v>
      </c>
      <c r="O505" s="28">
        <f t="shared" si="251"/>
        <v>0</v>
      </c>
      <c r="P505" s="28">
        <f t="shared" si="251"/>
        <v>29148</v>
      </c>
      <c r="Q505" s="28">
        <f t="shared" si="251"/>
        <v>2761.4300000000003</v>
      </c>
      <c r="R505" s="29">
        <f t="shared" si="244"/>
        <v>9.4738232468780034E-2</v>
      </c>
      <c r="S505" s="28">
        <f>S497+S502+S504</f>
        <v>8436.93</v>
      </c>
      <c r="T505" s="29">
        <f t="shared" si="245"/>
        <v>0.28945142033758747</v>
      </c>
      <c r="U505" s="28">
        <f>U497+U502+U504</f>
        <v>0</v>
      </c>
      <c r="V505" s="29">
        <f t="shared" si="246"/>
        <v>0</v>
      </c>
      <c r="W505" s="28">
        <f>W497+W502+W504</f>
        <v>0</v>
      </c>
      <c r="X505" s="29">
        <f t="shared" si="247"/>
        <v>0</v>
      </c>
      <c r="Y505" s="28">
        <f>Y497+Y502+Y504</f>
        <v>35293</v>
      </c>
      <c r="Z505" s="28">
        <f>Z497+Z502+Z504</f>
        <v>36527</v>
      </c>
    </row>
    <row r="506" spans="1:26" ht="13.9" customHeight="1" x14ac:dyDescent="0.25">
      <c r="D506" s="144"/>
      <c r="E506" s="145"/>
      <c r="F506" s="145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7"/>
      <c r="S506" s="146"/>
      <c r="T506" s="147"/>
      <c r="U506" s="146"/>
      <c r="V506" s="147"/>
      <c r="W506" s="146"/>
      <c r="X506" s="147"/>
      <c r="Y506" s="146"/>
      <c r="Z506" s="146"/>
    </row>
    <row r="507" spans="1:26" ht="13.9" customHeight="1" x14ac:dyDescent="0.25">
      <c r="D507" s="144"/>
      <c r="E507" s="52" t="s">
        <v>55</v>
      </c>
      <c r="F507" s="30" t="s">
        <v>150</v>
      </c>
      <c r="G507" s="53"/>
      <c r="H507" s="53"/>
      <c r="I507" s="53"/>
      <c r="J507" s="53"/>
      <c r="K507" s="53">
        <v>920</v>
      </c>
      <c r="L507" s="53"/>
      <c r="M507" s="53"/>
      <c r="N507" s="53"/>
      <c r="O507" s="53"/>
      <c r="P507" s="53">
        <f>K507+SUM(L507:O507)</f>
        <v>920</v>
      </c>
      <c r="Q507" s="53">
        <v>0</v>
      </c>
      <c r="R507" s="54">
        <f>IFERROR(Q507/$P507,0)</f>
        <v>0</v>
      </c>
      <c r="S507" s="53">
        <v>0</v>
      </c>
      <c r="T507" s="54">
        <f>IFERROR(S507/$P507,0)</f>
        <v>0</v>
      </c>
      <c r="U507" s="53"/>
      <c r="V507" s="54">
        <f>IFERROR(U507/$P507,0)</f>
        <v>0</v>
      </c>
      <c r="W507" s="53"/>
      <c r="X507" s="55">
        <f>IFERROR(W507/$P507,0)</f>
        <v>0</v>
      </c>
      <c r="Y507" s="53">
        <f>K507*2</f>
        <v>1840</v>
      </c>
      <c r="Z507" s="56">
        <f>Y507</f>
        <v>1840</v>
      </c>
    </row>
    <row r="508" spans="1:26" ht="13.9" customHeight="1" x14ac:dyDescent="0.25">
      <c r="D508" s="144"/>
      <c r="E508" s="57"/>
      <c r="F508" s="92" t="s">
        <v>151</v>
      </c>
      <c r="G508" s="95"/>
      <c r="H508" s="95"/>
      <c r="I508" s="95"/>
      <c r="J508" s="95"/>
      <c r="K508" s="95">
        <v>1100</v>
      </c>
      <c r="L508" s="95">
        <v>-182</v>
      </c>
      <c r="M508" s="95"/>
      <c r="N508" s="95"/>
      <c r="O508" s="95"/>
      <c r="P508" s="95">
        <f>K508+SUM(L508:O508)</f>
        <v>918</v>
      </c>
      <c r="Q508" s="95">
        <v>0</v>
      </c>
      <c r="R508" s="96">
        <f>IFERROR(Q508/$P508,0)</f>
        <v>0</v>
      </c>
      <c r="S508" s="95">
        <v>0</v>
      </c>
      <c r="T508" s="96">
        <f>IFERROR(S508/$P508,0)</f>
        <v>0</v>
      </c>
      <c r="U508" s="95"/>
      <c r="V508" s="96">
        <f>IFERROR(U508/$P508,0)</f>
        <v>0</v>
      </c>
      <c r="W508" s="95"/>
      <c r="X508" s="60">
        <f>IFERROR(W508/$P508,0)</f>
        <v>0</v>
      </c>
      <c r="Y508" s="95">
        <f>K508*2</f>
        <v>2200</v>
      </c>
      <c r="Z508" s="61">
        <f>Y508</f>
        <v>2200</v>
      </c>
    </row>
    <row r="509" spans="1:26" ht="13.9" customHeight="1" x14ac:dyDescent="0.25">
      <c r="D509" s="144"/>
      <c r="E509" s="65"/>
      <c r="F509" s="97" t="s">
        <v>263</v>
      </c>
      <c r="G509" s="67"/>
      <c r="H509" s="67"/>
      <c r="I509" s="67">
        <v>3000</v>
      </c>
      <c r="J509" s="67">
        <v>2737</v>
      </c>
      <c r="K509" s="67">
        <v>3000</v>
      </c>
      <c r="L509" s="67"/>
      <c r="M509" s="67">
        <v>-500</v>
      </c>
      <c r="N509" s="67"/>
      <c r="O509" s="67"/>
      <c r="P509" s="67">
        <f>K509+SUM(L509:O509)</f>
        <v>2500</v>
      </c>
      <c r="Q509" s="67">
        <v>0</v>
      </c>
      <c r="R509" s="68">
        <f>IFERROR(Q509/$P509,0)</f>
        <v>0</v>
      </c>
      <c r="S509" s="67">
        <v>0</v>
      </c>
      <c r="T509" s="68">
        <f>IFERROR(S509/$P509,0)</f>
        <v>0</v>
      </c>
      <c r="U509" s="67"/>
      <c r="V509" s="68">
        <f>IFERROR(U509/$P509,0)</f>
        <v>0</v>
      </c>
      <c r="W509" s="67"/>
      <c r="X509" s="69">
        <f>IFERROR(W509/$P509,0)</f>
        <v>0</v>
      </c>
      <c r="Y509" s="67">
        <f>K509</f>
        <v>3000</v>
      </c>
      <c r="Z509" s="70">
        <f>Y509</f>
        <v>3000</v>
      </c>
    </row>
    <row r="511" spans="1:26" ht="13.9" customHeight="1" x14ac:dyDescent="0.25">
      <c r="D511" s="41" t="s">
        <v>264</v>
      </c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2"/>
      <c r="S511" s="41"/>
      <c r="T511" s="42"/>
      <c r="U511" s="41"/>
      <c r="V511" s="42"/>
      <c r="W511" s="41"/>
      <c r="X511" s="42"/>
      <c r="Y511" s="41"/>
      <c r="Z511" s="41"/>
    </row>
    <row r="512" spans="1:26" ht="13.9" customHeight="1" x14ac:dyDescent="0.25">
      <c r="D512" s="21" t="s">
        <v>32</v>
      </c>
      <c r="E512" s="21" t="s">
        <v>33</v>
      </c>
      <c r="F512" s="21" t="s">
        <v>34</v>
      </c>
      <c r="G512" s="21" t="s">
        <v>1</v>
      </c>
      <c r="H512" s="21" t="s">
        <v>2</v>
      </c>
      <c r="I512" s="21" t="s">
        <v>3</v>
      </c>
      <c r="J512" s="21" t="s">
        <v>4</v>
      </c>
      <c r="K512" s="21" t="s">
        <v>5</v>
      </c>
      <c r="L512" s="21" t="s">
        <v>6</v>
      </c>
      <c r="M512" s="21" t="s">
        <v>7</v>
      </c>
      <c r="N512" s="21" t="s">
        <v>8</v>
      </c>
      <c r="O512" s="21" t="s">
        <v>9</v>
      </c>
      <c r="P512" s="21" t="s">
        <v>124</v>
      </c>
      <c r="Q512" s="21" t="s">
        <v>11</v>
      </c>
      <c r="R512" s="22" t="s">
        <v>12</v>
      </c>
      <c r="S512" s="21" t="s">
        <v>13</v>
      </c>
      <c r="T512" s="22" t="s">
        <v>14</v>
      </c>
      <c r="U512" s="21" t="s">
        <v>15</v>
      </c>
      <c r="V512" s="22" t="s">
        <v>16</v>
      </c>
      <c r="W512" s="21" t="s">
        <v>17</v>
      </c>
      <c r="X512" s="22" t="s">
        <v>18</v>
      </c>
      <c r="Y512" s="21" t="s">
        <v>19</v>
      </c>
      <c r="Z512" s="21" t="s">
        <v>20</v>
      </c>
    </row>
    <row r="513" spans="1:26" ht="13.9" customHeight="1" x14ac:dyDescent="0.25">
      <c r="A513" s="15">
        <v>7</v>
      </c>
      <c r="B513" s="15">
        <v>2</v>
      </c>
      <c r="D513" s="51" t="s">
        <v>265</v>
      </c>
      <c r="E513" s="24">
        <v>640</v>
      </c>
      <c r="F513" s="24" t="s">
        <v>135</v>
      </c>
      <c r="G513" s="46">
        <v>7865.27</v>
      </c>
      <c r="H513" s="46">
        <v>9209.2999999999993</v>
      </c>
      <c r="I513" s="46">
        <v>2880</v>
      </c>
      <c r="J513" s="46">
        <v>3485</v>
      </c>
      <c r="K513" s="46">
        <v>3600</v>
      </c>
      <c r="L513" s="46"/>
      <c r="M513" s="46"/>
      <c r="N513" s="46"/>
      <c r="O513" s="46"/>
      <c r="P513" s="46">
        <f>K513+SUM(L513:O513)</f>
        <v>3600</v>
      </c>
      <c r="Q513" s="46">
        <v>888</v>
      </c>
      <c r="R513" s="47">
        <f t="shared" ref="R513:R519" si="252">IFERROR(Q513/$P513,0)</f>
        <v>0.24666666666666667</v>
      </c>
      <c r="S513" s="46">
        <v>1787</v>
      </c>
      <c r="T513" s="47">
        <f t="shared" ref="T513:T519" si="253">IFERROR(S513/$P513,0)</f>
        <v>0.49638888888888888</v>
      </c>
      <c r="U513" s="46"/>
      <c r="V513" s="47">
        <f t="shared" ref="V513:V519" si="254">IFERROR(U513/$P513,0)</f>
        <v>0</v>
      </c>
      <c r="W513" s="46"/>
      <c r="X513" s="47">
        <f t="shared" ref="X513:X519" si="255">IFERROR(W513/$P513,0)</f>
        <v>0</v>
      </c>
      <c r="Y513" s="25">
        <f>K513</f>
        <v>3600</v>
      </c>
      <c r="Z513" s="25">
        <f>Y513</f>
        <v>3600</v>
      </c>
    </row>
    <row r="514" spans="1:26" ht="13.9" customHeight="1" x14ac:dyDescent="0.25">
      <c r="A514" s="15">
        <v>7</v>
      </c>
      <c r="B514" s="15">
        <v>2</v>
      </c>
      <c r="D514" s="2" t="s">
        <v>266</v>
      </c>
      <c r="E514" s="24">
        <v>630</v>
      </c>
      <c r="F514" s="24" t="s">
        <v>134</v>
      </c>
      <c r="G514" s="46">
        <v>30899.4</v>
      </c>
      <c r="H514" s="46">
        <v>2837.9</v>
      </c>
      <c r="I514" s="46">
        <v>0</v>
      </c>
      <c r="J514" s="46">
        <v>8700</v>
      </c>
      <c r="K514" s="46">
        <v>0</v>
      </c>
      <c r="L514" s="46">
        <v>9642</v>
      </c>
      <c r="M514" s="46"/>
      <c r="N514" s="46"/>
      <c r="O514" s="46"/>
      <c r="P514" s="46">
        <f>K514+SUM(L514:O514)</f>
        <v>9642</v>
      </c>
      <c r="Q514" s="46">
        <v>9641.5</v>
      </c>
      <c r="R514" s="47">
        <f t="shared" si="252"/>
        <v>0.99994814353868489</v>
      </c>
      <c r="S514" s="46">
        <v>9641.5</v>
      </c>
      <c r="T514" s="47">
        <f t="shared" si="253"/>
        <v>0.99994814353868489</v>
      </c>
      <c r="U514" s="46"/>
      <c r="V514" s="47">
        <f t="shared" si="254"/>
        <v>0</v>
      </c>
      <c r="W514" s="46"/>
      <c r="X514" s="47">
        <f t="shared" si="255"/>
        <v>0</v>
      </c>
      <c r="Y514" s="25">
        <v>0</v>
      </c>
      <c r="Z514" s="25">
        <f>Y514</f>
        <v>0</v>
      </c>
    </row>
    <row r="515" spans="1:26" ht="13.9" customHeight="1" x14ac:dyDescent="0.25">
      <c r="D515" s="2"/>
      <c r="E515" s="24">
        <v>640</v>
      </c>
      <c r="F515" s="24" t="s">
        <v>135</v>
      </c>
      <c r="G515" s="46">
        <v>22985.5</v>
      </c>
      <c r="H515" s="46">
        <v>44860</v>
      </c>
      <c r="I515" s="46">
        <v>4000</v>
      </c>
      <c r="J515" s="46">
        <v>58374</v>
      </c>
      <c r="K515" s="46">
        <v>0</v>
      </c>
      <c r="L515" s="46">
        <f>1956+3816</f>
        <v>5772</v>
      </c>
      <c r="M515" s="46">
        <v>1680</v>
      </c>
      <c r="N515" s="46"/>
      <c r="O515" s="46"/>
      <c r="P515" s="46">
        <f>K515+SUM(L515:O515)</f>
        <v>7452</v>
      </c>
      <c r="Q515" s="46">
        <v>4902</v>
      </c>
      <c r="R515" s="47">
        <f t="shared" si="252"/>
        <v>0.65780998389694045</v>
      </c>
      <c r="S515" s="46">
        <v>6894</v>
      </c>
      <c r="T515" s="47">
        <f t="shared" si="253"/>
        <v>0.9251207729468599</v>
      </c>
      <c r="U515" s="46"/>
      <c r="V515" s="47">
        <f t="shared" si="254"/>
        <v>0</v>
      </c>
      <c r="W515" s="46"/>
      <c r="X515" s="47">
        <f t="shared" si="255"/>
        <v>0</v>
      </c>
      <c r="Y515" s="25">
        <v>0</v>
      </c>
      <c r="Z515" s="25">
        <f>Y515</f>
        <v>0</v>
      </c>
    </row>
    <row r="516" spans="1:26" ht="13.9" customHeight="1" x14ac:dyDescent="0.25">
      <c r="A516" s="15">
        <v>7</v>
      </c>
      <c r="B516" s="15">
        <v>2</v>
      </c>
      <c r="D516" s="79" t="s">
        <v>21</v>
      </c>
      <c r="E516" s="48" t="s">
        <v>267</v>
      </c>
      <c r="F516" s="48" t="s">
        <v>137</v>
      </c>
      <c r="G516" s="49">
        <f t="shared" ref="G516:Q516" si="256">SUM(G513:G515)</f>
        <v>61750.17</v>
      </c>
      <c r="H516" s="49">
        <f t="shared" si="256"/>
        <v>56907.199999999997</v>
      </c>
      <c r="I516" s="49">
        <f t="shared" si="256"/>
        <v>6880</v>
      </c>
      <c r="J516" s="49">
        <f t="shared" si="256"/>
        <v>70559</v>
      </c>
      <c r="K516" s="49">
        <f t="shared" si="256"/>
        <v>3600</v>
      </c>
      <c r="L516" s="49">
        <f t="shared" si="256"/>
        <v>15414</v>
      </c>
      <c r="M516" s="49">
        <f t="shared" si="256"/>
        <v>1680</v>
      </c>
      <c r="N516" s="49">
        <f t="shared" si="256"/>
        <v>0</v>
      </c>
      <c r="O516" s="49">
        <f t="shared" si="256"/>
        <v>0</v>
      </c>
      <c r="P516" s="49">
        <f t="shared" si="256"/>
        <v>20694</v>
      </c>
      <c r="Q516" s="49">
        <f t="shared" si="256"/>
        <v>15431.5</v>
      </c>
      <c r="R516" s="50">
        <f t="shared" si="252"/>
        <v>0.74569923649366965</v>
      </c>
      <c r="S516" s="49">
        <f>SUM(S513:S515)</f>
        <v>18322.5</v>
      </c>
      <c r="T516" s="50">
        <f t="shared" si="253"/>
        <v>0.88540156567120909</v>
      </c>
      <c r="U516" s="49">
        <f>SUM(U513:U515)</f>
        <v>0</v>
      </c>
      <c r="V516" s="50">
        <f t="shared" si="254"/>
        <v>0</v>
      </c>
      <c r="W516" s="49">
        <f>SUM(W513:W515)</f>
        <v>0</v>
      </c>
      <c r="X516" s="50">
        <f t="shared" si="255"/>
        <v>0</v>
      </c>
      <c r="Y516" s="49">
        <f>SUM(Y513:Y515)</f>
        <v>3600</v>
      </c>
      <c r="Z516" s="49">
        <f>SUM(Z513:Z515)</f>
        <v>3600</v>
      </c>
    </row>
    <row r="517" spans="1:26" ht="13.9" customHeight="1" x14ac:dyDescent="0.25">
      <c r="A517" s="15">
        <v>7</v>
      </c>
      <c r="B517" s="15">
        <v>2</v>
      </c>
      <c r="D517" s="148" t="s">
        <v>265</v>
      </c>
      <c r="E517" s="24">
        <v>640</v>
      </c>
      <c r="F517" s="24" t="s">
        <v>135</v>
      </c>
      <c r="G517" s="25">
        <v>3600</v>
      </c>
      <c r="H517" s="25">
        <v>1800</v>
      </c>
      <c r="I517" s="25">
        <v>3000</v>
      </c>
      <c r="J517" s="25">
        <v>3100</v>
      </c>
      <c r="K517" s="25">
        <v>3000</v>
      </c>
      <c r="L517" s="25"/>
      <c r="M517" s="25"/>
      <c r="N517" s="25"/>
      <c r="O517" s="25"/>
      <c r="P517" s="25">
        <f>K517+SUM(L517:O517)</f>
        <v>3000</v>
      </c>
      <c r="Q517" s="25">
        <v>100</v>
      </c>
      <c r="R517" s="26">
        <f t="shared" si="252"/>
        <v>3.3333333333333333E-2</v>
      </c>
      <c r="S517" s="25">
        <v>700</v>
      </c>
      <c r="T517" s="26">
        <f t="shared" si="253"/>
        <v>0.23333333333333334</v>
      </c>
      <c r="U517" s="25"/>
      <c r="V517" s="26">
        <f t="shared" si="254"/>
        <v>0</v>
      </c>
      <c r="W517" s="25"/>
      <c r="X517" s="26">
        <f t="shared" si="255"/>
        <v>0</v>
      </c>
      <c r="Y517" s="25">
        <f>K517</f>
        <v>3000</v>
      </c>
      <c r="Z517" s="25">
        <f>Y517</f>
        <v>3000</v>
      </c>
    </row>
    <row r="518" spans="1:26" ht="13.9" customHeight="1" x14ac:dyDescent="0.25">
      <c r="A518" s="15">
        <v>7</v>
      </c>
      <c r="B518" s="15">
        <v>2</v>
      </c>
      <c r="D518" s="79" t="s">
        <v>21</v>
      </c>
      <c r="E518" s="48">
        <v>41</v>
      </c>
      <c r="F518" s="48" t="s">
        <v>23</v>
      </c>
      <c r="G518" s="49">
        <f t="shared" ref="G518:Q518" si="257">SUM(G517)</f>
        <v>3600</v>
      </c>
      <c r="H518" s="49">
        <f t="shared" si="257"/>
        <v>1800</v>
      </c>
      <c r="I518" s="49">
        <f t="shared" si="257"/>
        <v>3000</v>
      </c>
      <c r="J518" s="49">
        <f t="shared" si="257"/>
        <v>3100</v>
      </c>
      <c r="K518" s="49">
        <f t="shared" si="257"/>
        <v>3000</v>
      </c>
      <c r="L518" s="49">
        <f t="shared" si="257"/>
        <v>0</v>
      </c>
      <c r="M518" s="49">
        <f t="shared" si="257"/>
        <v>0</v>
      </c>
      <c r="N518" s="49">
        <f t="shared" si="257"/>
        <v>0</v>
      </c>
      <c r="O518" s="49">
        <f t="shared" si="257"/>
        <v>0</v>
      </c>
      <c r="P518" s="49">
        <f t="shared" si="257"/>
        <v>3000</v>
      </c>
      <c r="Q518" s="49">
        <f t="shared" si="257"/>
        <v>100</v>
      </c>
      <c r="R518" s="50">
        <f t="shared" si="252"/>
        <v>3.3333333333333333E-2</v>
      </c>
      <c r="S518" s="49">
        <f>SUM(S517)</f>
        <v>700</v>
      </c>
      <c r="T518" s="50">
        <f t="shared" si="253"/>
        <v>0.23333333333333334</v>
      </c>
      <c r="U518" s="49">
        <f>SUM(U517)</f>
        <v>0</v>
      </c>
      <c r="V518" s="50">
        <f t="shared" si="254"/>
        <v>0</v>
      </c>
      <c r="W518" s="49">
        <f>SUM(W517)</f>
        <v>0</v>
      </c>
      <c r="X518" s="50">
        <f t="shared" si="255"/>
        <v>0</v>
      </c>
      <c r="Y518" s="49">
        <f>SUM(Y517)</f>
        <v>3000</v>
      </c>
      <c r="Z518" s="49">
        <f>SUM(Z517)</f>
        <v>3000</v>
      </c>
    </row>
    <row r="519" spans="1:26" ht="13.9" customHeight="1" x14ac:dyDescent="0.25">
      <c r="A519" s="15">
        <v>7</v>
      </c>
      <c r="B519" s="15">
        <v>2</v>
      </c>
      <c r="D519" s="30"/>
      <c r="E519" s="31"/>
      <c r="F519" s="27" t="s">
        <v>127</v>
      </c>
      <c r="G519" s="28">
        <f t="shared" ref="G519:Q519" si="258">G516+G518</f>
        <v>65350.17</v>
      </c>
      <c r="H519" s="28">
        <f t="shared" si="258"/>
        <v>58707.199999999997</v>
      </c>
      <c r="I519" s="28">
        <f t="shared" si="258"/>
        <v>9880</v>
      </c>
      <c r="J519" s="28">
        <f t="shared" si="258"/>
        <v>73659</v>
      </c>
      <c r="K519" s="28">
        <f t="shared" si="258"/>
        <v>6600</v>
      </c>
      <c r="L519" s="28">
        <f t="shared" si="258"/>
        <v>15414</v>
      </c>
      <c r="M519" s="28">
        <f t="shared" si="258"/>
        <v>1680</v>
      </c>
      <c r="N519" s="28">
        <f t="shared" si="258"/>
        <v>0</v>
      </c>
      <c r="O519" s="28">
        <f t="shared" si="258"/>
        <v>0</v>
      </c>
      <c r="P519" s="28">
        <f t="shared" si="258"/>
        <v>23694</v>
      </c>
      <c r="Q519" s="28">
        <f t="shared" si="258"/>
        <v>15531.5</v>
      </c>
      <c r="R519" s="29">
        <f t="shared" si="252"/>
        <v>0.65550350299653926</v>
      </c>
      <c r="S519" s="28">
        <f>S516+S518</f>
        <v>19022.5</v>
      </c>
      <c r="T519" s="29">
        <f t="shared" si="253"/>
        <v>0.80284038153118931</v>
      </c>
      <c r="U519" s="28">
        <f>U516+U518</f>
        <v>0</v>
      </c>
      <c r="V519" s="29">
        <f t="shared" si="254"/>
        <v>0</v>
      </c>
      <c r="W519" s="28">
        <f>W516+W518</f>
        <v>0</v>
      </c>
      <c r="X519" s="29">
        <f t="shared" si="255"/>
        <v>0</v>
      </c>
      <c r="Y519" s="28">
        <f>Y516+Y518</f>
        <v>6600</v>
      </c>
      <c r="Z519" s="28">
        <f>Z516+Z518</f>
        <v>6600</v>
      </c>
    </row>
    <row r="521" spans="1:26" ht="13.9" customHeight="1" x14ac:dyDescent="0.25">
      <c r="E521" s="52" t="s">
        <v>55</v>
      </c>
      <c r="F521" s="30" t="s">
        <v>268</v>
      </c>
      <c r="G521" s="53">
        <v>3600</v>
      </c>
      <c r="H521" s="53">
        <v>1800</v>
      </c>
      <c r="I521" s="53">
        <v>3000</v>
      </c>
      <c r="J521" s="53">
        <v>3100</v>
      </c>
      <c r="K521" s="53">
        <v>3000</v>
      </c>
      <c r="L521" s="53"/>
      <c r="M521" s="53"/>
      <c r="N521" s="53"/>
      <c r="O521" s="53"/>
      <c r="P521" s="53">
        <f>K521+SUM(L521:O521)</f>
        <v>3000</v>
      </c>
      <c r="Q521" s="53">
        <v>100</v>
      </c>
      <c r="R521" s="54">
        <f>IFERROR(Q521/$P521,0)</f>
        <v>3.3333333333333333E-2</v>
      </c>
      <c r="S521" s="53">
        <v>700</v>
      </c>
      <c r="T521" s="54">
        <f>IFERROR(S521/$P521,0)</f>
        <v>0.23333333333333334</v>
      </c>
      <c r="U521" s="53"/>
      <c r="V521" s="54">
        <f>IFERROR(U521/$P521,0)</f>
        <v>0</v>
      </c>
      <c r="W521" s="53"/>
      <c r="X521" s="55">
        <f>IFERROR(W521/$P521,0)</f>
        <v>0</v>
      </c>
      <c r="Y521" s="53">
        <f>K521</f>
        <v>3000</v>
      </c>
      <c r="Z521" s="56">
        <f>Y521</f>
        <v>3000</v>
      </c>
    </row>
    <row r="522" spans="1:26" ht="13.9" customHeight="1" x14ac:dyDescent="0.25">
      <c r="E522" s="57"/>
      <c r="F522" s="92" t="s">
        <v>82</v>
      </c>
      <c r="G522" s="95">
        <v>7865.27</v>
      </c>
      <c r="H522" s="95">
        <v>9209.2999999999993</v>
      </c>
      <c r="I522" s="95">
        <f>príjmy!F95</f>
        <v>2880</v>
      </c>
      <c r="J522" s="95">
        <v>3420</v>
      </c>
      <c r="K522" s="95">
        <v>3600</v>
      </c>
      <c r="L522" s="95"/>
      <c r="M522" s="95"/>
      <c r="N522" s="95"/>
      <c r="O522" s="95"/>
      <c r="P522" s="95">
        <f>K522+SUM(L522:O522)</f>
        <v>3600</v>
      </c>
      <c r="Q522" s="95">
        <v>888</v>
      </c>
      <c r="R522" s="96">
        <f>IFERROR(Q522/$P522,0)</f>
        <v>0.24666666666666667</v>
      </c>
      <c r="S522" s="95">
        <v>1787</v>
      </c>
      <c r="T522" s="96">
        <f>IFERROR(S522/$P522,0)</f>
        <v>0.49638888888888888</v>
      </c>
      <c r="U522" s="95"/>
      <c r="V522" s="96">
        <f>IFERROR(U522/$P522,0)</f>
        <v>0</v>
      </c>
      <c r="W522" s="95"/>
      <c r="X522" s="60">
        <f>IFERROR(W522/$P522,0)</f>
        <v>0</v>
      </c>
      <c r="Y522" s="95">
        <f>K522</f>
        <v>3600</v>
      </c>
      <c r="Z522" s="61">
        <f>Y522</f>
        <v>3600</v>
      </c>
    </row>
    <row r="523" spans="1:26" ht="13.9" customHeight="1" x14ac:dyDescent="0.25">
      <c r="E523" s="57"/>
      <c r="F523" s="92" t="s">
        <v>269</v>
      </c>
      <c r="G523" s="95">
        <v>30899.4</v>
      </c>
      <c r="H523" s="95">
        <v>2837.9</v>
      </c>
      <c r="I523" s="95">
        <v>0</v>
      </c>
      <c r="J523" s="95">
        <v>8700</v>
      </c>
      <c r="K523" s="95">
        <v>0</v>
      </c>
      <c r="L523" s="95">
        <v>9642</v>
      </c>
      <c r="M523" s="95"/>
      <c r="N523" s="95"/>
      <c r="O523" s="95"/>
      <c r="P523" s="95">
        <f>K523+SUM(L523:O523)</f>
        <v>9642</v>
      </c>
      <c r="Q523" s="95">
        <v>9641.5</v>
      </c>
      <c r="R523" s="96">
        <f>IFERROR(Q523/$P523,0)</f>
        <v>0.99994814353868489</v>
      </c>
      <c r="S523" s="95">
        <v>9641.5</v>
      </c>
      <c r="T523" s="96">
        <f>IFERROR(S523/$P523,0)</f>
        <v>0.99994814353868489</v>
      </c>
      <c r="U523" s="95"/>
      <c r="V523" s="96">
        <f>IFERROR(U523/$P523,0)</f>
        <v>0</v>
      </c>
      <c r="W523" s="95"/>
      <c r="X523" s="60">
        <f>IFERROR(W523/$P523,0)</f>
        <v>0</v>
      </c>
      <c r="Y523" s="95">
        <f>K523</f>
        <v>0</v>
      </c>
      <c r="Z523" s="61">
        <f>Y523</f>
        <v>0</v>
      </c>
    </row>
    <row r="524" spans="1:26" ht="13.9" customHeight="1" x14ac:dyDescent="0.25">
      <c r="E524" s="65"/>
      <c r="F524" s="97" t="s">
        <v>87</v>
      </c>
      <c r="G524" s="67">
        <v>22985.5</v>
      </c>
      <c r="H524" s="67">
        <v>44860</v>
      </c>
      <c r="I524" s="67">
        <f>príjmy!F100</f>
        <v>4000</v>
      </c>
      <c r="J524" s="67">
        <v>58374</v>
      </c>
      <c r="K524" s="67">
        <v>0</v>
      </c>
      <c r="L524" s="67">
        <v>5772</v>
      </c>
      <c r="M524" s="67">
        <v>1680</v>
      </c>
      <c r="N524" s="67"/>
      <c r="O524" s="67"/>
      <c r="P524" s="67">
        <f>K524+SUM(L524:O524)</f>
        <v>7452</v>
      </c>
      <c r="Q524" s="67">
        <v>4902</v>
      </c>
      <c r="R524" s="68">
        <f>IFERROR(Q524/$P524,0)</f>
        <v>0.65780998389694045</v>
      </c>
      <c r="S524" s="67">
        <v>6894</v>
      </c>
      <c r="T524" s="68">
        <f>IFERROR(S524/$P524,0)</f>
        <v>0.9251207729468599</v>
      </c>
      <c r="U524" s="67"/>
      <c r="V524" s="68">
        <f>IFERROR(U524/$P524,0)</f>
        <v>0</v>
      </c>
      <c r="W524" s="67"/>
      <c r="X524" s="69">
        <f>IFERROR(W524/$P524,0)</f>
        <v>0</v>
      </c>
      <c r="Y524" s="67">
        <f>K524</f>
        <v>0</v>
      </c>
      <c r="Z524" s="70">
        <f>Y524</f>
        <v>0</v>
      </c>
    </row>
    <row r="526" spans="1:26" ht="13.9" customHeight="1" x14ac:dyDescent="0.25">
      <c r="D526" s="32" t="s">
        <v>270</v>
      </c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3"/>
      <c r="S526" s="32"/>
      <c r="T526" s="33"/>
      <c r="U526" s="32"/>
      <c r="V526" s="33"/>
      <c r="W526" s="32"/>
      <c r="X526" s="33"/>
      <c r="Y526" s="32"/>
      <c r="Z526" s="32"/>
    </row>
    <row r="527" spans="1:26" ht="13.9" customHeight="1" x14ac:dyDescent="0.25">
      <c r="D527" s="20"/>
      <c r="E527" s="20"/>
      <c r="F527" s="20"/>
      <c r="G527" s="21" t="s">
        <v>1</v>
      </c>
      <c r="H527" s="21" t="s">
        <v>2</v>
      </c>
      <c r="I527" s="21" t="s">
        <v>3</v>
      </c>
      <c r="J527" s="21" t="s">
        <v>4</v>
      </c>
      <c r="K527" s="21" t="s">
        <v>5</v>
      </c>
      <c r="L527" s="21" t="s">
        <v>6</v>
      </c>
      <c r="M527" s="21" t="s">
        <v>7</v>
      </c>
      <c r="N527" s="21" t="s">
        <v>8</v>
      </c>
      <c r="O527" s="21" t="s">
        <v>9</v>
      </c>
      <c r="P527" s="21" t="s">
        <v>124</v>
      </c>
      <c r="Q527" s="21" t="s">
        <v>11</v>
      </c>
      <c r="R527" s="22" t="s">
        <v>12</v>
      </c>
      <c r="S527" s="21" t="s">
        <v>13</v>
      </c>
      <c r="T527" s="22" t="s">
        <v>14</v>
      </c>
      <c r="U527" s="21" t="s">
        <v>15</v>
      </c>
      <c r="V527" s="22" t="s">
        <v>16</v>
      </c>
      <c r="W527" s="21" t="s">
        <v>17</v>
      </c>
      <c r="X527" s="22" t="s">
        <v>18</v>
      </c>
      <c r="Y527" s="21" t="s">
        <v>19</v>
      </c>
      <c r="Z527" s="21" t="s">
        <v>20</v>
      </c>
    </row>
    <row r="528" spans="1:26" ht="13.9" customHeight="1" x14ac:dyDescent="0.25">
      <c r="A528" s="15">
        <v>8</v>
      </c>
      <c r="D528" s="12" t="s">
        <v>21</v>
      </c>
      <c r="E528" s="35">
        <v>111</v>
      </c>
      <c r="F528" s="35" t="s">
        <v>45</v>
      </c>
      <c r="G528" s="36">
        <f t="shared" ref="G528:Q528" si="259">G543+G572+G584+G599+G614</f>
        <v>190577.56</v>
      </c>
      <c r="H528" s="36">
        <f t="shared" si="259"/>
        <v>150933.32999999999</v>
      </c>
      <c r="I528" s="36">
        <f t="shared" si="259"/>
        <v>962500</v>
      </c>
      <c r="J528" s="36">
        <f t="shared" si="259"/>
        <v>199376</v>
      </c>
      <c r="K528" s="36">
        <f t="shared" si="259"/>
        <v>998572</v>
      </c>
      <c r="L528" s="36">
        <f t="shared" si="259"/>
        <v>0</v>
      </c>
      <c r="M528" s="36">
        <f t="shared" si="259"/>
        <v>14000</v>
      </c>
      <c r="N528" s="36">
        <f t="shared" si="259"/>
        <v>0</v>
      </c>
      <c r="O528" s="36">
        <f t="shared" si="259"/>
        <v>0</v>
      </c>
      <c r="P528" s="36">
        <f t="shared" si="259"/>
        <v>1012572</v>
      </c>
      <c r="Q528" s="36">
        <f t="shared" si="259"/>
        <v>161491.31</v>
      </c>
      <c r="R528" s="37">
        <f>IFERROR(Q528/$P528,0)</f>
        <v>0.15948624887909205</v>
      </c>
      <c r="S528" s="36">
        <f>S543+S572+S584+S599+S614</f>
        <v>447406.22</v>
      </c>
      <c r="T528" s="37">
        <f>IFERROR(S528/$P528,0)</f>
        <v>0.44185126588529011</v>
      </c>
      <c r="U528" s="36">
        <f>U543+U572+U584+U599+U614</f>
        <v>0</v>
      </c>
      <c r="V528" s="37">
        <f>IFERROR(U528/$P528,0)</f>
        <v>0</v>
      </c>
      <c r="W528" s="36">
        <f>W543+W572+W584+W599+W614</f>
        <v>0</v>
      </c>
      <c r="X528" s="37">
        <f>IFERROR(W528/$P528,0)</f>
        <v>0</v>
      </c>
      <c r="Y528" s="36">
        <f>Y543+Y572+Y584+Y599+Y614</f>
        <v>0</v>
      </c>
      <c r="Z528" s="36">
        <f>Z543+Z572+Z584+Z599+Z614</f>
        <v>0</v>
      </c>
    </row>
    <row r="529" spans="1:26" ht="13.9" customHeight="1" x14ac:dyDescent="0.25">
      <c r="A529" s="15">
        <v>8</v>
      </c>
      <c r="D529" s="12"/>
      <c r="E529" s="35">
        <v>41</v>
      </c>
      <c r="F529" s="35" t="s">
        <v>23</v>
      </c>
      <c r="G529" s="36">
        <f t="shared" ref="G529:Q529" si="260">G535+G544+G560+G573+G585+G600+G615+G624</f>
        <v>776952.59000000008</v>
      </c>
      <c r="H529" s="36">
        <f t="shared" si="260"/>
        <v>614423.27</v>
      </c>
      <c r="I529" s="36">
        <f t="shared" si="260"/>
        <v>512000</v>
      </c>
      <c r="J529" s="36">
        <f t="shared" si="260"/>
        <v>378964</v>
      </c>
      <c r="K529" s="36">
        <f t="shared" si="260"/>
        <v>666456</v>
      </c>
      <c r="L529" s="36">
        <f t="shared" si="260"/>
        <v>0</v>
      </c>
      <c r="M529" s="36">
        <f t="shared" si="260"/>
        <v>1174</v>
      </c>
      <c r="N529" s="36">
        <f t="shared" si="260"/>
        <v>0</v>
      </c>
      <c r="O529" s="36">
        <f t="shared" si="260"/>
        <v>0</v>
      </c>
      <c r="P529" s="36">
        <f t="shared" si="260"/>
        <v>667630</v>
      </c>
      <c r="Q529" s="36">
        <f t="shared" si="260"/>
        <v>1284.6000000000058</v>
      </c>
      <c r="R529" s="37">
        <f>IFERROR(Q529/$P529,0)</f>
        <v>1.9241196471099348E-3</v>
      </c>
      <c r="S529" s="36">
        <f>S535+S544+S560+S573+S585+S600+S615+S624</f>
        <v>10775.400000000041</v>
      </c>
      <c r="T529" s="37">
        <f>IFERROR(S529/$P529,0)</f>
        <v>1.6139778020760064E-2</v>
      </c>
      <c r="U529" s="36">
        <f>U535+U544+U560+U573+U585+U600+U615+U624</f>
        <v>0</v>
      </c>
      <c r="V529" s="37">
        <f>IFERROR(U529/$P529,0)</f>
        <v>0</v>
      </c>
      <c r="W529" s="36">
        <f>W535+W544+W560+W573+W585+W600+W615+W624</f>
        <v>0</v>
      </c>
      <c r="X529" s="37">
        <f>IFERROR(W529/$P529,0)</f>
        <v>0</v>
      </c>
      <c r="Y529" s="36">
        <f>Y535+Y544+Y560+Y573+Y585+Y600+Y615+Y624</f>
        <v>626228</v>
      </c>
      <c r="Z529" s="36">
        <f>Z535+Z544+Z560+Z573+Z585+Z600+Z615+Z624</f>
        <v>665170</v>
      </c>
    </row>
    <row r="530" spans="1:26" ht="13.9" customHeight="1" x14ac:dyDescent="0.25">
      <c r="D530" s="12"/>
      <c r="E530" s="35">
        <v>71</v>
      </c>
      <c r="F530" s="35" t="s">
        <v>24</v>
      </c>
      <c r="G530" s="36">
        <f t="shared" ref="G530:Q530" si="261">G601</f>
        <v>0</v>
      </c>
      <c r="H530" s="36">
        <f t="shared" si="261"/>
        <v>0</v>
      </c>
      <c r="I530" s="36">
        <f t="shared" si="261"/>
        <v>0</v>
      </c>
      <c r="J530" s="36">
        <f t="shared" si="261"/>
        <v>0</v>
      </c>
      <c r="K530" s="36">
        <f t="shared" si="261"/>
        <v>6000</v>
      </c>
      <c r="L530" s="36">
        <f t="shared" si="261"/>
        <v>0</v>
      </c>
      <c r="M530" s="36">
        <f t="shared" si="261"/>
        <v>0</v>
      </c>
      <c r="N530" s="36">
        <f t="shared" si="261"/>
        <v>0</v>
      </c>
      <c r="O530" s="36">
        <f t="shared" si="261"/>
        <v>0</v>
      </c>
      <c r="P530" s="36">
        <f t="shared" si="261"/>
        <v>6000</v>
      </c>
      <c r="Q530" s="36">
        <f t="shared" si="261"/>
        <v>0</v>
      </c>
      <c r="R530" s="37">
        <f>IFERROR(Q530/$P530,0)</f>
        <v>0</v>
      </c>
      <c r="S530" s="36">
        <f>S601</f>
        <v>0</v>
      </c>
      <c r="T530" s="37">
        <f>IFERROR(S530/$P530,0)</f>
        <v>0</v>
      </c>
      <c r="U530" s="36">
        <f>U601</f>
        <v>0</v>
      </c>
      <c r="V530" s="37">
        <f>IFERROR(U530/$P530,0)</f>
        <v>0</v>
      </c>
      <c r="W530" s="36">
        <f>W601</f>
        <v>0</v>
      </c>
      <c r="X530" s="37">
        <f>IFERROR(W530/$P530,0)</f>
        <v>0</v>
      </c>
      <c r="Y530" s="36">
        <f>Y601</f>
        <v>0</v>
      </c>
      <c r="Z530" s="36">
        <f>Z601</f>
        <v>0</v>
      </c>
    </row>
    <row r="531" spans="1:26" ht="13.9" customHeight="1" x14ac:dyDescent="0.25">
      <c r="A531" s="15">
        <v>8</v>
      </c>
      <c r="D531" s="30"/>
      <c r="E531" s="31"/>
      <c r="F531" s="38" t="s">
        <v>127</v>
      </c>
      <c r="G531" s="39">
        <f t="shared" ref="G531:Q531" si="262">SUM(G528:G530)</f>
        <v>967530.15000000014</v>
      </c>
      <c r="H531" s="39">
        <f t="shared" si="262"/>
        <v>765356.6</v>
      </c>
      <c r="I531" s="39">
        <f t="shared" si="262"/>
        <v>1474500</v>
      </c>
      <c r="J531" s="39">
        <f t="shared" si="262"/>
        <v>578340</v>
      </c>
      <c r="K531" s="39">
        <f t="shared" si="262"/>
        <v>1671028</v>
      </c>
      <c r="L531" s="39">
        <f t="shared" si="262"/>
        <v>0</v>
      </c>
      <c r="M531" s="39">
        <f t="shared" si="262"/>
        <v>15174</v>
      </c>
      <c r="N531" s="39">
        <f t="shared" si="262"/>
        <v>0</v>
      </c>
      <c r="O531" s="39">
        <f t="shared" si="262"/>
        <v>0</v>
      </c>
      <c r="P531" s="39">
        <f t="shared" si="262"/>
        <v>1686202</v>
      </c>
      <c r="Q531" s="39">
        <f t="shared" si="262"/>
        <v>162775.91</v>
      </c>
      <c r="R531" s="40">
        <f>IFERROR(Q531/$P531,0)</f>
        <v>9.6534051080475539E-2</v>
      </c>
      <c r="S531" s="39">
        <f>SUM(S528:S530)</f>
        <v>458181.62</v>
      </c>
      <c r="T531" s="40">
        <f>IFERROR(S531/$P531,0)</f>
        <v>0.27172404018023938</v>
      </c>
      <c r="U531" s="39">
        <f>SUM(U528:U530)</f>
        <v>0</v>
      </c>
      <c r="V531" s="40">
        <f>IFERROR(U531/$P531,0)</f>
        <v>0</v>
      </c>
      <c r="W531" s="39">
        <f>SUM(W528:W530)</f>
        <v>0</v>
      </c>
      <c r="X531" s="40">
        <f>IFERROR(W531/$P531,0)</f>
        <v>0</v>
      </c>
      <c r="Y531" s="39">
        <f>SUM(Y528:Y530)</f>
        <v>626228</v>
      </c>
      <c r="Z531" s="39">
        <f>SUM(Z528:Z530)</f>
        <v>665170</v>
      </c>
    </row>
    <row r="533" spans="1:26" ht="13.9" customHeight="1" x14ac:dyDescent="0.25">
      <c r="D533" s="41" t="s">
        <v>271</v>
      </c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2"/>
      <c r="S533" s="41"/>
      <c r="T533" s="42"/>
      <c r="U533" s="41"/>
      <c r="V533" s="42"/>
      <c r="W533" s="41"/>
      <c r="X533" s="42"/>
      <c r="Y533" s="41"/>
      <c r="Z533" s="41"/>
    </row>
    <row r="534" spans="1:26" ht="13.9" customHeight="1" x14ac:dyDescent="0.25">
      <c r="D534" s="149"/>
      <c r="E534" s="21"/>
      <c r="F534" s="21"/>
      <c r="G534" s="21" t="s">
        <v>1</v>
      </c>
      <c r="H534" s="21" t="s">
        <v>2</v>
      </c>
      <c r="I534" s="21" t="s">
        <v>3</v>
      </c>
      <c r="J534" s="21" t="s">
        <v>4</v>
      </c>
      <c r="K534" s="21" t="s">
        <v>5</v>
      </c>
      <c r="L534" s="21" t="s">
        <v>6</v>
      </c>
      <c r="M534" s="21" t="s">
        <v>7</v>
      </c>
      <c r="N534" s="21" t="s">
        <v>8</v>
      </c>
      <c r="O534" s="21" t="s">
        <v>9</v>
      </c>
      <c r="P534" s="21" t="s">
        <v>124</v>
      </c>
      <c r="Q534" s="21" t="s">
        <v>11</v>
      </c>
      <c r="R534" s="22" t="s">
        <v>12</v>
      </c>
      <c r="S534" s="21" t="s">
        <v>13</v>
      </c>
      <c r="T534" s="22" t="s">
        <v>14</v>
      </c>
      <c r="U534" s="21" t="s">
        <v>15</v>
      </c>
      <c r="V534" s="22" t="s">
        <v>16</v>
      </c>
      <c r="W534" s="21" t="s">
        <v>17</v>
      </c>
      <c r="X534" s="22" t="s">
        <v>18</v>
      </c>
      <c r="Y534" s="21" t="s">
        <v>19</v>
      </c>
      <c r="Z534" s="21" t="s">
        <v>20</v>
      </c>
    </row>
    <row r="535" spans="1:26" ht="13.9" customHeight="1" x14ac:dyDescent="0.25">
      <c r="A535" s="15">
        <v>8</v>
      </c>
      <c r="B535" s="15">
        <v>1</v>
      </c>
      <c r="D535" s="43" t="s">
        <v>21</v>
      </c>
      <c r="E535" s="24">
        <v>41</v>
      </c>
      <c r="F535" s="24" t="s">
        <v>23</v>
      </c>
      <c r="G535" s="25">
        <f t="shared" ref="G535:Q535" si="263">SUM(G539)</f>
        <v>3862.5</v>
      </c>
      <c r="H535" s="25">
        <f t="shared" si="263"/>
        <v>0</v>
      </c>
      <c r="I535" s="25">
        <f t="shared" si="263"/>
        <v>0</v>
      </c>
      <c r="J535" s="25">
        <f t="shared" si="263"/>
        <v>0</v>
      </c>
      <c r="K535" s="25">
        <f t="shared" si="263"/>
        <v>0</v>
      </c>
      <c r="L535" s="25">
        <f t="shared" si="263"/>
        <v>0</v>
      </c>
      <c r="M535" s="25">
        <f t="shared" si="263"/>
        <v>1174</v>
      </c>
      <c r="N535" s="25">
        <f t="shared" si="263"/>
        <v>0</v>
      </c>
      <c r="O535" s="25">
        <f t="shared" si="263"/>
        <v>0</v>
      </c>
      <c r="P535" s="25">
        <f t="shared" si="263"/>
        <v>1174</v>
      </c>
      <c r="Q535" s="25">
        <f t="shared" si="263"/>
        <v>0</v>
      </c>
      <c r="R535" s="26">
        <f>IFERROR(Q535/$P535,0)</f>
        <v>0</v>
      </c>
      <c r="S535" s="25">
        <f>SUM(S539)</f>
        <v>0</v>
      </c>
      <c r="T535" s="26">
        <f>IFERROR(S535/$P535,0)</f>
        <v>0</v>
      </c>
      <c r="U535" s="25">
        <f>SUM(U539)</f>
        <v>0</v>
      </c>
      <c r="V535" s="26">
        <f>IFERROR(U535/$P535,0)</f>
        <v>0</v>
      </c>
      <c r="W535" s="25">
        <f>SUM(W539)</f>
        <v>0</v>
      </c>
      <c r="X535" s="26">
        <f>IFERROR(W535/$P535,0)</f>
        <v>0</v>
      </c>
      <c r="Y535" s="25">
        <f>SUM(Y539)</f>
        <v>0</v>
      </c>
      <c r="Z535" s="25">
        <f>SUM(Z539)</f>
        <v>0</v>
      </c>
    </row>
    <row r="536" spans="1:26" ht="13.9" customHeight="1" x14ac:dyDescent="0.25">
      <c r="A536" s="15">
        <v>8</v>
      </c>
      <c r="B536" s="15">
        <v>1</v>
      </c>
      <c r="D536" s="30"/>
      <c r="E536" s="31"/>
      <c r="F536" s="27" t="s">
        <v>127</v>
      </c>
      <c r="G536" s="28">
        <f t="shared" ref="G536:Q536" si="264">SUM(G535)</f>
        <v>3862.5</v>
      </c>
      <c r="H536" s="28">
        <f t="shared" si="264"/>
        <v>0</v>
      </c>
      <c r="I536" s="28">
        <f t="shared" si="264"/>
        <v>0</v>
      </c>
      <c r="J536" s="28">
        <f t="shared" si="264"/>
        <v>0</v>
      </c>
      <c r="K536" s="28">
        <f t="shared" si="264"/>
        <v>0</v>
      </c>
      <c r="L536" s="28">
        <f t="shared" si="264"/>
        <v>0</v>
      </c>
      <c r="M536" s="28">
        <f t="shared" si="264"/>
        <v>1174</v>
      </c>
      <c r="N536" s="28">
        <f t="shared" si="264"/>
        <v>0</v>
      </c>
      <c r="O536" s="28">
        <f t="shared" si="264"/>
        <v>0</v>
      </c>
      <c r="P536" s="28">
        <f t="shared" si="264"/>
        <v>1174</v>
      </c>
      <c r="Q536" s="28">
        <f t="shared" si="264"/>
        <v>0</v>
      </c>
      <c r="R536" s="29">
        <f>IFERROR(Q536/$P536,0)</f>
        <v>0</v>
      </c>
      <c r="S536" s="28">
        <f>SUM(S535)</f>
        <v>0</v>
      </c>
      <c r="T536" s="29">
        <f>IFERROR(S536/$P536,0)</f>
        <v>0</v>
      </c>
      <c r="U536" s="28">
        <f>SUM(U535)</f>
        <v>0</v>
      </c>
      <c r="V536" s="29">
        <f>IFERROR(U536/$P536,0)</f>
        <v>0</v>
      </c>
      <c r="W536" s="28">
        <f>SUM(W535)</f>
        <v>0</v>
      </c>
      <c r="X536" s="29">
        <f>IFERROR(W536/$P536,0)</f>
        <v>0</v>
      </c>
      <c r="Y536" s="28">
        <f>SUM(Y535)</f>
        <v>0</v>
      </c>
      <c r="Z536" s="28">
        <f>SUM(Z535)</f>
        <v>0</v>
      </c>
    </row>
    <row r="538" spans="1:26" ht="13.9" customHeight="1" x14ac:dyDescent="0.25">
      <c r="D538" s="15" t="s">
        <v>55</v>
      </c>
    </row>
    <row r="539" spans="1:26" ht="13.9" customHeight="1" x14ac:dyDescent="0.25">
      <c r="D539" s="43" t="s">
        <v>272</v>
      </c>
      <c r="E539" s="116" t="s">
        <v>273</v>
      </c>
      <c r="F539" s="129"/>
      <c r="G539" s="130">
        <v>3862.5</v>
      </c>
      <c r="H539" s="130"/>
      <c r="I539" s="130"/>
      <c r="J539" s="130"/>
      <c r="K539" s="130">
        <v>0</v>
      </c>
      <c r="L539" s="130"/>
      <c r="M539" s="130">
        <v>1174</v>
      </c>
      <c r="N539" s="130"/>
      <c r="O539" s="130"/>
      <c r="P539" s="130">
        <f>K539+SUM(L539:O539)</f>
        <v>1174</v>
      </c>
      <c r="Q539" s="130">
        <v>0</v>
      </c>
      <c r="R539" s="131">
        <f>IFERROR(Q539/$P539,0)</f>
        <v>0</v>
      </c>
      <c r="S539" s="130">
        <v>0</v>
      </c>
      <c r="T539" s="131">
        <f>IFERROR(S539/$P539,0)</f>
        <v>0</v>
      </c>
      <c r="U539" s="130"/>
      <c r="V539" s="131">
        <f>IFERROR(U539/$P539,0)</f>
        <v>0</v>
      </c>
      <c r="W539" s="130"/>
      <c r="X539" s="132">
        <f>IFERROR(W539/$P539,0)</f>
        <v>0</v>
      </c>
      <c r="Y539" s="130">
        <v>0</v>
      </c>
      <c r="Z539" s="133">
        <v>0</v>
      </c>
    </row>
    <row r="541" spans="1:26" ht="13.9" customHeight="1" x14ac:dyDescent="0.25">
      <c r="D541" s="41" t="s">
        <v>274</v>
      </c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2"/>
      <c r="S541" s="41"/>
      <c r="T541" s="42"/>
      <c r="U541" s="41"/>
      <c r="V541" s="42"/>
      <c r="W541" s="41"/>
      <c r="X541" s="42"/>
      <c r="Y541" s="41"/>
      <c r="Z541" s="41"/>
    </row>
    <row r="542" spans="1:26" ht="13.9" customHeight="1" x14ac:dyDescent="0.25">
      <c r="D542" s="149"/>
      <c r="E542" s="21"/>
      <c r="F542" s="21"/>
      <c r="G542" s="21" t="s">
        <v>1</v>
      </c>
      <c r="H542" s="21" t="s">
        <v>2</v>
      </c>
      <c r="I542" s="21" t="s">
        <v>3</v>
      </c>
      <c r="J542" s="21" t="s">
        <v>4</v>
      </c>
      <c r="K542" s="21" t="s">
        <v>5</v>
      </c>
      <c r="L542" s="21" t="s">
        <v>6</v>
      </c>
      <c r="M542" s="21" t="s">
        <v>7</v>
      </c>
      <c r="N542" s="21" t="s">
        <v>8</v>
      </c>
      <c r="O542" s="21" t="s">
        <v>9</v>
      </c>
      <c r="P542" s="21" t="s">
        <v>124</v>
      </c>
      <c r="Q542" s="21" t="s">
        <v>11</v>
      </c>
      <c r="R542" s="22" t="s">
        <v>12</v>
      </c>
      <c r="S542" s="21" t="s">
        <v>13</v>
      </c>
      <c r="T542" s="22" t="s">
        <v>14</v>
      </c>
      <c r="U542" s="21" t="s">
        <v>15</v>
      </c>
      <c r="V542" s="22" t="s">
        <v>16</v>
      </c>
      <c r="W542" s="21" t="s">
        <v>17</v>
      </c>
      <c r="X542" s="22" t="s">
        <v>18</v>
      </c>
      <c r="Y542" s="21" t="s">
        <v>19</v>
      </c>
      <c r="Z542" s="21" t="s">
        <v>20</v>
      </c>
    </row>
    <row r="543" spans="1:26" ht="13.9" customHeight="1" x14ac:dyDescent="0.25">
      <c r="A543" s="15">
        <v>8</v>
      </c>
      <c r="B543" s="15">
        <v>2</v>
      </c>
      <c r="D543" s="1" t="s">
        <v>21</v>
      </c>
      <c r="E543" s="24">
        <v>111</v>
      </c>
      <c r="F543" s="24" t="s">
        <v>137</v>
      </c>
      <c r="G543" s="25">
        <f>10884.4+160778.08+18915.08</f>
        <v>190577.56</v>
      </c>
      <c r="H543" s="25">
        <v>0</v>
      </c>
      <c r="I543" s="25">
        <f>250000+304000</f>
        <v>554000</v>
      </c>
      <c r="J543" s="25">
        <v>199376</v>
      </c>
      <c r="K543" s="25">
        <v>138109</v>
      </c>
      <c r="L543" s="25"/>
      <c r="M543" s="25">
        <v>14000</v>
      </c>
      <c r="N543" s="25"/>
      <c r="O543" s="25"/>
      <c r="P543" s="25">
        <f>K543+SUM(L543:O543)</f>
        <v>152109</v>
      </c>
      <c r="Q543" s="25">
        <v>0</v>
      </c>
      <c r="R543" s="26">
        <f>IFERROR(Q543/$P543,0)</f>
        <v>0</v>
      </c>
      <c r="S543" s="25">
        <v>0</v>
      </c>
      <c r="T543" s="26">
        <f>IFERROR(S543/$P543,0)</f>
        <v>0</v>
      </c>
      <c r="U543" s="25">
        <v>0</v>
      </c>
      <c r="V543" s="26">
        <f>IFERROR(U543/$P543,0)</f>
        <v>0</v>
      </c>
      <c r="W543" s="25">
        <v>0</v>
      </c>
      <c r="X543" s="26">
        <f>IFERROR(W543/$P543,0)</f>
        <v>0</v>
      </c>
      <c r="Y543" s="25">
        <v>0</v>
      </c>
      <c r="Z543" s="25">
        <v>0</v>
      </c>
    </row>
    <row r="544" spans="1:26" ht="13.9" hidden="1" customHeight="1" x14ac:dyDescent="0.25">
      <c r="A544" s="15">
        <v>8</v>
      </c>
      <c r="B544" s="15">
        <v>2</v>
      </c>
      <c r="D544" s="1" t="s">
        <v>21</v>
      </c>
      <c r="E544" s="24">
        <v>41</v>
      </c>
      <c r="F544" s="24" t="s">
        <v>23</v>
      </c>
      <c r="G544" s="25">
        <f t="shared" ref="G544:Q544" si="265">SUM(G548:G556)-G543</f>
        <v>123299.20000000001</v>
      </c>
      <c r="H544" s="25">
        <f t="shared" si="265"/>
        <v>96423.43</v>
      </c>
      <c r="I544" s="25">
        <f t="shared" si="265"/>
        <v>30000</v>
      </c>
      <c r="J544" s="25">
        <f t="shared" si="265"/>
        <v>20437</v>
      </c>
      <c r="K544" s="25">
        <f t="shared" si="265"/>
        <v>0</v>
      </c>
      <c r="L544" s="25">
        <f t="shared" si="265"/>
        <v>0</v>
      </c>
      <c r="M544" s="25">
        <f t="shared" si="265"/>
        <v>0</v>
      </c>
      <c r="N544" s="25">
        <f t="shared" si="265"/>
        <v>0</v>
      </c>
      <c r="O544" s="25">
        <f t="shared" si="265"/>
        <v>0</v>
      </c>
      <c r="P544" s="25">
        <f t="shared" si="265"/>
        <v>0</v>
      </c>
      <c r="Q544" s="25">
        <f t="shared" si="265"/>
        <v>0</v>
      </c>
      <c r="R544" s="26">
        <f>IFERROR(Q544/$P544,0)</f>
        <v>0</v>
      </c>
      <c r="S544" s="25">
        <f>SUM(S548:S556)-S543</f>
        <v>0</v>
      </c>
      <c r="T544" s="26">
        <f>IFERROR(S544/$P544,0)</f>
        <v>0</v>
      </c>
      <c r="U544" s="25">
        <f>SUM(U548:U556)-U543</f>
        <v>0</v>
      </c>
      <c r="V544" s="26">
        <f>IFERROR(U544/$P544,0)</f>
        <v>0</v>
      </c>
      <c r="W544" s="25">
        <f>SUM(W548:W556)-W543</f>
        <v>0</v>
      </c>
      <c r="X544" s="26">
        <f>IFERROR(W544/$P544,0)</f>
        <v>0</v>
      </c>
      <c r="Y544" s="25">
        <f>SUM(Y548:Y556)-Y543</f>
        <v>0</v>
      </c>
      <c r="Z544" s="25">
        <f>SUM(Z548:Z556)-Z543</f>
        <v>0</v>
      </c>
    </row>
    <row r="545" spans="1:28" ht="13.9" customHeight="1" x14ac:dyDescent="0.25">
      <c r="A545" s="15">
        <v>8</v>
      </c>
      <c r="B545" s="15">
        <v>2</v>
      </c>
      <c r="D545" s="30"/>
      <c r="E545" s="31"/>
      <c r="F545" s="27" t="s">
        <v>127</v>
      </c>
      <c r="G545" s="28">
        <f t="shared" ref="G545:Q545" si="266">SUM(G543:G544)</f>
        <v>313876.76</v>
      </c>
      <c r="H545" s="28">
        <f t="shared" si="266"/>
        <v>96423.43</v>
      </c>
      <c r="I545" s="28">
        <f t="shared" si="266"/>
        <v>584000</v>
      </c>
      <c r="J545" s="28">
        <f t="shared" si="266"/>
        <v>219813</v>
      </c>
      <c r="K545" s="28">
        <f t="shared" si="266"/>
        <v>138109</v>
      </c>
      <c r="L545" s="28">
        <f t="shared" si="266"/>
        <v>0</v>
      </c>
      <c r="M545" s="28">
        <f t="shared" si="266"/>
        <v>14000</v>
      </c>
      <c r="N545" s="28">
        <f t="shared" si="266"/>
        <v>0</v>
      </c>
      <c r="O545" s="28">
        <f t="shared" si="266"/>
        <v>0</v>
      </c>
      <c r="P545" s="28">
        <f t="shared" si="266"/>
        <v>152109</v>
      </c>
      <c r="Q545" s="28">
        <f t="shared" si="266"/>
        <v>0</v>
      </c>
      <c r="R545" s="29">
        <f>IFERROR(Q545/$P545,0)</f>
        <v>0</v>
      </c>
      <c r="S545" s="28">
        <f>SUM(S543:S544)</f>
        <v>0</v>
      </c>
      <c r="T545" s="29">
        <f>IFERROR(S545/$P545,0)</f>
        <v>0</v>
      </c>
      <c r="U545" s="28">
        <f>SUM(U543:U544)</f>
        <v>0</v>
      </c>
      <c r="V545" s="29">
        <f>IFERROR(U545/$P545,0)</f>
        <v>0</v>
      </c>
      <c r="W545" s="28">
        <f>SUM(W543:W544)</f>
        <v>0</v>
      </c>
      <c r="X545" s="29">
        <f>IFERROR(W545/$P545,0)</f>
        <v>0</v>
      </c>
      <c r="Y545" s="28">
        <f>SUM(Y543:Y544)</f>
        <v>0</v>
      </c>
      <c r="Z545" s="28">
        <f>SUM(Z543:Z544)</f>
        <v>0</v>
      </c>
    </row>
    <row r="547" spans="1:28" ht="13.9" customHeight="1" x14ac:dyDescent="0.25">
      <c r="D547" s="15" t="s">
        <v>55</v>
      </c>
    </row>
    <row r="548" spans="1:28" ht="13.9" hidden="1" customHeight="1" x14ac:dyDescent="0.25">
      <c r="D548" s="151" t="s">
        <v>275</v>
      </c>
      <c r="E548" s="52" t="s">
        <v>276</v>
      </c>
      <c r="F548" s="30"/>
      <c r="G548" s="53"/>
      <c r="H548" s="53">
        <v>90521.43</v>
      </c>
      <c r="I548" s="53"/>
      <c r="J548" s="53"/>
      <c r="K548" s="53"/>
      <c r="L548" s="53"/>
      <c r="M548" s="53"/>
      <c r="N548" s="53"/>
      <c r="O548" s="53"/>
      <c r="P548" s="53">
        <f t="shared" ref="P548:P556" si="267">K548+SUM(L548:O548)</f>
        <v>0</v>
      </c>
      <c r="Q548" s="53"/>
      <c r="R548" s="54">
        <f t="shared" ref="R548:R556" si="268">IFERROR(Q548/$P548,0)</f>
        <v>0</v>
      </c>
      <c r="S548" s="53"/>
      <c r="T548" s="54">
        <f t="shared" ref="T548:T556" si="269">IFERROR(S548/$P548,0)</f>
        <v>0</v>
      </c>
      <c r="U548" s="53"/>
      <c r="V548" s="54">
        <f t="shared" ref="V548:V556" si="270">IFERROR(U548/$P548,0)</f>
        <v>0</v>
      </c>
      <c r="W548" s="53"/>
      <c r="X548" s="55">
        <f t="shared" ref="X548:X556" si="271">IFERROR(W548/$P548,0)</f>
        <v>0</v>
      </c>
      <c r="Y548" s="53"/>
      <c r="Z548" s="56"/>
    </row>
    <row r="549" spans="1:28" ht="13.9" hidden="1" customHeight="1" x14ac:dyDescent="0.25">
      <c r="D549" s="152"/>
      <c r="E549" s="57" t="s">
        <v>277</v>
      </c>
      <c r="F549" s="92"/>
      <c r="G549" s="95">
        <v>189150.68</v>
      </c>
      <c r="H549" s="95"/>
      <c r="I549" s="95"/>
      <c r="J549" s="95"/>
      <c r="K549" s="95"/>
      <c r="L549" s="95"/>
      <c r="M549" s="95"/>
      <c r="N549" s="95"/>
      <c r="O549" s="95"/>
      <c r="P549" s="95">
        <f t="shared" si="267"/>
        <v>0</v>
      </c>
      <c r="Q549" s="95"/>
      <c r="R549" s="96">
        <f t="shared" si="268"/>
        <v>0</v>
      </c>
      <c r="S549" s="95"/>
      <c r="T549" s="96">
        <f t="shared" si="269"/>
        <v>0</v>
      </c>
      <c r="U549" s="95"/>
      <c r="V549" s="96">
        <f t="shared" si="270"/>
        <v>0</v>
      </c>
      <c r="W549" s="95"/>
      <c r="X549" s="60">
        <f t="shared" si="271"/>
        <v>0</v>
      </c>
      <c r="Y549" s="95"/>
      <c r="Z549" s="61"/>
    </row>
    <row r="550" spans="1:28" ht="13.9" hidden="1" customHeight="1" x14ac:dyDescent="0.25">
      <c r="D550" s="153"/>
      <c r="E550" s="154" t="s">
        <v>278</v>
      </c>
      <c r="F550" s="92"/>
      <c r="G550" s="95">
        <v>89115.6</v>
      </c>
      <c r="H550" s="95"/>
      <c r="I550" s="95"/>
      <c r="J550" s="95"/>
      <c r="K550" s="95"/>
      <c r="L550" s="95"/>
      <c r="M550" s="95"/>
      <c r="N550" s="95"/>
      <c r="O550" s="95"/>
      <c r="P550" s="95">
        <f t="shared" si="267"/>
        <v>0</v>
      </c>
      <c r="Q550" s="95"/>
      <c r="R550" s="96">
        <f t="shared" si="268"/>
        <v>0</v>
      </c>
      <c r="S550" s="95"/>
      <c r="T550" s="96">
        <f t="shared" si="269"/>
        <v>0</v>
      </c>
      <c r="U550" s="95"/>
      <c r="V550" s="96">
        <f t="shared" si="270"/>
        <v>0</v>
      </c>
      <c r="W550" s="95"/>
      <c r="X550" s="60">
        <f t="shared" si="271"/>
        <v>0</v>
      </c>
      <c r="Y550" s="95"/>
      <c r="Z550" s="61"/>
      <c r="AB550"/>
    </row>
    <row r="551" spans="1:28" ht="13.9" hidden="1" customHeight="1" x14ac:dyDescent="0.25">
      <c r="D551" s="57"/>
      <c r="E551" s="154" t="s">
        <v>279</v>
      </c>
      <c r="F551" s="92"/>
      <c r="G551" s="95">
        <v>35610.480000000003</v>
      </c>
      <c r="H551" s="95"/>
      <c r="I551" s="95"/>
      <c r="J551" s="95"/>
      <c r="K551" s="95"/>
      <c r="L551" s="95"/>
      <c r="M551" s="95"/>
      <c r="N551" s="95"/>
      <c r="O551" s="95"/>
      <c r="P551" s="95">
        <f t="shared" si="267"/>
        <v>0</v>
      </c>
      <c r="Q551" s="95"/>
      <c r="R551" s="96">
        <f t="shared" si="268"/>
        <v>0</v>
      </c>
      <c r="S551" s="95"/>
      <c r="T551" s="96">
        <f t="shared" si="269"/>
        <v>0</v>
      </c>
      <c r="U551" s="95"/>
      <c r="V551" s="96">
        <f t="shared" si="270"/>
        <v>0</v>
      </c>
      <c r="W551" s="95"/>
      <c r="X551" s="60">
        <f t="shared" si="271"/>
        <v>0</v>
      </c>
      <c r="Y551" s="95"/>
      <c r="Z551" s="61"/>
    </row>
    <row r="552" spans="1:28" ht="13.9" hidden="1" customHeight="1" x14ac:dyDescent="0.25">
      <c r="D552" s="57"/>
      <c r="E552" s="154" t="s">
        <v>280</v>
      </c>
      <c r="F552" s="92"/>
      <c r="G552" s="95"/>
      <c r="H552" s="95">
        <v>4368</v>
      </c>
      <c r="I552" s="95"/>
      <c r="J552" s="95"/>
      <c r="K552" s="95"/>
      <c r="L552" s="95"/>
      <c r="M552" s="95"/>
      <c r="N552" s="95"/>
      <c r="O552" s="95"/>
      <c r="P552" s="95">
        <f t="shared" si="267"/>
        <v>0</v>
      </c>
      <c r="Q552" s="95"/>
      <c r="R552" s="96">
        <f t="shared" si="268"/>
        <v>0</v>
      </c>
      <c r="S552" s="95"/>
      <c r="T552" s="96">
        <f t="shared" si="269"/>
        <v>0</v>
      </c>
      <c r="U552" s="95"/>
      <c r="V552" s="96">
        <f t="shared" si="270"/>
        <v>0</v>
      </c>
      <c r="W552" s="95"/>
      <c r="X552" s="60">
        <f t="shared" si="271"/>
        <v>0</v>
      </c>
      <c r="Y552" s="95"/>
      <c r="Z552" s="61"/>
    </row>
    <row r="553" spans="1:28" ht="13.9" hidden="1" customHeight="1" x14ac:dyDescent="0.25">
      <c r="D553" s="57"/>
      <c r="E553" s="154" t="s">
        <v>281</v>
      </c>
      <c r="F553" s="92"/>
      <c r="G553" s="95"/>
      <c r="H553" s="95">
        <v>958</v>
      </c>
      <c r="I553" s="95">
        <v>320000</v>
      </c>
      <c r="J553" s="95"/>
      <c r="K553" s="95"/>
      <c r="L553" s="95"/>
      <c r="M553" s="95"/>
      <c r="N553" s="95"/>
      <c r="O553" s="95"/>
      <c r="P553" s="95">
        <f t="shared" si="267"/>
        <v>0</v>
      </c>
      <c r="Q553" s="95"/>
      <c r="R553" s="96">
        <f t="shared" si="268"/>
        <v>0</v>
      </c>
      <c r="S553" s="95"/>
      <c r="T553" s="96">
        <f t="shared" si="269"/>
        <v>0</v>
      </c>
      <c r="U553" s="95"/>
      <c r="V553" s="96">
        <f t="shared" si="270"/>
        <v>0</v>
      </c>
      <c r="W553" s="95"/>
      <c r="X553" s="60">
        <f t="shared" si="271"/>
        <v>0</v>
      </c>
      <c r="Y553" s="95"/>
      <c r="Z553" s="61"/>
    </row>
    <row r="554" spans="1:28" ht="13.9" customHeight="1" x14ac:dyDescent="0.25">
      <c r="D554" s="182" t="s">
        <v>275</v>
      </c>
      <c r="E554" s="155" t="s">
        <v>282</v>
      </c>
      <c r="F554" s="81"/>
      <c r="G554" s="82"/>
      <c r="H554" s="82">
        <v>432</v>
      </c>
      <c r="I554" s="82"/>
      <c r="J554" s="82"/>
      <c r="K554" s="82"/>
      <c r="L554" s="82"/>
      <c r="M554" s="82">
        <v>14000</v>
      </c>
      <c r="N554" s="82"/>
      <c r="O554" s="82"/>
      <c r="P554" s="82">
        <f t="shared" si="267"/>
        <v>14000</v>
      </c>
      <c r="Q554" s="82">
        <v>0</v>
      </c>
      <c r="R554" s="156">
        <f t="shared" si="268"/>
        <v>0</v>
      </c>
      <c r="S554" s="82">
        <v>0</v>
      </c>
      <c r="T554" s="156">
        <f t="shared" si="269"/>
        <v>0</v>
      </c>
      <c r="U554" s="82"/>
      <c r="V554" s="156">
        <f t="shared" si="270"/>
        <v>0</v>
      </c>
      <c r="W554" s="82"/>
      <c r="X554" s="157">
        <f t="shared" si="271"/>
        <v>0</v>
      </c>
      <c r="Y554" s="82"/>
      <c r="Z554" s="83"/>
    </row>
    <row r="555" spans="1:28" ht="13.9" hidden="1" customHeight="1" x14ac:dyDescent="0.25">
      <c r="D555" s="182"/>
      <c r="E555" s="155" t="s">
        <v>283</v>
      </c>
      <c r="F555" s="81"/>
      <c r="G555" s="82"/>
      <c r="H555" s="82"/>
      <c r="I555" s="82">
        <v>264000</v>
      </c>
      <c r="J555" s="82">
        <v>219413</v>
      </c>
      <c r="K555" s="82"/>
      <c r="L555" s="82"/>
      <c r="M555" s="82"/>
      <c r="N555" s="82"/>
      <c r="O555" s="82"/>
      <c r="P555" s="82">
        <f t="shared" si="267"/>
        <v>0</v>
      </c>
      <c r="Q555" s="82"/>
      <c r="R555" s="156">
        <f t="shared" si="268"/>
        <v>0</v>
      </c>
      <c r="S555" s="82"/>
      <c r="T555" s="156">
        <f t="shared" si="269"/>
        <v>0</v>
      </c>
      <c r="U555" s="82"/>
      <c r="V555" s="156">
        <f t="shared" si="270"/>
        <v>0</v>
      </c>
      <c r="W555" s="82"/>
      <c r="X555" s="157">
        <f t="shared" si="271"/>
        <v>0</v>
      </c>
      <c r="Y555" s="82"/>
      <c r="Z555" s="83"/>
    </row>
    <row r="556" spans="1:28" ht="13.9" customHeight="1" x14ac:dyDescent="0.25">
      <c r="D556" s="182"/>
      <c r="E556" s="155" t="s">
        <v>284</v>
      </c>
      <c r="F556" s="81"/>
      <c r="G556" s="82"/>
      <c r="H556" s="82">
        <v>144</v>
      </c>
      <c r="I556" s="82">
        <v>0</v>
      </c>
      <c r="J556" s="82">
        <v>400</v>
      </c>
      <c r="K556" s="82">
        <v>138109</v>
      </c>
      <c r="L556" s="82"/>
      <c r="M556" s="82"/>
      <c r="N556" s="82"/>
      <c r="O556" s="82"/>
      <c r="P556" s="82">
        <f t="shared" si="267"/>
        <v>138109</v>
      </c>
      <c r="Q556" s="82">
        <v>0</v>
      </c>
      <c r="R556" s="156">
        <f t="shared" si="268"/>
        <v>0</v>
      </c>
      <c r="S556" s="82">
        <v>0</v>
      </c>
      <c r="T556" s="156">
        <f t="shared" si="269"/>
        <v>0</v>
      </c>
      <c r="U556" s="82"/>
      <c r="V556" s="156">
        <f t="shared" si="270"/>
        <v>0</v>
      </c>
      <c r="W556" s="82"/>
      <c r="X556" s="157">
        <f t="shared" si="271"/>
        <v>0</v>
      </c>
      <c r="Y556" s="82"/>
      <c r="Z556" s="83"/>
    </row>
    <row r="558" spans="1:28" ht="13.9" customHeight="1" x14ac:dyDescent="0.25">
      <c r="D558" s="41" t="s">
        <v>285</v>
      </c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2"/>
      <c r="S558" s="41"/>
      <c r="T558" s="42"/>
      <c r="U558" s="41"/>
      <c r="V558" s="42"/>
      <c r="W558" s="41"/>
      <c r="X558" s="42"/>
      <c r="Y558" s="41"/>
      <c r="Z558" s="41"/>
    </row>
    <row r="559" spans="1:28" ht="13.9" customHeight="1" x14ac:dyDescent="0.25">
      <c r="D559" s="149"/>
      <c r="E559" s="21"/>
      <c r="F559" s="21"/>
      <c r="G559" s="21" t="s">
        <v>1</v>
      </c>
      <c r="H559" s="21" t="s">
        <v>2</v>
      </c>
      <c r="I559" s="21" t="s">
        <v>3</v>
      </c>
      <c r="J559" s="21" t="s">
        <v>4</v>
      </c>
      <c r="K559" s="21" t="s">
        <v>5</v>
      </c>
      <c r="L559" s="21" t="s">
        <v>6</v>
      </c>
      <c r="M559" s="21" t="s">
        <v>7</v>
      </c>
      <c r="N559" s="21" t="s">
        <v>8</v>
      </c>
      <c r="O559" s="21" t="s">
        <v>9</v>
      </c>
      <c r="P559" s="21" t="s">
        <v>124</v>
      </c>
      <c r="Q559" s="21" t="s">
        <v>11</v>
      </c>
      <c r="R559" s="22" t="s">
        <v>12</v>
      </c>
      <c r="S559" s="21" t="s">
        <v>13</v>
      </c>
      <c r="T559" s="22" t="s">
        <v>14</v>
      </c>
      <c r="U559" s="21" t="s">
        <v>15</v>
      </c>
      <c r="V559" s="22" t="s">
        <v>16</v>
      </c>
      <c r="W559" s="21" t="s">
        <v>17</v>
      </c>
      <c r="X559" s="22" t="s">
        <v>18</v>
      </c>
      <c r="Y559" s="21" t="s">
        <v>19</v>
      </c>
      <c r="Z559" s="21" t="s">
        <v>20</v>
      </c>
    </row>
    <row r="560" spans="1:28" ht="13.9" customHeight="1" x14ac:dyDescent="0.25">
      <c r="A560" s="15">
        <v>8</v>
      </c>
      <c r="B560" s="15">
        <v>3</v>
      </c>
      <c r="D560" s="150" t="s">
        <v>21</v>
      </c>
      <c r="E560" s="24">
        <v>41</v>
      </c>
      <c r="F560" s="24" t="s">
        <v>23</v>
      </c>
      <c r="G560" s="25">
        <f t="shared" ref="G560:Q560" si="272">SUM(G564:G568)</f>
        <v>425261.19</v>
      </c>
      <c r="H560" s="25">
        <f t="shared" si="272"/>
        <v>203327.19</v>
      </c>
      <c r="I560" s="25">
        <f t="shared" si="272"/>
        <v>190000</v>
      </c>
      <c r="J560" s="25">
        <f t="shared" si="272"/>
        <v>173301</v>
      </c>
      <c r="K560" s="25">
        <f t="shared" si="272"/>
        <v>300000</v>
      </c>
      <c r="L560" s="25">
        <f t="shared" si="272"/>
        <v>0</v>
      </c>
      <c r="M560" s="25">
        <f t="shared" si="272"/>
        <v>0</v>
      </c>
      <c r="N560" s="25">
        <f t="shared" si="272"/>
        <v>0</v>
      </c>
      <c r="O560" s="25">
        <f t="shared" si="272"/>
        <v>0</v>
      </c>
      <c r="P560" s="25">
        <f t="shared" si="272"/>
        <v>300000</v>
      </c>
      <c r="Q560" s="25">
        <f t="shared" si="272"/>
        <v>246</v>
      </c>
      <c r="R560" s="26">
        <f>IFERROR(Q560/$P560,0)</f>
        <v>8.1999999999999998E-4</v>
      </c>
      <c r="S560" s="25">
        <f>SUM(S564:S568)</f>
        <v>246</v>
      </c>
      <c r="T560" s="26">
        <f>IFERROR(S560/$P560,0)</f>
        <v>8.1999999999999998E-4</v>
      </c>
      <c r="U560" s="25">
        <f>SUM(U564:U568)</f>
        <v>0</v>
      </c>
      <c r="V560" s="26">
        <f>IFERROR(U560/$P560,0)</f>
        <v>0</v>
      </c>
      <c r="W560" s="25">
        <f>SUM(W564:W568)</f>
        <v>0</v>
      </c>
      <c r="X560" s="26">
        <f>IFERROR(W560/$P560,0)</f>
        <v>0</v>
      </c>
      <c r="Y560" s="25">
        <f>SUM(Y564:Y568)</f>
        <v>626228</v>
      </c>
      <c r="Z560" s="25">
        <f>SUM(Z564:Z568)</f>
        <v>0</v>
      </c>
    </row>
    <row r="561" spans="1:26" ht="13.9" customHeight="1" x14ac:dyDescent="0.25">
      <c r="A561" s="15">
        <v>8</v>
      </c>
      <c r="B561" s="15">
        <v>3</v>
      </c>
      <c r="D561" s="30"/>
      <c r="E561" s="31"/>
      <c r="F561" s="27" t="s">
        <v>127</v>
      </c>
      <c r="G561" s="28">
        <f t="shared" ref="G561:Q561" si="273">SUM(G560)</f>
        <v>425261.19</v>
      </c>
      <c r="H561" s="28">
        <f t="shared" si="273"/>
        <v>203327.19</v>
      </c>
      <c r="I561" s="28">
        <f t="shared" si="273"/>
        <v>190000</v>
      </c>
      <c r="J561" s="28">
        <f t="shared" si="273"/>
        <v>173301</v>
      </c>
      <c r="K561" s="28">
        <f t="shared" si="273"/>
        <v>300000</v>
      </c>
      <c r="L561" s="28">
        <f t="shared" si="273"/>
        <v>0</v>
      </c>
      <c r="M561" s="28">
        <f t="shared" si="273"/>
        <v>0</v>
      </c>
      <c r="N561" s="28">
        <f t="shared" si="273"/>
        <v>0</v>
      </c>
      <c r="O561" s="28">
        <f t="shared" si="273"/>
        <v>0</v>
      </c>
      <c r="P561" s="28">
        <f t="shared" si="273"/>
        <v>300000</v>
      </c>
      <c r="Q561" s="28">
        <f t="shared" si="273"/>
        <v>246</v>
      </c>
      <c r="R561" s="29">
        <f>IFERROR(Q561/$P561,0)</f>
        <v>8.1999999999999998E-4</v>
      </c>
      <c r="S561" s="28">
        <f>SUM(S560)</f>
        <v>246</v>
      </c>
      <c r="T561" s="29">
        <f>IFERROR(S561/$P561,0)</f>
        <v>8.1999999999999998E-4</v>
      </c>
      <c r="U561" s="28">
        <f>SUM(U560)</f>
        <v>0</v>
      </c>
      <c r="V561" s="29">
        <f>IFERROR(U561/$P561,0)</f>
        <v>0</v>
      </c>
      <c r="W561" s="28">
        <f>SUM(W560)</f>
        <v>0</v>
      </c>
      <c r="X561" s="29">
        <f>IFERROR(W561/$P561,0)</f>
        <v>0</v>
      </c>
      <c r="Y561" s="28">
        <f>SUM(Y560)</f>
        <v>626228</v>
      </c>
      <c r="Z561" s="28">
        <f>SUM(Z560)</f>
        <v>0</v>
      </c>
    </row>
    <row r="563" spans="1:26" ht="13.9" customHeight="1" x14ac:dyDescent="0.25">
      <c r="D563" s="15" t="s">
        <v>55</v>
      </c>
    </row>
    <row r="564" spans="1:26" ht="13.9" hidden="1" customHeight="1" x14ac:dyDescent="0.25">
      <c r="D564" s="13" t="s">
        <v>286</v>
      </c>
      <c r="E564" s="52" t="s">
        <v>287</v>
      </c>
      <c r="F564" s="30"/>
      <c r="G564" s="53"/>
      <c r="H564" s="53"/>
      <c r="I564" s="53"/>
      <c r="J564" s="53"/>
      <c r="K564" s="53"/>
      <c r="L564" s="53"/>
      <c r="M564" s="53"/>
      <c r="N564" s="53"/>
      <c r="O564" s="53"/>
      <c r="P564" s="53">
        <f>K564+SUM(L564:O564)</f>
        <v>0</v>
      </c>
      <c r="Q564" s="53"/>
      <c r="R564" s="54">
        <f>IFERROR(Q564/$P564,0)</f>
        <v>0</v>
      </c>
      <c r="S564" s="53"/>
      <c r="T564" s="54">
        <f>IFERROR(S564/$P564,0)</f>
        <v>0</v>
      </c>
      <c r="U564" s="53"/>
      <c r="V564" s="54">
        <f>IFERROR(U564/$P564,0)</f>
        <v>0</v>
      </c>
      <c r="W564" s="53"/>
      <c r="X564" s="55">
        <f>IFERROR(W564/$P564,0)</f>
        <v>0</v>
      </c>
      <c r="Y564" s="53">
        <v>626228</v>
      </c>
      <c r="Z564" s="56"/>
    </row>
    <row r="565" spans="1:26" ht="13.9" hidden="1" customHeight="1" x14ac:dyDescent="0.25">
      <c r="D565" s="13"/>
      <c r="E565" s="57" t="s">
        <v>288</v>
      </c>
      <c r="F565" s="92"/>
      <c r="G565" s="95"/>
      <c r="H565" s="95"/>
      <c r="I565" s="95"/>
      <c r="J565" s="95"/>
      <c r="K565" s="95"/>
      <c r="L565" s="95"/>
      <c r="M565" s="95"/>
      <c r="N565" s="95"/>
      <c r="O565" s="95"/>
      <c r="P565" s="95">
        <f>K565+SUM(L565:O565)</f>
        <v>0</v>
      </c>
      <c r="Q565" s="95"/>
      <c r="R565" s="96">
        <f>IFERROR(Q565/$P565,0)</f>
        <v>0</v>
      </c>
      <c r="S565" s="95"/>
      <c r="T565" s="96">
        <f>IFERROR(S565/$P565,0)</f>
        <v>0</v>
      </c>
      <c r="U565" s="95"/>
      <c r="V565" s="96">
        <f>IFERROR(U565/$P565,0)</f>
        <v>0</v>
      </c>
      <c r="W565" s="95"/>
      <c r="X565" s="60">
        <f>IFERROR(W565/$P565,0)</f>
        <v>0</v>
      </c>
      <c r="Y565" s="95"/>
      <c r="Z565" s="61"/>
    </row>
    <row r="566" spans="1:26" ht="13.9" hidden="1" customHeight="1" x14ac:dyDescent="0.25">
      <c r="D566" s="13"/>
      <c r="E566" s="57" t="s">
        <v>289</v>
      </c>
      <c r="F566" s="92"/>
      <c r="G566" s="95"/>
      <c r="H566" s="95">
        <v>8090</v>
      </c>
      <c r="I566" s="95"/>
      <c r="J566" s="95"/>
      <c r="K566" s="95"/>
      <c r="L566" s="95"/>
      <c r="M566" s="95"/>
      <c r="N566" s="95"/>
      <c r="O566" s="95"/>
      <c r="P566" s="95">
        <f>K566+SUM(L566:O566)</f>
        <v>0</v>
      </c>
      <c r="Q566" s="95"/>
      <c r="R566" s="96">
        <f>IFERROR(Q566/$P566,0)</f>
        <v>0</v>
      </c>
      <c r="S566" s="95"/>
      <c r="T566" s="96">
        <f>IFERROR(S566/$P566,0)</f>
        <v>0</v>
      </c>
      <c r="U566" s="95"/>
      <c r="V566" s="96">
        <f>IFERROR(U566/$P566,0)</f>
        <v>0</v>
      </c>
      <c r="W566" s="95"/>
      <c r="X566" s="60">
        <f>IFERROR(W566/$P566,0)</f>
        <v>0</v>
      </c>
      <c r="Y566" s="95"/>
      <c r="Z566" s="61"/>
    </row>
    <row r="567" spans="1:26" ht="13.9" customHeight="1" x14ac:dyDescent="0.25">
      <c r="D567" s="13"/>
      <c r="E567" s="158" t="s">
        <v>290</v>
      </c>
      <c r="F567" s="81"/>
      <c r="G567" s="82">
        <v>425261.19</v>
      </c>
      <c r="H567" s="82">
        <v>195237.19</v>
      </c>
      <c r="I567" s="82">
        <v>190000</v>
      </c>
      <c r="J567" s="82">
        <v>173301</v>
      </c>
      <c r="K567" s="82">
        <v>300000</v>
      </c>
      <c r="L567" s="82"/>
      <c r="M567" s="82"/>
      <c r="N567" s="82"/>
      <c r="O567" s="82"/>
      <c r="P567" s="82">
        <f>K567+SUM(L567:O567)</f>
        <v>300000</v>
      </c>
      <c r="Q567" s="82">
        <v>246</v>
      </c>
      <c r="R567" s="156">
        <f>IFERROR(Q567/$P567,0)</f>
        <v>8.1999999999999998E-4</v>
      </c>
      <c r="S567" s="82">
        <v>246</v>
      </c>
      <c r="T567" s="156">
        <f>IFERROR(S567/$P567,0)</f>
        <v>8.1999999999999998E-4</v>
      </c>
      <c r="U567" s="82"/>
      <c r="V567" s="156">
        <f>IFERROR(U567/$P567,0)</f>
        <v>0</v>
      </c>
      <c r="W567" s="82"/>
      <c r="X567" s="157">
        <f>IFERROR(W567/$P567,0)</f>
        <v>0</v>
      </c>
      <c r="Y567" s="95"/>
      <c r="Z567" s="61"/>
    </row>
    <row r="568" spans="1:26" ht="13.9" hidden="1" customHeight="1" x14ac:dyDescent="0.25">
      <c r="D568" s="13"/>
      <c r="E568" s="65" t="s">
        <v>291</v>
      </c>
      <c r="F568" s="97"/>
      <c r="G568" s="67"/>
      <c r="H568" s="67"/>
      <c r="I568" s="67"/>
      <c r="J568" s="67"/>
      <c r="K568" s="67"/>
      <c r="L568" s="67"/>
      <c r="M568" s="67"/>
      <c r="N568" s="67"/>
      <c r="O568" s="67"/>
      <c r="P568" s="67">
        <f>K568+SUM(L568:O568)</f>
        <v>0</v>
      </c>
      <c r="Q568" s="67"/>
      <c r="R568" s="68">
        <f>IFERROR(Q568/$P568,0)</f>
        <v>0</v>
      </c>
      <c r="S568" s="67"/>
      <c r="T568" s="68">
        <f>IFERROR(S568/$P568,0)</f>
        <v>0</v>
      </c>
      <c r="U568" s="67"/>
      <c r="V568" s="68">
        <f>IFERROR(U568/$P568,0)</f>
        <v>0</v>
      </c>
      <c r="W568" s="67"/>
      <c r="X568" s="69">
        <f>IFERROR(W568/$P568,0)</f>
        <v>0</v>
      </c>
      <c r="Y568" s="120"/>
      <c r="Z568" s="70"/>
    </row>
    <row r="570" spans="1:26" ht="13.9" customHeight="1" x14ac:dyDescent="0.25">
      <c r="D570" s="41" t="s">
        <v>292</v>
      </c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2"/>
      <c r="S570" s="41"/>
      <c r="T570" s="42"/>
      <c r="U570" s="41"/>
      <c r="V570" s="42"/>
      <c r="W570" s="41"/>
      <c r="X570" s="42"/>
      <c r="Y570" s="41"/>
      <c r="Z570" s="41"/>
    </row>
    <row r="571" spans="1:26" ht="13.9" customHeight="1" x14ac:dyDescent="0.25">
      <c r="D571" s="149"/>
      <c r="E571" s="21"/>
      <c r="F571" s="21"/>
      <c r="G571" s="21" t="s">
        <v>1</v>
      </c>
      <c r="H571" s="21" t="s">
        <v>2</v>
      </c>
      <c r="I571" s="21" t="s">
        <v>3</v>
      </c>
      <c r="J571" s="21" t="s">
        <v>4</v>
      </c>
      <c r="K571" s="21" t="s">
        <v>5</v>
      </c>
      <c r="L571" s="21" t="s">
        <v>6</v>
      </c>
      <c r="M571" s="21" t="s">
        <v>7</v>
      </c>
      <c r="N571" s="21" t="s">
        <v>8</v>
      </c>
      <c r="O571" s="21" t="s">
        <v>9</v>
      </c>
      <c r="P571" s="21" t="s">
        <v>124</v>
      </c>
      <c r="Q571" s="21" t="s">
        <v>11</v>
      </c>
      <c r="R571" s="22" t="s">
        <v>12</v>
      </c>
      <c r="S571" s="21" t="s">
        <v>13</v>
      </c>
      <c r="T571" s="22" t="s">
        <v>14</v>
      </c>
      <c r="U571" s="21" t="s">
        <v>15</v>
      </c>
      <c r="V571" s="22" t="s">
        <v>16</v>
      </c>
      <c r="W571" s="21" t="s">
        <v>17</v>
      </c>
      <c r="X571" s="22" t="s">
        <v>18</v>
      </c>
      <c r="Y571" s="21" t="s">
        <v>19</v>
      </c>
      <c r="Z571" s="21" t="s">
        <v>20</v>
      </c>
    </row>
    <row r="572" spans="1:26" ht="13.9" customHeight="1" x14ac:dyDescent="0.25">
      <c r="D572" s="13" t="s">
        <v>21</v>
      </c>
      <c r="E572" s="24">
        <v>111</v>
      </c>
      <c r="F572" s="24" t="s">
        <v>45</v>
      </c>
      <c r="G572" s="25">
        <v>0</v>
      </c>
      <c r="H572" s="25">
        <v>0</v>
      </c>
      <c r="I572" s="25">
        <v>0</v>
      </c>
      <c r="J572" s="25">
        <v>0</v>
      </c>
      <c r="K572" s="25">
        <f>14850+409438</f>
        <v>424288</v>
      </c>
      <c r="L572" s="25">
        <v>0</v>
      </c>
      <c r="M572" s="25">
        <v>0</v>
      </c>
      <c r="N572" s="25">
        <v>0</v>
      </c>
      <c r="O572" s="25">
        <v>0</v>
      </c>
      <c r="P572" s="25">
        <f>SUM(K572:O572)</f>
        <v>424288</v>
      </c>
      <c r="Q572" s="25">
        <v>0</v>
      </c>
      <c r="R572" s="26">
        <f>IFERROR(Q572/$P572,0)</f>
        <v>0</v>
      </c>
      <c r="S572" s="25">
        <v>14850</v>
      </c>
      <c r="T572" s="26">
        <f>IFERROR(S572/$P572,0)</f>
        <v>3.499981144882721E-2</v>
      </c>
      <c r="U572" s="25">
        <v>0</v>
      </c>
      <c r="V572" s="26">
        <f>IFERROR(U572/$P572,0)</f>
        <v>0</v>
      </c>
      <c r="W572" s="25">
        <v>0</v>
      </c>
      <c r="X572" s="26">
        <f>IFERROR(W572/$P572,0)</f>
        <v>0</v>
      </c>
      <c r="Y572" s="25">
        <v>0</v>
      </c>
      <c r="Z572" s="25">
        <v>0</v>
      </c>
    </row>
    <row r="573" spans="1:26" ht="13.9" customHeight="1" x14ac:dyDescent="0.25">
      <c r="D573" s="13"/>
      <c r="E573" s="24">
        <v>41</v>
      </c>
      <c r="F573" s="24" t="s">
        <v>23</v>
      </c>
      <c r="G573" s="25">
        <f t="shared" ref="G573:Q573" si="274">SUM(G577:G580)-G572</f>
        <v>0</v>
      </c>
      <c r="H573" s="25">
        <f t="shared" si="274"/>
        <v>0</v>
      </c>
      <c r="I573" s="25">
        <f t="shared" si="274"/>
        <v>52500</v>
      </c>
      <c r="J573" s="25">
        <f t="shared" si="274"/>
        <v>18427</v>
      </c>
      <c r="K573" s="25">
        <f t="shared" si="274"/>
        <v>46254</v>
      </c>
      <c r="L573" s="25">
        <f t="shared" si="274"/>
        <v>7323</v>
      </c>
      <c r="M573" s="25">
        <f t="shared" si="274"/>
        <v>0</v>
      </c>
      <c r="N573" s="25">
        <f t="shared" si="274"/>
        <v>0</v>
      </c>
      <c r="O573" s="25">
        <f t="shared" si="274"/>
        <v>0</v>
      </c>
      <c r="P573" s="25">
        <f t="shared" si="274"/>
        <v>53577</v>
      </c>
      <c r="Q573" s="25">
        <f t="shared" si="274"/>
        <v>0</v>
      </c>
      <c r="R573" s="26">
        <f>IFERROR(Q573/$P573,0)</f>
        <v>0</v>
      </c>
      <c r="S573" s="25">
        <f>SUM(S577:S580)-S572</f>
        <v>7972.98</v>
      </c>
      <c r="T573" s="26">
        <f>IFERROR(S573/$P573,0)</f>
        <v>0.14881348339772663</v>
      </c>
      <c r="U573" s="25">
        <f>SUM(U577:U580)-U572</f>
        <v>0</v>
      </c>
      <c r="V573" s="26">
        <f>IFERROR(U573/$P573,0)</f>
        <v>0</v>
      </c>
      <c r="W573" s="25">
        <f>SUM(W577:W580)-W572</f>
        <v>0</v>
      </c>
      <c r="X573" s="26">
        <f>IFERROR(W573/$P573,0)</f>
        <v>0</v>
      </c>
      <c r="Y573" s="25">
        <f>SUM(Y577:Y580)-Y572</f>
        <v>0</v>
      </c>
      <c r="Z573" s="25">
        <f>SUM(Z577:Z580)-Z572</f>
        <v>0</v>
      </c>
    </row>
    <row r="574" spans="1:26" ht="13.9" customHeight="1" x14ac:dyDescent="0.25">
      <c r="D574" s="30"/>
      <c r="E574" s="31"/>
      <c r="F574" s="27" t="s">
        <v>127</v>
      </c>
      <c r="G574" s="28">
        <f t="shared" ref="G574:Q574" si="275">SUM(G572:G573)</f>
        <v>0</v>
      </c>
      <c r="H574" s="28">
        <f t="shared" si="275"/>
        <v>0</v>
      </c>
      <c r="I574" s="28">
        <f t="shared" si="275"/>
        <v>52500</v>
      </c>
      <c r="J574" s="28">
        <f t="shared" si="275"/>
        <v>18427</v>
      </c>
      <c r="K574" s="28">
        <f t="shared" si="275"/>
        <v>470542</v>
      </c>
      <c r="L574" s="28">
        <f t="shared" si="275"/>
        <v>7323</v>
      </c>
      <c r="M574" s="28">
        <f t="shared" si="275"/>
        <v>0</v>
      </c>
      <c r="N574" s="28">
        <f t="shared" si="275"/>
        <v>0</v>
      </c>
      <c r="O574" s="28">
        <f t="shared" si="275"/>
        <v>0</v>
      </c>
      <c r="P574" s="28">
        <f t="shared" si="275"/>
        <v>477865</v>
      </c>
      <c r="Q574" s="28">
        <f t="shared" si="275"/>
        <v>0</v>
      </c>
      <c r="R574" s="29">
        <f>IFERROR(Q574/$P574,0)</f>
        <v>0</v>
      </c>
      <c r="S574" s="28">
        <f>SUM(S572:S573)</f>
        <v>22822.98</v>
      </c>
      <c r="T574" s="29">
        <f>IFERROR(S574/$P574,0)</f>
        <v>4.7760308873845123E-2</v>
      </c>
      <c r="U574" s="28">
        <f>SUM(U572:U573)</f>
        <v>0</v>
      </c>
      <c r="V574" s="29">
        <f>IFERROR(U574/$P574,0)</f>
        <v>0</v>
      </c>
      <c r="W574" s="28">
        <f>SUM(W572:W573)</f>
        <v>0</v>
      </c>
      <c r="X574" s="29">
        <f>IFERROR(W574/$P574,0)</f>
        <v>0</v>
      </c>
      <c r="Y574" s="28">
        <f>SUM(Y572:Y573)</f>
        <v>0</v>
      </c>
      <c r="Z574" s="28">
        <f>SUM(Z572:Z573)</f>
        <v>0</v>
      </c>
    </row>
    <row r="576" spans="1:26" ht="13.9" customHeight="1" x14ac:dyDescent="0.25">
      <c r="D576" s="15" t="s">
        <v>55</v>
      </c>
    </row>
    <row r="577" spans="1:26" ht="13.9" customHeight="1" x14ac:dyDescent="0.25">
      <c r="D577" s="13" t="s">
        <v>293</v>
      </c>
      <c r="E577" s="52" t="s">
        <v>294</v>
      </c>
      <c r="F577" s="30"/>
      <c r="G577" s="118"/>
      <c r="H577" s="118"/>
      <c r="I577" s="118">
        <v>2500</v>
      </c>
      <c r="J577" s="118">
        <v>0</v>
      </c>
      <c r="K577" s="118">
        <v>15500</v>
      </c>
      <c r="L577" s="118">
        <v>7323</v>
      </c>
      <c r="M577" s="118"/>
      <c r="N577" s="118"/>
      <c r="O577" s="118"/>
      <c r="P577" s="118">
        <f>K577+SUM(L577:O577)</f>
        <v>22823</v>
      </c>
      <c r="Q577" s="118">
        <v>0</v>
      </c>
      <c r="R577" s="124">
        <f>IFERROR(Q577/$P577,0)</f>
        <v>0</v>
      </c>
      <c r="S577" s="118">
        <v>22822.98</v>
      </c>
      <c r="T577" s="124">
        <f>IFERROR(S577/$P577,0)</f>
        <v>0.9999991236910134</v>
      </c>
      <c r="U577" s="118"/>
      <c r="V577" s="124">
        <f>IFERROR(U577/$P577,0)</f>
        <v>0</v>
      </c>
      <c r="W577" s="118"/>
      <c r="X577" s="125">
        <f>IFERROR(W577/$P577,0)</f>
        <v>0</v>
      </c>
      <c r="Y577" s="53"/>
      <c r="Z577" s="56"/>
    </row>
    <row r="578" spans="1:26" ht="13.9" customHeight="1" x14ac:dyDescent="0.25">
      <c r="D578" s="13"/>
      <c r="E578" s="57" t="s">
        <v>295</v>
      </c>
      <c r="F578" s="92"/>
      <c r="G578" s="95"/>
      <c r="H578" s="95"/>
      <c r="I578" s="95">
        <v>40000</v>
      </c>
      <c r="J578" s="95">
        <v>0</v>
      </c>
      <c r="K578" s="95">
        <v>445042</v>
      </c>
      <c r="L578" s="95"/>
      <c r="M578" s="95"/>
      <c r="N578" s="95"/>
      <c r="O578" s="95"/>
      <c r="P578" s="95">
        <f>K578+SUM(L578:O578)</f>
        <v>445042</v>
      </c>
      <c r="Q578" s="95">
        <v>0</v>
      </c>
      <c r="R578" s="96">
        <f>IFERROR(Q578/$P578,0)</f>
        <v>0</v>
      </c>
      <c r="S578" s="95">
        <v>0</v>
      </c>
      <c r="T578" s="96">
        <f>IFERROR(S578/$P578,0)</f>
        <v>0</v>
      </c>
      <c r="U578" s="95"/>
      <c r="V578" s="96">
        <f>IFERROR(U578/$P578,0)</f>
        <v>0</v>
      </c>
      <c r="W578" s="95"/>
      <c r="X578" s="60">
        <f>IFERROR(W578/$P578,0)</f>
        <v>0</v>
      </c>
      <c r="Y578" s="95"/>
      <c r="Z578" s="61"/>
    </row>
    <row r="579" spans="1:26" ht="13.9" hidden="1" customHeight="1" x14ac:dyDescent="0.25">
      <c r="D579" s="13"/>
      <c r="E579" s="65" t="s">
        <v>296</v>
      </c>
      <c r="F579" s="97"/>
      <c r="G579" s="67"/>
      <c r="H579" s="67"/>
      <c r="I579" s="67">
        <v>0</v>
      </c>
      <c r="J579" s="67">
        <v>11088</v>
      </c>
      <c r="K579" s="67"/>
      <c r="L579" s="67"/>
      <c r="M579" s="67"/>
      <c r="N579" s="67"/>
      <c r="O579" s="67"/>
      <c r="P579" s="67">
        <f>K579+SUM(L579:O579)</f>
        <v>0</v>
      </c>
      <c r="Q579" s="67"/>
      <c r="R579" s="68">
        <f>IFERROR(Q579/$P579,0)</f>
        <v>0</v>
      </c>
      <c r="S579" s="67"/>
      <c r="T579" s="68">
        <f>IFERROR(S579/$P579,0)</f>
        <v>0</v>
      </c>
      <c r="U579" s="67"/>
      <c r="V579" s="68">
        <f>IFERROR(U579/$P579,0)</f>
        <v>0</v>
      </c>
      <c r="W579" s="67"/>
      <c r="X579" s="69">
        <f>IFERROR(W579/$P579,0)</f>
        <v>0</v>
      </c>
      <c r="Y579" s="67"/>
      <c r="Z579" s="70"/>
    </row>
    <row r="580" spans="1:26" ht="13.9" customHeight="1" x14ac:dyDescent="0.25">
      <c r="D580" s="43" t="s">
        <v>297</v>
      </c>
      <c r="E580" s="116" t="s">
        <v>298</v>
      </c>
      <c r="F580" s="129"/>
      <c r="G580" s="159"/>
      <c r="H580" s="159"/>
      <c r="I580" s="159">
        <v>10000</v>
      </c>
      <c r="J580" s="159">
        <v>7339</v>
      </c>
      <c r="K580" s="159">
        <v>10000</v>
      </c>
      <c r="L580" s="159"/>
      <c r="M580" s="159"/>
      <c r="N580" s="159"/>
      <c r="O580" s="159"/>
      <c r="P580" s="159">
        <f>K580+SUM(L580:O580)</f>
        <v>10000</v>
      </c>
      <c r="Q580" s="159">
        <v>0</v>
      </c>
      <c r="R580" s="160">
        <f>IFERROR(Q580/$P580,0)</f>
        <v>0</v>
      </c>
      <c r="S580" s="159">
        <v>0</v>
      </c>
      <c r="T580" s="160">
        <f>IFERROR(S580/$P580,0)</f>
        <v>0</v>
      </c>
      <c r="U580" s="159"/>
      <c r="V580" s="160">
        <f>IFERROR(U580/$P580,0)</f>
        <v>0</v>
      </c>
      <c r="W580" s="159"/>
      <c r="X580" s="161">
        <f>IFERROR(W580/$P580,0)</f>
        <v>0</v>
      </c>
      <c r="Y580" s="130"/>
      <c r="Z580" s="133"/>
    </row>
    <row r="582" spans="1:26" ht="13.9" customHeight="1" x14ac:dyDescent="0.25">
      <c r="D582" s="41" t="s">
        <v>299</v>
      </c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2"/>
      <c r="S582" s="41"/>
      <c r="T582" s="42"/>
      <c r="U582" s="41"/>
      <c r="V582" s="42"/>
      <c r="W582" s="41"/>
      <c r="X582" s="42"/>
      <c r="Y582" s="41"/>
      <c r="Z582" s="41"/>
    </row>
    <row r="583" spans="1:26" ht="13.9" customHeight="1" x14ac:dyDescent="0.25">
      <c r="D583" s="149"/>
      <c r="E583" s="21"/>
      <c r="F583" s="21"/>
      <c r="G583" s="21" t="s">
        <v>1</v>
      </c>
      <c r="H583" s="21" t="s">
        <v>2</v>
      </c>
      <c r="I583" s="21" t="s">
        <v>3</v>
      </c>
      <c r="J583" s="21" t="s">
        <v>4</v>
      </c>
      <c r="K583" s="21" t="s">
        <v>5</v>
      </c>
      <c r="L583" s="21" t="s">
        <v>6</v>
      </c>
      <c r="M583" s="21" t="s">
        <v>7</v>
      </c>
      <c r="N583" s="21" t="s">
        <v>8</v>
      </c>
      <c r="O583" s="21" t="s">
        <v>9</v>
      </c>
      <c r="P583" s="21" t="s">
        <v>124</v>
      </c>
      <c r="Q583" s="21" t="s">
        <v>11</v>
      </c>
      <c r="R583" s="22" t="s">
        <v>12</v>
      </c>
      <c r="S583" s="21" t="s">
        <v>13</v>
      </c>
      <c r="T583" s="22" t="s">
        <v>14</v>
      </c>
      <c r="U583" s="21" t="s">
        <v>15</v>
      </c>
      <c r="V583" s="22" t="s">
        <v>16</v>
      </c>
      <c r="W583" s="21" t="s">
        <v>17</v>
      </c>
      <c r="X583" s="22" t="s">
        <v>18</v>
      </c>
      <c r="Y583" s="21" t="s">
        <v>19</v>
      </c>
      <c r="Z583" s="21" t="s">
        <v>20</v>
      </c>
    </row>
    <row r="584" spans="1:26" ht="13.9" hidden="1" customHeight="1" x14ac:dyDescent="0.25">
      <c r="A584" s="15">
        <v>8</v>
      </c>
      <c r="B584" s="15">
        <v>5</v>
      </c>
      <c r="D584" s="13" t="s">
        <v>21</v>
      </c>
      <c r="E584" s="24">
        <v>111</v>
      </c>
      <c r="F584" s="24" t="s">
        <v>45</v>
      </c>
      <c r="G584" s="25">
        <v>0</v>
      </c>
      <c r="H584" s="25">
        <v>150933.32999999999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6">
        <f>IFERROR(Q584/$P584,0)</f>
        <v>0</v>
      </c>
      <c r="S584" s="25">
        <v>0</v>
      </c>
      <c r="T584" s="26">
        <f>IFERROR(S584/$P584,0)</f>
        <v>0</v>
      </c>
      <c r="U584" s="25">
        <v>0</v>
      </c>
      <c r="V584" s="26">
        <f>IFERROR(U584/$P584,0)</f>
        <v>0</v>
      </c>
      <c r="W584" s="25">
        <v>0</v>
      </c>
      <c r="X584" s="26">
        <f>IFERROR(W584/$P584,0)</f>
        <v>0</v>
      </c>
      <c r="Y584" s="25">
        <v>0</v>
      </c>
      <c r="Z584" s="25">
        <v>0</v>
      </c>
    </row>
    <row r="585" spans="1:26" ht="13.9" customHeight="1" x14ac:dyDescent="0.25">
      <c r="A585" s="15">
        <v>8</v>
      </c>
      <c r="B585" s="15">
        <v>5</v>
      </c>
      <c r="D585" s="13"/>
      <c r="E585" s="24">
        <v>41</v>
      </c>
      <c r="F585" s="24" t="s">
        <v>23</v>
      </c>
      <c r="G585" s="25">
        <f t="shared" ref="G585:Q585" si="276">SUM(G589:G595)-G584</f>
        <v>167391.96000000002</v>
      </c>
      <c r="H585" s="25">
        <f t="shared" si="276"/>
        <v>198304.02</v>
      </c>
      <c r="I585" s="25">
        <f t="shared" si="276"/>
        <v>178000</v>
      </c>
      <c r="J585" s="25">
        <f t="shared" si="276"/>
        <v>140076</v>
      </c>
      <c r="K585" s="25">
        <f t="shared" si="276"/>
        <v>276202</v>
      </c>
      <c r="L585" s="25">
        <f t="shared" si="276"/>
        <v>-7323</v>
      </c>
      <c r="M585" s="25">
        <f t="shared" si="276"/>
        <v>0</v>
      </c>
      <c r="N585" s="25">
        <f t="shared" si="276"/>
        <v>0</v>
      </c>
      <c r="O585" s="25">
        <f t="shared" si="276"/>
        <v>0</v>
      </c>
      <c r="P585" s="25">
        <f t="shared" si="276"/>
        <v>268879</v>
      </c>
      <c r="Q585" s="25">
        <f t="shared" si="276"/>
        <v>0</v>
      </c>
      <c r="R585" s="26">
        <f>IFERROR(Q585/$P585,0)</f>
        <v>0</v>
      </c>
      <c r="S585" s="25">
        <f>SUM(S589:S595)-S584</f>
        <v>0</v>
      </c>
      <c r="T585" s="26">
        <f>IFERROR(S585/$P585,0)</f>
        <v>0</v>
      </c>
      <c r="U585" s="25">
        <f>SUM(U589:U595)-U584</f>
        <v>0</v>
      </c>
      <c r="V585" s="26">
        <f>IFERROR(U585/$P585,0)</f>
        <v>0</v>
      </c>
      <c r="W585" s="25">
        <f>SUM(W589:W595)-W584</f>
        <v>0</v>
      </c>
      <c r="X585" s="26">
        <f>IFERROR(W585/$P585,0)</f>
        <v>0</v>
      </c>
      <c r="Y585" s="25">
        <f>SUM(Y589:Y595)</f>
        <v>0</v>
      </c>
      <c r="Z585" s="25">
        <f>SUM(Z589:Z595)</f>
        <v>665170</v>
      </c>
    </row>
    <row r="586" spans="1:26" ht="13.9" customHeight="1" x14ac:dyDescent="0.25">
      <c r="A586" s="15">
        <v>8</v>
      </c>
      <c r="B586" s="15">
        <v>5</v>
      </c>
      <c r="D586" s="30"/>
      <c r="E586" s="31"/>
      <c r="F586" s="27" t="s">
        <v>127</v>
      </c>
      <c r="G586" s="28">
        <f t="shared" ref="G586:Q586" si="277">SUM(G584:G585)</f>
        <v>167391.96000000002</v>
      </c>
      <c r="H586" s="28">
        <f t="shared" si="277"/>
        <v>349237.35</v>
      </c>
      <c r="I586" s="28">
        <f t="shared" si="277"/>
        <v>178000</v>
      </c>
      <c r="J586" s="28">
        <f t="shared" si="277"/>
        <v>140076</v>
      </c>
      <c r="K586" s="28">
        <f t="shared" si="277"/>
        <v>276202</v>
      </c>
      <c r="L586" s="28">
        <f t="shared" si="277"/>
        <v>-7323</v>
      </c>
      <c r="M586" s="28">
        <f t="shared" si="277"/>
        <v>0</v>
      </c>
      <c r="N586" s="28">
        <f t="shared" si="277"/>
        <v>0</v>
      </c>
      <c r="O586" s="28">
        <f t="shared" si="277"/>
        <v>0</v>
      </c>
      <c r="P586" s="28">
        <f t="shared" si="277"/>
        <v>268879</v>
      </c>
      <c r="Q586" s="28">
        <f t="shared" si="277"/>
        <v>0</v>
      </c>
      <c r="R586" s="29">
        <f>IFERROR(Q586/$P586,0)</f>
        <v>0</v>
      </c>
      <c r="S586" s="28">
        <f>SUM(S584:S585)</f>
        <v>0</v>
      </c>
      <c r="T586" s="29">
        <f>IFERROR(S586/$P586,0)</f>
        <v>0</v>
      </c>
      <c r="U586" s="28">
        <f>SUM(U584:U585)</f>
        <v>0</v>
      </c>
      <c r="V586" s="29">
        <f>IFERROR(U586/$P586,0)</f>
        <v>0</v>
      </c>
      <c r="W586" s="28">
        <f>SUM(W584:W585)</f>
        <v>0</v>
      </c>
      <c r="X586" s="29">
        <f>IFERROR(W586/$P586,0)</f>
        <v>0</v>
      </c>
      <c r="Y586" s="28">
        <f>SUM(Y584:Y585)</f>
        <v>0</v>
      </c>
      <c r="Z586" s="28">
        <f>SUM(Z584:Z585)</f>
        <v>665170</v>
      </c>
    </row>
    <row r="588" spans="1:26" ht="13.9" customHeight="1" x14ac:dyDescent="0.25">
      <c r="D588" s="15" t="s">
        <v>55</v>
      </c>
    </row>
    <row r="589" spans="1:26" ht="13.9" customHeight="1" x14ac:dyDescent="0.25">
      <c r="D589" s="43" t="s">
        <v>300</v>
      </c>
      <c r="E589" s="116" t="s">
        <v>301</v>
      </c>
      <c r="F589" s="129"/>
      <c r="G589" s="159">
        <v>112331.32</v>
      </c>
      <c r="H589" s="159">
        <v>128332.54</v>
      </c>
      <c r="I589" s="159">
        <v>178000</v>
      </c>
      <c r="J589" s="159">
        <v>129939</v>
      </c>
      <c r="K589" s="159">
        <f>126202+príjmy!H140</f>
        <v>276202</v>
      </c>
      <c r="L589" s="159">
        <v>-7323</v>
      </c>
      <c r="M589" s="159"/>
      <c r="N589" s="159"/>
      <c r="O589" s="159"/>
      <c r="P589" s="159">
        <f t="shared" ref="P589:P595" si="278">K589+SUM(L589:O589)</f>
        <v>268879</v>
      </c>
      <c r="Q589" s="159">
        <v>0</v>
      </c>
      <c r="R589" s="160">
        <f t="shared" ref="R589:R595" si="279">IFERROR(Q589/$P589,0)</f>
        <v>0</v>
      </c>
      <c r="S589" s="159">
        <v>0</v>
      </c>
      <c r="T589" s="160">
        <f t="shared" ref="T589:T595" si="280">IFERROR(S589/$P589,0)</f>
        <v>0</v>
      </c>
      <c r="U589" s="159"/>
      <c r="V589" s="160">
        <f t="shared" ref="V589:V595" si="281">IFERROR(U589/$P589,0)</f>
        <v>0</v>
      </c>
      <c r="W589" s="159"/>
      <c r="X589" s="161">
        <f t="shared" ref="X589:X595" si="282">IFERROR(W589/$P589,0)</f>
        <v>0</v>
      </c>
      <c r="Y589" s="130"/>
      <c r="Z589" s="133"/>
    </row>
    <row r="590" spans="1:26" ht="13.9" hidden="1" customHeight="1" x14ac:dyDescent="0.25">
      <c r="D590" s="13" t="s">
        <v>302</v>
      </c>
      <c r="E590" s="52" t="s">
        <v>303</v>
      </c>
      <c r="F590" s="30"/>
      <c r="G590" s="53">
        <v>1800</v>
      </c>
      <c r="H590" s="53">
        <v>2604</v>
      </c>
      <c r="I590" s="53"/>
      <c r="J590" s="53"/>
      <c r="K590" s="53"/>
      <c r="L590" s="53"/>
      <c r="M590" s="53"/>
      <c r="N590" s="53"/>
      <c r="O590" s="53"/>
      <c r="P590" s="53">
        <f t="shared" si="278"/>
        <v>0</v>
      </c>
      <c r="Q590" s="53"/>
      <c r="R590" s="54">
        <f t="shared" si="279"/>
        <v>0</v>
      </c>
      <c r="S590" s="53"/>
      <c r="T590" s="54">
        <f t="shared" si="280"/>
        <v>0</v>
      </c>
      <c r="U590" s="53"/>
      <c r="V590" s="54">
        <f t="shared" si="281"/>
        <v>0</v>
      </c>
      <c r="W590" s="53"/>
      <c r="X590" s="55">
        <f t="shared" si="282"/>
        <v>0</v>
      </c>
      <c r="Y590" s="53"/>
      <c r="Z590" s="56"/>
    </row>
    <row r="591" spans="1:26" ht="13.9" hidden="1" customHeight="1" x14ac:dyDescent="0.25">
      <c r="D591" s="13"/>
      <c r="E591" s="57" t="s">
        <v>304</v>
      </c>
      <c r="F591" s="92"/>
      <c r="G591" s="95"/>
      <c r="H591" s="95"/>
      <c r="I591" s="95"/>
      <c r="J591" s="95"/>
      <c r="K591" s="95"/>
      <c r="L591" s="95"/>
      <c r="M591" s="95"/>
      <c r="N591" s="95"/>
      <c r="O591" s="95"/>
      <c r="P591" s="95">
        <f t="shared" si="278"/>
        <v>0</v>
      </c>
      <c r="Q591" s="95"/>
      <c r="R591" s="96">
        <f t="shared" si="279"/>
        <v>0</v>
      </c>
      <c r="S591" s="95"/>
      <c r="T591" s="96">
        <f t="shared" si="280"/>
        <v>0</v>
      </c>
      <c r="U591" s="95"/>
      <c r="V591" s="96">
        <f t="shared" si="281"/>
        <v>0</v>
      </c>
      <c r="W591" s="95"/>
      <c r="X591" s="60">
        <f t="shared" si="282"/>
        <v>0</v>
      </c>
      <c r="Y591" s="95"/>
      <c r="Z591" s="162">
        <v>665170</v>
      </c>
    </row>
    <row r="592" spans="1:26" ht="13.9" hidden="1" customHeight="1" x14ac:dyDescent="0.25">
      <c r="D592" s="13"/>
      <c r="E592" s="57" t="s">
        <v>305</v>
      </c>
      <c r="F592" s="92"/>
      <c r="G592" s="95">
        <v>500</v>
      </c>
      <c r="H592" s="95">
        <v>162238.46</v>
      </c>
      <c r="I592" s="93"/>
      <c r="J592" s="95"/>
      <c r="K592" s="93"/>
      <c r="L592" s="95"/>
      <c r="M592" s="95"/>
      <c r="N592" s="95"/>
      <c r="O592" s="95"/>
      <c r="P592" s="95">
        <f t="shared" si="278"/>
        <v>0</v>
      </c>
      <c r="Q592" s="95"/>
      <c r="R592" s="96">
        <f t="shared" si="279"/>
        <v>0</v>
      </c>
      <c r="S592" s="95"/>
      <c r="T592" s="96">
        <f t="shared" si="280"/>
        <v>0</v>
      </c>
      <c r="U592" s="95"/>
      <c r="V592" s="96">
        <f t="shared" si="281"/>
        <v>0</v>
      </c>
      <c r="W592" s="95"/>
      <c r="X592" s="60">
        <f t="shared" si="282"/>
        <v>0</v>
      </c>
      <c r="Y592" s="93"/>
      <c r="Z592" s="162"/>
    </row>
    <row r="593" spans="1:26" ht="13.9" hidden="1" customHeight="1" x14ac:dyDescent="0.25">
      <c r="D593" s="13"/>
      <c r="E593" s="65" t="s">
        <v>306</v>
      </c>
      <c r="F593" s="97"/>
      <c r="G593" s="67"/>
      <c r="H593" s="67"/>
      <c r="I593" s="120"/>
      <c r="J593" s="67">
        <v>10137</v>
      </c>
      <c r="K593" s="120"/>
      <c r="L593" s="67"/>
      <c r="M593" s="67"/>
      <c r="N593" s="67"/>
      <c r="O593" s="67"/>
      <c r="P593" s="67">
        <f t="shared" si="278"/>
        <v>0</v>
      </c>
      <c r="Q593" s="67"/>
      <c r="R593" s="68">
        <f t="shared" si="279"/>
        <v>0</v>
      </c>
      <c r="S593" s="67"/>
      <c r="T593" s="68">
        <f t="shared" si="280"/>
        <v>0</v>
      </c>
      <c r="U593" s="67"/>
      <c r="V593" s="68">
        <f t="shared" si="281"/>
        <v>0</v>
      </c>
      <c r="W593" s="67"/>
      <c r="X593" s="69">
        <f t="shared" si="282"/>
        <v>0</v>
      </c>
      <c r="Y593" s="120"/>
      <c r="Z593" s="163"/>
    </row>
    <row r="594" spans="1:26" ht="13.9" hidden="1" customHeight="1" x14ac:dyDescent="0.25">
      <c r="D594" s="164" t="s">
        <v>307</v>
      </c>
      <c r="E594" s="116" t="s">
        <v>308</v>
      </c>
      <c r="F594" s="129"/>
      <c r="G594" s="130">
        <v>17482.32</v>
      </c>
      <c r="H594" s="130">
        <v>7487.6</v>
      </c>
      <c r="I594" s="130"/>
      <c r="J594" s="130"/>
      <c r="K594" s="130"/>
      <c r="L594" s="130"/>
      <c r="M594" s="130"/>
      <c r="N594" s="130"/>
      <c r="O594" s="130"/>
      <c r="P594" s="130">
        <f t="shared" si="278"/>
        <v>0</v>
      </c>
      <c r="Q594" s="130"/>
      <c r="R594" s="131">
        <f t="shared" si="279"/>
        <v>0</v>
      </c>
      <c r="S594" s="130"/>
      <c r="T594" s="131">
        <f t="shared" si="280"/>
        <v>0</v>
      </c>
      <c r="U594" s="130"/>
      <c r="V594" s="131">
        <f t="shared" si="281"/>
        <v>0</v>
      </c>
      <c r="W594" s="130"/>
      <c r="X594" s="132">
        <f t="shared" si="282"/>
        <v>0</v>
      </c>
      <c r="Y594" s="130"/>
      <c r="Z594" s="133"/>
    </row>
    <row r="595" spans="1:26" ht="13.9" hidden="1" customHeight="1" x14ac:dyDescent="0.25">
      <c r="D595" s="43" t="s">
        <v>309</v>
      </c>
      <c r="E595" s="165" t="s">
        <v>310</v>
      </c>
      <c r="F595" s="129"/>
      <c r="G595" s="130">
        <v>35278.32</v>
      </c>
      <c r="H595" s="130">
        <v>48574.75</v>
      </c>
      <c r="I595" s="130"/>
      <c r="J595" s="130"/>
      <c r="K595" s="130"/>
      <c r="L595" s="130"/>
      <c r="M595" s="130"/>
      <c r="N595" s="130"/>
      <c r="O595" s="130"/>
      <c r="P595" s="130">
        <f t="shared" si="278"/>
        <v>0</v>
      </c>
      <c r="Q595" s="130"/>
      <c r="R595" s="131">
        <f t="shared" si="279"/>
        <v>0</v>
      </c>
      <c r="S595" s="130"/>
      <c r="T595" s="131">
        <f t="shared" si="280"/>
        <v>0</v>
      </c>
      <c r="U595" s="130"/>
      <c r="V595" s="131">
        <f t="shared" si="281"/>
        <v>0</v>
      </c>
      <c r="W595" s="130"/>
      <c r="X595" s="132">
        <f t="shared" si="282"/>
        <v>0</v>
      </c>
      <c r="Y595" s="129"/>
      <c r="Z595" s="166"/>
    </row>
    <row r="597" spans="1:26" ht="13.9" customHeight="1" x14ac:dyDescent="0.25">
      <c r="D597" s="41" t="s">
        <v>311</v>
      </c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2"/>
      <c r="S597" s="41"/>
      <c r="T597" s="42"/>
      <c r="U597" s="41"/>
      <c r="V597" s="42"/>
      <c r="W597" s="41"/>
      <c r="X597" s="42"/>
      <c r="Y597" s="41"/>
      <c r="Z597" s="41"/>
    </row>
    <row r="598" spans="1:26" ht="13.9" customHeight="1" x14ac:dyDescent="0.25">
      <c r="D598" s="149"/>
      <c r="E598" s="21"/>
      <c r="F598" s="21"/>
      <c r="G598" s="21" t="s">
        <v>1</v>
      </c>
      <c r="H598" s="21" t="s">
        <v>2</v>
      </c>
      <c r="I598" s="21" t="s">
        <v>3</v>
      </c>
      <c r="J598" s="21" t="s">
        <v>4</v>
      </c>
      <c r="K598" s="21" t="s">
        <v>5</v>
      </c>
      <c r="L598" s="21" t="s">
        <v>6</v>
      </c>
      <c r="M598" s="21" t="s">
        <v>7</v>
      </c>
      <c r="N598" s="21" t="s">
        <v>8</v>
      </c>
      <c r="O598" s="21" t="s">
        <v>9</v>
      </c>
      <c r="P598" s="21" t="s">
        <v>124</v>
      </c>
      <c r="Q598" s="21" t="s">
        <v>11</v>
      </c>
      <c r="R598" s="22" t="s">
        <v>12</v>
      </c>
      <c r="S598" s="21" t="s">
        <v>13</v>
      </c>
      <c r="T598" s="22" t="s">
        <v>14</v>
      </c>
      <c r="U598" s="21" t="s">
        <v>15</v>
      </c>
      <c r="V598" s="22" t="s">
        <v>16</v>
      </c>
      <c r="W598" s="21" t="s">
        <v>17</v>
      </c>
      <c r="X598" s="22" t="s">
        <v>18</v>
      </c>
      <c r="Y598" s="21" t="s">
        <v>19</v>
      </c>
      <c r="Z598" s="21" t="s">
        <v>20</v>
      </c>
    </row>
    <row r="599" spans="1:26" ht="13.9" hidden="1" customHeight="1" x14ac:dyDescent="0.25">
      <c r="A599" s="15">
        <v>8</v>
      </c>
      <c r="B599" s="15">
        <v>6</v>
      </c>
      <c r="D599" s="150" t="s">
        <v>21</v>
      </c>
      <c r="E599" s="107">
        <v>111</v>
      </c>
      <c r="F599" s="24" t="s">
        <v>137</v>
      </c>
      <c r="G599" s="25">
        <v>0</v>
      </c>
      <c r="H599" s="25">
        <v>0</v>
      </c>
      <c r="I599" s="25">
        <v>0</v>
      </c>
      <c r="J599" s="25">
        <v>0</v>
      </c>
      <c r="K599" s="46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f>SUM(K599:O599)</f>
        <v>0</v>
      </c>
      <c r="Q599" s="25"/>
      <c r="R599" s="26">
        <f>IFERROR(Q599/$P599,0)</f>
        <v>0</v>
      </c>
      <c r="S599" s="25"/>
      <c r="T599" s="26">
        <f>IFERROR(S599/$P599,0)</f>
        <v>0</v>
      </c>
      <c r="U599" s="25"/>
      <c r="V599" s="26">
        <f>IFERROR(U599/$P599,0)</f>
        <v>0</v>
      </c>
      <c r="W599" s="25"/>
      <c r="X599" s="26">
        <f>IFERROR(W599/$P599,0)</f>
        <v>0</v>
      </c>
      <c r="Y599" s="25">
        <f>SUM(Y604)</f>
        <v>0</v>
      </c>
      <c r="Z599" s="25">
        <f>SUM(Z604)</f>
        <v>0</v>
      </c>
    </row>
    <row r="600" spans="1:26" ht="13.9" customHeight="1" x14ac:dyDescent="0.25">
      <c r="A600" s="15">
        <v>8</v>
      </c>
      <c r="B600" s="15">
        <v>6</v>
      </c>
      <c r="D600" s="1" t="s">
        <v>21</v>
      </c>
      <c r="E600" s="24">
        <v>41</v>
      </c>
      <c r="F600" s="24" t="s">
        <v>23</v>
      </c>
      <c r="G600" s="25">
        <f>SUM(G605:G610)-G599</f>
        <v>51253.74</v>
      </c>
      <c r="H600" s="25">
        <f>SUM(H605:H610)-H599</f>
        <v>98217.63</v>
      </c>
      <c r="I600" s="25">
        <f>SUM(I605:I610)-I599</f>
        <v>30000</v>
      </c>
      <c r="J600" s="25">
        <f>SUM(J605:J610)-J599</f>
        <v>22875</v>
      </c>
      <c r="K600" s="25">
        <f>SUM(K605:K610)-K599-K601</f>
        <v>14000</v>
      </c>
      <c r="L600" s="25">
        <f>SUM(L605:L610)-L599</f>
        <v>0</v>
      </c>
      <c r="M600" s="25">
        <f>SUM(M605:M610)-M599</f>
        <v>0</v>
      </c>
      <c r="N600" s="25">
        <f>SUM(N605:N610)-N599</f>
        <v>0</v>
      </c>
      <c r="O600" s="25">
        <f>SUM(O605:O610)-O599</f>
        <v>0</v>
      </c>
      <c r="P600" s="25">
        <f>SUM(P605:P610)-P599-P601</f>
        <v>14000</v>
      </c>
      <c r="Q600" s="25">
        <f>SUM(Q605:Q610)-Q599</f>
        <v>0</v>
      </c>
      <c r="R600" s="26">
        <f>IFERROR(Q600/$P600,0)</f>
        <v>0</v>
      </c>
      <c r="S600" s="25">
        <f>SUM(S605:S610)-S599</f>
        <v>0</v>
      </c>
      <c r="T600" s="26">
        <f>IFERROR(S600/$P600,0)</f>
        <v>0</v>
      </c>
      <c r="U600" s="25">
        <f>SUM(U605:U610)-U599</f>
        <v>0</v>
      </c>
      <c r="V600" s="26">
        <f>IFERROR(U600/$P600,0)</f>
        <v>0</v>
      </c>
      <c r="W600" s="25">
        <f>SUM(W605:W610)-W599</f>
        <v>0</v>
      </c>
      <c r="X600" s="26">
        <f>IFERROR(W600/$P600,0)</f>
        <v>0</v>
      </c>
      <c r="Y600" s="25">
        <f>SUM(Y605:Y610)-Y599</f>
        <v>0</v>
      </c>
      <c r="Z600" s="25">
        <f>SUM(Z605:Z610)-Z599</f>
        <v>0</v>
      </c>
    </row>
    <row r="601" spans="1:26" ht="13.9" customHeight="1" x14ac:dyDescent="0.25">
      <c r="D601" s="1" t="s">
        <v>21</v>
      </c>
      <c r="E601" s="24">
        <v>71</v>
      </c>
      <c r="F601" s="24" t="s">
        <v>24</v>
      </c>
      <c r="G601" s="25">
        <v>0</v>
      </c>
      <c r="H601" s="25">
        <v>0</v>
      </c>
      <c r="I601" s="25">
        <v>0</v>
      </c>
      <c r="J601" s="25">
        <v>0</v>
      </c>
      <c r="K601" s="25">
        <v>6000</v>
      </c>
      <c r="L601" s="25">
        <v>0</v>
      </c>
      <c r="M601" s="25">
        <v>0</v>
      </c>
      <c r="N601" s="25">
        <v>0</v>
      </c>
      <c r="O601" s="25">
        <v>0</v>
      </c>
      <c r="P601" s="25">
        <f>SUM(K601:O601)</f>
        <v>6000</v>
      </c>
      <c r="Q601" s="25">
        <v>0</v>
      </c>
      <c r="R601" s="26">
        <f>IFERROR(Q601/$P601,0)</f>
        <v>0</v>
      </c>
      <c r="S601" s="25">
        <v>0</v>
      </c>
      <c r="T601" s="26">
        <f>IFERROR(S601/$P601,0)</f>
        <v>0</v>
      </c>
      <c r="U601" s="25"/>
      <c r="V601" s="26">
        <f>IFERROR(U601/$P601,0)</f>
        <v>0</v>
      </c>
      <c r="W601" s="25"/>
      <c r="X601" s="26">
        <f>IFERROR(W601/$P601,0)</f>
        <v>0</v>
      </c>
      <c r="Y601" s="25">
        <v>0</v>
      </c>
      <c r="Z601" s="25">
        <v>0</v>
      </c>
    </row>
    <row r="602" spans="1:26" ht="13.9" customHeight="1" x14ac:dyDescent="0.25">
      <c r="A602" s="15">
        <v>8</v>
      </c>
      <c r="B602" s="15">
        <v>6</v>
      </c>
      <c r="D602" s="30"/>
      <c r="E602" s="31"/>
      <c r="F602" s="27" t="s">
        <v>127</v>
      </c>
      <c r="G602" s="28">
        <f t="shared" ref="G602:Q602" si="283">SUM(G599:G601)</f>
        <v>51253.74</v>
      </c>
      <c r="H602" s="28">
        <f t="shared" si="283"/>
        <v>98217.63</v>
      </c>
      <c r="I602" s="28">
        <f t="shared" si="283"/>
        <v>30000</v>
      </c>
      <c r="J602" s="28">
        <f t="shared" si="283"/>
        <v>22875</v>
      </c>
      <c r="K602" s="28">
        <f t="shared" si="283"/>
        <v>20000</v>
      </c>
      <c r="L602" s="28">
        <f t="shared" si="283"/>
        <v>0</v>
      </c>
      <c r="M602" s="28">
        <f t="shared" si="283"/>
        <v>0</v>
      </c>
      <c r="N602" s="28">
        <f t="shared" si="283"/>
        <v>0</v>
      </c>
      <c r="O602" s="28">
        <f t="shared" si="283"/>
        <v>0</v>
      </c>
      <c r="P602" s="28">
        <f t="shared" si="283"/>
        <v>20000</v>
      </c>
      <c r="Q602" s="28">
        <f t="shared" si="283"/>
        <v>0</v>
      </c>
      <c r="R602" s="29">
        <f>IFERROR(Q602/$P602,0)</f>
        <v>0</v>
      </c>
      <c r="S602" s="28">
        <f>SUM(S599:S601)</f>
        <v>0</v>
      </c>
      <c r="T602" s="29">
        <f>IFERROR(S602/$P602,0)</f>
        <v>0</v>
      </c>
      <c r="U602" s="28">
        <f>SUM(U599:U601)</f>
        <v>0</v>
      </c>
      <c r="V602" s="29">
        <f>IFERROR(U602/$P602,0)</f>
        <v>0</v>
      </c>
      <c r="W602" s="28">
        <f>SUM(W599:W601)</f>
        <v>0</v>
      </c>
      <c r="X602" s="29">
        <f>IFERROR(W602/$P602,0)</f>
        <v>0</v>
      </c>
      <c r="Y602" s="28">
        <f>SUM(Y599:Y601)</f>
        <v>0</v>
      </c>
      <c r="Z602" s="28">
        <f>SUM(Z599:Z601)</f>
        <v>0</v>
      </c>
    </row>
    <row r="604" spans="1:26" ht="13.9" customHeight="1" x14ac:dyDescent="0.25">
      <c r="D604" s="15" t="s">
        <v>55</v>
      </c>
    </row>
    <row r="605" spans="1:26" ht="13.9" hidden="1" customHeight="1" x14ac:dyDescent="0.25">
      <c r="D605" s="13" t="s">
        <v>312</v>
      </c>
      <c r="E605" s="52" t="s">
        <v>313</v>
      </c>
      <c r="F605" s="30"/>
      <c r="G605" s="53">
        <v>15964.89</v>
      </c>
      <c r="H605" s="53">
        <v>5838.17</v>
      </c>
      <c r="I605" s="53"/>
      <c r="J605" s="53"/>
      <c r="K605" s="53"/>
      <c r="L605" s="53"/>
      <c r="M605" s="53"/>
      <c r="N605" s="53"/>
      <c r="O605" s="53"/>
      <c r="P605" s="53">
        <f t="shared" ref="P605:P610" si="284">K605+SUM(L605:O605)</f>
        <v>0</v>
      </c>
      <c r="Q605" s="53"/>
      <c r="R605" s="54">
        <f t="shared" ref="R605:R610" si="285">IFERROR(Q605/$P605,0)</f>
        <v>0</v>
      </c>
      <c r="S605" s="53"/>
      <c r="T605" s="54">
        <f t="shared" ref="T605:T610" si="286">IFERROR(S605/$P605,0)</f>
        <v>0</v>
      </c>
      <c r="U605" s="53"/>
      <c r="V605" s="54">
        <f t="shared" ref="V605:V610" si="287">IFERROR(U605/$P605,0)</f>
        <v>0</v>
      </c>
      <c r="W605" s="53"/>
      <c r="X605" s="55">
        <f t="shared" ref="X605:X610" si="288">IFERROR(W605/$P605,0)</f>
        <v>0</v>
      </c>
      <c r="Y605" s="53"/>
      <c r="Z605" s="56"/>
    </row>
    <row r="606" spans="1:26" ht="13.9" hidden="1" customHeight="1" x14ac:dyDescent="0.25">
      <c r="D606" s="13"/>
      <c r="E606" s="57" t="s">
        <v>314</v>
      </c>
      <c r="F606" s="92"/>
      <c r="G606" s="95"/>
      <c r="H606" s="95">
        <v>21947.46</v>
      </c>
      <c r="I606" s="95"/>
      <c r="J606" s="95"/>
      <c r="K606" s="95"/>
      <c r="L606" s="95"/>
      <c r="M606" s="95"/>
      <c r="N606" s="95"/>
      <c r="O606" s="95"/>
      <c r="P606" s="95">
        <f t="shared" si="284"/>
        <v>0</v>
      </c>
      <c r="Q606" s="95"/>
      <c r="R606" s="96">
        <f t="shared" si="285"/>
        <v>0</v>
      </c>
      <c r="S606" s="95"/>
      <c r="T606" s="96">
        <f t="shared" si="286"/>
        <v>0</v>
      </c>
      <c r="U606" s="95"/>
      <c r="V606" s="96">
        <f t="shared" si="287"/>
        <v>0</v>
      </c>
      <c r="W606" s="95"/>
      <c r="X606" s="60">
        <f t="shared" si="288"/>
        <v>0</v>
      </c>
      <c r="Y606" s="95"/>
      <c r="Z606" s="61"/>
    </row>
    <row r="607" spans="1:26" ht="13.9" customHeight="1" x14ac:dyDescent="0.25">
      <c r="D607" s="13"/>
      <c r="E607" s="167" t="s">
        <v>315</v>
      </c>
      <c r="F607" s="168"/>
      <c r="G607" s="169"/>
      <c r="H607" s="169">
        <v>432</v>
      </c>
      <c r="I607" s="169"/>
      <c r="J607" s="169"/>
      <c r="K607" s="169">
        <v>20000</v>
      </c>
      <c r="L607" s="169"/>
      <c r="M607" s="169"/>
      <c r="N607" s="169"/>
      <c r="O607" s="169"/>
      <c r="P607" s="169">
        <f t="shared" si="284"/>
        <v>20000</v>
      </c>
      <c r="Q607" s="169">
        <v>0</v>
      </c>
      <c r="R607" s="170">
        <f t="shared" si="285"/>
        <v>0</v>
      </c>
      <c r="S607" s="169">
        <v>0</v>
      </c>
      <c r="T607" s="170">
        <f t="shared" si="286"/>
        <v>0</v>
      </c>
      <c r="U607" s="169"/>
      <c r="V607" s="170">
        <f t="shared" si="287"/>
        <v>0</v>
      </c>
      <c r="W607" s="169"/>
      <c r="X607" s="171">
        <f t="shared" si="288"/>
        <v>0</v>
      </c>
      <c r="Y607" s="67"/>
      <c r="Z607" s="70"/>
    </row>
    <row r="608" spans="1:26" ht="13.9" hidden="1" customHeight="1" x14ac:dyDescent="0.25">
      <c r="D608" s="43" t="s">
        <v>316</v>
      </c>
      <c r="E608" s="116" t="s">
        <v>317</v>
      </c>
      <c r="F608" s="129"/>
      <c r="G608" s="130"/>
      <c r="H608" s="130">
        <v>70000</v>
      </c>
      <c r="I608" s="130">
        <v>30000</v>
      </c>
      <c r="J608" s="130">
        <v>22875</v>
      </c>
      <c r="K608" s="130"/>
      <c r="L608" s="130"/>
      <c r="M608" s="130"/>
      <c r="N608" s="130"/>
      <c r="O608" s="130"/>
      <c r="P608" s="130">
        <f t="shared" si="284"/>
        <v>0</v>
      </c>
      <c r="Q608" s="130"/>
      <c r="R608" s="131">
        <f t="shared" si="285"/>
        <v>0</v>
      </c>
      <c r="S608" s="130"/>
      <c r="T608" s="131">
        <f t="shared" si="286"/>
        <v>0</v>
      </c>
      <c r="U608" s="130"/>
      <c r="V608" s="131">
        <f t="shared" si="287"/>
        <v>0</v>
      </c>
      <c r="W608" s="130"/>
      <c r="X608" s="132">
        <f t="shared" si="288"/>
        <v>0</v>
      </c>
      <c r="Y608" s="130"/>
      <c r="Z608" s="133"/>
    </row>
    <row r="609" spans="1:28" ht="13.9" hidden="1" customHeight="1" x14ac:dyDescent="0.25">
      <c r="D609" s="183" t="s">
        <v>318</v>
      </c>
      <c r="E609" s="57" t="s">
        <v>319</v>
      </c>
      <c r="F609" s="92"/>
      <c r="G609" s="95">
        <v>26384.85</v>
      </c>
      <c r="H609" s="95"/>
      <c r="I609" s="95"/>
      <c r="J609" s="95"/>
      <c r="K609" s="95"/>
      <c r="L609" s="95"/>
      <c r="M609" s="95"/>
      <c r="N609" s="95"/>
      <c r="O609" s="95"/>
      <c r="P609" s="53">
        <f t="shared" si="284"/>
        <v>0</v>
      </c>
      <c r="Q609" s="95"/>
      <c r="R609" s="54">
        <f t="shared" si="285"/>
        <v>0</v>
      </c>
      <c r="S609" s="95"/>
      <c r="T609" s="54">
        <f t="shared" si="286"/>
        <v>0</v>
      </c>
      <c r="U609" s="95"/>
      <c r="V609" s="54">
        <f t="shared" si="287"/>
        <v>0</v>
      </c>
      <c r="W609" s="95"/>
      <c r="X609" s="55">
        <f t="shared" si="288"/>
        <v>0</v>
      </c>
      <c r="Y609" s="95"/>
      <c r="Z609" s="61"/>
    </row>
    <row r="610" spans="1:28" ht="13.9" hidden="1" customHeight="1" x14ac:dyDescent="0.25">
      <c r="D610" s="183"/>
      <c r="E610" s="100" t="s">
        <v>320</v>
      </c>
      <c r="F610" s="119"/>
      <c r="G610" s="105">
        <v>8904</v>
      </c>
      <c r="H610" s="105"/>
      <c r="I610" s="105"/>
      <c r="J610" s="105"/>
      <c r="K610" s="105"/>
      <c r="L610" s="105"/>
      <c r="M610" s="105"/>
      <c r="N610" s="105"/>
      <c r="O610" s="105"/>
      <c r="P610" s="105">
        <f t="shared" si="284"/>
        <v>0</v>
      </c>
      <c r="Q610" s="105"/>
      <c r="R610" s="126">
        <f t="shared" si="285"/>
        <v>0</v>
      </c>
      <c r="S610" s="105"/>
      <c r="T610" s="126">
        <f t="shared" si="286"/>
        <v>0</v>
      </c>
      <c r="U610" s="105"/>
      <c r="V610" s="126">
        <f t="shared" si="287"/>
        <v>0</v>
      </c>
      <c r="W610" s="105"/>
      <c r="X610" s="127">
        <f t="shared" si="288"/>
        <v>0</v>
      </c>
      <c r="Y610" s="105"/>
      <c r="Z610" s="106"/>
    </row>
    <row r="612" spans="1:28" ht="13.9" customHeight="1" x14ac:dyDescent="0.25">
      <c r="D612" s="41" t="s">
        <v>321</v>
      </c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2"/>
      <c r="S612" s="41"/>
      <c r="T612" s="42"/>
      <c r="U612" s="41"/>
      <c r="V612" s="42"/>
      <c r="W612" s="41"/>
      <c r="X612" s="42"/>
      <c r="Y612" s="41"/>
      <c r="Z612" s="41"/>
    </row>
    <row r="613" spans="1:28" ht="13.9" customHeight="1" x14ac:dyDescent="0.25">
      <c r="D613" s="149"/>
      <c r="E613" s="21"/>
      <c r="F613" s="21"/>
      <c r="G613" s="21" t="s">
        <v>1</v>
      </c>
      <c r="H613" s="21" t="s">
        <v>2</v>
      </c>
      <c r="I613" s="21" t="s">
        <v>3</v>
      </c>
      <c r="J613" s="21" t="s">
        <v>4</v>
      </c>
      <c r="K613" s="21" t="s">
        <v>5</v>
      </c>
      <c r="L613" s="21" t="s">
        <v>6</v>
      </c>
      <c r="M613" s="21" t="s">
        <v>7</v>
      </c>
      <c r="N613" s="21" t="s">
        <v>8</v>
      </c>
      <c r="O613" s="21" t="s">
        <v>9</v>
      </c>
      <c r="P613" s="21" t="s">
        <v>124</v>
      </c>
      <c r="Q613" s="21" t="s">
        <v>11</v>
      </c>
      <c r="R613" s="22" t="s">
        <v>12</v>
      </c>
      <c r="S613" s="21" t="s">
        <v>13</v>
      </c>
      <c r="T613" s="22" t="s">
        <v>14</v>
      </c>
      <c r="U613" s="21" t="s">
        <v>15</v>
      </c>
      <c r="V613" s="22" t="s">
        <v>16</v>
      </c>
      <c r="W613" s="21" t="s">
        <v>17</v>
      </c>
      <c r="X613" s="22" t="s">
        <v>18</v>
      </c>
      <c r="Y613" s="21" t="s">
        <v>19</v>
      </c>
      <c r="Z613" s="21" t="s">
        <v>20</v>
      </c>
    </row>
    <row r="614" spans="1:28" ht="13.9" customHeight="1" x14ac:dyDescent="0.25">
      <c r="A614" s="15">
        <v>8</v>
      </c>
      <c r="B614" s="15">
        <v>7</v>
      </c>
      <c r="D614" s="13" t="s">
        <v>21</v>
      </c>
      <c r="E614" s="134" t="s">
        <v>322</v>
      </c>
      <c r="F614" s="24" t="s">
        <v>323</v>
      </c>
      <c r="G614" s="25">
        <v>0</v>
      </c>
      <c r="H614" s="25">
        <v>0</v>
      </c>
      <c r="I614" s="25">
        <v>408500</v>
      </c>
      <c r="J614" s="25">
        <v>0</v>
      </c>
      <c r="K614" s="25">
        <f>443831-7656</f>
        <v>436175</v>
      </c>
      <c r="L614" s="25">
        <v>0</v>
      </c>
      <c r="M614" s="25"/>
      <c r="N614" s="25">
        <v>0</v>
      </c>
      <c r="O614" s="25">
        <v>0</v>
      </c>
      <c r="P614" s="25">
        <f>K614+SUM(L614:O614)</f>
        <v>436175</v>
      </c>
      <c r="Q614" s="25">
        <v>161491.31</v>
      </c>
      <c r="R614" s="26">
        <f>IFERROR(Q614/$P614,0)</f>
        <v>0.37024430561127986</v>
      </c>
      <c r="S614" s="25">
        <v>432556.22</v>
      </c>
      <c r="T614" s="26">
        <f>IFERROR(S614/$P614,0)</f>
        <v>0.99170337593855673</v>
      </c>
      <c r="U614" s="25">
        <v>0</v>
      </c>
      <c r="V614" s="26">
        <f>IFERROR(U614/$P614,0)</f>
        <v>0</v>
      </c>
      <c r="W614" s="25">
        <v>0</v>
      </c>
      <c r="X614" s="26">
        <f>IFERROR(W614/$P614,0)</f>
        <v>0</v>
      </c>
      <c r="Y614" s="25">
        <v>0</v>
      </c>
      <c r="Z614" s="25">
        <v>0</v>
      </c>
    </row>
    <row r="615" spans="1:28" ht="13.9" customHeight="1" x14ac:dyDescent="0.25">
      <c r="A615" s="15">
        <v>8</v>
      </c>
      <c r="B615" s="15">
        <v>7</v>
      </c>
      <c r="D615" s="13"/>
      <c r="E615" s="24">
        <v>41</v>
      </c>
      <c r="F615" s="24" t="s">
        <v>23</v>
      </c>
      <c r="G615" s="25">
        <f>SUM(G619:G620)</f>
        <v>4000</v>
      </c>
      <c r="H615" s="25">
        <f>SUM(H619:H620)</f>
        <v>10087</v>
      </c>
      <c r="I615" s="25">
        <f t="shared" ref="I615:Q615" si="289">SUM(I619:I620)-I614</f>
        <v>21500</v>
      </c>
      <c r="J615" s="25">
        <f t="shared" si="289"/>
        <v>1500</v>
      </c>
      <c r="K615" s="25">
        <f t="shared" si="289"/>
        <v>30000</v>
      </c>
      <c r="L615" s="25">
        <f t="shared" si="289"/>
        <v>0</v>
      </c>
      <c r="M615" s="25">
        <f t="shared" si="289"/>
        <v>0</v>
      </c>
      <c r="N615" s="25">
        <f t="shared" si="289"/>
        <v>0</v>
      </c>
      <c r="O615" s="25">
        <f t="shared" si="289"/>
        <v>0</v>
      </c>
      <c r="P615" s="25">
        <f t="shared" si="289"/>
        <v>30000</v>
      </c>
      <c r="Q615" s="25">
        <f t="shared" si="289"/>
        <v>1038.6000000000058</v>
      </c>
      <c r="R615" s="26">
        <f>IFERROR(Q615/$P615,0)</f>
        <v>3.4620000000000192E-2</v>
      </c>
      <c r="S615" s="25">
        <f>SUM(S619:S620)-S614</f>
        <v>2556.4200000000419</v>
      </c>
      <c r="T615" s="26">
        <f>IFERROR(S615/$P615,0)</f>
        <v>8.52140000000014E-2</v>
      </c>
      <c r="U615" s="25">
        <f>SUM(U619:U620)-U614</f>
        <v>0</v>
      </c>
      <c r="V615" s="26">
        <f>IFERROR(U615/$P615,0)</f>
        <v>0</v>
      </c>
      <c r="W615" s="25">
        <f>SUM(W619:W620)-W614</f>
        <v>0</v>
      </c>
      <c r="X615" s="26">
        <f>IFERROR(W615/$P615,0)</f>
        <v>0</v>
      </c>
      <c r="Y615" s="25">
        <f>SUM(Y619:Y620)-Y614</f>
        <v>0</v>
      </c>
      <c r="Z615" s="25">
        <f>SUM(Z619:Z620)-Z614</f>
        <v>0</v>
      </c>
    </row>
    <row r="616" spans="1:28" ht="13.9" customHeight="1" x14ac:dyDescent="0.25">
      <c r="A616" s="15">
        <v>8</v>
      </c>
      <c r="B616" s="15">
        <v>7</v>
      </c>
      <c r="D616" s="30"/>
      <c r="E616" s="31"/>
      <c r="F616" s="27" t="s">
        <v>127</v>
      </c>
      <c r="G616" s="28">
        <f t="shared" ref="G616:Q616" si="290">SUM(G614:G615)</f>
        <v>4000</v>
      </c>
      <c r="H616" s="28">
        <f t="shared" si="290"/>
        <v>10087</v>
      </c>
      <c r="I616" s="28">
        <f t="shared" si="290"/>
        <v>430000</v>
      </c>
      <c r="J616" s="28">
        <f t="shared" si="290"/>
        <v>1500</v>
      </c>
      <c r="K616" s="28">
        <f t="shared" si="290"/>
        <v>466175</v>
      </c>
      <c r="L616" s="28">
        <f t="shared" si="290"/>
        <v>0</v>
      </c>
      <c r="M616" s="28">
        <f t="shared" si="290"/>
        <v>0</v>
      </c>
      <c r="N616" s="28">
        <f t="shared" si="290"/>
        <v>0</v>
      </c>
      <c r="O616" s="28">
        <f t="shared" si="290"/>
        <v>0</v>
      </c>
      <c r="P616" s="28">
        <f t="shared" si="290"/>
        <v>466175</v>
      </c>
      <c r="Q616" s="28">
        <f t="shared" si="290"/>
        <v>162529.91</v>
      </c>
      <c r="R616" s="29">
        <f>IFERROR(Q616/$P616,0)</f>
        <v>0.34864570172145654</v>
      </c>
      <c r="S616" s="28">
        <f>SUM(S614:S615)</f>
        <v>435112.64</v>
      </c>
      <c r="T616" s="29">
        <f>IFERROR(S616/$P616,0)</f>
        <v>0.9333675980050411</v>
      </c>
      <c r="U616" s="28">
        <f>SUM(U614:U615)</f>
        <v>0</v>
      </c>
      <c r="V616" s="29">
        <f>IFERROR(U616/$P616,0)</f>
        <v>0</v>
      </c>
      <c r="W616" s="28">
        <f>SUM(W614:W615)</f>
        <v>0</v>
      </c>
      <c r="X616" s="29">
        <f>IFERROR(W616/$P616,0)</f>
        <v>0</v>
      </c>
      <c r="Y616" s="28">
        <f>SUM(Y614:Y615)</f>
        <v>0</v>
      </c>
      <c r="Z616" s="28">
        <f>SUM(Z614:Z615)</f>
        <v>0</v>
      </c>
    </row>
    <row r="618" spans="1:28" ht="13.9" customHeight="1" x14ac:dyDescent="0.25">
      <c r="D618" s="15" t="s">
        <v>55</v>
      </c>
    </row>
    <row r="619" spans="1:28" ht="13.9" hidden="1" customHeight="1" x14ac:dyDescent="0.25">
      <c r="D619" s="184" t="s">
        <v>324</v>
      </c>
      <c r="E619" s="138" t="s">
        <v>325</v>
      </c>
      <c r="F619" s="139"/>
      <c r="G619" s="172">
        <v>4000</v>
      </c>
      <c r="H619" s="172"/>
      <c r="I619" s="172"/>
      <c r="J619" s="172"/>
      <c r="K619" s="172"/>
      <c r="L619" s="172"/>
      <c r="M619" s="172"/>
      <c r="N619" s="172"/>
      <c r="O619" s="172"/>
      <c r="P619" s="172">
        <f>K619+SUM(L619:O619)</f>
        <v>0</v>
      </c>
      <c r="Q619" s="172"/>
      <c r="R619" s="173">
        <f>IFERROR(Q619/$P619,0)</f>
        <v>0</v>
      </c>
      <c r="S619" s="172"/>
      <c r="T619" s="173">
        <f>IFERROR(S619/$P619,0)</f>
        <v>0</v>
      </c>
      <c r="U619" s="172"/>
      <c r="V619" s="173">
        <f>IFERROR(U619/$P619,0)</f>
        <v>0</v>
      </c>
      <c r="W619" s="172"/>
      <c r="X619" s="174">
        <f>IFERROR(W619/$P619,0)</f>
        <v>0</v>
      </c>
      <c r="Y619" s="140"/>
      <c r="Z619" s="175"/>
      <c r="AB619" s="176"/>
    </row>
    <row r="620" spans="1:28" ht="13.9" customHeight="1" x14ac:dyDescent="0.25">
      <c r="D620" s="184" t="s">
        <v>324</v>
      </c>
      <c r="E620" s="167" t="s">
        <v>326</v>
      </c>
      <c r="F620" s="168"/>
      <c r="G620" s="177"/>
      <c r="H620" s="177">
        <v>10087</v>
      </c>
      <c r="I620" s="177">
        <v>430000</v>
      </c>
      <c r="J620" s="177">
        <v>1500</v>
      </c>
      <c r="K620" s="177">
        <f>30000+443831-7656</f>
        <v>466175</v>
      </c>
      <c r="L620" s="177"/>
      <c r="M620" s="177"/>
      <c r="N620" s="177"/>
      <c r="O620" s="177"/>
      <c r="P620" s="177">
        <f>K620+SUM(L620:O620)</f>
        <v>466175</v>
      </c>
      <c r="Q620" s="177">
        <v>162529.91</v>
      </c>
      <c r="R620" s="178">
        <f>IFERROR(Q620/$P620,0)</f>
        <v>0.34864570172145654</v>
      </c>
      <c r="S620" s="177">
        <v>435112.64</v>
      </c>
      <c r="T620" s="178">
        <f>IFERROR(S620/$P620,0)</f>
        <v>0.9333675980050411</v>
      </c>
      <c r="U620" s="177"/>
      <c r="V620" s="178">
        <f>IFERROR(U620/$P620,0)</f>
        <v>0</v>
      </c>
      <c r="W620" s="177"/>
      <c r="X620" s="179">
        <f>IFERROR(W620/$P620,0)</f>
        <v>0</v>
      </c>
      <c r="Y620" s="67"/>
      <c r="Z620" s="70"/>
      <c r="AB620" s="176"/>
    </row>
    <row r="622" spans="1:28" ht="13.9" hidden="1" customHeight="1" x14ac:dyDescent="0.25">
      <c r="A622" s="15" t="s">
        <v>327</v>
      </c>
      <c r="D622" s="41" t="s">
        <v>328</v>
      </c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2"/>
      <c r="S622" s="41"/>
      <c r="T622" s="42"/>
      <c r="U622" s="41"/>
      <c r="V622" s="42"/>
      <c r="W622" s="41"/>
      <c r="X622" s="42"/>
      <c r="Y622" s="41"/>
      <c r="Z622" s="41"/>
    </row>
    <row r="623" spans="1:28" ht="13.9" hidden="1" customHeight="1" x14ac:dyDescent="0.25">
      <c r="D623" s="149"/>
      <c r="E623" s="21"/>
      <c r="F623" s="21"/>
      <c r="G623" s="21" t="s">
        <v>1</v>
      </c>
      <c r="H623" s="21" t="s">
        <v>2</v>
      </c>
      <c r="I623" s="21" t="s">
        <v>3</v>
      </c>
      <c r="J623" s="21" t="s">
        <v>4</v>
      </c>
      <c r="K623" s="21" t="s">
        <v>5</v>
      </c>
      <c r="L623" s="21" t="s">
        <v>6</v>
      </c>
      <c r="M623" s="21" t="s">
        <v>7</v>
      </c>
      <c r="N623" s="21" t="s">
        <v>8</v>
      </c>
      <c r="O623" s="21" t="s">
        <v>9</v>
      </c>
      <c r="P623" s="21" t="s">
        <v>124</v>
      </c>
      <c r="Q623" s="21" t="s">
        <v>11</v>
      </c>
      <c r="R623" s="22" t="s">
        <v>12</v>
      </c>
      <c r="S623" s="21" t="s">
        <v>13</v>
      </c>
      <c r="T623" s="22" t="s">
        <v>14</v>
      </c>
      <c r="U623" s="21" t="s">
        <v>15</v>
      </c>
      <c r="V623" s="22" t="s">
        <v>16</v>
      </c>
      <c r="W623" s="21" t="s">
        <v>17</v>
      </c>
      <c r="X623" s="22" t="s">
        <v>18</v>
      </c>
      <c r="Y623" s="21" t="s">
        <v>19</v>
      </c>
      <c r="Z623" s="21" t="s">
        <v>20</v>
      </c>
    </row>
    <row r="624" spans="1:28" ht="13.9" hidden="1" customHeight="1" x14ac:dyDescent="0.25">
      <c r="A624" s="15">
        <v>8</v>
      </c>
      <c r="B624" s="15">
        <v>8</v>
      </c>
      <c r="D624" s="136" t="s">
        <v>21</v>
      </c>
      <c r="E624" s="24">
        <v>41</v>
      </c>
      <c r="F624" s="24" t="s">
        <v>23</v>
      </c>
      <c r="G624" s="25">
        <f t="shared" ref="G624:Q624" si="291">SUM(G628:G629)</f>
        <v>1884</v>
      </c>
      <c r="H624" s="25">
        <f t="shared" si="291"/>
        <v>8064</v>
      </c>
      <c r="I624" s="25">
        <f t="shared" si="291"/>
        <v>10000</v>
      </c>
      <c r="J624" s="25">
        <f t="shared" si="291"/>
        <v>2348</v>
      </c>
      <c r="K624" s="25">
        <f t="shared" si="291"/>
        <v>0</v>
      </c>
      <c r="L624" s="25">
        <f t="shared" si="291"/>
        <v>0</v>
      </c>
      <c r="M624" s="25">
        <f t="shared" si="291"/>
        <v>0</v>
      </c>
      <c r="N624" s="25">
        <f t="shared" si="291"/>
        <v>0</v>
      </c>
      <c r="O624" s="25">
        <f t="shared" si="291"/>
        <v>0</v>
      </c>
      <c r="P624" s="25">
        <f t="shared" si="291"/>
        <v>0</v>
      </c>
      <c r="Q624" s="25">
        <f t="shared" si="291"/>
        <v>0</v>
      </c>
      <c r="R624" s="26">
        <f>IFERROR(Q624/$P624,0)</f>
        <v>0</v>
      </c>
      <c r="S624" s="25">
        <f>SUM(S628:S629)</f>
        <v>0</v>
      </c>
      <c r="T624" s="26">
        <f>IFERROR(S624/$P624,0)</f>
        <v>0</v>
      </c>
      <c r="U624" s="25">
        <f>SUM(U628:U629)</f>
        <v>0</v>
      </c>
      <c r="V624" s="26">
        <f>IFERROR(U624/$P624,0)</f>
        <v>0</v>
      </c>
      <c r="W624" s="25">
        <f>SUM(W628:W629)</f>
        <v>0</v>
      </c>
      <c r="X624" s="26">
        <f>IFERROR(W624/$P624,0)</f>
        <v>0</v>
      </c>
      <c r="Y624" s="25">
        <f>SUM(Y628:Y629)</f>
        <v>0</v>
      </c>
      <c r="Z624" s="25">
        <f>SUM(Z628:Z629)</f>
        <v>0</v>
      </c>
    </row>
    <row r="625" spans="1:26" ht="13.9" hidden="1" customHeight="1" x14ac:dyDescent="0.25">
      <c r="A625" s="15">
        <v>8</v>
      </c>
      <c r="B625" s="15">
        <v>8</v>
      </c>
      <c r="D625" s="30"/>
      <c r="E625" s="31"/>
      <c r="F625" s="27" t="s">
        <v>127</v>
      </c>
      <c r="G625" s="28">
        <f t="shared" ref="G625:Q625" si="292">SUM(G624)</f>
        <v>1884</v>
      </c>
      <c r="H625" s="28">
        <f t="shared" si="292"/>
        <v>8064</v>
      </c>
      <c r="I625" s="28">
        <f t="shared" si="292"/>
        <v>10000</v>
      </c>
      <c r="J625" s="28">
        <f t="shared" si="292"/>
        <v>2348</v>
      </c>
      <c r="K625" s="28">
        <f t="shared" si="292"/>
        <v>0</v>
      </c>
      <c r="L625" s="28">
        <f t="shared" si="292"/>
        <v>0</v>
      </c>
      <c r="M625" s="28">
        <f t="shared" si="292"/>
        <v>0</v>
      </c>
      <c r="N625" s="28">
        <f t="shared" si="292"/>
        <v>0</v>
      </c>
      <c r="O625" s="28">
        <f t="shared" si="292"/>
        <v>0</v>
      </c>
      <c r="P625" s="28">
        <f t="shared" si="292"/>
        <v>0</v>
      </c>
      <c r="Q625" s="28">
        <f t="shared" si="292"/>
        <v>0</v>
      </c>
      <c r="R625" s="29">
        <f>IFERROR(Q625/$P625,0)</f>
        <v>0</v>
      </c>
      <c r="S625" s="28">
        <f>SUM(S624)</f>
        <v>0</v>
      </c>
      <c r="T625" s="29">
        <f>IFERROR(S625/$P625,0)</f>
        <v>0</v>
      </c>
      <c r="U625" s="28">
        <f>SUM(U624)</f>
        <v>0</v>
      </c>
      <c r="V625" s="29">
        <f>IFERROR(U625/$P625,0)</f>
        <v>0</v>
      </c>
      <c r="W625" s="28">
        <f>SUM(W624)</f>
        <v>0</v>
      </c>
      <c r="X625" s="29">
        <f>IFERROR(W625/$P625,0)</f>
        <v>0</v>
      </c>
      <c r="Y625" s="28">
        <f>SUM(Y624)</f>
        <v>0</v>
      </c>
      <c r="Z625" s="28">
        <f>SUM(Z624)</f>
        <v>0</v>
      </c>
    </row>
    <row r="626" spans="1:26" ht="13.9" hidden="1" customHeight="1" x14ac:dyDescent="0.25"/>
    <row r="627" spans="1:26" ht="13.9" hidden="1" customHeight="1" x14ac:dyDescent="0.25">
      <c r="D627" s="15" t="s">
        <v>55</v>
      </c>
    </row>
    <row r="628" spans="1:26" ht="13.9" hidden="1" customHeight="1" x14ac:dyDescent="0.25">
      <c r="D628" s="185" t="s">
        <v>329</v>
      </c>
      <c r="E628" s="52" t="s">
        <v>330</v>
      </c>
      <c r="F628" s="30"/>
      <c r="G628" s="53">
        <v>1884</v>
      </c>
      <c r="H628" s="53">
        <v>8064</v>
      </c>
      <c r="I628" s="118"/>
      <c r="J628" s="53">
        <v>2348</v>
      </c>
      <c r="K628" s="118"/>
      <c r="L628" s="53"/>
      <c r="M628" s="53"/>
      <c r="N628" s="53"/>
      <c r="O628" s="53"/>
      <c r="P628" s="53">
        <f>K628+SUM(L628:O628)</f>
        <v>0</v>
      </c>
      <c r="Q628" s="53"/>
      <c r="R628" s="54">
        <f>IFERROR(Q628/$P628,0)</f>
        <v>0</v>
      </c>
      <c r="S628" s="53"/>
      <c r="T628" s="54">
        <f>IFERROR(S628/$P628,0)</f>
        <v>0</v>
      </c>
      <c r="U628" s="53"/>
      <c r="V628" s="54">
        <f>IFERROR(U628/$P628,0)</f>
        <v>0</v>
      </c>
      <c r="W628" s="53"/>
      <c r="X628" s="55">
        <f>IFERROR(W628/$P628,0)</f>
        <v>0</v>
      </c>
      <c r="Y628" s="53"/>
      <c r="Z628" s="56"/>
    </row>
    <row r="629" spans="1:26" ht="13.9" hidden="1" customHeight="1" x14ac:dyDescent="0.25">
      <c r="D629" s="185"/>
      <c r="E629" s="65" t="s">
        <v>331</v>
      </c>
      <c r="F629" s="97"/>
      <c r="G629" s="67"/>
      <c r="H629" s="67"/>
      <c r="I629" s="120">
        <v>10000</v>
      </c>
      <c r="J629" s="67"/>
      <c r="K629" s="120"/>
      <c r="L629" s="67"/>
      <c r="M629" s="67"/>
      <c r="N629" s="67"/>
      <c r="O629" s="67"/>
      <c r="P629" s="67">
        <f>K629+SUM(L629:O629)</f>
        <v>0</v>
      </c>
      <c r="Q629" s="67"/>
      <c r="R629" s="68">
        <f>IFERROR(Q629/$P629,0)</f>
        <v>0</v>
      </c>
      <c r="S629" s="67"/>
      <c r="T629" s="68">
        <f>IFERROR(S629/$P629,0)</f>
        <v>0</v>
      </c>
      <c r="U629" s="67"/>
      <c r="V629" s="68">
        <f>IFERROR(U629/$P629,0)</f>
        <v>0</v>
      </c>
      <c r="W629" s="67"/>
      <c r="X629" s="69">
        <f>IFERROR(W629/$P629,0)</f>
        <v>0</v>
      </c>
      <c r="Y629" s="67"/>
      <c r="Z629" s="70"/>
    </row>
    <row r="630" spans="1:26" ht="13.9" hidden="1" customHeight="1" x14ac:dyDescent="0.25"/>
    <row r="631" spans="1:26" ht="13.9" customHeight="1" x14ac:dyDescent="0.25">
      <c r="D631" s="32" t="s">
        <v>332</v>
      </c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3"/>
      <c r="S631" s="32"/>
      <c r="T631" s="33"/>
      <c r="U631" s="32"/>
      <c r="V631" s="33"/>
      <c r="W631" s="32"/>
      <c r="X631" s="33"/>
      <c r="Y631" s="32"/>
      <c r="Z631" s="32"/>
    </row>
    <row r="632" spans="1:26" ht="13.9" customHeight="1" x14ac:dyDescent="0.25">
      <c r="D632" s="20"/>
      <c r="E632" s="20"/>
      <c r="F632" s="20"/>
      <c r="G632" s="21" t="s">
        <v>1</v>
      </c>
      <c r="H632" s="21" t="s">
        <v>2</v>
      </c>
      <c r="I632" s="21" t="s">
        <v>3</v>
      </c>
      <c r="J632" s="21" t="s">
        <v>4</v>
      </c>
      <c r="K632" s="21" t="s">
        <v>5</v>
      </c>
      <c r="L632" s="21" t="s">
        <v>6</v>
      </c>
      <c r="M632" s="21" t="s">
        <v>7</v>
      </c>
      <c r="N632" s="21" t="s">
        <v>8</v>
      </c>
      <c r="O632" s="21" t="s">
        <v>9</v>
      </c>
      <c r="P632" s="21" t="s">
        <v>124</v>
      </c>
      <c r="Q632" s="21" t="s">
        <v>11</v>
      </c>
      <c r="R632" s="22" t="s">
        <v>12</v>
      </c>
      <c r="S632" s="21" t="s">
        <v>13</v>
      </c>
      <c r="T632" s="22" t="s">
        <v>14</v>
      </c>
      <c r="U632" s="21" t="s">
        <v>15</v>
      </c>
      <c r="V632" s="22" t="s">
        <v>16</v>
      </c>
      <c r="W632" s="21" t="s">
        <v>17</v>
      </c>
      <c r="X632" s="22" t="s">
        <v>18</v>
      </c>
      <c r="Y632" s="21" t="s">
        <v>19</v>
      </c>
      <c r="Z632" s="21" t="s">
        <v>20</v>
      </c>
    </row>
    <row r="633" spans="1:26" ht="13.9" customHeight="1" x14ac:dyDescent="0.25">
      <c r="A633" s="15">
        <v>9</v>
      </c>
      <c r="D633" s="34" t="s">
        <v>21</v>
      </c>
      <c r="E633" s="35">
        <v>71</v>
      </c>
      <c r="F633" s="35" t="s">
        <v>24</v>
      </c>
      <c r="G633" s="36">
        <f t="shared" ref="G633:Q633" si="293">G639</f>
        <v>300</v>
      </c>
      <c r="H633" s="36">
        <f t="shared" si="293"/>
        <v>4020</v>
      </c>
      <c r="I633" s="36">
        <f t="shared" si="293"/>
        <v>0</v>
      </c>
      <c r="J633" s="36">
        <f t="shared" si="293"/>
        <v>49900</v>
      </c>
      <c r="K633" s="36">
        <f t="shared" si="293"/>
        <v>6000</v>
      </c>
      <c r="L633" s="36">
        <f t="shared" si="293"/>
        <v>0</v>
      </c>
      <c r="M633" s="36">
        <f t="shared" si="293"/>
        <v>20670</v>
      </c>
      <c r="N633" s="36">
        <f t="shared" si="293"/>
        <v>0</v>
      </c>
      <c r="O633" s="36">
        <f t="shared" si="293"/>
        <v>0</v>
      </c>
      <c r="P633" s="36">
        <f t="shared" si="293"/>
        <v>26670</v>
      </c>
      <c r="Q633" s="36">
        <f t="shared" si="293"/>
        <v>47.64</v>
      </c>
      <c r="R633" s="37">
        <f>IFERROR(Q633/$P633,0)</f>
        <v>1.7862767154105737E-3</v>
      </c>
      <c r="S633" s="36">
        <f>S639</f>
        <v>547.64</v>
      </c>
      <c r="T633" s="37">
        <f>IFERROR(S633/$P633,0)</f>
        <v>2.0533933258342706E-2</v>
      </c>
      <c r="U633" s="36">
        <f>U639</f>
        <v>0</v>
      </c>
      <c r="V633" s="37">
        <f>IFERROR(U633/$P633,0)</f>
        <v>0</v>
      </c>
      <c r="W633" s="36">
        <f>W639</f>
        <v>0</v>
      </c>
      <c r="X633" s="37">
        <f>IFERROR(W633/$P633,0)</f>
        <v>0</v>
      </c>
      <c r="Y633" s="36">
        <f>Y639</f>
        <v>0</v>
      </c>
      <c r="Z633" s="36">
        <f>Z639</f>
        <v>0</v>
      </c>
    </row>
    <row r="634" spans="1:26" ht="13.9" customHeight="1" x14ac:dyDescent="0.25">
      <c r="A634" s="15">
        <v>9</v>
      </c>
      <c r="D634" s="30"/>
      <c r="E634" s="31"/>
      <c r="F634" s="38" t="s">
        <v>127</v>
      </c>
      <c r="G634" s="39">
        <f t="shared" ref="G634:Q634" si="294">SUM(G633)</f>
        <v>300</v>
      </c>
      <c r="H634" s="39">
        <f t="shared" si="294"/>
        <v>4020</v>
      </c>
      <c r="I634" s="39">
        <f t="shared" si="294"/>
        <v>0</v>
      </c>
      <c r="J634" s="39">
        <f t="shared" si="294"/>
        <v>49900</v>
      </c>
      <c r="K634" s="39">
        <f t="shared" si="294"/>
        <v>6000</v>
      </c>
      <c r="L634" s="39">
        <f t="shared" si="294"/>
        <v>0</v>
      </c>
      <c r="M634" s="39">
        <f t="shared" si="294"/>
        <v>20670</v>
      </c>
      <c r="N634" s="39">
        <f t="shared" si="294"/>
        <v>0</v>
      </c>
      <c r="O634" s="39">
        <f t="shared" si="294"/>
        <v>0</v>
      </c>
      <c r="P634" s="39">
        <f t="shared" si="294"/>
        <v>26670</v>
      </c>
      <c r="Q634" s="39">
        <f t="shared" si="294"/>
        <v>47.64</v>
      </c>
      <c r="R634" s="40">
        <f>IFERROR(Q634/$P634,0)</f>
        <v>1.7862767154105737E-3</v>
      </c>
      <c r="S634" s="39">
        <f>SUM(S633)</f>
        <v>547.64</v>
      </c>
      <c r="T634" s="40">
        <f>IFERROR(S634/$P634,0)</f>
        <v>2.0533933258342706E-2</v>
      </c>
      <c r="U634" s="39">
        <f>SUM(U633)</f>
        <v>0</v>
      </c>
      <c r="V634" s="40">
        <f>IFERROR(U634/$P634,0)</f>
        <v>0</v>
      </c>
      <c r="W634" s="39">
        <f>SUM(W633)</f>
        <v>0</v>
      </c>
      <c r="X634" s="40">
        <f>IFERROR(W634/$P634,0)</f>
        <v>0</v>
      </c>
      <c r="Y634" s="39">
        <f>SUM(Y633)</f>
        <v>0</v>
      </c>
      <c r="Z634" s="39">
        <f>SUM(Z633)</f>
        <v>0</v>
      </c>
    </row>
    <row r="636" spans="1:26" ht="13.9" customHeight="1" x14ac:dyDescent="0.25">
      <c r="D636" s="73" t="s">
        <v>333</v>
      </c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4"/>
      <c r="S636" s="73"/>
      <c r="T636" s="74"/>
      <c r="U636" s="73"/>
      <c r="V636" s="74"/>
      <c r="W636" s="73"/>
      <c r="X636" s="74"/>
      <c r="Y636" s="73"/>
      <c r="Z636" s="73"/>
    </row>
    <row r="637" spans="1:26" ht="13.9" customHeight="1" x14ac:dyDescent="0.25">
      <c r="D637" s="21" t="s">
        <v>32</v>
      </c>
      <c r="E637" s="21" t="s">
        <v>33</v>
      </c>
      <c r="F637" s="21" t="s">
        <v>34</v>
      </c>
      <c r="G637" s="21" t="s">
        <v>1</v>
      </c>
      <c r="H637" s="21" t="s">
        <v>2</v>
      </c>
      <c r="I637" s="21" t="s">
        <v>3</v>
      </c>
      <c r="J637" s="21" t="s">
        <v>4</v>
      </c>
      <c r="K637" s="21" t="s">
        <v>5</v>
      </c>
      <c r="L637" s="21" t="s">
        <v>6</v>
      </c>
      <c r="M637" s="21" t="s">
        <v>7</v>
      </c>
      <c r="N637" s="21" t="s">
        <v>8</v>
      </c>
      <c r="O637" s="21" t="s">
        <v>9</v>
      </c>
      <c r="P637" s="21" t="s">
        <v>124</v>
      </c>
      <c r="Q637" s="21" t="s">
        <v>11</v>
      </c>
      <c r="R637" s="22" t="s">
        <v>12</v>
      </c>
      <c r="S637" s="21" t="s">
        <v>13</v>
      </c>
      <c r="T637" s="22" t="s">
        <v>14</v>
      </c>
      <c r="U637" s="21" t="s">
        <v>15</v>
      </c>
      <c r="V637" s="22" t="s">
        <v>16</v>
      </c>
      <c r="W637" s="21" t="s">
        <v>17</v>
      </c>
      <c r="X637" s="22" t="s">
        <v>18</v>
      </c>
      <c r="Y637" s="21" t="s">
        <v>19</v>
      </c>
      <c r="Z637" s="21" t="s">
        <v>20</v>
      </c>
    </row>
    <row r="638" spans="1:26" ht="13.9" customHeight="1" x14ac:dyDescent="0.25">
      <c r="A638" s="15">
        <v>9</v>
      </c>
      <c r="B638" s="15">
        <v>1</v>
      </c>
      <c r="D638" s="84" t="s">
        <v>131</v>
      </c>
      <c r="E638" s="24">
        <v>810</v>
      </c>
      <c r="F638" s="24" t="s">
        <v>334</v>
      </c>
      <c r="G638" s="25">
        <v>300</v>
      </c>
      <c r="H638" s="25">
        <v>4020</v>
      </c>
      <c r="I638" s="25">
        <v>0</v>
      </c>
      <c r="J638" s="25">
        <v>49900</v>
      </c>
      <c r="K638" s="25">
        <v>6000</v>
      </c>
      <c r="L638" s="25"/>
      <c r="M638" s="25">
        <v>20670</v>
      </c>
      <c r="N638" s="25"/>
      <c r="O638" s="25"/>
      <c r="P638" s="25">
        <f>K638+SUM(L638:O638)</f>
        <v>26670</v>
      </c>
      <c r="Q638" s="25">
        <v>47.64</v>
      </c>
      <c r="R638" s="26">
        <f>IFERROR(Q638/$P638,0)</f>
        <v>1.7862767154105737E-3</v>
      </c>
      <c r="S638" s="25">
        <v>547.64</v>
      </c>
      <c r="T638" s="26">
        <f>IFERROR(S638/$P638,0)</f>
        <v>2.0533933258342706E-2</v>
      </c>
      <c r="U638" s="25">
        <v>0</v>
      </c>
      <c r="V638" s="26">
        <f>IFERROR(U638/$P638,0)</f>
        <v>0</v>
      </c>
      <c r="W638" s="25"/>
      <c r="X638" s="26">
        <f>IFERROR(W638/$P638,0)</f>
        <v>0</v>
      </c>
      <c r="Y638" s="25">
        <v>0</v>
      </c>
      <c r="Z638" s="25">
        <v>0</v>
      </c>
    </row>
    <row r="639" spans="1:26" ht="13.9" customHeight="1" x14ac:dyDescent="0.25">
      <c r="A639" s="15">
        <v>9</v>
      </c>
      <c r="B639" s="15">
        <v>1</v>
      </c>
      <c r="D639" s="79" t="s">
        <v>21</v>
      </c>
      <c r="E639" s="48">
        <v>71</v>
      </c>
      <c r="F639" s="48" t="s">
        <v>24</v>
      </c>
      <c r="G639" s="49">
        <f t="shared" ref="G639:Q640" si="295">SUM(G638)</f>
        <v>300</v>
      </c>
      <c r="H639" s="49">
        <f t="shared" si="295"/>
        <v>4020</v>
      </c>
      <c r="I639" s="49">
        <f t="shared" si="295"/>
        <v>0</v>
      </c>
      <c r="J639" s="49">
        <f t="shared" si="295"/>
        <v>49900</v>
      </c>
      <c r="K639" s="49">
        <f t="shared" si="295"/>
        <v>6000</v>
      </c>
      <c r="L639" s="49">
        <f t="shared" si="295"/>
        <v>0</v>
      </c>
      <c r="M639" s="49">
        <f t="shared" si="295"/>
        <v>20670</v>
      </c>
      <c r="N639" s="49">
        <f t="shared" si="295"/>
        <v>0</v>
      </c>
      <c r="O639" s="49">
        <f t="shared" si="295"/>
        <v>0</v>
      </c>
      <c r="P639" s="49">
        <f t="shared" si="295"/>
        <v>26670</v>
      </c>
      <c r="Q639" s="49">
        <f t="shared" si="295"/>
        <v>47.64</v>
      </c>
      <c r="R639" s="50">
        <f>IFERROR(Q639/$P639,0)</f>
        <v>1.7862767154105737E-3</v>
      </c>
      <c r="S639" s="49">
        <f>SUM(S638)</f>
        <v>547.64</v>
      </c>
      <c r="T639" s="50">
        <f>IFERROR(S639/$P639,0)</f>
        <v>2.0533933258342706E-2</v>
      </c>
      <c r="U639" s="49">
        <f>SUM(U638)</f>
        <v>0</v>
      </c>
      <c r="V639" s="50">
        <f>IFERROR(U639/$P639,0)</f>
        <v>0</v>
      </c>
      <c r="W639" s="49">
        <f>SUM(W638)</f>
        <v>0</v>
      </c>
      <c r="X639" s="50">
        <f>IFERROR(W639/$P639,0)</f>
        <v>0</v>
      </c>
      <c r="Y639" s="49">
        <f>SUM(Y638)</f>
        <v>0</v>
      </c>
      <c r="Z639" s="49">
        <f>SUM(Z638)</f>
        <v>0</v>
      </c>
    </row>
    <row r="640" spans="1:26" ht="13.9" customHeight="1" x14ac:dyDescent="0.25">
      <c r="A640" s="15">
        <v>9</v>
      </c>
      <c r="B640" s="15">
        <v>1</v>
      </c>
      <c r="D640" s="86"/>
      <c r="E640" s="87"/>
      <c r="F640" s="27" t="s">
        <v>127</v>
      </c>
      <c r="G640" s="28">
        <f t="shared" si="295"/>
        <v>300</v>
      </c>
      <c r="H640" s="28">
        <f t="shared" si="295"/>
        <v>4020</v>
      </c>
      <c r="I640" s="28">
        <f t="shared" si="295"/>
        <v>0</v>
      </c>
      <c r="J640" s="28">
        <f t="shared" si="295"/>
        <v>49900</v>
      </c>
      <c r="K640" s="28">
        <f t="shared" si="295"/>
        <v>6000</v>
      </c>
      <c r="L640" s="28">
        <f t="shared" si="295"/>
        <v>0</v>
      </c>
      <c r="M640" s="28">
        <f t="shared" si="295"/>
        <v>20670</v>
      </c>
      <c r="N640" s="28">
        <f t="shared" si="295"/>
        <v>0</v>
      </c>
      <c r="O640" s="28">
        <f t="shared" si="295"/>
        <v>0</v>
      </c>
      <c r="P640" s="28">
        <f t="shared" si="295"/>
        <v>26670</v>
      </c>
      <c r="Q640" s="28">
        <f t="shared" si="295"/>
        <v>47.64</v>
      </c>
      <c r="R640" s="29">
        <f>IFERROR(Q640/$P640,0)</f>
        <v>1.7862767154105737E-3</v>
      </c>
      <c r="S640" s="28">
        <f>SUM(S639)</f>
        <v>547.64</v>
      </c>
      <c r="T640" s="29">
        <f>IFERROR(S640/$P640,0)</f>
        <v>2.0533933258342706E-2</v>
      </c>
      <c r="U640" s="28">
        <f>SUM(U639)</f>
        <v>0</v>
      </c>
      <c r="V640" s="29">
        <f>IFERROR(U640/$P640,0)</f>
        <v>0</v>
      </c>
      <c r="W640" s="28">
        <f>SUM(W639)</f>
        <v>0</v>
      </c>
      <c r="X640" s="29">
        <f>IFERROR(W640/$P640,0)</f>
        <v>0</v>
      </c>
      <c r="Y640" s="28">
        <f>SUM(Y639)</f>
        <v>0</v>
      </c>
      <c r="Z640" s="28">
        <f>SUM(Z639)</f>
        <v>0</v>
      </c>
    </row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9">
    <mergeCell ref="D609:D610"/>
    <mergeCell ref="D614:D615"/>
    <mergeCell ref="D619:D620"/>
    <mergeCell ref="D628:D629"/>
    <mergeCell ref="D577:D579"/>
    <mergeCell ref="D584:D585"/>
    <mergeCell ref="D590:D593"/>
    <mergeCell ref="D600:D601"/>
    <mergeCell ref="D605:D607"/>
    <mergeCell ref="D528:D530"/>
    <mergeCell ref="D543:D544"/>
    <mergeCell ref="D554:D556"/>
    <mergeCell ref="D564:D568"/>
    <mergeCell ref="D572:D573"/>
    <mergeCell ref="D474:D476"/>
    <mergeCell ref="D478:D481"/>
    <mergeCell ref="D495:D496"/>
    <mergeCell ref="D498:D501"/>
    <mergeCell ref="D514:D515"/>
    <mergeCell ref="D412:D414"/>
    <mergeCell ref="D425:D426"/>
    <mergeCell ref="D431:D432"/>
    <mergeCell ref="D460:D462"/>
    <mergeCell ref="D467:D469"/>
    <mergeCell ref="D350:D352"/>
    <mergeCell ref="D360:D361"/>
    <mergeCell ref="D366:D367"/>
    <mergeCell ref="D374:D376"/>
    <mergeCell ref="D395:D396"/>
    <mergeCell ref="D276:D277"/>
    <mergeCell ref="D287:D289"/>
    <mergeCell ref="D299:D300"/>
    <mergeCell ref="D322:D323"/>
    <mergeCell ref="D347:D348"/>
    <mergeCell ref="D220:D222"/>
    <mergeCell ref="D239:D241"/>
    <mergeCell ref="D243:D246"/>
    <mergeCell ref="D259:D262"/>
    <mergeCell ref="D267:D269"/>
    <mergeCell ref="D157:Z157"/>
    <mergeCell ref="D159:D161"/>
    <mergeCell ref="D191:D193"/>
    <mergeCell ref="D198:D200"/>
    <mergeCell ref="D202:D205"/>
    <mergeCell ref="D117:D120"/>
    <mergeCell ref="D126:Z126"/>
    <mergeCell ref="D135:Z135"/>
    <mergeCell ref="D149:Z149"/>
    <mergeCell ref="D151:D153"/>
    <mergeCell ref="D87:D89"/>
    <mergeCell ref="D91:D93"/>
    <mergeCell ref="D105:Z105"/>
    <mergeCell ref="D111:Z111"/>
    <mergeCell ref="D113:D115"/>
    <mergeCell ref="D59:Z59"/>
    <mergeCell ref="D61:D63"/>
    <mergeCell ref="D69:Z69"/>
    <mergeCell ref="D73:D74"/>
    <mergeCell ref="D85:Z85"/>
    <mergeCell ref="D34:Z34"/>
    <mergeCell ref="D36:D39"/>
    <mergeCell ref="D45:Z45"/>
    <mergeCell ref="D47:D48"/>
    <mergeCell ref="D50:D53"/>
    <mergeCell ref="D3:D17"/>
    <mergeCell ref="D20:Z20"/>
    <mergeCell ref="D22:D24"/>
    <mergeCell ref="D27:Z27"/>
    <mergeCell ref="D29:D31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3" manualBreakCount="13">
    <brk id="19" max="16383" man="1"/>
    <brk id="84" max="16383" man="1"/>
    <brk id="148" max="16383" man="1"/>
    <brk id="156" max="16383" man="1"/>
    <brk id="188" max="16383" man="1"/>
    <brk id="217" max="16383" man="1"/>
    <brk id="256" max="16383" man="1"/>
    <brk id="331" max="16383" man="1"/>
    <brk id="357" max="16383" man="1"/>
    <brk id="429" max="16383" man="1"/>
    <brk id="457" max="16383" man="1"/>
    <brk id="525" max="16383" man="1"/>
    <brk id="630" max="16383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5"/>
  <sheetViews>
    <sheetView zoomScaleNormal="100" workbookViewId="0">
      <selection activeCell="A8" sqref="A8"/>
    </sheetView>
  </sheetViews>
  <sheetFormatPr defaultColWidth="11.5703125" defaultRowHeight="12.75" customHeight="1" x14ac:dyDescent="0.25"/>
  <cols>
    <col min="1" max="1" width="16.42578125" style="180" customWidth="1"/>
    <col min="2" max="2" width="17.5703125" style="180" customWidth="1"/>
    <col min="3" max="64" width="8.7109375" style="181" customWidth="1"/>
  </cols>
  <sheetData>
    <row r="1" spans="1:2" ht="12.75" customHeight="1" x14ac:dyDescent="0.25">
      <c r="A1" s="180" t="s">
        <v>335</v>
      </c>
      <c r="B1" s="180" t="s">
        <v>336</v>
      </c>
    </row>
    <row r="2" spans="1:2" ht="12.75" customHeight="1" x14ac:dyDescent="0.25">
      <c r="A2" s="180" t="s">
        <v>1</v>
      </c>
      <c r="B2" s="180" t="s">
        <v>337</v>
      </c>
    </row>
    <row r="3" spans="1:2" ht="12.75" customHeight="1" x14ac:dyDescent="0.25">
      <c r="A3" s="180" t="s">
        <v>2</v>
      </c>
      <c r="B3" s="180" t="s">
        <v>338</v>
      </c>
    </row>
    <row r="4" spans="1:2" ht="12.75" customHeight="1" x14ac:dyDescent="0.25">
      <c r="A4" s="180" t="s">
        <v>3</v>
      </c>
      <c r="B4" s="180" t="s">
        <v>339</v>
      </c>
    </row>
    <row r="5" spans="1:2" ht="12.75" customHeight="1" x14ac:dyDescent="0.25">
      <c r="A5" s="180" t="s">
        <v>4</v>
      </c>
      <c r="B5" s="180" t="s">
        <v>340</v>
      </c>
    </row>
    <row r="6" spans="1:2" ht="12.75" customHeight="1" x14ac:dyDescent="0.25">
      <c r="A6" s="180" t="s">
        <v>5</v>
      </c>
      <c r="B6" s="180" t="s">
        <v>341</v>
      </c>
    </row>
    <row r="7" spans="1:2" ht="12.75" customHeight="1" x14ac:dyDescent="0.25">
      <c r="A7" s="180" t="s">
        <v>19</v>
      </c>
      <c r="B7" s="180" t="s">
        <v>342</v>
      </c>
    </row>
    <row r="8" spans="1:2" ht="12.75" customHeight="1" x14ac:dyDescent="0.25">
      <c r="A8" s="180" t="s">
        <v>20</v>
      </c>
      <c r="B8" s="180" t="s">
        <v>343</v>
      </c>
    </row>
    <row r="9" spans="1:2" ht="12.75" customHeight="1" x14ac:dyDescent="0.25">
      <c r="A9" s="180" t="s">
        <v>344</v>
      </c>
      <c r="B9" s="180" t="s">
        <v>345</v>
      </c>
    </row>
    <row r="10" spans="1:2" ht="12.75" customHeight="1" x14ac:dyDescent="0.25">
      <c r="A10" s="180" t="s">
        <v>346</v>
      </c>
      <c r="B10" s="180" t="s">
        <v>347</v>
      </c>
    </row>
    <row r="11" spans="1:2" ht="12.75" customHeight="1" x14ac:dyDescent="0.25">
      <c r="A11" s="180" t="s">
        <v>348</v>
      </c>
      <c r="B11" s="180" t="s">
        <v>349</v>
      </c>
    </row>
    <row r="12" spans="1:2" ht="12.75" customHeight="1" x14ac:dyDescent="0.25">
      <c r="A12" s="180" t="s">
        <v>350</v>
      </c>
      <c r="B12" s="180" t="s">
        <v>351</v>
      </c>
    </row>
    <row r="13" spans="1:2" ht="12.75" customHeight="1" x14ac:dyDescent="0.25">
      <c r="A13" s="180" t="s">
        <v>84</v>
      </c>
      <c r="B13" s="180" t="s">
        <v>352</v>
      </c>
    </row>
    <row r="14" spans="1:2" ht="12.75" customHeight="1" x14ac:dyDescent="0.25">
      <c r="A14" s="180" t="s">
        <v>33</v>
      </c>
      <c r="B14" s="180" t="s">
        <v>353</v>
      </c>
    </row>
    <row r="15" spans="1:2" ht="12.75" customHeight="1" x14ac:dyDescent="0.25">
      <c r="A15" s="180" t="s">
        <v>354</v>
      </c>
      <c r="B15" s="180" t="s">
        <v>355</v>
      </c>
    </row>
    <row r="16" spans="1:2" ht="12.75" customHeight="1" x14ac:dyDescent="0.25">
      <c r="A16" s="180" t="s">
        <v>356</v>
      </c>
      <c r="B16" s="180" t="s">
        <v>357</v>
      </c>
    </row>
    <row r="17" spans="1:2" ht="12.75" customHeight="1" x14ac:dyDescent="0.25">
      <c r="A17" s="180" t="s">
        <v>32</v>
      </c>
      <c r="B17" s="180" t="s">
        <v>358</v>
      </c>
    </row>
    <row r="18" spans="1:2" ht="12.75" customHeight="1" x14ac:dyDescent="0.25">
      <c r="A18" s="180" t="s">
        <v>68</v>
      </c>
      <c r="B18" s="180" t="s">
        <v>359</v>
      </c>
    </row>
    <row r="19" spans="1:2" ht="12.75" customHeight="1" x14ac:dyDescent="0.25">
      <c r="A19" s="180" t="s">
        <v>360</v>
      </c>
      <c r="B19" s="180" t="s">
        <v>361</v>
      </c>
    </row>
    <row r="20" spans="1:2" ht="12.75" customHeight="1" x14ac:dyDescent="0.25">
      <c r="A20" s="180" t="s">
        <v>362</v>
      </c>
      <c r="B20" s="180" t="s">
        <v>363</v>
      </c>
    </row>
    <row r="21" spans="1:2" ht="12.75" customHeight="1" x14ac:dyDescent="0.25">
      <c r="A21" s="180" t="s">
        <v>120</v>
      </c>
      <c r="B21" s="180" t="s">
        <v>364</v>
      </c>
    </row>
    <row r="22" spans="1:2" ht="12.75" customHeight="1" x14ac:dyDescent="0.25">
      <c r="A22" s="180" t="s">
        <v>35</v>
      </c>
      <c r="B22" s="180" t="s">
        <v>365</v>
      </c>
    </row>
    <row r="23" spans="1:2" ht="12.75" customHeight="1" x14ac:dyDescent="0.25">
      <c r="A23" s="180" t="s">
        <v>47</v>
      </c>
      <c r="B23" s="180" t="s">
        <v>366</v>
      </c>
    </row>
    <row r="24" spans="1:2" ht="12.75" customHeight="1" x14ac:dyDescent="0.25">
      <c r="A24" s="180" t="s">
        <v>121</v>
      </c>
      <c r="B24" s="180" t="s">
        <v>367</v>
      </c>
    </row>
    <row r="25" spans="1:2" ht="12.75" customHeight="1" x14ac:dyDescent="0.25">
      <c r="A25" s="180" t="s">
        <v>122</v>
      </c>
      <c r="B25" s="180" t="s">
        <v>368</v>
      </c>
    </row>
    <row r="26" spans="1:2" ht="12.75" customHeight="1" x14ac:dyDescent="0.25">
      <c r="A26" s="180" t="s">
        <v>369</v>
      </c>
      <c r="B26" s="180" t="s">
        <v>370</v>
      </c>
    </row>
    <row r="27" spans="1:2" ht="12.75" customHeight="1" x14ac:dyDescent="0.25">
      <c r="A27" s="180" t="s">
        <v>49</v>
      </c>
      <c r="B27" s="180" t="s">
        <v>371</v>
      </c>
    </row>
    <row r="28" spans="1:2" ht="12.75" customHeight="1" x14ac:dyDescent="0.25">
      <c r="A28" s="180" t="s">
        <v>251</v>
      </c>
      <c r="B28" s="180" t="s">
        <v>372</v>
      </c>
    </row>
    <row r="29" spans="1:2" ht="12.75" customHeight="1" x14ac:dyDescent="0.25">
      <c r="B29" s="180" t="s">
        <v>373</v>
      </c>
    </row>
    <row r="30" spans="1:2" ht="12.75" customHeight="1" x14ac:dyDescent="0.25">
      <c r="A30" s="180" t="s">
        <v>374</v>
      </c>
      <c r="B30" s="180" t="s">
        <v>375</v>
      </c>
    </row>
    <row r="31" spans="1:2" ht="12.75" customHeight="1" x14ac:dyDescent="0.25">
      <c r="A31" s="180" t="s">
        <v>376</v>
      </c>
      <c r="B31" s="180" t="s">
        <v>377</v>
      </c>
    </row>
    <row r="32" spans="1:2" ht="12.75" customHeight="1" x14ac:dyDescent="0.25">
      <c r="A32" s="180" t="s">
        <v>378</v>
      </c>
      <c r="B32" s="180" t="s">
        <v>379</v>
      </c>
    </row>
    <row r="33" spans="1:2" ht="12.75" customHeight="1" x14ac:dyDescent="0.25">
      <c r="A33" s="180" t="s">
        <v>380</v>
      </c>
      <c r="B33" s="180" t="s">
        <v>381</v>
      </c>
    </row>
    <row r="34" spans="1:2" ht="12.75" customHeight="1" x14ac:dyDescent="0.25">
      <c r="A34" s="180" t="s">
        <v>382</v>
      </c>
      <c r="B34" s="180" t="s">
        <v>383</v>
      </c>
    </row>
    <row r="35" spans="1:2" ht="12.75" customHeight="1" x14ac:dyDescent="0.25">
      <c r="A35" s="180" t="s">
        <v>384</v>
      </c>
      <c r="B35" s="180" t="s">
        <v>385</v>
      </c>
    </row>
  </sheetData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7436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2025 - Obec Nesluša (čerpanie a úpravy)</dc:title>
  <dc:subject>Čerpanie a úpravy rozpočtu obce Nesluša</dc:subject>
  <dc:creator>Matej Tabaček</dc:creator>
  <cp:keywords>rozpočet čerpanie úpravy obec Nesluša 2025</cp:keywords>
  <dc:description>Schválený 12. 12. 2024 uznesením č. V-19/2024
Úpravy:
RO č. 1-1/2025 z 03. 03. 2025 schválené starostkou obce,
RO č. 1-2/2025 z 19. 03. 2025 schválené uznesením č. II-11/2025,
RO č. 2-1/2025 z 02. 06. 2025 schválené starostkou obce,
RO č. 2-2/2025 z 19. 06. 2025 schválené uznesením č. III-11/2025.</dc:description>
  <cp:lastModifiedBy>Matej Tabaček</cp:lastModifiedBy>
  <cp:revision>492</cp:revision>
  <cp:lastPrinted>2025-08-12T12:54:44Z</cp:lastPrinted>
  <dcterms:created xsi:type="dcterms:W3CDTF">2016-11-16T13:19:48Z</dcterms:created>
  <dcterms:modified xsi:type="dcterms:W3CDTF">2025-08-12T10:55:59Z</dcterms:modified>
  <dc:language>sk-SK</dc:language>
</cp:coreProperties>
</file>