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4\cerpanie\"/>
    </mc:Choice>
  </mc:AlternateContent>
  <xr:revisionPtr revIDLastSave="0" documentId="13_ncr:1_{DCE44788-67AE-46FA-A1EA-1756606A167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W619" i="2" l="1"/>
  <c r="U619" i="2"/>
  <c r="O619" i="2"/>
  <c r="L619" i="2"/>
  <c r="G619" i="2"/>
  <c r="Z618" i="2"/>
  <c r="Z619" i="2" s="1"/>
  <c r="Y618" i="2"/>
  <c r="Y619" i="2" s="1"/>
  <c r="W618" i="2"/>
  <c r="U618" i="2"/>
  <c r="S618" i="2"/>
  <c r="S612" i="2" s="1"/>
  <c r="Q618" i="2"/>
  <c r="Q619" i="2" s="1"/>
  <c r="O618" i="2"/>
  <c r="N618" i="2"/>
  <c r="N619" i="2" s="1"/>
  <c r="L618" i="2"/>
  <c r="L612" i="2" s="1"/>
  <c r="L613" i="2" s="1"/>
  <c r="K618" i="2"/>
  <c r="K612" i="2" s="1"/>
  <c r="K613" i="2" s="1"/>
  <c r="J618" i="2"/>
  <c r="J619" i="2" s="1"/>
  <c r="I618" i="2"/>
  <c r="I619" i="2" s="1"/>
  <c r="H618" i="2"/>
  <c r="H619" i="2" s="1"/>
  <c r="G618" i="2"/>
  <c r="M617" i="2"/>
  <c r="M618" i="2" s="1"/>
  <c r="Z613" i="2"/>
  <c r="J613" i="2"/>
  <c r="Z612" i="2"/>
  <c r="W612" i="2"/>
  <c r="W613" i="2" s="1"/>
  <c r="O612" i="2"/>
  <c r="O613" i="2" s="1"/>
  <c r="N612" i="2"/>
  <c r="N613" i="2" s="1"/>
  <c r="J612" i="2"/>
  <c r="H612" i="2"/>
  <c r="H613" i="2" s="1"/>
  <c r="G612" i="2"/>
  <c r="G613" i="2" s="1"/>
  <c r="P608" i="2"/>
  <c r="T608" i="2" s="1"/>
  <c r="P607" i="2"/>
  <c r="X607" i="2" s="1"/>
  <c r="U604" i="2"/>
  <c r="S604" i="2"/>
  <c r="N604" i="2"/>
  <c r="M604" i="2"/>
  <c r="K604" i="2"/>
  <c r="H604" i="2"/>
  <c r="Z603" i="2"/>
  <c r="Z604" i="2" s="1"/>
  <c r="Y603" i="2"/>
  <c r="Y604" i="2" s="1"/>
  <c r="W603" i="2"/>
  <c r="W604" i="2" s="1"/>
  <c r="U603" i="2"/>
  <c r="S603" i="2"/>
  <c r="Q603" i="2"/>
  <c r="Q604" i="2" s="1"/>
  <c r="O603" i="2"/>
  <c r="O604" i="2" s="1"/>
  <c r="N603" i="2"/>
  <c r="M603" i="2"/>
  <c r="L603" i="2"/>
  <c r="L604" i="2" s="1"/>
  <c r="K603" i="2"/>
  <c r="J603" i="2"/>
  <c r="J604" i="2" s="1"/>
  <c r="I603" i="2"/>
  <c r="I604" i="2" s="1"/>
  <c r="H603" i="2"/>
  <c r="G603" i="2"/>
  <c r="G604" i="2" s="1"/>
  <c r="T599" i="2"/>
  <c r="P599" i="2"/>
  <c r="X599" i="2" s="1"/>
  <c r="P598" i="2"/>
  <c r="R598" i="2" s="1"/>
  <c r="Z595" i="2"/>
  <c r="U595" i="2"/>
  <c r="S595" i="2"/>
  <c r="M595" i="2"/>
  <c r="K595" i="2"/>
  <c r="J595" i="2"/>
  <c r="H595" i="2"/>
  <c r="Z594" i="2"/>
  <c r="Y594" i="2"/>
  <c r="Y595" i="2" s="1"/>
  <c r="W594" i="2"/>
  <c r="U594" i="2"/>
  <c r="S594" i="2"/>
  <c r="Q594" i="2"/>
  <c r="Q595" i="2" s="1"/>
  <c r="O594" i="2"/>
  <c r="O595" i="2" s="1"/>
  <c r="N594" i="2"/>
  <c r="N595" i="2" s="1"/>
  <c r="M594" i="2"/>
  <c r="L594" i="2"/>
  <c r="L595" i="2" s="1"/>
  <c r="K594" i="2"/>
  <c r="J594" i="2"/>
  <c r="I594" i="2"/>
  <c r="I595" i="2" s="1"/>
  <c r="H594" i="2"/>
  <c r="G594" i="2"/>
  <c r="G595" i="2" s="1"/>
  <c r="X593" i="2"/>
  <c r="P593" i="2"/>
  <c r="P594" i="2" s="1"/>
  <c r="X589" i="2"/>
  <c r="T589" i="2"/>
  <c r="R589" i="2"/>
  <c r="P589" i="2"/>
  <c r="V589" i="2" s="1"/>
  <c r="R588" i="2"/>
  <c r="P588" i="2"/>
  <c r="X588" i="2" s="1"/>
  <c r="X587" i="2"/>
  <c r="V587" i="2"/>
  <c r="T587" i="2"/>
  <c r="P587" i="2"/>
  <c r="R587" i="2" s="1"/>
  <c r="V586" i="2"/>
  <c r="R586" i="2"/>
  <c r="P586" i="2"/>
  <c r="T586" i="2" s="1"/>
  <c r="X585" i="2"/>
  <c r="P585" i="2"/>
  <c r="V585" i="2" s="1"/>
  <c r="V584" i="2"/>
  <c r="T584" i="2"/>
  <c r="R584" i="2"/>
  <c r="P584" i="2"/>
  <c r="X584" i="2" s="1"/>
  <c r="U581" i="2"/>
  <c r="S581" i="2"/>
  <c r="N581" i="2"/>
  <c r="M581" i="2"/>
  <c r="L581" i="2"/>
  <c r="K581" i="2"/>
  <c r="G581" i="2"/>
  <c r="Z580" i="2"/>
  <c r="Y580" i="2"/>
  <c r="X580" i="2"/>
  <c r="W580" i="2"/>
  <c r="W581" i="2" s="1"/>
  <c r="U580" i="2"/>
  <c r="V580" i="2" s="1"/>
  <c r="S580" i="2"/>
  <c r="Q580" i="2"/>
  <c r="Q581" i="2" s="1"/>
  <c r="P580" i="2"/>
  <c r="O580" i="2"/>
  <c r="O581" i="2" s="1"/>
  <c r="N580" i="2"/>
  <c r="M580" i="2"/>
  <c r="L580" i="2"/>
  <c r="K580" i="2"/>
  <c r="J580" i="2"/>
  <c r="J581" i="2" s="1"/>
  <c r="I580" i="2"/>
  <c r="I581" i="2" s="1"/>
  <c r="H580" i="2"/>
  <c r="H581" i="2" s="1"/>
  <c r="Z579" i="2"/>
  <c r="Z581" i="2" s="1"/>
  <c r="Y579" i="2"/>
  <c r="Y581" i="2" s="1"/>
  <c r="X579" i="2"/>
  <c r="V579" i="2"/>
  <c r="T579" i="2"/>
  <c r="R579" i="2"/>
  <c r="P575" i="2"/>
  <c r="I575" i="2"/>
  <c r="I565" i="2" s="1"/>
  <c r="I566" i="2" s="1"/>
  <c r="X574" i="2"/>
  <c r="V574" i="2"/>
  <c r="T574" i="2"/>
  <c r="R574" i="2"/>
  <c r="P574" i="2"/>
  <c r="P573" i="2"/>
  <c r="P572" i="2"/>
  <c r="P571" i="2"/>
  <c r="T570" i="2"/>
  <c r="R570" i="2"/>
  <c r="P570" i="2"/>
  <c r="X570" i="2" s="1"/>
  <c r="N569" i="2"/>
  <c r="Y566" i="2"/>
  <c r="S566" i="2"/>
  <c r="Q566" i="2"/>
  <c r="K566" i="2"/>
  <c r="H566" i="2"/>
  <c r="Z565" i="2"/>
  <c r="Z566" i="2" s="1"/>
  <c r="Y565" i="2"/>
  <c r="W565" i="2"/>
  <c r="U565" i="2"/>
  <c r="U566" i="2" s="1"/>
  <c r="S565" i="2"/>
  <c r="Q565" i="2"/>
  <c r="O565" i="2"/>
  <c r="O566" i="2" s="1"/>
  <c r="M565" i="2"/>
  <c r="M566" i="2" s="1"/>
  <c r="L565" i="2"/>
  <c r="L566" i="2" s="1"/>
  <c r="K565" i="2"/>
  <c r="J565" i="2"/>
  <c r="J566" i="2" s="1"/>
  <c r="H565" i="2"/>
  <c r="G565" i="2"/>
  <c r="G566" i="2" s="1"/>
  <c r="X564" i="2"/>
  <c r="V564" i="2"/>
  <c r="T564" i="2"/>
  <c r="R564" i="2"/>
  <c r="X560" i="2"/>
  <c r="R560" i="2"/>
  <c r="P560" i="2"/>
  <c r="V560" i="2" s="1"/>
  <c r="X559" i="2"/>
  <c r="V559" i="2"/>
  <c r="T559" i="2"/>
  <c r="R559" i="2"/>
  <c r="P559" i="2"/>
  <c r="P558" i="2"/>
  <c r="P557" i="2"/>
  <c r="Y554" i="2"/>
  <c r="S554" i="2"/>
  <c r="Q554" i="2"/>
  <c r="N554" i="2"/>
  <c r="K554" i="2"/>
  <c r="I554" i="2"/>
  <c r="H554" i="2"/>
  <c r="Z553" i="2"/>
  <c r="Z554" i="2" s="1"/>
  <c r="Y553" i="2"/>
  <c r="W553" i="2"/>
  <c r="U553" i="2"/>
  <c r="U554" i="2" s="1"/>
  <c r="S553" i="2"/>
  <c r="Q553" i="2"/>
  <c r="O553" i="2"/>
  <c r="O554" i="2" s="1"/>
  <c r="N553" i="2"/>
  <c r="M553" i="2"/>
  <c r="M554" i="2" s="1"/>
  <c r="L553" i="2"/>
  <c r="L554" i="2" s="1"/>
  <c r="K553" i="2"/>
  <c r="J553" i="2"/>
  <c r="J554" i="2" s="1"/>
  <c r="I553" i="2"/>
  <c r="H553" i="2"/>
  <c r="G553" i="2"/>
  <c r="G554" i="2" s="1"/>
  <c r="T552" i="2"/>
  <c r="P552" i="2"/>
  <c r="T548" i="2"/>
  <c r="R548" i="2"/>
  <c r="P548" i="2"/>
  <c r="X548" i="2" s="1"/>
  <c r="X547" i="2"/>
  <c r="V547" i="2"/>
  <c r="T547" i="2"/>
  <c r="R547" i="2"/>
  <c r="P547" i="2"/>
  <c r="X546" i="2"/>
  <c r="R546" i="2"/>
  <c r="P546" i="2"/>
  <c r="T546" i="2" s="1"/>
  <c r="X545" i="2"/>
  <c r="R545" i="2"/>
  <c r="P545" i="2"/>
  <c r="V545" i="2" s="1"/>
  <c r="X544" i="2"/>
  <c r="V544" i="2"/>
  <c r="T544" i="2"/>
  <c r="R544" i="2"/>
  <c r="P544" i="2"/>
  <c r="Y541" i="2"/>
  <c r="W541" i="2"/>
  <c r="Q541" i="2"/>
  <c r="O541" i="2"/>
  <c r="N541" i="2"/>
  <c r="L541" i="2"/>
  <c r="I541" i="2"/>
  <c r="G541" i="2"/>
  <c r="Z540" i="2"/>
  <c r="Y540" i="2"/>
  <c r="X540" i="2"/>
  <c r="W540" i="2"/>
  <c r="U540" i="2"/>
  <c r="S540" i="2"/>
  <c r="S541" i="2" s="1"/>
  <c r="R540" i="2"/>
  <c r="Q540" i="2"/>
  <c r="P540" i="2"/>
  <c r="O540" i="2"/>
  <c r="N540" i="2"/>
  <c r="M540" i="2"/>
  <c r="M541" i="2" s="1"/>
  <c r="L540" i="2"/>
  <c r="K540" i="2"/>
  <c r="K541" i="2" s="1"/>
  <c r="J540" i="2"/>
  <c r="I540" i="2"/>
  <c r="H540" i="2"/>
  <c r="H541" i="2" s="1"/>
  <c r="G540" i="2"/>
  <c r="P536" i="2"/>
  <c r="P535" i="2"/>
  <c r="M535" i="2"/>
  <c r="X534" i="2"/>
  <c r="V534" i="2"/>
  <c r="T534" i="2"/>
  <c r="R534" i="2"/>
  <c r="P534" i="2"/>
  <c r="M534" i="2"/>
  <c r="X533" i="2"/>
  <c r="R533" i="2"/>
  <c r="P533" i="2"/>
  <c r="T533" i="2" s="1"/>
  <c r="X532" i="2"/>
  <c r="R532" i="2"/>
  <c r="P532" i="2"/>
  <c r="V532" i="2" s="1"/>
  <c r="X531" i="2"/>
  <c r="V531" i="2"/>
  <c r="T531" i="2"/>
  <c r="R531" i="2"/>
  <c r="P531" i="2"/>
  <c r="P530" i="2"/>
  <c r="P529" i="2"/>
  <c r="P528" i="2"/>
  <c r="U525" i="2"/>
  <c r="S525" i="2"/>
  <c r="N525" i="2"/>
  <c r="Z524" i="2"/>
  <c r="Z525" i="2" s="1"/>
  <c r="Y524" i="2"/>
  <c r="W524" i="2"/>
  <c r="U524" i="2"/>
  <c r="S524" i="2"/>
  <c r="Q524" i="2"/>
  <c r="O524" i="2"/>
  <c r="N524" i="2"/>
  <c r="L524" i="2"/>
  <c r="L525" i="2" s="1"/>
  <c r="J524" i="2"/>
  <c r="J525" i="2" s="1"/>
  <c r="I524" i="2"/>
  <c r="G524" i="2"/>
  <c r="M523" i="2"/>
  <c r="K523" i="2"/>
  <c r="P523" i="2" s="1"/>
  <c r="H523" i="2"/>
  <c r="G523" i="2"/>
  <c r="P519" i="2"/>
  <c r="X518" i="2"/>
  <c r="V518" i="2"/>
  <c r="T518" i="2"/>
  <c r="R518" i="2"/>
  <c r="X517" i="2"/>
  <c r="R517" i="2"/>
  <c r="P517" i="2"/>
  <c r="T517" i="2" s="1"/>
  <c r="Z514" i="2"/>
  <c r="W514" i="2"/>
  <c r="U514" i="2"/>
  <c r="P514" i="2"/>
  <c r="V514" i="2" s="1"/>
  <c r="O514" i="2"/>
  <c r="M514" i="2"/>
  <c r="J514" i="2"/>
  <c r="G514" i="2"/>
  <c r="Z513" i="2"/>
  <c r="Y513" i="2"/>
  <c r="Y514" i="2" s="1"/>
  <c r="W513" i="2"/>
  <c r="U513" i="2"/>
  <c r="S513" i="2"/>
  <c r="S514" i="2" s="1"/>
  <c r="T514" i="2" s="1"/>
  <c r="Q513" i="2"/>
  <c r="Q514" i="2" s="1"/>
  <c r="R514" i="2" s="1"/>
  <c r="P513" i="2"/>
  <c r="O513" i="2"/>
  <c r="N513" i="2"/>
  <c r="N514" i="2" s="1"/>
  <c r="M513" i="2"/>
  <c r="L513" i="2"/>
  <c r="L514" i="2" s="1"/>
  <c r="K513" i="2"/>
  <c r="K514" i="2" s="1"/>
  <c r="J513" i="2"/>
  <c r="I513" i="2"/>
  <c r="I514" i="2" s="1"/>
  <c r="H513" i="2"/>
  <c r="G513" i="2"/>
  <c r="S508" i="2"/>
  <c r="Z507" i="2"/>
  <c r="Y507" i="2"/>
  <c r="W507" i="2"/>
  <c r="U507" i="2"/>
  <c r="S507" i="2"/>
  <c r="Q507" i="2"/>
  <c r="P507" i="2"/>
  <c r="O507" i="2"/>
  <c r="N507" i="2"/>
  <c r="L507" i="2"/>
  <c r="K507" i="2"/>
  <c r="J507" i="2"/>
  <c r="I507" i="2"/>
  <c r="G507" i="2"/>
  <c r="X503" i="2"/>
  <c r="P503" i="2"/>
  <c r="M503" i="2"/>
  <c r="K503" i="2"/>
  <c r="Y503" i="2" s="1"/>
  <c r="Z503" i="2" s="1"/>
  <c r="Y502" i="2"/>
  <c r="Z502" i="2" s="1"/>
  <c r="P502" i="2"/>
  <c r="K501" i="2"/>
  <c r="Y501" i="2" s="1"/>
  <c r="Z501" i="2" s="1"/>
  <c r="Z500" i="2"/>
  <c r="Y500" i="2"/>
  <c r="X500" i="2"/>
  <c r="T500" i="2"/>
  <c r="P500" i="2"/>
  <c r="W498" i="2"/>
  <c r="U498" i="2"/>
  <c r="O498" i="2"/>
  <c r="M498" i="2"/>
  <c r="Y497" i="2"/>
  <c r="W497" i="2"/>
  <c r="U497" i="2"/>
  <c r="S497" i="2"/>
  <c r="Q497" i="2"/>
  <c r="O497" i="2"/>
  <c r="N497" i="2"/>
  <c r="M497" i="2"/>
  <c r="L497" i="2"/>
  <c r="K497" i="2"/>
  <c r="K498" i="2" s="1"/>
  <c r="J497" i="2"/>
  <c r="I497" i="2"/>
  <c r="H497" i="2"/>
  <c r="G497" i="2"/>
  <c r="G498" i="2" s="1"/>
  <c r="Z496" i="2"/>
  <c r="Z497" i="2" s="1"/>
  <c r="Y496" i="2"/>
  <c r="V496" i="2"/>
  <c r="T496" i="2"/>
  <c r="R496" i="2"/>
  <c r="P496" i="2"/>
  <c r="X496" i="2" s="1"/>
  <c r="Y495" i="2"/>
  <c r="W495" i="2"/>
  <c r="U495" i="2"/>
  <c r="S495" i="2"/>
  <c r="Q495" i="2"/>
  <c r="Q498" i="2" s="1"/>
  <c r="O495" i="2"/>
  <c r="N495" i="2"/>
  <c r="N498" i="2" s="1"/>
  <c r="M495" i="2"/>
  <c r="L495" i="2"/>
  <c r="L498" i="2" s="1"/>
  <c r="K495" i="2"/>
  <c r="J495" i="2"/>
  <c r="J498" i="2" s="1"/>
  <c r="I495" i="2"/>
  <c r="I498" i="2" s="1"/>
  <c r="H495" i="2"/>
  <c r="H498" i="2" s="1"/>
  <c r="G495" i="2"/>
  <c r="Z494" i="2"/>
  <c r="P494" i="2"/>
  <c r="N494" i="2"/>
  <c r="M494" i="2"/>
  <c r="Z493" i="2"/>
  <c r="Z495" i="2" s="1"/>
  <c r="Z498" i="2" s="1"/>
  <c r="P493" i="2"/>
  <c r="Z492" i="2"/>
  <c r="Y492" i="2"/>
  <c r="X492" i="2"/>
  <c r="T492" i="2"/>
  <c r="P492" i="2"/>
  <c r="W488" i="2"/>
  <c r="U488" i="2"/>
  <c r="O488" i="2"/>
  <c r="M488" i="2"/>
  <c r="J488" i="2"/>
  <c r="Y487" i="2"/>
  <c r="Y488" i="2" s="1"/>
  <c r="W487" i="2"/>
  <c r="U487" i="2"/>
  <c r="S487" i="2"/>
  <c r="Q487" i="2"/>
  <c r="O487" i="2"/>
  <c r="N487" i="2"/>
  <c r="N488" i="2" s="1"/>
  <c r="M487" i="2"/>
  <c r="L487" i="2"/>
  <c r="L488" i="2" s="1"/>
  <c r="K487" i="2"/>
  <c r="K488" i="2" s="1"/>
  <c r="J487" i="2"/>
  <c r="I487" i="2"/>
  <c r="H487" i="2"/>
  <c r="H488" i="2" s="1"/>
  <c r="G487" i="2"/>
  <c r="G488" i="2" s="1"/>
  <c r="Z486" i="2"/>
  <c r="Z487" i="2" s="1"/>
  <c r="Z488" i="2" s="1"/>
  <c r="Y486" i="2"/>
  <c r="V486" i="2"/>
  <c r="T486" i="2"/>
  <c r="R486" i="2"/>
  <c r="P486" i="2"/>
  <c r="X486" i="2" s="1"/>
  <c r="P482" i="2"/>
  <c r="R482" i="2" s="1"/>
  <c r="Y481" i="2"/>
  <c r="Z481" i="2" s="1"/>
  <c r="V481" i="2"/>
  <c r="T481" i="2"/>
  <c r="R481" i="2"/>
  <c r="P481" i="2"/>
  <c r="X481" i="2" s="1"/>
  <c r="Y480" i="2"/>
  <c r="Z480" i="2" s="1"/>
  <c r="P480" i="2"/>
  <c r="Y479" i="2"/>
  <c r="Z479" i="2" s="1"/>
  <c r="P479" i="2"/>
  <c r="T479" i="2" s="1"/>
  <c r="Z478" i="2"/>
  <c r="Y478" i="2"/>
  <c r="X478" i="2"/>
  <c r="V478" i="2"/>
  <c r="P478" i="2"/>
  <c r="R478" i="2" s="1"/>
  <c r="U476" i="2"/>
  <c r="S476" i="2"/>
  <c r="I476" i="2"/>
  <c r="Z475" i="2"/>
  <c r="Z460" i="2" s="1"/>
  <c r="Z453" i="2" s="1"/>
  <c r="Y475" i="2"/>
  <c r="W475" i="2"/>
  <c r="U475" i="2"/>
  <c r="S475" i="2"/>
  <c r="Q475" i="2"/>
  <c r="O475" i="2"/>
  <c r="O476" i="2" s="1"/>
  <c r="N475" i="2"/>
  <c r="M475" i="2"/>
  <c r="L475" i="2"/>
  <c r="K475" i="2"/>
  <c r="K460" i="2" s="1"/>
  <c r="K453" i="2" s="1"/>
  <c r="J475" i="2"/>
  <c r="I475" i="2"/>
  <c r="I460" i="2" s="1"/>
  <c r="H475" i="2"/>
  <c r="G475" i="2"/>
  <c r="G460" i="2" s="1"/>
  <c r="G453" i="2" s="1"/>
  <c r="P474" i="2"/>
  <c r="Z473" i="2"/>
  <c r="Z459" i="2" s="1"/>
  <c r="Z452" i="2" s="1"/>
  <c r="W473" i="2"/>
  <c r="U473" i="2"/>
  <c r="S473" i="2"/>
  <c r="Q473" i="2"/>
  <c r="O473" i="2"/>
  <c r="N473" i="2"/>
  <c r="M473" i="2"/>
  <c r="L473" i="2"/>
  <c r="L459" i="2" s="1"/>
  <c r="J473" i="2"/>
  <c r="J459" i="2" s="1"/>
  <c r="J452" i="2" s="1"/>
  <c r="I473" i="2"/>
  <c r="H473" i="2"/>
  <c r="H459" i="2" s="1"/>
  <c r="H452" i="2" s="1"/>
  <c r="G473" i="2"/>
  <c r="X472" i="2"/>
  <c r="T472" i="2"/>
  <c r="R472" i="2"/>
  <c r="P472" i="2"/>
  <c r="V472" i="2" s="1"/>
  <c r="Z471" i="2"/>
  <c r="Y471" i="2"/>
  <c r="Y473" i="2" s="1"/>
  <c r="K471" i="2"/>
  <c r="P471" i="2" s="1"/>
  <c r="V470" i="2"/>
  <c r="T470" i="2"/>
  <c r="R470" i="2"/>
  <c r="P470" i="2"/>
  <c r="X470" i="2" s="1"/>
  <c r="P469" i="2"/>
  <c r="R469" i="2" s="1"/>
  <c r="Y468" i="2"/>
  <c r="Y476" i="2" s="1"/>
  <c r="W468" i="2"/>
  <c r="U468" i="2"/>
  <c r="S468" i="2"/>
  <c r="Q468" i="2"/>
  <c r="Q476" i="2" s="1"/>
  <c r="O468" i="2"/>
  <c r="N468" i="2"/>
  <c r="M468" i="2"/>
  <c r="L468" i="2"/>
  <c r="L476" i="2" s="1"/>
  <c r="K468" i="2"/>
  <c r="J468" i="2"/>
  <c r="J458" i="2" s="1"/>
  <c r="I468" i="2"/>
  <c r="H468" i="2"/>
  <c r="G468" i="2"/>
  <c r="G476" i="2" s="1"/>
  <c r="Z467" i="2"/>
  <c r="X467" i="2"/>
  <c r="T467" i="2"/>
  <c r="P467" i="2"/>
  <c r="V467" i="2" s="1"/>
  <c r="Y466" i="2"/>
  <c r="Z466" i="2" s="1"/>
  <c r="P466" i="2"/>
  <c r="Z465" i="2"/>
  <c r="Z468" i="2" s="1"/>
  <c r="Y465" i="2"/>
  <c r="X465" i="2"/>
  <c r="V465" i="2"/>
  <c r="T465" i="2"/>
  <c r="P465" i="2"/>
  <c r="Y461" i="2"/>
  <c r="W461" i="2"/>
  <c r="Y460" i="2"/>
  <c r="W460" i="2"/>
  <c r="Q460" i="2"/>
  <c r="N460" i="2"/>
  <c r="N453" i="2" s="1"/>
  <c r="M460" i="2"/>
  <c r="M453" i="2" s="1"/>
  <c r="L460" i="2"/>
  <c r="H460" i="2"/>
  <c r="Y459" i="2"/>
  <c r="Y452" i="2" s="1"/>
  <c r="W459" i="2"/>
  <c r="U459" i="2"/>
  <c r="Q459" i="2"/>
  <c r="O459" i="2"/>
  <c r="O452" i="2" s="1"/>
  <c r="N459" i="2"/>
  <c r="N452" i="2" s="1"/>
  <c r="M459" i="2"/>
  <c r="G459" i="2"/>
  <c r="Y458" i="2"/>
  <c r="Y451" i="2" s="1"/>
  <c r="W458" i="2"/>
  <c r="W451" i="2" s="1"/>
  <c r="U458" i="2"/>
  <c r="S458" i="2"/>
  <c r="Q458" i="2"/>
  <c r="O458" i="2"/>
  <c r="L458" i="2"/>
  <c r="K458" i="2"/>
  <c r="I458" i="2"/>
  <c r="H458" i="2"/>
  <c r="G458" i="2"/>
  <c r="Y453" i="2"/>
  <c r="Q453" i="2"/>
  <c r="L453" i="2"/>
  <c r="I453" i="2"/>
  <c r="H453" i="2"/>
  <c r="U452" i="2"/>
  <c r="Q452" i="2"/>
  <c r="M452" i="2"/>
  <c r="L452" i="2"/>
  <c r="L454" i="2" s="1"/>
  <c r="G452" i="2"/>
  <c r="U451" i="2"/>
  <c r="S451" i="2"/>
  <c r="Q451" i="2"/>
  <c r="L451" i="2"/>
  <c r="K451" i="2"/>
  <c r="G451" i="2"/>
  <c r="G454" i="2" s="1"/>
  <c r="V447" i="2"/>
  <c r="T447" i="2"/>
  <c r="R447" i="2"/>
  <c r="P447" i="2"/>
  <c r="X447" i="2" s="1"/>
  <c r="X446" i="2"/>
  <c r="V446" i="2"/>
  <c r="T446" i="2"/>
  <c r="P446" i="2"/>
  <c r="R446" i="2" s="1"/>
  <c r="Y445" i="2"/>
  <c r="Z445" i="2" s="1"/>
  <c r="Z439" i="2" s="1"/>
  <c r="Z440" i="2" s="1"/>
  <c r="V445" i="2"/>
  <c r="T445" i="2"/>
  <c r="R445" i="2"/>
  <c r="P445" i="2"/>
  <c r="X445" i="2" s="1"/>
  <c r="Z444" i="2"/>
  <c r="Y444" i="2"/>
  <c r="T444" i="2"/>
  <c r="R444" i="2"/>
  <c r="P444" i="2"/>
  <c r="Y443" i="2"/>
  <c r="Z443" i="2" s="1"/>
  <c r="P443" i="2"/>
  <c r="S441" i="2"/>
  <c r="L441" i="2"/>
  <c r="W440" i="2"/>
  <c r="W441" i="2" s="1"/>
  <c r="U440" i="2"/>
  <c r="U441" i="2" s="1"/>
  <c r="S440" i="2"/>
  <c r="Q440" i="2"/>
  <c r="Q441" i="2" s="1"/>
  <c r="O440" i="2"/>
  <c r="O441" i="2" s="1"/>
  <c r="N440" i="2"/>
  <c r="M440" i="2"/>
  <c r="M441" i="2" s="1"/>
  <c r="L440" i="2"/>
  <c r="H440" i="2"/>
  <c r="H441" i="2" s="1"/>
  <c r="G440" i="2"/>
  <c r="G441" i="2" s="1"/>
  <c r="K439" i="2"/>
  <c r="K440" i="2" s="1"/>
  <c r="K441" i="2" s="1"/>
  <c r="J439" i="2"/>
  <c r="J440" i="2" s="1"/>
  <c r="J441" i="2" s="1"/>
  <c r="I439" i="2"/>
  <c r="I440" i="2" s="1"/>
  <c r="I441" i="2" s="1"/>
  <c r="H439" i="2"/>
  <c r="Y435" i="2"/>
  <c r="Z435" i="2" s="1"/>
  <c r="V435" i="2"/>
  <c r="T435" i="2"/>
  <c r="M435" i="2"/>
  <c r="P435" i="2" s="1"/>
  <c r="X435" i="2" s="1"/>
  <c r="Y434" i="2"/>
  <c r="Z434" i="2" s="1"/>
  <c r="V434" i="2"/>
  <c r="T434" i="2"/>
  <c r="R434" i="2"/>
  <c r="P434" i="2"/>
  <c r="X434" i="2" s="1"/>
  <c r="Z433" i="2"/>
  <c r="Y433" i="2"/>
  <c r="R433" i="2"/>
  <c r="P433" i="2"/>
  <c r="S431" i="2"/>
  <c r="M431" i="2"/>
  <c r="Y430" i="2"/>
  <c r="W430" i="2"/>
  <c r="W422" i="2" s="1"/>
  <c r="U430" i="2"/>
  <c r="S430" i="2"/>
  <c r="Q430" i="2"/>
  <c r="O430" i="2"/>
  <c r="O422" i="2" s="1"/>
  <c r="N430" i="2"/>
  <c r="L430" i="2"/>
  <c r="K430" i="2"/>
  <c r="J430" i="2"/>
  <c r="I430" i="2"/>
  <c r="I422" i="2" s="1"/>
  <c r="H430" i="2"/>
  <c r="G430" i="2"/>
  <c r="Y429" i="2"/>
  <c r="Z429" i="2" s="1"/>
  <c r="Z430" i="2" s="1"/>
  <c r="M429" i="2"/>
  <c r="M430" i="2" s="1"/>
  <c r="Y428" i="2"/>
  <c r="Y431" i="2" s="1"/>
  <c r="W428" i="2"/>
  <c r="U428" i="2"/>
  <c r="S428" i="2"/>
  <c r="S421" i="2" s="1"/>
  <c r="Q428" i="2"/>
  <c r="O428" i="2"/>
  <c r="O431" i="2" s="1"/>
  <c r="N428" i="2"/>
  <c r="N431" i="2" s="1"/>
  <c r="M428" i="2"/>
  <c r="M421" i="2" s="1"/>
  <c r="L428" i="2"/>
  <c r="K428" i="2"/>
  <c r="J428" i="2"/>
  <c r="J431" i="2" s="1"/>
  <c r="I428" i="2"/>
  <c r="H428" i="2"/>
  <c r="G428" i="2"/>
  <c r="G431" i="2" s="1"/>
  <c r="Z427" i="2"/>
  <c r="Z428" i="2" s="1"/>
  <c r="X427" i="2"/>
  <c r="V427" i="2"/>
  <c r="T427" i="2"/>
  <c r="P427" i="2"/>
  <c r="R427" i="2" s="1"/>
  <c r="O423" i="2"/>
  <c r="U422" i="2"/>
  <c r="S422" i="2"/>
  <c r="Q422" i="2"/>
  <c r="M422" i="2"/>
  <c r="L422" i="2"/>
  <c r="K422" i="2"/>
  <c r="J422" i="2"/>
  <c r="Y421" i="2"/>
  <c r="W421" i="2"/>
  <c r="U421" i="2"/>
  <c r="U423" i="2" s="1"/>
  <c r="Q421" i="2"/>
  <c r="O421" i="2"/>
  <c r="N421" i="2"/>
  <c r="J421" i="2"/>
  <c r="J423" i="2" s="1"/>
  <c r="I421" i="2"/>
  <c r="I423" i="2" s="1"/>
  <c r="H421" i="2"/>
  <c r="G421" i="2"/>
  <c r="S418" i="2"/>
  <c r="Q418" i="2"/>
  <c r="M418" i="2"/>
  <c r="K418" i="2"/>
  <c r="J418" i="2"/>
  <c r="W417" i="2"/>
  <c r="U417" i="2"/>
  <c r="S417" i="2"/>
  <c r="Q417" i="2"/>
  <c r="O417" i="2"/>
  <c r="O418" i="2" s="1"/>
  <c r="N417" i="2"/>
  <c r="N418" i="2" s="1"/>
  <c r="M417" i="2"/>
  <c r="L417" i="2"/>
  <c r="L418" i="2" s="1"/>
  <c r="K417" i="2"/>
  <c r="J417" i="2"/>
  <c r="I417" i="2"/>
  <c r="I418" i="2" s="1"/>
  <c r="H417" i="2"/>
  <c r="H418" i="2" s="1"/>
  <c r="G417" i="2"/>
  <c r="G418" i="2" s="1"/>
  <c r="Y416" i="2"/>
  <c r="Z416" i="2" s="1"/>
  <c r="V416" i="2"/>
  <c r="T416" i="2"/>
  <c r="R416" i="2"/>
  <c r="P416" i="2"/>
  <c r="X416" i="2" s="1"/>
  <c r="Z415" i="2"/>
  <c r="Z417" i="2" s="1"/>
  <c r="Z418" i="2" s="1"/>
  <c r="Y415" i="2"/>
  <c r="P415" i="2"/>
  <c r="Y411" i="2"/>
  <c r="Z411" i="2" s="1"/>
  <c r="X411" i="2"/>
  <c r="V411" i="2"/>
  <c r="P411" i="2"/>
  <c r="T411" i="2" s="1"/>
  <c r="Z410" i="2"/>
  <c r="Y410" i="2"/>
  <c r="X410" i="2"/>
  <c r="V410" i="2"/>
  <c r="T410" i="2"/>
  <c r="P410" i="2"/>
  <c r="R410" i="2" s="1"/>
  <c r="Y409" i="2"/>
  <c r="Z409" i="2" s="1"/>
  <c r="V409" i="2"/>
  <c r="T409" i="2"/>
  <c r="R409" i="2"/>
  <c r="P409" i="2"/>
  <c r="X409" i="2" s="1"/>
  <c r="Y408" i="2"/>
  <c r="Z408" i="2" s="1"/>
  <c r="P408" i="2"/>
  <c r="W406" i="2"/>
  <c r="O406" i="2"/>
  <c r="L406" i="2"/>
  <c r="K406" i="2"/>
  <c r="G406" i="2"/>
  <c r="W405" i="2"/>
  <c r="U405" i="2"/>
  <c r="S405" i="2"/>
  <c r="Q405" i="2"/>
  <c r="Q406" i="2" s="1"/>
  <c r="O405" i="2"/>
  <c r="N405" i="2"/>
  <c r="N406" i="2" s="1"/>
  <c r="M405" i="2"/>
  <c r="L405" i="2"/>
  <c r="L386" i="2" s="1"/>
  <c r="K405" i="2"/>
  <c r="K386" i="2" s="1"/>
  <c r="J405" i="2"/>
  <c r="J406" i="2" s="1"/>
  <c r="I405" i="2"/>
  <c r="I406" i="2" s="1"/>
  <c r="H405" i="2"/>
  <c r="H406" i="2" s="1"/>
  <c r="G405" i="2"/>
  <c r="Y404" i="2"/>
  <c r="Z404" i="2" s="1"/>
  <c r="X404" i="2"/>
  <c r="V404" i="2"/>
  <c r="R404" i="2"/>
  <c r="P404" i="2"/>
  <c r="T404" i="2" s="1"/>
  <c r="Y403" i="2"/>
  <c r="Z403" i="2" s="1"/>
  <c r="X403" i="2"/>
  <c r="V403" i="2"/>
  <c r="T403" i="2"/>
  <c r="P403" i="2"/>
  <c r="R403" i="2" s="1"/>
  <c r="N403" i="2"/>
  <c r="Y402" i="2"/>
  <c r="X402" i="2"/>
  <c r="V402" i="2"/>
  <c r="T402" i="2"/>
  <c r="P402" i="2"/>
  <c r="R402" i="2" s="1"/>
  <c r="Z398" i="2"/>
  <c r="Y398" i="2"/>
  <c r="X398" i="2"/>
  <c r="V398" i="2"/>
  <c r="T398" i="2"/>
  <c r="R398" i="2"/>
  <c r="P398" i="2"/>
  <c r="P397" i="2"/>
  <c r="U395" i="2"/>
  <c r="N395" i="2"/>
  <c r="M395" i="2"/>
  <c r="K395" i="2"/>
  <c r="Y394" i="2"/>
  <c r="W394" i="2"/>
  <c r="W386" i="2" s="1"/>
  <c r="U394" i="2"/>
  <c r="S394" i="2"/>
  <c r="Q394" i="2"/>
  <c r="P394" i="2"/>
  <c r="T394" i="2" s="1"/>
  <c r="O394" i="2"/>
  <c r="O386" i="2" s="1"/>
  <c r="O352" i="2" s="1"/>
  <c r="N394" i="2"/>
  <c r="M394" i="2"/>
  <c r="L394" i="2"/>
  <c r="K394" i="2"/>
  <c r="J394" i="2"/>
  <c r="I394" i="2"/>
  <c r="H394" i="2"/>
  <c r="H386" i="2" s="1"/>
  <c r="G394" i="2"/>
  <c r="G386" i="2" s="1"/>
  <c r="Y393" i="2"/>
  <c r="Z393" i="2" s="1"/>
  <c r="Z394" i="2" s="1"/>
  <c r="P393" i="2"/>
  <c r="Z392" i="2"/>
  <c r="Y392" i="2"/>
  <c r="W392" i="2"/>
  <c r="X392" i="2" s="1"/>
  <c r="U392" i="2"/>
  <c r="V392" i="2" s="1"/>
  <c r="T392" i="2"/>
  <c r="S392" i="2"/>
  <c r="R392" i="2"/>
  <c r="Q392" i="2"/>
  <c r="P392" i="2"/>
  <c r="O392" i="2"/>
  <c r="N392" i="2"/>
  <c r="M392" i="2"/>
  <c r="L392" i="2"/>
  <c r="K392" i="2"/>
  <c r="K385" i="2" s="1"/>
  <c r="J392" i="2"/>
  <c r="I392" i="2"/>
  <c r="H392" i="2"/>
  <c r="G392" i="2"/>
  <c r="Z391" i="2"/>
  <c r="X391" i="2"/>
  <c r="V391" i="2"/>
  <c r="T391" i="2"/>
  <c r="R391" i="2"/>
  <c r="P391" i="2"/>
  <c r="N387" i="2"/>
  <c r="N386" i="2"/>
  <c r="J386" i="2"/>
  <c r="Y385" i="2"/>
  <c r="W385" i="2"/>
  <c r="X385" i="2" s="1"/>
  <c r="U385" i="2"/>
  <c r="R385" i="2"/>
  <c r="Q385" i="2"/>
  <c r="P385" i="2"/>
  <c r="O385" i="2"/>
  <c r="N385" i="2"/>
  <c r="M385" i="2"/>
  <c r="I385" i="2"/>
  <c r="H385" i="2"/>
  <c r="H387" i="2" s="1"/>
  <c r="G385" i="2"/>
  <c r="Z381" i="2"/>
  <c r="Y381" i="2"/>
  <c r="X381" i="2"/>
  <c r="T381" i="2"/>
  <c r="P381" i="2"/>
  <c r="V381" i="2" s="1"/>
  <c r="Y380" i="2"/>
  <c r="X380" i="2"/>
  <c r="V380" i="2"/>
  <c r="R380" i="2"/>
  <c r="P380" i="2"/>
  <c r="T380" i="2" s="1"/>
  <c r="W378" i="2"/>
  <c r="Q378" i="2"/>
  <c r="O378" i="2"/>
  <c r="N378" i="2"/>
  <c r="H378" i="2"/>
  <c r="G378" i="2"/>
  <c r="W377" i="2"/>
  <c r="U377" i="2"/>
  <c r="U378" i="2" s="1"/>
  <c r="S377" i="2"/>
  <c r="S378" i="2" s="1"/>
  <c r="Q377" i="2"/>
  <c r="O377" i="2"/>
  <c r="N377" i="2"/>
  <c r="M377" i="2"/>
  <c r="M378" i="2" s="1"/>
  <c r="L377" i="2"/>
  <c r="K377" i="2"/>
  <c r="J377" i="2"/>
  <c r="J378" i="2" s="1"/>
  <c r="H377" i="2"/>
  <c r="G377" i="2"/>
  <c r="X376" i="2"/>
  <c r="V376" i="2"/>
  <c r="T376" i="2"/>
  <c r="P376" i="2"/>
  <c r="R376" i="2" s="1"/>
  <c r="K376" i="2"/>
  <c r="J376" i="2"/>
  <c r="I376" i="2"/>
  <c r="I377" i="2" s="1"/>
  <c r="W372" i="2"/>
  <c r="X372" i="2" s="1"/>
  <c r="V372" i="2"/>
  <c r="U372" i="2"/>
  <c r="T372" i="2"/>
  <c r="P372" i="2"/>
  <c r="R372" i="2" s="1"/>
  <c r="Y371" i="2"/>
  <c r="Z371" i="2" s="1"/>
  <c r="X371" i="2"/>
  <c r="V371" i="2"/>
  <c r="R371" i="2"/>
  <c r="P371" i="2"/>
  <c r="T371" i="2" s="1"/>
  <c r="W369" i="2"/>
  <c r="Q369" i="2"/>
  <c r="O369" i="2"/>
  <c r="I369" i="2"/>
  <c r="H369" i="2"/>
  <c r="G369" i="2"/>
  <c r="W368" i="2"/>
  <c r="U368" i="2"/>
  <c r="S368" i="2"/>
  <c r="Q368" i="2"/>
  <c r="O368" i="2"/>
  <c r="M368" i="2"/>
  <c r="L368" i="2"/>
  <c r="K368" i="2"/>
  <c r="J368" i="2"/>
  <c r="I368" i="2"/>
  <c r="H368" i="2"/>
  <c r="G368" i="2"/>
  <c r="Y367" i="2"/>
  <c r="Z367" i="2" s="1"/>
  <c r="X367" i="2"/>
  <c r="V367" i="2"/>
  <c r="T367" i="2"/>
  <c r="P367" i="2"/>
  <c r="R367" i="2" s="1"/>
  <c r="Y366" i="2"/>
  <c r="Z366" i="2" s="1"/>
  <c r="N366" i="2"/>
  <c r="P366" i="2" s="1"/>
  <c r="Y365" i="2"/>
  <c r="Y368" i="2" s="1"/>
  <c r="X365" i="2"/>
  <c r="V365" i="2"/>
  <c r="T365" i="2"/>
  <c r="R365" i="2"/>
  <c r="P365" i="2"/>
  <c r="Y364" i="2"/>
  <c r="W364" i="2"/>
  <c r="U364" i="2"/>
  <c r="S364" i="2"/>
  <c r="S369" i="2" s="1"/>
  <c r="Q364" i="2"/>
  <c r="O364" i="2"/>
  <c r="N364" i="2"/>
  <c r="M364" i="2"/>
  <c r="L364" i="2"/>
  <c r="K364" i="2"/>
  <c r="K369" i="2" s="1"/>
  <c r="J364" i="2"/>
  <c r="J369" i="2" s="1"/>
  <c r="I364" i="2"/>
  <c r="H364" i="2"/>
  <c r="G364" i="2"/>
  <c r="Z363" i="2"/>
  <c r="Z364" i="2" s="1"/>
  <c r="X363" i="2"/>
  <c r="V363" i="2"/>
  <c r="P363" i="2"/>
  <c r="T363" i="2" s="1"/>
  <c r="O359" i="2"/>
  <c r="W358" i="2"/>
  <c r="U358" i="2"/>
  <c r="S358" i="2"/>
  <c r="Q358" i="2"/>
  <c r="O358" i="2"/>
  <c r="M358" i="2"/>
  <c r="J358" i="2"/>
  <c r="J352" i="2" s="1"/>
  <c r="H358" i="2"/>
  <c r="G358" i="2"/>
  <c r="Y357" i="2"/>
  <c r="Y351" i="2" s="1"/>
  <c r="W357" i="2"/>
  <c r="W351" i="2" s="1"/>
  <c r="S357" i="2"/>
  <c r="Q357" i="2"/>
  <c r="Q351" i="2" s="1"/>
  <c r="O357" i="2"/>
  <c r="O351" i="2" s="1"/>
  <c r="O353" i="2" s="1"/>
  <c r="K357" i="2"/>
  <c r="J357" i="2"/>
  <c r="I357" i="2"/>
  <c r="I351" i="2" s="1"/>
  <c r="H357" i="2"/>
  <c r="H351" i="2" s="1"/>
  <c r="G357" i="2"/>
  <c r="Z346" i="2"/>
  <c r="Y346" i="2"/>
  <c r="W346" i="2"/>
  <c r="U346" i="2"/>
  <c r="S346" i="2"/>
  <c r="Q346" i="2"/>
  <c r="O346" i="2"/>
  <c r="N346" i="2"/>
  <c r="M346" i="2"/>
  <c r="L346" i="2"/>
  <c r="L309" i="2" s="1"/>
  <c r="L252" i="2" s="1"/>
  <c r="K346" i="2"/>
  <c r="J346" i="2"/>
  <c r="I346" i="2"/>
  <c r="H346" i="2"/>
  <c r="G346" i="2"/>
  <c r="P345" i="2"/>
  <c r="Z344" i="2"/>
  <c r="Y344" i="2"/>
  <c r="W344" i="2"/>
  <c r="U344" i="2"/>
  <c r="S344" i="2"/>
  <c r="Q344" i="2"/>
  <c r="O344" i="2"/>
  <c r="N344" i="2"/>
  <c r="M344" i="2"/>
  <c r="L344" i="2"/>
  <c r="K344" i="2"/>
  <c r="J344" i="2"/>
  <c r="I344" i="2"/>
  <c r="H344" i="2"/>
  <c r="G344" i="2"/>
  <c r="X343" i="2"/>
  <c r="V343" i="2"/>
  <c r="T343" i="2"/>
  <c r="R343" i="2"/>
  <c r="P343" i="2"/>
  <c r="P342" i="2"/>
  <c r="X341" i="2"/>
  <c r="V341" i="2"/>
  <c r="T341" i="2"/>
  <c r="R341" i="2"/>
  <c r="P341" i="2"/>
  <c r="Y340" i="2"/>
  <c r="Y347" i="2" s="1"/>
  <c r="W340" i="2"/>
  <c r="V340" i="2"/>
  <c r="U340" i="2"/>
  <c r="U347" i="2" s="1"/>
  <c r="S340" i="2"/>
  <c r="Q340" i="2"/>
  <c r="R340" i="2" s="1"/>
  <c r="P340" i="2"/>
  <c r="O340" i="2"/>
  <c r="O347" i="2" s="1"/>
  <c r="N340" i="2"/>
  <c r="N347" i="2" s="1"/>
  <c r="M340" i="2"/>
  <c r="M347" i="2" s="1"/>
  <c r="L340" i="2"/>
  <c r="L347" i="2" s="1"/>
  <c r="K340" i="2"/>
  <c r="K347" i="2" s="1"/>
  <c r="J340" i="2"/>
  <c r="I340" i="2"/>
  <c r="I347" i="2" s="1"/>
  <c r="H340" i="2"/>
  <c r="H347" i="2" s="1"/>
  <c r="G340" i="2"/>
  <c r="G347" i="2" s="1"/>
  <c r="Z339" i="2"/>
  <c r="P339" i="2"/>
  <c r="X339" i="2" s="1"/>
  <c r="Z338" i="2"/>
  <c r="Z340" i="2" s="1"/>
  <c r="X338" i="2"/>
  <c r="V338" i="2"/>
  <c r="P338" i="2"/>
  <c r="T338" i="2" s="1"/>
  <c r="P334" i="2"/>
  <c r="Y333" i="2"/>
  <c r="Z333" i="2" s="1"/>
  <c r="P333" i="2"/>
  <c r="Z332" i="2"/>
  <c r="Y332" i="2"/>
  <c r="P332" i="2"/>
  <c r="S330" i="2"/>
  <c r="Q330" i="2"/>
  <c r="J330" i="2"/>
  <c r="W329" i="2"/>
  <c r="U329" i="2"/>
  <c r="S329" i="2"/>
  <c r="Q329" i="2"/>
  <c r="O329" i="2"/>
  <c r="N329" i="2"/>
  <c r="M329" i="2"/>
  <c r="L329" i="2"/>
  <c r="K329" i="2"/>
  <c r="J329" i="2"/>
  <c r="I329" i="2"/>
  <c r="H329" i="2"/>
  <c r="G329" i="2"/>
  <c r="Z328" i="2"/>
  <c r="Z329" i="2" s="1"/>
  <c r="Y328" i="2"/>
  <c r="Y329" i="2" s="1"/>
  <c r="M328" i="2"/>
  <c r="P328" i="2" s="1"/>
  <c r="Z327" i="2"/>
  <c r="Z330" i="2" s="1"/>
  <c r="Y327" i="2"/>
  <c r="W327" i="2"/>
  <c r="U327" i="2"/>
  <c r="S327" i="2"/>
  <c r="Q327" i="2"/>
  <c r="O327" i="2"/>
  <c r="O330" i="2" s="1"/>
  <c r="N327" i="2"/>
  <c r="M327" i="2"/>
  <c r="M330" i="2" s="1"/>
  <c r="L327" i="2"/>
  <c r="L330" i="2" s="1"/>
  <c r="K327" i="2"/>
  <c r="J327" i="2"/>
  <c r="I327" i="2"/>
  <c r="I330" i="2" s="1"/>
  <c r="H327" i="2"/>
  <c r="H330" i="2" s="1"/>
  <c r="G327" i="2"/>
  <c r="G330" i="2" s="1"/>
  <c r="P326" i="2"/>
  <c r="Z322" i="2"/>
  <c r="Y322" i="2"/>
  <c r="P322" i="2"/>
  <c r="I322" i="2"/>
  <c r="Z321" i="2"/>
  <c r="Y321" i="2"/>
  <c r="P321" i="2"/>
  <c r="Y320" i="2"/>
  <c r="Z320" i="2" s="1"/>
  <c r="P320" i="2"/>
  <c r="X320" i="2" s="1"/>
  <c r="Y319" i="2"/>
  <c r="Z319" i="2" s="1"/>
  <c r="X319" i="2"/>
  <c r="P319" i="2"/>
  <c r="V319" i="2" s="1"/>
  <c r="W317" i="2"/>
  <c r="H317" i="2"/>
  <c r="G317" i="2"/>
  <c r="Y316" i="2"/>
  <c r="Y317" i="2" s="1"/>
  <c r="W316" i="2"/>
  <c r="U316" i="2"/>
  <c r="U317" i="2" s="1"/>
  <c r="S316" i="2"/>
  <c r="Q316" i="2"/>
  <c r="Q308" i="2" s="1"/>
  <c r="O316" i="2"/>
  <c r="O317" i="2" s="1"/>
  <c r="N316" i="2"/>
  <c r="N317" i="2" s="1"/>
  <c r="M316" i="2"/>
  <c r="M317" i="2" s="1"/>
  <c r="L316" i="2"/>
  <c r="L317" i="2" s="1"/>
  <c r="K316" i="2"/>
  <c r="K317" i="2" s="1"/>
  <c r="J316" i="2"/>
  <c r="J317" i="2" s="1"/>
  <c r="I316" i="2"/>
  <c r="H316" i="2"/>
  <c r="G316" i="2"/>
  <c r="P315" i="2"/>
  <c r="Z314" i="2"/>
  <c r="Z316" i="2" s="1"/>
  <c r="Y314" i="2"/>
  <c r="P314" i="2"/>
  <c r="Z309" i="2"/>
  <c r="Y309" i="2"/>
  <c r="W309" i="2"/>
  <c r="U309" i="2"/>
  <c r="U252" i="2" s="1"/>
  <c r="S309" i="2"/>
  <c r="Q309" i="2"/>
  <c r="O309" i="2"/>
  <c r="N309" i="2"/>
  <c r="N252" i="2" s="1"/>
  <c r="M309" i="2"/>
  <c r="M252" i="2" s="1"/>
  <c r="K309" i="2"/>
  <c r="J309" i="2"/>
  <c r="I309" i="2"/>
  <c r="H309" i="2"/>
  <c r="G309" i="2"/>
  <c r="Y308" i="2"/>
  <c r="W308" i="2"/>
  <c r="S308" i="2"/>
  <c r="O308" i="2"/>
  <c r="N308" i="2"/>
  <c r="M308" i="2"/>
  <c r="L308" i="2"/>
  <c r="L310" i="2" s="1"/>
  <c r="K308" i="2"/>
  <c r="J308" i="2"/>
  <c r="J310" i="2" s="1"/>
  <c r="H308" i="2"/>
  <c r="G308" i="2"/>
  <c r="U307" i="2"/>
  <c r="S307" i="2"/>
  <c r="Q307" i="2"/>
  <c r="O307" i="2"/>
  <c r="N307" i="2"/>
  <c r="M307" i="2"/>
  <c r="L307" i="2"/>
  <c r="J307" i="2"/>
  <c r="I307" i="2"/>
  <c r="H307" i="2"/>
  <c r="H310" i="2" s="1"/>
  <c r="G307" i="2"/>
  <c r="G310" i="2" s="1"/>
  <c r="Y303" i="2"/>
  <c r="S303" i="2"/>
  <c r="Q303" i="2"/>
  <c r="L303" i="2"/>
  <c r="K303" i="2"/>
  <c r="J303" i="2"/>
  <c r="I303" i="2"/>
  <c r="W302" i="2"/>
  <c r="U302" i="2"/>
  <c r="S302" i="2"/>
  <c r="Q302" i="2"/>
  <c r="O302" i="2"/>
  <c r="O303" i="2" s="1"/>
  <c r="N302" i="2"/>
  <c r="N303" i="2" s="1"/>
  <c r="M302" i="2"/>
  <c r="L302" i="2"/>
  <c r="K302" i="2"/>
  <c r="J302" i="2"/>
  <c r="I302" i="2"/>
  <c r="H302" i="2"/>
  <c r="H303" i="2" s="1"/>
  <c r="G302" i="2"/>
  <c r="G303" i="2" s="1"/>
  <c r="Z301" i="2"/>
  <c r="Z302" i="2" s="1"/>
  <c r="Z303" i="2" s="1"/>
  <c r="Y301" i="2"/>
  <c r="Y302" i="2" s="1"/>
  <c r="V301" i="2"/>
  <c r="T301" i="2"/>
  <c r="R301" i="2"/>
  <c r="P301" i="2"/>
  <c r="X301" i="2" s="1"/>
  <c r="Y297" i="2"/>
  <c r="Z297" i="2" s="1"/>
  <c r="X297" i="2"/>
  <c r="T297" i="2"/>
  <c r="P297" i="2"/>
  <c r="V297" i="2" s="1"/>
  <c r="Y296" i="2"/>
  <c r="Z296" i="2" s="1"/>
  <c r="X296" i="2"/>
  <c r="V296" i="2"/>
  <c r="R296" i="2"/>
  <c r="P296" i="2"/>
  <c r="T296" i="2" s="1"/>
  <c r="W294" i="2"/>
  <c r="O294" i="2"/>
  <c r="H294" i="2"/>
  <c r="G294" i="2"/>
  <c r="Z293" i="2"/>
  <c r="W293" i="2"/>
  <c r="U293" i="2"/>
  <c r="S293" i="2"/>
  <c r="S294" i="2" s="1"/>
  <c r="Q293" i="2"/>
  <c r="O293" i="2"/>
  <c r="N293" i="2"/>
  <c r="M293" i="2"/>
  <c r="L293" i="2"/>
  <c r="K293" i="2"/>
  <c r="K294" i="2" s="1"/>
  <c r="J293" i="2"/>
  <c r="I293" i="2"/>
  <c r="H293" i="2"/>
  <c r="G293" i="2"/>
  <c r="Z292" i="2"/>
  <c r="Y292" i="2"/>
  <c r="X292" i="2"/>
  <c r="V292" i="2"/>
  <c r="T292" i="2"/>
  <c r="P292" i="2"/>
  <c r="R292" i="2" s="1"/>
  <c r="Z291" i="2"/>
  <c r="Y291" i="2"/>
  <c r="Y293" i="2" s="1"/>
  <c r="X291" i="2"/>
  <c r="V291" i="2"/>
  <c r="T291" i="2"/>
  <c r="R291" i="2"/>
  <c r="P291" i="2"/>
  <c r="Z290" i="2"/>
  <c r="Y290" i="2"/>
  <c r="W290" i="2"/>
  <c r="U290" i="2"/>
  <c r="S290" i="2"/>
  <c r="Q290" i="2"/>
  <c r="Q294" i="2" s="1"/>
  <c r="O290" i="2"/>
  <c r="N290" i="2"/>
  <c r="M290" i="2"/>
  <c r="L290" i="2"/>
  <c r="K290" i="2"/>
  <c r="J290" i="2"/>
  <c r="J294" i="2" s="1"/>
  <c r="I290" i="2"/>
  <c r="I294" i="2" s="1"/>
  <c r="H290" i="2"/>
  <c r="G290" i="2"/>
  <c r="X289" i="2"/>
  <c r="V289" i="2"/>
  <c r="T289" i="2"/>
  <c r="P289" i="2"/>
  <c r="R289" i="2" s="1"/>
  <c r="P285" i="2"/>
  <c r="S283" i="2"/>
  <c r="L283" i="2"/>
  <c r="K283" i="2"/>
  <c r="Y282" i="2"/>
  <c r="W282" i="2"/>
  <c r="W283" i="2" s="1"/>
  <c r="V282" i="2"/>
  <c r="U282" i="2"/>
  <c r="S282" i="2"/>
  <c r="Q282" i="2"/>
  <c r="P282" i="2"/>
  <c r="O282" i="2"/>
  <c r="O283" i="2" s="1"/>
  <c r="N282" i="2"/>
  <c r="M282" i="2"/>
  <c r="L282" i="2"/>
  <c r="K282" i="2"/>
  <c r="J282" i="2"/>
  <c r="I282" i="2"/>
  <c r="H282" i="2"/>
  <c r="G282" i="2"/>
  <c r="G283" i="2" s="1"/>
  <c r="Z281" i="2"/>
  <c r="Z282" i="2" s="1"/>
  <c r="V281" i="2"/>
  <c r="T281" i="2"/>
  <c r="R281" i="2"/>
  <c r="P281" i="2"/>
  <c r="X281" i="2" s="1"/>
  <c r="Y280" i="2"/>
  <c r="Y283" i="2" s="1"/>
  <c r="W280" i="2"/>
  <c r="U280" i="2"/>
  <c r="U283" i="2" s="1"/>
  <c r="S280" i="2"/>
  <c r="Q280" i="2"/>
  <c r="Q283" i="2" s="1"/>
  <c r="O280" i="2"/>
  <c r="N280" i="2"/>
  <c r="N283" i="2" s="1"/>
  <c r="M280" i="2"/>
  <c r="M283" i="2" s="1"/>
  <c r="L280" i="2"/>
  <c r="K280" i="2"/>
  <c r="J280" i="2"/>
  <c r="J283" i="2" s="1"/>
  <c r="I280" i="2"/>
  <c r="I283" i="2" s="1"/>
  <c r="H280" i="2"/>
  <c r="G280" i="2"/>
  <c r="Z279" i="2"/>
  <c r="Y279" i="2"/>
  <c r="P279" i="2"/>
  <c r="Y278" i="2"/>
  <c r="Z278" i="2" s="1"/>
  <c r="P278" i="2"/>
  <c r="Z277" i="2"/>
  <c r="Y277" i="2"/>
  <c r="P277" i="2"/>
  <c r="Y273" i="2"/>
  <c r="Z273" i="2" s="1"/>
  <c r="V273" i="2"/>
  <c r="T273" i="2"/>
  <c r="R273" i="2"/>
  <c r="P273" i="2"/>
  <c r="X273" i="2" s="1"/>
  <c r="W270" i="2"/>
  <c r="U270" i="2"/>
  <c r="S270" i="2"/>
  <c r="Q270" i="2"/>
  <c r="O270" i="2"/>
  <c r="N270" i="2"/>
  <c r="M270" i="2"/>
  <c r="M259" i="2" s="1"/>
  <c r="M251" i="2" s="1"/>
  <c r="L270" i="2"/>
  <c r="L259" i="2" s="1"/>
  <c r="L251" i="2" s="1"/>
  <c r="K270" i="2"/>
  <c r="J270" i="2"/>
  <c r="I270" i="2"/>
  <c r="H270" i="2"/>
  <c r="G270" i="2"/>
  <c r="X269" i="2"/>
  <c r="T269" i="2"/>
  <c r="R269" i="2"/>
  <c r="P269" i="2"/>
  <c r="V269" i="2" s="1"/>
  <c r="Y268" i="2"/>
  <c r="W268" i="2"/>
  <c r="W258" i="2" s="1"/>
  <c r="U268" i="2"/>
  <c r="S268" i="2"/>
  <c r="Q268" i="2"/>
  <c r="P268" i="2"/>
  <c r="O268" i="2"/>
  <c r="N268" i="2"/>
  <c r="M268" i="2"/>
  <c r="L268" i="2"/>
  <c r="K268" i="2"/>
  <c r="J268" i="2"/>
  <c r="I268" i="2"/>
  <c r="I258" i="2" s="1"/>
  <c r="H268" i="2"/>
  <c r="G268" i="2"/>
  <c r="Y267" i="2"/>
  <c r="Z267" i="2" s="1"/>
  <c r="R267" i="2"/>
  <c r="P267" i="2"/>
  <c r="Z266" i="2"/>
  <c r="Z268" i="2" s="1"/>
  <c r="Y266" i="2"/>
  <c r="P266" i="2"/>
  <c r="Z265" i="2"/>
  <c r="Y265" i="2"/>
  <c r="W265" i="2"/>
  <c r="W271" i="2" s="1"/>
  <c r="U265" i="2"/>
  <c r="S265" i="2"/>
  <c r="Q265" i="2"/>
  <c r="Q271" i="2" s="1"/>
  <c r="O265" i="2"/>
  <c r="O271" i="2" s="1"/>
  <c r="N265" i="2"/>
  <c r="N271" i="2" s="1"/>
  <c r="M265" i="2"/>
  <c r="L265" i="2"/>
  <c r="K265" i="2"/>
  <c r="J265" i="2"/>
  <c r="I265" i="2"/>
  <c r="H265" i="2"/>
  <c r="G265" i="2"/>
  <c r="G271" i="2" s="1"/>
  <c r="R264" i="2"/>
  <c r="P264" i="2"/>
  <c r="W259" i="2"/>
  <c r="W251" i="2" s="1"/>
  <c r="S259" i="2"/>
  <c r="Q259" i="2"/>
  <c r="O259" i="2"/>
  <c r="O251" i="2" s="1"/>
  <c r="O5" i="2" s="1"/>
  <c r="O15" i="2" s="1"/>
  <c r="N259" i="2"/>
  <c r="N251" i="2" s="1"/>
  <c r="K259" i="2"/>
  <c r="J259" i="2"/>
  <c r="I259" i="2"/>
  <c r="H259" i="2"/>
  <c r="H251" i="2" s="1"/>
  <c r="G259" i="2"/>
  <c r="G251" i="2" s="1"/>
  <c r="Z258" i="2"/>
  <c r="S258" i="2"/>
  <c r="L258" i="2"/>
  <c r="L250" i="2" s="1"/>
  <c r="K258" i="2"/>
  <c r="K250" i="2" s="1"/>
  <c r="J258" i="2"/>
  <c r="W257" i="2"/>
  <c r="O257" i="2"/>
  <c r="H257" i="2"/>
  <c r="G257" i="2"/>
  <c r="Z252" i="2"/>
  <c r="Y252" i="2"/>
  <c r="S252" i="2"/>
  <c r="Q252" i="2"/>
  <c r="O252" i="2"/>
  <c r="K252" i="2"/>
  <c r="J252" i="2"/>
  <c r="I252" i="2"/>
  <c r="H252" i="2"/>
  <c r="G252" i="2"/>
  <c r="S251" i="2"/>
  <c r="Q251" i="2"/>
  <c r="K251" i="2"/>
  <c r="J251" i="2"/>
  <c r="I251" i="2"/>
  <c r="W250" i="2"/>
  <c r="T245" i="2"/>
  <c r="R245" i="2"/>
  <c r="P245" i="2"/>
  <c r="Y244" i="2"/>
  <c r="Z244" i="2" s="1"/>
  <c r="R244" i="2"/>
  <c r="P244" i="2"/>
  <c r="Z243" i="2"/>
  <c r="Y243" i="2"/>
  <c r="P243" i="2"/>
  <c r="Z242" i="2"/>
  <c r="Y242" i="2"/>
  <c r="T242" i="2"/>
  <c r="P242" i="2"/>
  <c r="X242" i="2" s="1"/>
  <c r="Z241" i="2"/>
  <c r="Y241" i="2"/>
  <c r="P241" i="2"/>
  <c r="Y239" i="2"/>
  <c r="Q239" i="2"/>
  <c r="J239" i="2"/>
  <c r="I239" i="2"/>
  <c r="Z238" i="2"/>
  <c r="Y238" i="2"/>
  <c r="W238" i="2"/>
  <c r="U238" i="2"/>
  <c r="S238" i="2"/>
  <c r="Q238" i="2"/>
  <c r="O238" i="2"/>
  <c r="O213" i="2" s="1"/>
  <c r="N238" i="2"/>
  <c r="M238" i="2"/>
  <c r="L238" i="2"/>
  <c r="K238" i="2"/>
  <c r="K213" i="2" s="1"/>
  <c r="J238" i="2"/>
  <c r="J213" i="2" s="1"/>
  <c r="I238" i="2"/>
  <c r="H238" i="2"/>
  <c r="G238" i="2"/>
  <c r="G213" i="2" s="1"/>
  <c r="P237" i="2"/>
  <c r="Z236" i="2"/>
  <c r="W236" i="2"/>
  <c r="X236" i="2" s="1"/>
  <c r="V236" i="2"/>
  <c r="U236" i="2"/>
  <c r="S236" i="2"/>
  <c r="Q236" i="2"/>
  <c r="P236" i="2"/>
  <c r="R236" i="2" s="1"/>
  <c r="O236" i="2"/>
  <c r="N236" i="2"/>
  <c r="M236" i="2"/>
  <c r="L236" i="2"/>
  <c r="K236" i="2"/>
  <c r="K239" i="2" s="1"/>
  <c r="J236" i="2"/>
  <c r="I236" i="2"/>
  <c r="H236" i="2"/>
  <c r="G236" i="2"/>
  <c r="X235" i="2"/>
  <c r="R235" i="2"/>
  <c r="P235" i="2"/>
  <c r="V235" i="2" s="1"/>
  <c r="Z234" i="2"/>
  <c r="Y234" i="2"/>
  <c r="Y236" i="2" s="1"/>
  <c r="V234" i="2"/>
  <c r="P234" i="2"/>
  <c r="K234" i="2"/>
  <c r="X233" i="2"/>
  <c r="V233" i="2"/>
  <c r="T233" i="2"/>
  <c r="R233" i="2"/>
  <c r="P233" i="2"/>
  <c r="V232" i="2"/>
  <c r="P232" i="2"/>
  <c r="Z231" i="2"/>
  <c r="Z211" i="2" s="1"/>
  <c r="Y231" i="2"/>
  <c r="Y211" i="2" s="1"/>
  <c r="Y214" i="2" s="1"/>
  <c r="W231" i="2"/>
  <c r="U231" i="2"/>
  <c r="S231" i="2"/>
  <c r="Q231" i="2"/>
  <c r="O231" i="2"/>
  <c r="N231" i="2"/>
  <c r="N211" i="2" s="1"/>
  <c r="M231" i="2"/>
  <c r="M239" i="2" s="1"/>
  <c r="L231" i="2"/>
  <c r="L239" i="2" s="1"/>
  <c r="K231" i="2"/>
  <c r="K211" i="2" s="1"/>
  <c r="J231" i="2"/>
  <c r="J211" i="2" s="1"/>
  <c r="I231" i="2"/>
  <c r="H231" i="2"/>
  <c r="G231" i="2"/>
  <c r="P230" i="2"/>
  <c r="U226" i="2"/>
  <c r="S226" i="2"/>
  <c r="O226" i="2"/>
  <c r="M226" i="2"/>
  <c r="L226" i="2"/>
  <c r="L212" i="2" s="1"/>
  <c r="J226" i="2"/>
  <c r="Y225" i="2"/>
  <c r="Y226" i="2" s="1"/>
  <c r="W225" i="2"/>
  <c r="V225" i="2"/>
  <c r="U225" i="2"/>
  <c r="S225" i="2"/>
  <c r="Q225" i="2"/>
  <c r="Q226" i="2" s="1"/>
  <c r="P225" i="2"/>
  <c r="O225" i="2"/>
  <c r="N225" i="2"/>
  <c r="N226" i="2" s="1"/>
  <c r="M225" i="2"/>
  <c r="L225" i="2"/>
  <c r="K225" i="2"/>
  <c r="K226" i="2" s="1"/>
  <c r="J225" i="2"/>
  <c r="I225" i="2"/>
  <c r="I226" i="2" s="1"/>
  <c r="H225" i="2"/>
  <c r="H226" i="2" s="1"/>
  <c r="G225" i="2"/>
  <c r="G226" i="2" s="1"/>
  <c r="Z224" i="2"/>
  <c r="Z225" i="2" s="1"/>
  <c r="Z226" i="2" s="1"/>
  <c r="Y224" i="2"/>
  <c r="V224" i="2"/>
  <c r="P224" i="2"/>
  <c r="S220" i="2"/>
  <c r="Q220" i="2"/>
  <c r="N220" i="2"/>
  <c r="N212" i="2" s="1"/>
  <c r="L220" i="2"/>
  <c r="K220" i="2"/>
  <c r="J220" i="2"/>
  <c r="I220" i="2"/>
  <c r="I212" i="2" s="1"/>
  <c r="W219" i="2"/>
  <c r="U219" i="2"/>
  <c r="U220" i="2" s="1"/>
  <c r="S219" i="2"/>
  <c r="Q219" i="2"/>
  <c r="O219" i="2"/>
  <c r="O220" i="2" s="1"/>
  <c r="N219" i="2"/>
  <c r="M219" i="2"/>
  <c r="M220" i="2" s="1"/>
  <c r="L219" i="2"/>
  <c r="K219" i="2"/>
  <c r="J219" i="2"/>
  <c r="I219" i="2"/>
  <c r="H219" i="2"/>
  <c r="H220" i="2" s="1"/>
  <c r="H212" i="2" s="1"/>
  <c r="H214" i="2" s="1"/>
  <c r="G219" i="2"/>
  <c r="G220" i="2" s="1"/>
  <c r="Y218" i="2"/>
  <c r="Y219" i="2" s="1"/>
  <c r="Y220" i="2" s="1"/>
  <c r="Y212" i="2" s="1"/>
  <c r="V218" i="2"/>
  <c r="T218" i="2"/>
  <c r="R218" i="2"/>
  <c r="P218" i="2"/>
  <c r="X218" i="2" s="1"/>
  <c r="Y213" i="2"/>
  <c r="U213" i="2"/>
  <c r="Q213" i="2"/>
  <c r="N213" i="2"/>
  <c r="M213" i="2"/>
  <c r="L213" i="2"/>
  <c r="I213" i="2"/>
  <c r="H213" i="2"/>
  <c r="M212" i="2"/>
  <c r="J212" i="2"/>
  <c r="J214" i="2" s="1"/>
  <c r="W211" i="2"/>
  <c r="U211" i="2"/>
  <c r="Q211" i="2"/>
  <c r="O211" i="2"/>
  <c r="M211" i="2"/>
  <c r="M214" i="2" s="1"/>
  <c r="L211" i="2"/>
  <c r="I211" i="2"/>
  <c r="I214" i="2" s="1"/>
  <c r="H211" i="2"/>
  <c r="G211" i="2"/>
  <c r="Z207" i="2"/>
  <c r="Y207" i="2"/>
  <c r="X207" i="2"/>
  <c r="R207" i="2"/>
  <c r="P207" i="2"/>
  <c r="V207" i="2" s="1"/>
  <c r="X206" i="2"/>
  <c r="V206" i="2"/>
  <c r="T206" i="2"/>
  <c r="R206" i="2"/>
  <c r="P206" i="2"/>
  <c r="Y205" i="2"/>
  <c r="Z205" i="2" s="1"/>
  <c r="P205" i="2"/>
  <c r="Y204" i="2"/>
  <c r="Z204" i="2" s="1"/>
  <c r="X204" i="2"/>
  <c r="R204" i="2"/>
  <c r="P204" i="2"/>
  <c r="Z203" i="2"/>
  <c r="Y203" i="2"/>
  <c r="P203" i="2"/>
  <c r="Y202" i="2"/>
  <c r="Z202" i="2" s="1"/>
  <c r="V202" i="2"/>
  <c r="T202" i="2"/>
  <c r="R202" i="2"/>
  <c r="P202" i="2"/>
  <c r="X202" i="2" s="1"/>
  <c r="H200" i="2"/>
  <c r="Z199" i="2"/>
  <c r="Z186" i="2" s="1"/>
  <c r="Y199" i="2"/>
  <c r="Y186" i="2" s="1"/>
  <c r="W199" i="2"/>
  <c r="U199" i="2"/>
  <c r="U186" i="2" s="1"/>
  <c r="S199" i="2"/>
  <c r="Q199" i="2"/>
  <c r="O199" i="2"/>
  <c r="N199" i="2"/>
  <c r="N186" i="2" s="1"/>
  <c r="M199" i="2"/>
  <c r="M186" i="2" s="1"/>
  <c r="L199" i="2"/>
  <c r="K199" i="2"/>
  <c r="J199" i="2"/>
  <c r="J186" i="2" s="1"/>
  <c r="I199" i="2"/>
  <c r="I200" i="2" s="1"/>
  <c r="H199" i="2"/>
  <c r="G199" i="2"/>
  <c r="X198" i="2"/>
  <c r="V198" i="2"/>
  <c r="T198" i="2"/>
  <c r="P198" i="2"/>
  <c r="R198" i="2" s="1"/>
  <c r="Z197" i="2"/>
  <c r="Z185" i="2" s="1"/>
  <c r="Y197" i="2"/>
  <c r="W197" i="2"/>
  <c r="U197" i="2"/>
  <c r="U185" i="2" s="1"/>
  <c r="S197" i="2"/>
  <c r="Q197" i="2"/>
  <c r="O197" i="2"/>
  <c r="O185" i="2" s="1"/>
  <c r="N197" i="2"/>
  <c r="N185" i="2" s="1"/>
  <c r="M197" i="2"/>
  <c r="L197" i="2"/>
  <c r="J197" i="2"/>
  <c r="I197" i="2"/>
  <c r="H197" i="2"/>
  <c r="G197" i="2"/>
  <c r="G185" i="2" s="1"/>
  <c r="P196" i="2"/>
  <c r="Z195" i="2"/>
  <c r="Y195" i="2"/>
  <c r="K195" i="2"/>
  <c r="P194" i="2"/>
  <c r="V193" i="2"/>
  <c r="T193" i="2"/>
  <c r="R193" i="2"/>
  <c r="P193" i="2"/>
  <c r="X193" i="2" s="1"/>
  <c r="X192" i="2"/>
  <c r="W192" i="2"/>
  <c r="W200" i="2" s="1"/>
  <c r="U192" i="2"/>
  <c r="S192" i="2"/>
  <c r="S200" i="2" s="1"/>
  <c r="Q192" i="2"/>
  <c r="Q200" i="2" s="1"/>
  <c r="P192" i="2"/>
  <c r="T192" i="2" s="1"/>
  <c r="O192" i="2"/>
  <c r="O200" i="2" s="1"/>
  <c r="N192" i="2"/>
  <c r="N184" i="2" s="1"/>
  <c r="M192" i="2"/>
  <c r="L192" i="2"/>
  <c r="L200" i="2" s="1"/>
  <c r="K192" i="2"/>
  <c r="J192" i="2"/>
  <c r="J184" i="2" s="1"/>
  <c r="I192" i="2"/>
  <c r="H192" i="2"/>
  <c r="G192" i="2"/>
  <c r="G200" i="2" s="1"/>
  <c r="Y191" i="2"/>
  <c r="Z191" i="2" s="1"/>
  <c r="Z192" i="2" s="1"/>
  <c r="T191" i="2"/>
  <c r="R191" i="2"/>
  <c r="P191" i="2"/>
  <c r="S187" i="2"/>
  <c r="W186" i="2"/>
  <c r="S186" i="2"/>
  <c r="Q186" i="2"/>
  <c r="O186" i="2"/>
  <c r="L186" i="2"/>
  <c r="K186" i="2"/>
  <c r="I186" i="2"/>
  <c r="H186" i="2"/>
  <c r="G186" i="2"/>
  <c r="Y185" i="2"/>
  <c r="S185" i="2"/>
  <c r="Q185" i="2"/>
  <c r="M185" i="2"/>
  <c r="L185" i="2"/>
  <c r="L187" i="2" s="1"/>
  <c r="I185" i="2"/>
  <c r="H185" i="2"/>
  <c r="W184" i="2"/>
  <c r="S184" i="2"/>
  <c r="O184" i="2"/>
  <c r="O187" i="2" s="1"/>
  <c r="L184" i="2"/>
  <c r="K184" i="2"/>
  <c r="I184" i="2"/>
  <c r="I187" i="2" s="1"/>
  <c r="H184" i="2"/>
  <c r="H187" i="2" s="1"/>
  <c r="G184" i="2"/>
  <c r="G187" i="2" s="1"/>
  <c r="Y180" i="2"/>
  <c r="Z180" i="2" s="1"/>
  <c r="R180" i="2"/>
  <c r="P180" i="2"/>
  <c r="Z179" i="2"/>
  <c r="Y179" i="2"/>
  <c r="P179" i="2"/>
  <c r="Z178" i="2"/>
  <c r="Y178" i="2"/>
  <c r="V178" i="2"/>
  <c r="T178" i="2"/>
  <c r="R178" i="2"/>
  <c r="P178" i="2"/>
  <c r="X178" i="2" s="1"/>
  <c r="Y177" i="2"/>
  <c r="Z177" i="2" s="1"/>
  <c r="X177" i="2"/>
  <c r="R177" i="2"/>
  <c r="P177" i="2"/>
  <c r="V177" i="2" s="1"/>
  <c r="Y176" i="2"/>
  <c r="Z176" i="2" s="1"/>
  <c r="P176" i="2"/>
  <c r="Z175" i="2"/>
  <c r="Y175" i="2"/>
  <c r="X175" i="2"/>
  <c r="V175" i="2"/>
  <c r="T175" i="2"/>
  <c r="P175" i="2"/>
  <c r="R175" i="2" s="1"/>
  <c r="J173" i="2"/>
  <c r="G173" i="2"/>
  <c r="Z172" i="2"/>
  <c r="Z156" i="2" s="1"/>
  <c r="Y172" i="2"/>
  <c r="W172" i="2"/>
  <c r="U172" i="2"/>
  <c r="S172" i="2"/>
  <c r="Q172" i="2"/>
  <c r="O172" i="2"/>
  <c r="O156" i="2" s="1"/>
  <c r="N172" i="2"/>
  <c r="L172" i="2"/>
  <c r="K172" i="2"/>
  <c r="K156" i="2" s="1"/>
  <c r="J172" i="2"/>
  <c r="I172" i="2"/>
  <c r="H172" i="2"/>
  <c r="Z171" i="2"/>
  <c r="Y171" i="2"/>
  <c r="R171" i="2"/>
  <c r="M171" i="2"/>
  <c r="P171" i="2" s="1"/>
  <c r="G171" i="2"/>
  <c r="G172" i="2" s="1"/>
  <c r="G156" i="2" s="1"/>
  <c r="W170" i="2"/>
  <c r="U170" i="2"/>
  <c r="S170" i="2"/>
  <c r="Q170" i="2"/>
  <c r="O170" i="2"/>
  <c r="O155" i="2" s="1"/>
  <c r="N170" i="2"/>
  <c r="N155" i="2" s="1"/>
  <c r="M170" i="2"/>
  <c r="L170" i="2"/>
  <c r="K170" i="2"/>
  <c r="K155" i="2" s="1"/>
  <c r="J170" i="2"/>
  <c r="I170" i="2"/>
  <c r="H170" i="2"/>
  <c r="G170" i="2"/>
  <c r="G155" i="2" s="1"/>
  <c r="Z169" i="2"/>
  <c r="Y169" i="2"/>
  <c r="V169" i="2"/>
  <c r="P169" i="2"/>
  <c r="G169" i="2"/>
  <c r="Z168" i="2"/>
  <c r="Y168" i="2"/>
  <c r="P168" i="2"/>
  <c r="Z167" i="2"/>
  <c r="Y167" i="2"/>
  <c r="X167" i="2"/>
  <c r="V167" i="2"/>
  <c r="T167" i="2"/>
  <c r="R167" i="2"/>
  <c r="P167" i="2"/>
  <c r="Y166" i="2"/>
  <c r="Z166" i="2" s="1"/>
  <c r="X166" i="2"/>
  <c r="T166" i="2"/>
  <c r="R166" i="2"/>
  <c r="P166" i="2"/>
  <c r="V166" i="2" s="1"/>
  <c r="Y165" i="2"/>
  <c r="Z165" i="2" s="1"/>
  <c r="P165" i="2"/>
  <c r="Z164" i="2"/>
  <c r="Y164" i="2"/>
  <c r="P164" i="2"/>
  <c r="R164" i="2" s="1"/>
  <c r="W163" i="2"/>
  <c r="W173" i="2" s="1"/>
  <c r="U163" i="2"/>
  <c r="U173" i="2" s="1"/>
  <c r="S163" i="2"/>
  <c r="Q163" i="2"/>
  <c r="O163" i="2"/>
  <c r="O154" i="2" s="1"/>
  <c r="N163" i="2"/>
  <c r="N154" i="2" s="1"/>
  <c r="M163" i="2"/>
  <c r="L163" i="2"/>
  <c r="L173" i="2" s="1"/>
  <c r="K163" i="2"/>
  <c r="J163" i="2"/>
  <c r="I163" i="2"/>
  <c r="H163" i="2"/>
  <c r="H173" i="2" s="1"/>
  <c r="G163" i="2"/>
  <c r="G154" i="2" s="1"/>
  <c r="G157" i="2" s="1"/>
  <c r="Z162" i="2"/>
  <c r="X162" i="2"/>
  <c r="T162" i="2"/>
  <c r="P162" i="2"/>
  <c r="V162" i="2" s="1"/>
  <c r="M162" i="2"/>
  <c r="G162" i="2"/>
  <c r="Y161" i="2"/>
  <c r="Y163" i="2" s="1"/>
  <c r="V161" i="2"/>
  <c r="T161" i="2"/>
  <c r="R161" i="2"/>
  <c r="P161" i="2"/>
  <c r="X161" i="2" s="1"/>
  <c r="U157" i="2"/>
  <c r="L157" i="2"/>
  <c r="J157" i="2"/>
  <c r="Y156" i="2"/>
  <c r="U156" i="2"/>
  <c r="N156" i="2"/>
  <c r="L156" i="2"/>
  <c r="J156" i="2"/>
  <c r="I156" i="2"/>
  <c r="H156" i="2"/>
  <c r="U155" i="2"/>
  <c r="Q155" i="2"/>
  <c r="M155" i="2"/>
  <c r="L155" i="2"/>
  <c r="J155" i="2"/>
  <c r="I155" i="2"/>
  <c r="H155" i="2"/>
  <c r="U154" i="2"/>
  <c r="Q154" i="2"/>
  <c r="L154" i="2"/>
  <c r="J154" i="2"/>
  <c r="I154" i="2"/>
  <c r="H154" i="2"/>
  <c r="H157" i="2" s="1"/>
  <c r="Z150" i="2"/>
  <c r="P150" i="2"/>
  <c r="N150" i="2"/>
  <c r="Z149" i="2"/>
  <c r="Y149" i="2"/>
  <c r="Y150" i="2" s="1"/>
  <c r="X149" i="2"/>
  <c r="W149" i="2"/>
  <c r="W150" i="2" s="1"/>
  <c r="U149" i="2"/>
  <c r="V149" i="2" s="1"/>
  <c r="S149" i="2"/>
  <c r="S150" i="2" s="1"/>
  <c r="T150" i="2" s="1"/>
  <c r="Q149" i="2"/>
  <c r="P149" i="2"/>
  <c r="T149" i="2" s="1"/>
  <c r="O149" i="2"/>
  <c r="O150" i="2" s="1"/>
  <c r="N149" i="2"/>
  <c r="M149" i="2"/>
  <c r="M150" i="2" s="1"/>
  <c r="L149" i="2"/>
  <c r="L150" i="2" s="1"/>
  <c r="K149" i="2"/>
  <c r="K150" i="2" s="1"/>
  <c r="J149" i="2"/>
  <c r="J150" i="2" s="1"/>
  <c r="I149" i="2"/>
  <c r="I150" i="2" s="1"/>
  <c r="H149" i="2"/>
  <c r="H150" i="2" s="1"/>
  <c r="G149" i="2"/>
  <c r="G150" i="2" s="1"/>
  <c r="P148" i="2"/>
  <c r="R148" i="2" s="1"/>
  <c r="X147" i="2"/>
  <c r="V147" i="2"/>
  <c r="R147" i="2"/>
  <c r="P147" i="2"/>
  <c r="T147" i="2" s="1"/>
  <c r="P146" i="2"/>
  <c r="V146" i="2" s="1"/>
  <c r="Y142" i="2"/>
  <c r="Z142" i="2" s="1"/>
  <c r="X142" i="2"/>
  <c r="V142" i="2"/>
  <c r="R142" i="2"/>
  <c r="P142" i="2"/>
  <c r="T142" i="2" s="1"/>
  <c r="Z141" i="2"/>
  <c r="Y141" i="2"/>
  <c r="T141" i="2"/>
  <c r="R141" i="2"/>
  <c r="P141" i="2"/>
  <c r="Y140" i="2"/>
  <c r="Z140" i="2" s="1"/>
  <c r="R140" i="2"/>
  <c r="P140" i="2"/>
  <c r="U138" i="2"/>
  <c r="S138" i="2"/>
  <c r="M138" i="2"/>
  <c r="L138" i="2"/>
  <c r="K138" i="2"/>
  <c r="W137" i="2"/>
  <c r="W138" i="2" s="1"/>
  <c r="U137" i="2"/>
  <c r="S137" i="2"/>
  <c r="Q137" i="2"/>
  <c r="R137" i="2" s="1"/>
  <c r="P137" i="2"/>
  <c r="T137" i="2" s="1"/>
  <c r="O137" i="2"/>
  <c r="O138" i="2" s="1"/>
  <c r="N137" i="2"/>
  <c r="N138" i="2" s="1"/>
  <c r="M137" i="2"/>
  <c r="L137" i="2"/>
  <c r="K137" i="2"/>
  <c r="J137" i="2"/>
  <c r="I137" i="2"/>
  <c r="H137" i="2"/>
  <c r="G137" i="2"/>
  <c r="G138" i="2" s="1"/>
  <c r="Z136" i="2"/>
  <c r="Y136" i="2"/>
  <c r="P136" i="2"/>
  <c r="Y135" i="2"/>
  <c r="P135" i="2"/>
  <c r="X135" i="2" s="1"/>
  <c r="Z134" i="2"/>
  <c r="Y134" i="2"/>
  <c r="W134" i="2"/>
  <c r="U134" i="2"/>
  <c r="S134" i="2"/>
  <c r="Q134" i="2"/>
  <c r="O134" i="2"/>
  <c r="N134" i="2"/>
  <c r="M134" i="2"/>
  <c r="L134" i="2"/>
  <c r="K134" i="2"/>
  <c r="J134" i="2"/>
  <c r="J138" i="2" s="1"/>
  <c r="I134" i="2"/>
  <c r="I138" i="2" s="1"/>
  <c r="H134" i="2"/>
  <c r="H138" i="2" s="1"/>
  <c r="G134" i="2"/>
  <c r="P133" i="2"/>
  <c r="P134" i="2" s="1"/>
  <c r="S129" i="2"/>
  <c r="L129" i="2"/>
  <c r="J129" i="2"/>
  <c r="I129" i="2"/>
  <c r="W128" i="2"/>
  <c r="U128" i="2"/>
  <c r="S128" i="2"/>
  <c r="Q128" i="2"/>
  <c r="O128" i="2"/>
  <c r="O129" i="2" s="1"/>
  <c r="N128" i="2"/>
  <c r="M128" i="2"/>
  <c r="M129" i="2" s="1"/>
  <c r="L128" i="2"/>
  <c r="J128" i="2"/>
  <c r="I128" i="2"/>
  <c r="H128" i="2"/>
  <c r="G128" i="2"/>
  <c r="G129" i="2" s="1"/>
  <c r="Z126" i="2"/>
  <c r="Y126" i="2"/>
  <c r="P126" i="2"/>
  <c r="X126" i="2" s="1"/>
  <c r="W125" i="2"/>
  <c r="U125" i="2"/>
  <c r="S125" i="2"/>
  <c r="S21" i="2" s="1"/>
  <c r="Q125" i="2"/>
  <c r="Q129" i="2" s="1"/>
  <c r="O125" i="2"/>
  <c r="N125" i="2"/>
  <c r="N129" i="2" s="1"/>
  <c r="M125" i="2"/>
  <c r="L125" i="2"/>
  <c r="J125" i="2"/>
  <c r="I125" i="2"/>
  <c r="H125" i="2"/>
  <c r="H129" i="2" s="1"/>
  <c r="G125" i="2"/>
  <c r="U120" i="2"/>
  <c r="N120" i="2"/>
  <c r="M120" i="2"/>
  <c r="L120" i="2"/>
  <c r="Z119" i="2"/>
  <c r="Y119" i="2"/>
  <c r="W119" i="2"/>
  <c r="U119" i="2"/>
  <c r="S119" i="2"/>
  <c r="T119" i="2" s="1"/>
  <c r="R119" i="2"/>
  <c r="Q119" i="2"/>
  <c r="P119" i="2"/>
  <c r="O119" i="2"/>
  <c r="N119" i="2"/>
  <c r="M119" i="2"/>
  <c r="L119" i="2"/>
  <c r="K119" i="2"/>
  <c r="J119" i="2"/>
  <c r="I119" i="2"/>
  <c r="H119" i="2"/>
  <c r="G119" i="2"/>
  <c r="P118" i="2"/>
  <c r="Y117" i="2"/>
  <c r="W117" i="2"/>
  <c r="U117" i="2"/>
  <c r="S117" i="2"/>
  <c r="Q117" i="2"/>
  <c r="O117" i="2"/>
  <c r="N117" i="2"/>
  <c r="M117" i="2"/>
  <c r="L117" i="2"/>
  <c r="K117" i="2"/>
  <c r="J117" i="2"/>
  <c r="I117" i="2"/>
  <c r="H117" i="2"/>
  <c r="G117" i="2"/>
  <c r="Y116" i="2"/>
  <c r="Z116" i="2" s="1"/>
  <c r="Z117" i="2" s="1"/>
  <c r="X116" i="2"/>
  <c r="V116" i="2"/>
  <c r="T116" i="2"/>
  <c r="R116" i="2"/>
  <c r="P116" i="2"/>
  <c r="Z115" i="2"/>
  <c r="Y115" i="2"/>
  <c r="P115" i="2"/>
  <c r="K115" i="2"/>
  <c r="P114" i="2"/>
  <c r="X113" i="2"/>
  <c r="V113" i="2"/>
  <c r="T113" i="2"/>
  <c r="R113" i="2"/>
  <c r="P113" i="2"/>
  <c r="W112" i="2"/>
  <c r="U112" i="2"/>
  <c r="S112" i="2"/>
  <c r="S120" i="2" s="1"/>
  <c r="Q112" i="2"/>
  <c r="Q120" i="2" s="1"/>
  <c r="O112" i="2"/>
  <c r="O120" i="2" s="1"/>
  <c r="N112" i="2"/>
  <c r="M112" i="2"/>
  <c r="L112" i="2"/>
  <c r="J112" i="2"/>
  <c r="J120" i="2" s="1"/>
  <c r="I112" i="2"/>
  <c r="H112" i="2"/>
  <c r="G112" i="2"/>
  <c r="G120" i="2" s="1"/>
  <c r="P111" i="2"/>
  <c r="K111" i="2"/>
  <c r="Z110" i="2"/>
  <c r="Y110" i="2"/>
  <c r="P110" i="2"/>
  <c r="P112" i="2" s="1"/>
  <c r="Z109" i="2"/>
  <c r="Y109" i="2"/>
  <c r="P109" i="2"/>
  <c r="X109" i="2" s="1"/>
  <c r="S105" i="2"/>
  <c r="Q105" i="2"/>
  <c r="K105" i="2"/>
  <c r="J105" i="2"/>
  <c r="I105" i="2"/>
  <c r="H105" i="2"/>
  <c r="W104" i="2"/>
  <c r="W105" i="2" s="1"/>
  <c r="U104" i="2"/>
  <c r="U105" i="2" s="1"/>
  <c r="S104" i="2"/>
  <c r="Q104" i="2"/>
  <c r="O104" i="2"/>
  <c r="O105" i="2" s="1"/>
  <c r="N104" i="2"/>
  <c r="N105" i="2" s="1"/>
  <c r="M104" i="2"/>
  <c r="M105" i="2" s="1"/>
  <c r="L104" i="2"/>
  <c r="L105" i="2" s="1"/>
  <c r="K104" i="2"/>
  <c r="J104" i="2"/>
  <c r="I104" i="2"/>
  <c r="H104" i="2"/>
  <c r="G104" i="2"/>
  <c r="G105" i="2" s="1"/>
  <c r="Y103" i="2"/>
  <c r="X103" i="2"/>
  <c r="P103" i="2"/>
  <c r="V103" i="2" s="1"/>
  <c r="Y99" i="2"/>
  <c r="Z99" i="2" s="1"/>
  <c r="X99" i="2"/>
  <c r="V99" i="2"/>
  <c r="P99" i="2"/>
  <c r="T99" i="2" s="1"/>
  <c r="Y98" i="2"/>
  <c r="Z98" i="2" s="1"/>
  <c r="X98" i="2"/>
  <c r="V98" i="2"/>
  <c r="T98" i="2"/>
  <c r="P98" i="2"/>
  <c r="R98" i="2" s="1"/>
  <c r="Y97" i="2"/>
  <c r="Z97" i="2" s="1"/>
  <c r="X97" i="2"/>
  <c r="V97" i="2"/>
  <c r="T97" i="2"/>
  <c r="R97" i="2"/>
  <c r="P97" i="2"/>
  <c r="Y96" i="2"/>
  <c r="Z96" i="2" s="1"/>
  <c r="P96" i="2"/>
  <c r="Y95" i="2"/>
  <c r="Z95" i="2" s="1"/>
  <c r="R95" i="2"/>
  <c r="P95" i="2"/>
  <c r="T95" i="2" s="1"/>
  <c r="Z94" i="2"/>
  <c r="Y94" i="2"/>
  <c r="P94" i="2"/>
  <c r="S92" i="2"/>
  <c r="K92" i="2"/>
  <c r="J92" i="2"/>
  <c r="Z91" i="2"/>
  <c r="Y91" i="2"/>
  <c r="W91" i="2"/>
  <c r="U91" i="2"/>
  <c r="S91" i="2"/>
  <c r="Q91" i="2"/>
  <c r="P91" i="2"/>
  <c r="X91" i="2" s="1"/>
  <c r="O91" i="2"/>
  <c r="N91" i="2"/>
  <c r="M91" i="2"/>
  <c r="L91" i="2"/>
  <c r="K91" i="2"/>
  <c r="J91" i="2"/>
  <c r="I91" i="2"/>
  <c r="H91" i="2"/>
  <c r="G91" i="2"/>
  <c r="X90" i="2"/>
  <c r="V90" i="2"/>
  <c r="P90" i="2"/>
  <c r="T90" i="2" s="1"/>
  <c r="Y89" i="2"/>
  <c r="Y92" i="2" s="1"/>
  <c r="W89" i="2"/>
  <c r="U89" i="2"/>
  <c r="S89" i="2"/>
  <c r="Q89" i="2"/>
  <c r="O89" i="2"/>
  <c r="N89" i="2"/>
  <c r="M89" i="2"/>
  <c r="L89" i="2"/>
  <c r="J89" i="2"/>
  <c r="I89" i="2"/>
  <c r="I92" i="2" s="1"/>
  <c r="H89" i="2"/>
  <c r="G89" i="2"/>
  <c r="Z88" i="2"/>
  <c r="Z89" i="2" s="1"/>
  <c r="Z92" i="2" s="1"/>
  <c r="Y88" i="2"/>
  <c r="P88" i="2"/>
  <c r="K88" i="2"/>
  <c r="K89" i="2" s="1"/>
  <c r="X87" i="2"/>
  <c r="P87" i="2"/>
  <c r="V87" i="2" s="1"/>
  <c r="X86" i="2"/>
  <c r="V86" i="2"/>
  <c r="T86" i="2"/>
  <c r="R86" i="2"/>
  <c r="P86" i="2"/>
  <c r="Z85" i="2"/>
  <c r="Y85" i="2"/>
  <c r="W85" i="2"/>
  <c r="U85" i="2"/>
  <c r="T85" i="2"/>
  <c r="S85" i="2"/>
  <c r="Q85" i="2"/>
  <c r="R85" i="2" s="1"/>
  <c r="P85" i="2"/>
  <c r="O85" i="2"/>
  <c r="N85" i="2"/>
  <c r="M85" i="2"/>
  <c r="L85" i="2"/>
  <c r="K85" i="2"/>
  <c r="J85" i="2"/>
  <c r="I85" i="2"/>
  <c r="H85" i="2"/>
  <c r="G85" i="2"/>
  <c r="G92" i="2" s="1"/>
  <c r="X84" i="2"/>
  <c r="V84" i="2"/>
  <c r="T84" i="2"/>
  <c r="P84" i="2"/>
  <c r="R84" i="2" s="1"/>
  <c r="Y80" i="2"/>
  <c r="Z80" i="2" s="1"/>
  <c r="X80" i="2"/>
  <c r="V80" i="2"/>
  <c r="T80" i="2"/>
  <c r="R80" i="2"/>
  <c r="P80" i="2"/>
  <c r="Z79" i="2"/>
  <c r="T79" i="2"/>
  <c r="Q79" i="2"/>
  <c r="R79" i="2" s="1"/>
  <c r="P79" i="2"/>
  <c r="K79" i="2"/>
  <c r="Y78" i="2"/>
  <c r="Z78" i="2" s="1"/>
  <c r="T78" i="2"/>
  <c r="R78" i="2"/>
  <c r="P78" i="2"/>
  <c r="X78" i="2" s="1"/>
  <c r="Y77" i="2"/>
  <c r="Z77" i="2" s="1"/>
  <c r="T77" i="2"/>
  <c r="R77" i="2"/>
  <c r="P77" i="2"/>
  <c r="Z76" i="2"/>
  <c r="Y76" i="2"/>
  <c r="R76" i="2"/>
  <c r="P76" i="2"/>
  <c r="S74" i="2"/>
  <c r="Q74" i="2"/>
  <c r="L74" i="2"/>
  <c r="K74" i="2"/>
  <c r="J74" i="2"/>
  <c r="I74" i="2"/>
  <c r="W73" i="2"/>
  <c r="W74" i="2" s="1"/>
  <c r="U73" i="2"/>
  <c r="S73" i="2"/>
  <c r="Q73" i="2"/>
  <c r="P73" i="2"/>
  <c r="P74" i="2" s="1"/>
  <c r="T74" i="2" s="1"/>
  <c r="O73" i="2"/>
  <c r="O74" i="2" s="1"/>
  <c r="N73" i="2"/>
  <c r="N74" i="2" s="1"/>
  <c r="M73" i="2"/>
  <c r="L73" i="2"/>
  <c r="K73" i="2"/>
  <c r="J73" i="2"/>
  <c r="I73" i="2"/>
  <c r="H73" i="2"/>
  <c r="H74" i="2" s="1"/>
  <c r="G73" i="2"/>
  <c r="G74" i="2" s="1"/>
  <c r="Z72" i="2"/>
  <c r="Y72" i="2"/>
  <c r="P72" i="2"/>
  <c r="Z71" i="2"/>
  <c r="Y71" i="2"/>
  <c r="X71" i="2"/>
  <c r="P71" i="2"/>
  <c r="V71" i="2" s="1"/>
  <c r="Y70" i="2"/>
  <c r="Y73" i="2" s="1"/>
  <c r="Y74" i="2" s="1"/>
  <c r="N70" i="2"/>
  <c r="P70" i="2" s="1"/>
  <c r="O66" i="2"/>
  <c r="J66" i="2"/>
  <c r="I66" i="2"/>
  <c r="W65" i="2"/>
  <c r="U65" i="2"/>
  <c r="S65" i="2"/>
  <c r="S66" i="2" s="1"/>
  <c r="Q65" i="2"/>
  <c r="O65" i="2"/>
  <c r="N65" i="2"/>
  <c r="M65" i="2"/>
  <c r="L65" i="2"/>
  <c r="L30" i="2" s="1"/>
  <c r="L23" i="2" s="1"/>
  <c r="K65" i="2"/>
  <c r="J65" i="2"/>
  <c r="I65" i="2"/>
  <c r="H65" i="2"/>
  <c r="G65" i="2"/>
  <c r="Z64" i="2"/>
  <c r="Z65" i="2" s="1"/>
  <c r="Z66" i="2" s="1"/>
  <c r="Y64" i="2"/>
  <c r="Y65" i="2" s="1"/>
  <c r="X64" i="2"/>
  <c r="V64" i="2"/>
  <c r="T64" i="2"/>
  <c r="P64" i="2"/>
  <c r="R64" i="2" s="1"/>
  <c r="Y63" i="2"/>
  <c r="Y66" i="2" s="1"/>
  <c r="X63" i="2"/>
  <c r="W63" i="2"/>
  <c r="W66" i="2" s="1"/>
  <c r="U63" i="2"/>
  <c r="U66" i="2" s="1"/>
  <c r="S63" i="2"/>
  <c r="Q63" i="2"/>
  <c r="P63" i="2"/>
  <c r="V63" i="2" s="1"/>
  <c r="O63" i="2"/>
  <c r="N63" i="2"/>
  <c r="N66" i="2" s="1"/>
  <c r="M63" i="2"/>
  <c r="M66" i="2" s="1"/>
  <c r="L63" i="2"/>
  <c r="L66" i="2" s="1"/>
  <c r="J63" i="2"/>
  <c r="I63" i="2"/>
  <c r="H63" i="2"/>
  <c r="H66" i="2" s="1"/>
  <c r="G63" i="2"/>
  <c r="G66" i="2" s="1"/>
  <c r="Z62" i="2"/>
  <c r="Z63" i="2" s="1"/>
  <c r="Y62" i="2"/>
  <c r="P62" i="2"/>
  <c r="K62" i="2"/>
  <c r="K63" i="2" s="1"/>
  <c r="K66" i="2" s="1"/>
  <c r="X61" i="2"/>
  <c r="P61" i="2"/>
  <c r="V61" i="2" s="1"/>
  <c r="X60" i="2"/>
  <c r="V60" i="2"/>
  <c r="T60" i="2"/>
  <c r="R60" i="2"/>
  <c r="P60" i="2"/>
  <c r="U56" i="2"/>
  <c r="N56" i="2"/>
  <c r="M56" i="2"/>
  <c r="L56" i="2"/>
  <c r="G56" i="2"/>
  <c r="Z55" i="2"/>
  <c r="Y55" i="2"/>
  <c r="Y30" i="2" s="1"/>
  <c r="Y23" i="2" s="1"/>
  <c r="W55" i="2"/>
  <c r="U55" i="2"/>
  <c r="S55" i="2"/>
  <c r="Q55" i="2"/>
  <c r="Q30" i="2" s="1"/>
  <c r="O55" i="2"/>
  <c r="N55" i="2"/>
  <c r="M55" i="2"/>
  <c r="L55" i="2"/>
  <c r="K55" i="2"/>
  <c r="K30" i="2" s="1"/>
  <c r="K23" i="2" s="1"/>
  <c r="K6" i="2" s="1"/>
  <c r="K16" i="2" s="1"/>
  <c r="J55" i="2"/>
  <c r="J30" i="2" s="1"/>
  <c r="J23" i="2" s="1"/>
  <c r="I55" i="2"/>
  <c r="I30" i="2" s="1"/>
  <c r="I23" i="2" s="1"/>
  <c r="H55" i="2"/>
  <c r="G55" i="2"/>
  <c r="R54" i="2"/>
  <c r="P54" i="2"/>
  <c r="W53" i="2"/>
  <c r="U53" i="2"/>
  <c r="S53" i="2"/>
  <c r="Q53" i="2"/>
  <c r="O53" i="2"/>
  <c r="N53" i="2"/>
  <c r="M53" i="2"/>
  <c r="L53" i="2"/>
  <c r="J53" i="2"/>
  <c r="J29" i="2" s="1"/>
  <c r="J22" i="2" s="1"/>
  <c r="I53" i="2"/>
  <c r="I29" i="2" s="1"/>
  <c r="I22" i="2" s="1"/>
  <c r="H53" i="2"/>
  <c r="G53" i="2"/>
  <c r="T52" i="2"/>
  <c r="R52" i="2"/>
  <c r="P52" i="2"/>
  <c r="Z51" i="2"/>
  <c r="Y51" i="2"/>
  <c r="R51" i="2"/>
  <c r="K51" i="2"/>
  <c r="P51" i="2" s="1"/>
  <c r="X50" i="2"/>
  <c r="P50" i="2"/>
  <c r="V50" i="2" s="1"/>
  <c r="W48" i="2"/>
  <c r="U48" i="2"/>
  <c r="S48" i="2"/>
  <c r="Q48" i="2"/>
  <c r="O48" i="2"/>
  <c r="N48" i="2"/>
  <c r="M48" i="2"/>
  <c r="L48" i="2"/>
  <c r="J48" i="2"/>
  <c r="H48" i="2"/>
  <c r="H56" i="2" s="1"/>
  <c r="G48" i="2"/>
  <c r="P47" i="2"/>
  <c r="Y46" i="2"/>
  <c r="K46" i="2"/>
  <c r="I46" i="2"/>
  <c r="I48" i="2" s="1"/>
  <c r="Z42" i="2"/>
  <c r="S42" i="2"/>
  <c r="L42" i="2"/>
  <c r="K42" i="2"/>
  <c r="J42" i="2"/>
  <c r="Z41" i="2"/>
  <c r="Y41" i="2"/>
  <c r="W41" i="2"/>
  <c r="U41" i="2"/>
  <c r="S41" i="2"/>
  <c r="Q41" i="2"/>
  <c r="P41" i="2"/>
  <c r="O41" i="2"/>
  <c r="N41" i="2"/>
  <c r="N30" i="2" s="1"/>
  <c r="N23" i="2" s="1"/>
  <c r="M41" i="2"/>
  <c r="M42" i="2" s="1"/>
  <c r="L41" i="2"/>
  <c r="K41" i="2"/>
  <c r="J41" i="2"/>
  <c r="I41" i="2"/>
  <c r="H41" i="2"/>
  <c r="H30" i="2" s="1"/>
  <c r="H23" i="2" s="1"/>
  <c r="H6" i="2" s="1"/>
  <c r="H16" i="2" s="1"/>
  <c r="G41" i="2"/>
  <c r="X40" i="2"/>
  <c r="V40" i="2"/>
  <c r="P40" i="2"/>
  <c r="T40" i="2" s="1"/>
  <c r="W39" i="2"/>
  <c r="U39" i="2"/>
  <c r="S39" i="2"/>
  <c r="Q39" i="2"/>
  <c r="Q29" i="2" s="1"/>
  <c r="O39" i="2"/>
  <c r="N39" i="2"/>
  <c r="M39" i="2"/>
  <c r="L39" i="2"/>
  <c r="J39" i="2"/>
  <c r="I39" i="2"/>
  <c r="I42" i="2" s="1"/>
  <c r="H39" i="2"/>
  <c r="G39" i="2"/>
  <c r="X38" i="2"/>
  <c r="P38" i="2"/>
  <c r="V38" i="2" s="1"/>
  <c r="Z37" i="2"/>
  <c r="Z39" i="2" s="1"/>
  <c r="Y37" i="2"/>
  <c r="Y39" i="2" s="1"/>
  <c r="K37" i="2"/>
  <c r="K39" i="2" s="1"/>
  <c r="X36" i="2"/>
  <c r="V36" i="2"/>
  <c r="T36" i="2"/>
  <c r="R36" i="2"/>
  <c r="P36" i="2"/>
  <c r="R35" i="2"/>
  <c r="P35" i="2"/>
  <c r="W30" i="2"/>
  <c r="W23" i="2" s="1"/>
  <c r="O30" i="2"/>
  <c r="O23" i="2" s="1"/>
  <c r="G30" i="2"/>
  <c r="G23" i="2" s="1"/>
  <c r="G6" i="2" s="1"/>
  <c r="G16" i="2" s="1"/>
  <c r="L29" i="2"/>
  <c r="S28" i="2"/>
  <c r="N28" i="2"/>
  <c r="M28" i="2"/>
  <c r="H28" i="2"/>
  <c r="L22" i="2"/>
  <c r="M21" i="2"/>
  <c r="S15" i="2"/>
  <c r="J15" i="2"/>
  <c r="W12" i="2"/>
  <c r="O12" i="2"/>
  <c r="N12" i="2"/>
  <c r="H12" i="2"/>
  <c r="G12" i="2"/>
  <c r="Z11" i="2"/>
  <c r="Z12" i="2" s="1"/>
  <c r="W11" i="2"/>
  <c r="S11" i="2"/>
  <c r="S12" i="2" s="1"/>
  <c r="O11" i="2"/>
  <c r="N11" i="2"/>
  <c r="L11" i="2"/>
  <c r="L12" i="2" s="1"/>
  <c r="K11" i="2"/>
  <c r="K12" i="2" s="1"/>
  <c r="J11" i="2"/>
  <c r="J12" i="2" s="1"/>
  <c r="H11" i="2"/>
  <c r="G11" i="2"/>
  <c r="S9" i="2"/>
  <c r="Z8" i="2"/>
  <c r="Y8" i="2"/>
  <c r="X8" i="2"/>
  <c r="W8" i="2"/>
  <c r="V8" i="2"/>
  <c r="U8" i="2"/>
  <c r="S8" i="2"/>
  <c r="Q8" i="2"/>
  <c r="P8" i="2"/>
  <c r="O8" i="2"/>
  <c r="N8" i="2"/>
  <c r="L8" i="2"/>
  <c r="K8" i="2"/>
  <c r="J8" i="2"/>
  <c r="I8" i="2"/>
  <c r="G8" i="2"/>
  <c r="Y6" i="2"/>
  <c r="Y16" i="2" s="1"/>
  <c r="N6" i="2"/>
  <c r="N16" i="2" s="1"/>
  <c r="L6" i="2"/>
  <c r="L16" i="2" s="1"/>
  <c r="W5" i="2"/>
  <c r="W15" i="2" s="1"/>
  <c r="S5" i="2"/>
  <c r="Q5" i="2"/>
  <c r="N5" i="2"/>
  <c r="N15" i="2" s="1"/>
  <c r="M5" i="2"/>
  <c r="L5" i="2"/>
  <c r="L15" i="2" s="1"/>
  <c r="K5" i="2"/>
  <c r="J5" i="2"/>
  <c r="I5" i="2"/>
  <c r="H5" i="2"/>
  <c r="H15" i="2" s="1"/>
  <c r="G5" i="2"/>
  <c r="G15" i="2" s="1"/>
  <c r="U136" i="1"/>
  <c r="S136" i="1"/>
  <c r="Q136" i="1"/>
  <c r="O136" i="1"/>
  <c r="M136" i="1"/>
  <c r="U135" i="1"/>
  <c r="M135" i="1"/>
  <c r="J135" i="1"/>
  <c r="U134" i="1"/>
  <c r="Q134" i="1"/>
  <c r="O134" i="1"/>
  <c r="M134" i="1"/>
  <c r="S134" i="1" s="1"/>
  <c r="J133" i="1"/>
  <c r="S132" i="1"/>
  <c r="Q132" i="1"/>
  <c r="O132" i="1"/>
  <c r="M132" i="1"/>
  <c r="U132" i="1" s="1"/>
  <c r="J132" i="1"/>
  <c r="R130" i="1"/>
  <c r="D130" i="1"/>
  <c r="W129" i="1"/>
  <c r="W14" i="1" s="1"/>
  <c r="V129" i="1"/>
  <c r="T129" i="1"/>
  <c r="R129" i="1"/>
  <c r="S129" i="1" s="1"/>
  <c r="P129" i="1"/>
  <c r="Q129" i="1" s="1"/>
  <c r="O129" i="1"/>
  <c r="N129" i="1"/>
  <c r="M129" i="1"/>
  <c r="U129" i="1" s="1"/>
  <c r="L129" i="1"/>
  <c r="K129" i="1"/>
  <c r="J129" i="1"/>
  <c r="I129" i="1"/>
  <c r="H129" i="1"/>
  <c r="H14" i="1" s="1"/>
  <c r="H19" i="1" s="1"/>
  <c r="G129" i="1"/>
  <c r="G14" i="1" s="1"/>
  <c r="F129" i="1"/>
  <c r="E129" i="1"/>
  <c r="D129" i="1"/>
  <c r="W128" i="1"/>
  <c r="V128" i="1"/>
  <c r="T128" i="1"/>
  <c r="R128" i="1"/>
  <c r="P128" i="1"/>
  <c r="N128" i="1"/>
  <c r="L128" i="1"/>
  <c r="K128" i="1"/>
  <c r="J128" i="1"/>
  <c r="I128" i="1"/>
  <c r="H128" i="1"/>
  <c r="G128" i="1"/>
  <c r="F128" i="1"/>
  <c r="E128" i="1"/>
  <c r="D128" i="1"/>
  <c r="W127" i="1"/>
  <c r="V127" i="1"/>
  <c r="T127" i="1"/>
  <c r="R127" i="1"/>
  <c r="P127" i="1"/>
  <c r="N127" i="1"/>
  <c r="L127" i="1"/>
  <c r="K127" i="1"/>
  <c r="J127" i="1"/>
  <c r="I127" i="1"/>
  <c r="G127" i="1"/>
  <c r="F127" i="1"/>
  <c r="E127" i="1"/>
  <c r="D127" i="1"/>
  <c r="W126" i="1"/>
  <c r="V126" i="1"/>
  <c r="V130" i="1" s="1"/>
  <c r="T126" i="1"/>
  <c r="T130" i="1" s="1"/>
  <c r="R126" i="1"/>
  <c r="P126" i="1"/>
  <c r="P130" i="1" s="1"/>
  <c r="N126" i="1"/>
  <c r="L126" i="1"/>
  <c r="L130" i="1" s="1"/>
  <c r="K126" i="1"/>
  <c r="J126" i="1"/>
  <c r="J130" i="1" s="1"/>
  <c r="I126" i="1"/>
  <c r="H126" i="1"/>
  <c r="G126" i="1"/>
  <c r="G11" i="1" s="1"/>
  <c r="F126" i="1"/>
  <c r="E126" i="1"/>
  <c r="E130" i="1" s="1"/>
  <c r="D126" i="1"/>
  <c r="T122" i="1"/>
  <c r="R122" i="1"/>
  <c r="P122" i="1"/>
  <c r="N122" i="1"/>
  <c r="L122" i="1"/>
  <c r="K122" i="1"/>
  <c r="J122" i="1"/>
  <c r="J77" i="1" s="1"/>
  <c r="I122" i="1"/>
  <c r="H122" i="1"/>
  <c r="H77" i="1" s="1"/>
  <c r="G122" i="1"/>
  <c r="F122" i="1"/>
  <c r="E122" i="1"/>
  <c r="D122" i="1"/>
  <c r="V121" i="1"/>
  <c r="W121" i="1" s="1"/>
  <c r="S121" i="1"/>
  <c r="Q121" i="1"/>
  <c r="M121" i="1"/>
  <c r="U121" i="1" s="1"/>
  <c r="V120" i="1"/>
  <c r="W120" i="1" s="1"/>
  <c r="O120" i="1"/>
  <c r="M120" i="1"/>
  <c r="T119" i="1"/>
  <c r="R119" i="1"/>
  <c r="P119" i="1"/>
  <c r="N119" i="1"/>
  <c r="L119" i="1"/>
  <c r="K119" i="1"/>
  <c r="J119" i="1"/>
  <c r="I119" i="1"/>
  <c r="I76" i="1" s="1"/>
  <c r="H119" i="1"/>
  <c r="H76" i="1" s="1"/>
  <c r="G119" i="1"/>
  <c r="F119" i="1"/>
  <c r="E119" i="1"/>
  <c r="D119" i="1"/>
  <c r="V118" i="1"/>
  <c r="Y269" i="2" s="1"/>
  <c r="Y270" i="2" s="1"/>
  <c r="Y259" i="2" s="1"/>
  <c r="Y251" i="2" s="1"/>
  <c r="Y5" i="2" s="1"/>
  <c r="U118" i="1"/>
  <c r="S118" i="1"/>
  <c r="M118" i="1"/>
  <c r="Q118" i="1" s="1"/>
  <c r="T117" i="1"/>
  <c r="R117" i="1"/>
  <c r="P117" i="1"/>
  <c r="N117" i="1"/>
  <c r="L117" i="1"/>
  <c r="K117" i="1"/>
  <c r="K75" i="1" s="1"/>
  <c r="I117" i="1"/>
  <c r="H117" i="1"/>
  <c r="H75" i="1" s="1"/>
  <c r="F117" i="1"/>
  <c r="D117" i="1"/>
  <c r="J116" i="1"/>
  <c r="M116" i="1" s="1"/>
  <c r="U115" i="1"/>
  <c r="S115" i="1"/>
  <c r="Q115" i="1"/>
  <c r="O115" i="1"/>
  <c r="M115" i="1"/>
  <c r="M114" i="1"/>
  <c r="U113" i="1"/>
  <c r="S113" i="1"/>
  <c r="Q113" i="1"/>
  <c r="O113" i="1"/>
  <c r="M113" i="1"/>
  <c r="U112" i="1"/>
  <c r="S112" i="1"/>
  <c r="Q112" i="1"/>
  <c r="O112" i="1"/>
  <c r="M112" i="1"/>
  <c r="J111" i="1"/>
  <c r="M111" i="1" s="1"/>
  <c r="U110" i="1"/>
  <c r="S110" i="1"/>
  <c r="Q110" i="1"/>
  <c r="O110" i="1"/>
  <c r="M110" i="1"/>
  <c r="U109" i="1"/>
  <c r="S109" i="1"/>
  <c r="Q109" i="1"/>
  <c r="O109" i="1"/>
  <c r="M109" i="1"/>
  <c r="M108" i="1"/>
  <c r="U108" i="1" s="1"/>
  <c r="W107" i="1"/>
  <c r="V107" i="1"/>
  <c r="Q107" i="1"/>
  <c r="M107" i="1"/>
  <c r="U107" i="1" s="1"/>
  <c r="V106" i="1"/>
  <c r="W106" i="1" s="1"/>
  <c r="U106" i="1"/>
  <c r="S106" i="1"/>
  <c r="Q106" i="1"/>
  <c r="O106" i="1"/>
  <c r="M106" i="1"/>
  <c r="V105" i="1"/>
  <c r="W105" i="1" s="1"/>
  <c r="U105" i="1"/>
  <c r="S105" i="1"/>
  <c r="M105" i="1"/>
  <c r="Q105" i="1" s="1"/>
  <c r="V104" i="1"/>
  <c r="W104" i="1" s="1"/>
  <c r="Z46" i="2" s="1"/>
  <c r="U104" i="1"/>
  <c r="S104" i="1"/>
  <c r="Q104" i="1"/>
  <c r="M104" i="1"/>
  <c r="O104" i="1" s="1"/>
  <c r="W103" i="1"/>
  <c r="V103" i="1"/>
  <c r="U103" i="1"/>
  <c r="S103" i="1"/>
  <c r="Q103" i="1"/>
  <c r="O103" i="1"/>
  <c r="M103" i="1"/>
  <c r="V102" i="1"/>
  <c r="O102" i="1"/>
  <c r="M102" i="1"/>
  <c r="V101" i="1"/>
  <c r="W101" i="1" s="1"/>
  <c r="M101" i="1"/>
  <c r="U100" i="1"/>
  <c r="S100" i="1"/>
  <c r="Q100" i="1"/>
  <c r="O100" i="1"/>
  <c r="M100" i="1"/>
  <c r="W99" i="1"/>
  <c r="U99" i="1"/>
  <c r="S99" i="1"/>
  <c r="Q99" i="1"/>
  <c r="M99" i="1"/>
  <c r="O99" i="1" s="1"/>
  <c r="W98" i="1"/>
  <c r="M98" i="1"/>
  <c r="W97" i="1"/>
  <c r="K97" i="1"/>
  <c r="J97" i="1"/>
  <c r="M97" i="1" s="1"/>
  <c r="V96" i="1"/>
  <c r="W96" i="1" s="1"/>
  <c r="M96" i="1"/>
  <c r="W95" i="1"/>
  <c r="V95" i="1"/>
  <c r="M95" i="1"/>
  <c r="U95" i="1" s="1"/>
  <c r="V94" i="1"/>
  <c r="W94" i="1" s="1"/>
  <c r="Q94" i="1"/>
  <c r="M94" i="1"/>
  <c r="U94" i="1" s="1"/>
  <c r="G94" i="1"/>
  <c r="G117" i="1" s="1"/>
  <c r="G75" i="1" s="1"/>
  <c r="G78" i="1" s="1"/>
  <c r="E94" i="1"/>
  <c r="E117" i="1" s="1"/>
  <c r="U93" i="1"/>
  <c r="S93" i="1"/>
  <c r="Q93" i="1"/>
  <c r="O93" i="1"/>
  <c r="M93" i="1"/>
  <c r="U92" i="1"/>
  <c r="S92" i="1"/>
  <c r="Q92" i="1"/>
  <c r="O92" i="1"/>
  <c r="M92" i="1"/>
  <c r="V91" i="1"/>
  <c r="W91" i="1" s="1"/>
  <c r="M91" i="1"/>
  <c r="O91" i="1" s="1"/>
  <c r="V90" i="1"/>
  <c r="W90" i="1" s="1"/>
  <c r="M90" i="1"/>
  <c r="U89" i="1"/>
  <c r="S89" i="1"/>
  <c r="Q89" i="1"/>
  <c r="O89" i="1"/>
  <c r="M89" i="1"/>
  <c r="V88" i="1"/>
  <c r="W88" i="1" s="1"/>
  <c r="U88" i="1"/>
  <c r="S88" i="1"/>
  <c r="M88" i="1"/>
  <c r="Q88" i="1" s="1"/>
  <c r="E88" i="1"/>
  <c r="V87" i="1"/>
  <c r="W87" i="1" s="1"/>
  <c r="U87" i="1"/>
  <c r="S87" i="1"/>
  <c r="M87" i="1"/>
  <c r="Q87" i="1" s="1"/>
  <c r="V86" i="1"/>
  <c r="W86" i="1" s="1"/>
  <c r="U86" i="1"/>
  <c r="S86" i="1"/>
  <c r="Q86" i="1"/>
  <c r="M86" i="1"/>
  <c r="O86" i="1" s="1"/>
  <c r="W85" i="1"/>
  <c r="V85" i="1"/>
  <c r="U85" i="1"/>
  <c r="S85" i="1"/>
  <c r="Q85" i="1"/>
  <c r="O85" i="1"/>
  <c r="M85" i="1"/>
  <c r="D85" i="1"/>
  <c r="W84" i="1"/>
  <c r="V84" i="1"/>
  <c r="U84" i="1"/>
  <c r="S84" i="1"/>
  <c r="Q84" i="1"/>
  <c r="O84" i="1"/>
  <c r="M84" i="1"/>
  <c r="V83" i="1"/>
  <c r="W83" i="1" s="1"/>
  <c r="M83" i="1"/>
  <c r="V82" i="1"/>
  <c r="W82" i="1" s="1"/>
  <c r="J82" i="1"/>
  <c r="T77" i="1"/>
  <c r="N77" i="1"/>
  <c r="L77" i="1"/>
  <c r="K77" i="1"/>
  <c r="I77" i="1"/>
  <c r="G77" i="1"/>
  <c r="F77" i="1"/>
  <c r="E77" i="1"/>
  <c r="E6" i="1" s="1"/>
  <c r="E19" i="1" s="1"/>
  <c r="D77" i="1"/>
  <c r="T76" i="1"/>
  <c r="R76" i="1"/>
  <c r="P76" i="1"/>
  <c r="P5" i="1" s="1"/>
  <c r="N76" i="1"/>
  <c r="L76" i="1"/>
  <c r="K76" i="1"/>
  <c r="J76" i="1"/>
  <c r="G76" i="1"/>
  <c r="F76" i="1"/>
  <c r="E76" i="1"/>
  <c r="D76" i="1"/>
  <c r="T75" i="1"/>
  <c r="R75" i="1"/>
  <c r="N75" i="1"/>
  <c r="N78" i="1" s="1"/>
  <c r="L75" i="1"/>
  <c r="I75" i="1"/>
  <c r="F75" i="1"/>
  <c r="F78" i="1" s="1"/>
  <c r="E75" i="1"/>
  <c r="E78" i="1" s="1"/>
  <c r="D75" i="1"/>
  <c r="V71" i="1"/>
  <c r="W71" i="1" s="1"/>
  <c r="M71" i="1"/>
  <c r="W70" i="1"/>
  <c r="J70" i="1"/>
  <c r="M70" i="1" s="1"/>
  <c r="U69" i="1"/>
  <c r="S69" i="1"/>
  <c r="M69" i="1"/>
  <c r="Q69" i="1" s="1"/>
  <c r="J69" i="1"/>
  <c r="V68" i="1"/>
  <c r="W68" i="1" s="1"/>
  <c r="U68" i="1"/>
  <c r="S68" i="1"/>
  <c r="M68" i="1"/>
  <c r="Q68" i="1" s="1"/>
  <c r="V67" i="1"/>
  <c r="W67" i="1" s="1"/>
  <c r="U67" i="1"/>
  <c r="S67" i="1"/>
  <c r="Q67" i="1"/>
  <c r="M67" i="1"/>
  <c r="O67" i="1" s="1"/>
  <c r="W66" i="1"/>
  <c r="V66" i="1"/>
  <c r="U66" i="1"/>
  <c r="S66" i="1"/>
  <c r="Q66" i="1"/>
  <c r="O66" i="1"/>
  <c r="M66" i="1"/>
  <c r="W65" i="1"/>
  <c r="M65" i="1"/>
  <c r="W64" i="1"/>
  <c r="V64" i="1"/>
  <c r="M64" i="1"/>
  <c r="U64" i="1" s="1"/>
  <c r="V63" i="1"/>
  <c r="W63" i="1" s="1"/>
  <c r="Q63" i="1"/>
  <c r="M63" i="1"/>
  <c r="U63" i="1" s="1"/>
  <c r="V62" i="1"/>
  <c r="W62" i="1" s="1"/>
  <c r="U62" i="1"/>
  <c r="S62" i="1"/>
  <c r="Q62" i="1"/>
  <c r="O62" i="1"/>
  <c r="M62" i="1"/>
  <c r="V61" i="1"/>
  <c r="W61" i="1" s="1"/>
  <c r="U61" i="1"/>
  <c r="S61" i="1"/>
  <c r="M61" i="1"/>
  <c r="Q61" i="1" s="1"/>
  <c r="T59" i="1"/>
  <c r="T43" i="1" s="1"/>
  <c r="R59" i="1"/>
  <c r="P59" i="1"/>
  <c r="N59" i="1"/>
  <c r="L59" i="1"/>
  <c r="L43" i="1" s="1"/>
  <c r="L6" i="1" s="1"/>
  <c r="L19" i="1" s="1"/>
  <c r="K59" i="1"/>
  <c r="K43" i="1" s="1"/>
  <c r="K6" i="1" s="1"/>
  <c r="K19" i="1" s="1"/>
  <c r="I59" i="1"/>
  <c r="H59" i="1"/>
  <c r="G59" i="1"/>
  <c r="F59" i="1"/>
  <c r="E59" i="1"/>
  <c r="E43" i="1" s="1"/>
  <c r="W58" i="1"/>
  <c r="V58" i="1"/>
  <c r="J58" i="1"/>
  <c r="J59" i="1" s="1"/>
  <c r="J43" i="1" s="1"/>
  <c r="J6" i="1" s="1"/>
  <c r="J19" i="1" s="1"/>
  <c r="D58" i="1"/>
  <c r="D59" i="1" s="1"/>
  <c r="D43" i="1" s="1"/>
  <c r="D6" i="1" s="1"/>
  <c r="D19" i="1" s="1"/>
  <c r="W57" i="1"/>
  <c r="V57" i="1"/>
  <c r="V59" i="1" s="1"/>
  <c r="M57" i="1"/>
  <c r="T56" i="1"/>
  <c r="R56" i="1"/>
  <c r="P56" i="1"/>
  <c r="P42" i="1" s="1"/>
  <c r="N56" i="1"/>
  <c r="L56" i="1"/>
  <c r="K56" i="1"/>
  <c r="I56" i="1"/>
  <c r="I42" i="1" s="1"/>
  <c r="H56" i="1"/>
  <c r="H42" i="1" s="1"/>
  <c r="G56" i="1"/>
  <c r="G42" i="1" s="1"/>
  <c r="F56" i="1"/>
  <c r="E56" i="1"/>
  <c r="D56" i="1"/>
  <c r="V55" i="1"/>
  <c r="W55" i="1" s="1"/>
  <c r="J55" i="1"/>
  <c r="M55" i="1" s="1"/>
  <c r="O55" i="1" s="1"/>
  <c r="F55" i="1"/>
  <c r="V54" i="1"/>
  <c r="W54" i="1" s="1"/>
  <c r="U54" i="1"/>
  <c r="S54" i="1"/>
  <c r="M54" i="1"/>
  <c r="Q54" i="1" s="1"/>
  <c r="V53" i="1"/>
  <c r="W53" i="1" s="1"/>
  <c r="W9" i="1" s="1"/>
  <c r="U53" i="1"/>
  <c r="S53" i="1"/>
  <c r="Q53" i="1"/>
  <c r="M53" i="1"/>
  <c r="O53" i="1" s="1"/>
  <c r="W52" i="1"/>
  <c r="V52" i="1"/>
  <c r="S52" i="1"/>
  <c r="Q52" i="1"/>
  <c r="O52" i="1"/>
  <c r="M52" i="1"/>
  <c r="U52" i="1" s="1"/>
  <c r="V51" i="1"/>
  <c r="M51" i="1"/>
  <c r="T50" i="1"/>
  <c r="R50" i="1"/>
  <c r="P50" i="1"/>
  <c r="N50" i="1"/>
  <c r="L50" i="1"/>
  <c r="K50" i="1"/>
  <c r="J50" i="1"/>
  <c r="J41" i="1" s="1"/>
  <c r="I50" i="1"/>
  <c r="I41" i="1" s="1"/>
  <c r="I44" i="1" s="1"/>
  <c r="H50" i="1"/>
  <c r="G50" i="1"/>
  <c r="F50" i="1"/>
  <c r="E50" i="1"/>
  <c r="E41" i="1" s="1"/>
  <c r="D50" i="1"/>
  <c r="V49" i="1"/>
  <c r="W49" i="1" s="1"/>
  <c r="U49" i="1"/>
  <c r="S49" i="1"/>
  <c r="M49" i="1"/>
  <c r="Q49" i="1" s="1"/>
  <c r="W48" i="1"/>
  <c r="W50" i="1" s="1"/>
  <c r="V48" i="1"/>
  <c r="V50" i="1" s="1"/>
  <c r="V41" i="1" s="1"/>
  <c r="U48" i="1"/>
  <c r="S48" i="1"/>
  <c r="Q48" i="1"/>
  <c r="M48" i="1"/>
  <c r="O48" i="1" s="1"/>
  <c r="T44" i="1"/>
  <c r="L44" i="1"/>
  <c r="V43" i="1"/>
  <c r="R43" i="1"/>
  <c r="P43" i="1"/>
  <c r="N43" i="1"/>
  <c r="I43" i="1"/>
  <c r="H43" i="1"/>
  <c r="H6" i="1" s="1"/>
  <c r="G43" i="1"/>
  <c r="G6" i="1" s="1"/>
  <c r="F43" i="1"/>
  <c r="F6" i="1" s="1"/>
  <c r="F19" i="1" s="1"/>
  <c r="T42" i="1"/>
  <c r="R42" i="1"/>
  <c r="N42" i="1"/>
  <c r="L42" i="1"/>
  <c r="L4" i="1" s="1"/>
  <c r="L17" i="1" s="1"/>
  <c r="K42" i="1"/>
  <c r="K44" i="1" s="1"/>
  <c r="F42" i="1"/>
  <c r="E42" i="1"/>
  <c r="D42" i="1"/>
  <c r="D4" i="1" s="1"/>
  <c r="D17" i="1" s="1"/>
  <c r="W41" i="1"/>
  <c r="T41" i="1"/>
  <c r="N41" i="1"/>
  <c r="L41" i="1"/>
  <c r="K41" i="1"/>
  <c r="H41" i="1"/>
  <c r="H44" i="1" s="1"/>
  <c r="G41" i="1"/>
  <c r="F41" i="1"/>
  <c r="D41" i="1"/>
  <c r="T37" i="1"/>
  <c r="R37" i="1"/>
  <c r="P37" i="1"/>
  <c r="N37" i="1"/>
  <c r="L37" i="1"/>
  <c r="L24" i="1" s="1"/>
  <c r="K37" i="1"/>
  <c r="K24" i="1" s="1"/>
  <c r="J37" i="1"/>
  <c r="I37" i="1"/>
  <c r="H37" i="1"/>
  <c r="G37" i="1"/>
  <c r="G24" i="1" s="1"/>
  <c r="F37" i="1"/>
  <c r="E37" i="1"/>
  <c r="D37" i="1"/>
  <c r="D24" i="1" s="1"/>
  <c r="W36" i="1"/>
  <c r="V36" i="1"/>
  <c r="Q36" i="1"/>
  <c r="M36" i="1"/>
  <c r="U36" i="1" s="1"/>
  <c r="V35" i="1"/>
  <c r="W35" i="1" s="1"/>
  <c r="U35" i="1"/>
  <c r="O35" i="1"/>
  <c r="M35" i="1"/>
  <c r="S35" i="1" s="1"/>
  <c r="V34" i="1"/>
  <c r="W34" i="1" s="1"/>
  <c r="U34" i="1"/>
  <c r="S34" i="1"/>
  <c r="M34" i="1"/>
  <c r="Q34" i="1" s="1"/>
  <c r="V33" i="1"/>
  <c r="W33" i="1" s="1"/>
  <c r="U33" i="1"/>
  <c r="S33" i="1"/>
  <c r="Q33" i="1"/>
  <c r="M33" i="1"/>
  <c r="O33" i="1" s="1"/>
  <c r="W32" i="1"/>
  <c r="V32" i="1"/>
  <c r="U32" i="1"/>
  <c r="S32" i="1"/>
  <c r="Q32" i="1"/>
  <c r="O32" i="1"/>
  <c r="M32" i="1"/>
  <c r="V31" i="1"/>
  <c r="W31" i="1" s="1"/>
  <c r="O31" i="1"/>
  <c r="M31" i="1"/>
  <c r="V30" i="1"/>
  <c r="W30" i="1" s="1"/>
  <c r="O30" i="1"/>
  <c r="M30" i="1"/>
  <c r="U29" i="1"/>
  <c r="O29" i="1"/>
  <c r="M29" i="1"/>
  <c r="S29" i="1" s="1"/>
  <c r="N25" i="1"/>
  <c r="L25" i="1"/>
  <c r="F25" i="1"/>
  <c r="E25" i="1"/>
  <c r="D25" i="1"/>
  <c r="R24" i="1"/>
  <c r="P24" i="1"/>
  <c r="N24" i="1"/>
  <c r="J24" i="1"/>
  <c r="I24" i="1"/>
  <c r="H24" i="1"/>
  <c r="F24" i="1"/>
  <c r="E24" i="1"/>
  <c r="I19" i="1"/>
  <c r="T18" i="1"/>
  <c r="N18" i="1"/>
  <c r="L18" i="1"/>
  <c r="F18" i="1"/>
  <c r="E18" i="1"/>
  <c r="D18" i="1"/>
  <c r="V14" i="1"/>
  <c r="U14" i="1"/>
  <c r="T14" i="1"/>
  <c r="R14" i="1"/>
  <c r="S14" i="1" s="1"/>
  <c r="N14" i="1"/>
  <c r="O14" i="1" s="1"/>
  <c r="M14" i="1"/>
  <c r="L14" i="1"/>
  <c r="K14" i="1"/>
  <c r="J14" i="1"/>
  <c r="I14" i="1"/>
  <c r="F14" i="1"/>
  <c r="E14" i="1"/>
  <c r="D14" i="1"/>
  <c r="W13" i="1"/>
  <c r="V13" i="1"/>
  <c r="T13" i="1"/>
  <c r="P13" i="1"/>
  <c r="N13" i="1"/>
  <c r="L13" i="1"/>
  <c r="K13" i="1"/>
  <c r="J13" i="1"/>
  <c r="I13" i="1"/>
  <c r="H13" i="1"/>
  <c r="G13" i="1"/>
  <c r="F13" i="1"/>
  <c r="E13" i="1"/>
  <c r="D13" i="1"/>
  <c r="W12" i="1"/>
  <c r="V12" i="1"/>
  <c r="T12" i="1"/>
  <c r="R12" i="1"/>
  <c r="P12" i="1"/>
  <c r="N12" i="1"/>
  <c r="L12" i="1"/>
  <c r="J12" i="1"/>
  <c r="I12" i="1"/>
  <c r="G12" i="1"/>
  <c r="F12" i="1"/>
  <c r="E12" i="1"/>
  <c r="D12" i="1"/>
  <c r="V11" i="1"/>
  <c r="V15" i="1" s="1"/>
  <c r="T11" i="1"/>
  <c r="R11" i="1"/>
  <c r="P11" i="1"/>
  <c r="L11" i="1"/>
  <c r="L15" i="1" s="1"/>
  <c r="K11" i="1"/>
  <c r="J11" i="1"/>
  <c r="J15" i="1" s="1"/>
  <c r="I11" i="1"/>
  <c r="I15" i="1" s="1"/>
  <c r="H11" i="1"/>
  <c r="E11" i="1"/>
  <c r="D11" i="1"/>
  <c r="N10" i="1"/>
  <c r="M10" i="1"/>
  <c r="F10" i="1"/>
  <c r="V9" i="1"/>
  <c r="T9" i="1"/>
  <c r="R9" i="1"/>
  <c r="S9" i="1" s="1"/>
  <c r="Q9" i="1"/>
  <c r="P9" i="1"/>
  <c r="N9" i="1"/>
  <c r="O9" i="1" s="1"/>
  <c r="M9" i="1"/>
  <c r="U9" i="1" s="1"/>
  <c r="L9" i="1"/>
  <c r="K9" i="1"/>
  <c r="J9" i="1"/>
  <c r="I9" i="1"/>
  <c r="H9" i="1"/>
  <c r="G9" i="1"/>
  <c r="F9" i="1"/>
  <c r="E9" i="1"/>
  <c r="D9" i="1"/>
  <c r="W8" i="1"/>
  <c r="W10" i="1" s="1"/>
  <c r="V8" i="1"/>
  <c r="V10" i="1" s="1"/>
  <c r="T8" i="1"/>
  <c r="U8" i="1" s="1"/>
  <c r="R8" i="1"/>
  <c r="P8" i="1"/>
  <c r="P10" i="1" s="1"/>
  <c r="N8" i="1"/>
  <c r="M8" i="1"/>
  <c r="Q8" i="1" s="1"/>
  <c r="L8" i="1"/>
  <c r="L10" i="1" s="1"/>
  <c r="K8" i="1"/>
  <c r="K10" i="1" s="1"/>
  <c r="J8" i="1"/>
  <c r="J10" i="1" s="1"/>
  <c r="I8" i="1"/>
  <c r="I10" i="1" s="1"/>
  <c r="H8" i="1"/>
  <c r="G8" i="1"/>
  <c r="G10" i="1" s="1"/>
  <c r="F8" i="1"/>
  <c r="E8" i="1"/>
  <c r="E10" i="1" s="1"/>
  <c r="D8" i="1"/>
  <c r="D10" i="1" s="1"/>
  <c r="N6" i="1"/>
  <c r="I6" i="1"/>
  <c r="T5" i="1"/>
  <c r="R5" i="1"/>
  <c r="N5" i="1"/>
  <c r="L5" i="1"/>
  <c r="K5" i="1"/>
  <c r="K18" i="1" s="1"/>
  <c r="J5" i="1"/>
  <c r="J18" i="1" s="1"/>
  <c r="G5" i="1"/>
  <c r="G18" i="1" s="1"/>
  <c r="F5" i="1"/>
  <c r="E5" i="1"/>
  <c r="D5" i="1"/>
  <c r="N4" i="1"/>
  <c r="F4" i="1"/>
  <c r="E4" i="1"/>
  <c r="V6" i="1" l="1"/>
  <c r="V19" i="1" s="1"/>
  <c r="H5" i="1"/>
  <c r="H18" i="1" s="1"/>
  <c r="H78" i="1"/>
  <c r="P18" i="1"/>
  <c r="I78" i="1"/>
  <c r="I5" i="1"/>
  <c r="I18" i="1" s="1"/>
  <c r="W117" i="1"/>
  <c r="W75" i="1" s="1"/>
  <c r="W3" i="1" s="1"/>
  <c r="U97" i="1"/>
  <c r="S97" i="1"/>
  <c r="Q97" i="1"/>
  <c r="O97" i="1"/>
  <c r="Z49" i="2"/>
  <c r="Z53" i="2" s="1"/>
  <c r="Z48" i="2"/>
  <c r="S119" i="1"/>
  <c r="I157" i="2"/>
  <c r="I6" i="2"/>
  <c r="I16" i="2" s="1"/>
  <c r="N17" i="1"/>
  <c r="W37" i="1"/>
  <c r="W24" i="1" s="1"/>
  <c r="Q55" i="1"/>
  <c r="U83" i="1"/>
  <c r="S83" i="1"/>
  <c r="Q83" i="1"/>
  <c r="T6" i="1"/>
  <c r="T10" i="1"/>
  <c r="U10" i="1" s="1"/>
  <c r="R25" i="1"/>
  <c r="R4" i="1"/>
  <c r="U31" i="1"/>
  <c r="S31" i="1"/>
  <c r="G25" i="1"/>
  <c r="G4" i="1"/>
  <c r="G17" i="1" s="1"/>
  <c r="R41" i="1"/>
  <c r="S55" i="1"/>
  <c r="M58" i="1"/>
  <c r="O83" i="1"/>
  <c r="Q102" i="1"/>
  <c r="U102" i="1"/>
  <c r="S102" i="1"/>
  <c r="U111" i="1"/>
  <c r="S111" i="1"/>
  <c r="Q111" i="1"/>
  <c r="O111" i="1"/>
  <c r="M122" i="1"/>
  <c r="U120" i="1"/>
  <c r="Q120" i="1"/>
  <c r="S120" i="1"/>
  <c r="L28" i="2"/>
  <c r="L92" i="2"/>
  <c r="U92" i="2"/>
  <c r="V85" i="2"/>
  <c r="U28" i="2"/>
  <c r="N3" i="1"/>
  <c r="N44" i="1"/>
  <c r="U55" i="1"/>
  <c r="U70" i="1"/>
  <c r="S70" i="1"/>
  <c r="Q70" i="1"/>
  <c r="O70" i="1"/>
  <c r="L78" i="1"/>
  <c r="L3" i="1"/>
  <c r="Q98" i="1"/>
  <c r="U98" i="1"/>
  <c r="S98" i="1"/>
  <c r="S116" i="1"/>
  <c r="Q116" i="1"/>
  <c r="O116" i="1"/>
  <c r="Q122" i="1"/>
  <c r="P77" i="1"/>
  <c r="P6" i="1" s="1"/>
  <c r="N31" i="2"/>
  <c r="N21" i="2"/>
  <c r="T41" i="2"/>
  <c r="P30" i="2"/>
  <c r="P23" i="2" s="1"/>
  <c r="X41" i="2"/>
  <c r="Y137" i="2"/>
  <c r="Z135" i="2"/>
  <c r="Z137" i="2" s="1"/>
  <c r="Z138" i="2" s="1"/>
  <c r="O101" i="1"/>
  <c r="U101" i="1"/>
  <c r="S101" i="1"/>
  <c r="Q101" i="1"/>
  <c r="F11" i="1"/>
  <c r="F15" i="1" s="1"/>
  <c r="F130" i="1"/>
  <c r="R8" i="2"/>
  <c r="K78" i="1"/>
  <c r="K3" i="1"/>
  <c r="H25" i="1"/>
  <c r="H4" i="1"/>
  <c r="O98" i="1"/>
  <c r="U116" i="1"/>
  <c r="W122" i="1"/>
  <c r="W77" i="1" s="1"/>
  <c r="R77" i="1"/>
  <c r="R78" i="1" s="1"/>
  <c r="S122" i="1"/>
  <c r="K12" i="1"/>
  <c r="K15" i="1" s="1"/>
  <c r="K130" i="1"/>
  <c r="X30" i="2"/>
  <c r="T112" i="2"/>
  <c r="V112" i="2"/>
  <c r="W120" i="2"/>
  <c r="X112" i="2"/>
  <c r="Q138" i="2"/>
  <c r="R134" i="2"/>
  <c r="P25" i="1"/>
  <c r="P4" i="1"/>
  <c r="N19" i="1"/>
  <c r="Y49" i="2"/>
  <c r="Y53" i="2" s="1"/>
  <c r="Y48" i="2"/>
  <c r="R13" i="1"/>
  <c r="R18" i="1" s="1"/>
  <c r="Q31" i="1"/>
  <c r="T24" i="1"/>
  <c r="G19" i="1"/>
  <c r="M56" i="1"/>
  <c r="U51" i="1"/>
  <c r="S51" i="1"/>
  <c r="U57" i="1"/>
  <c r="S57" i="1"/>
  <c r="Q57" i="1"/>
  <c r="E17" i="1"/>
  <c r="O8" i="1"/>
  <c r="D15" i="1"/>
  <c r="I25" i="1"/>
  <c r="I4" i="1"/>
  <c r="I17" i="1" s="1"/>
  <c r="P41" i="1"/>
  <c r="D44" i="1"/>
  <c r="O51" i="1"/>
  <c r="O57" i="1"/>
  <c r="M59" i="1"/>
  <c r="U65" i="1"/>
  <c r="S65" i="1"/>
  <c r="O65" i="1"/>
  <c r="Q65" i="1"/>
  <c r="U71" i="1"/>
  <c r="S71" i="1"/>
  <c r="O71" i="1"/>
  <c r="Q71" i="1"/>
  <c r="U114" i="1"/>
  <c r="S114" i="1"/>
  <c r="O114" i="1"/>
  <c r="Q114" i="1"/>
  <c r="W11" i="1"/>
  <c r="W15" i="1" s="1"/>
  <c r="W130" i="1"/>
  <c r="W56" i="2"/>
  <c r="W28" i="2"/>
  <c r="Z70" i="2"/>
  <c r="Z73" i="2" s="1"/>
  <c r="Z74" i="2" s="1"/>
  <c r="Y104" i="2"/>
  <c r="Y105" i="2" s="1"/>
  <c r="Z103" i="2"/>
  <c r="Z104" i="2" s="1"/>
  <c r="Z105" i="2" s="1"/>
  <c r="Q91" i="1"/>
  <c r="U91" i="1"/>
  <c r="S91" i="1"/>
  <c r="O10" i="1"/>
  <c r="S56" i="1"/>
  <c r="G15" i="1"/>
  <c r="H3" i="1"/>
  <c r="J117" i="1"/>
  <c r="J75" i="1" s="1"/>
  <c r="O90" i="1"/>
  <c r="U90" i="1"/>
  <c r="S90" i="1"/>
  <c r="Q90" i="1"/>
  <c r="O96" i="1"/>
  <c r="U96" i="1"/>
  <c r="S96" i="1"/>
  <c r="Q96" i="1"/>
  <c r="Y42" i="2"/>
  <c r="Y29" i="2"/>
  <c r="Z213" i="2"/>
  <c r="Z239" i="2"/>
  <c r="F17" i="1"/>
  <c r="Q10" i="1"/>
  <c r="E15" i="1"/>
  <c r="J25" i="1"/>
  <c r="K25" i="1"/>
  <c r="K4" i="1"/>
  <c r="K17" i="1" s="1"/>
  <c r="F3" i="1"/>
  <c r="F44" i="1"/>
  <c r="Q51" i="1"/>
  <c r="O59" i="1"/>
  <c r="I3" i="1"/>
  <c r="H10" i="1"/>
  <c r="S8" i="1"/>
  <c r="T15" i="1"/>
  <c r="U30" i="1"/>
  <c r="S30" i="1"/>
  <c r="Q30" i="1"/>
  <c r="G3" i="1"/>
  <c r="G44" i="1"/>
  <c r="E3" i="1"/>
  <c r="E44" i="1"/>
  <c r="V56" i="1"/>
  <c r="V42" i="1" s="1"/>
  <c r="V44" i="1" s="1"/>
  <c r="W59" i="1"/>
  <c r="W43" i="1" s="1"/>
  <c r="W6" i="1" s="1"/>
  <c r="W19" i="1" s="1"/>
  <c r="D78" i="1"/>
  <c r="D3" i="1"/>
  <c r="T78" i="1"/>
  <c r="T3" i="1"/>
  <c r="M82" i="1"/>
  <c r="N130" i="1"/>
  <c r="N11" i="1"/>
  <c r="S29" i="2"/>
  <c r="I56" i="2"/>
  <c r="I28" i="2"/>
  <c r="S30" i="2"/>
  <c r="T55" i="2"/>
  <c r="M37" i="1"/>
  <c r="U37" i="1" s="1"/>
  <c r="J56" i="1"/>
  <c r="J42" i="1" s="1"/>
  <c r="J44" i="1" s="1"/>
  <c r="O64" i="1"/>
  <c r="O95" i="1"/>
  <c r="O108" i="1"/>
  <c r="V117" i="1"/>
  <c r="V75" i="1" s="1"/>
  <c r="V3" i="1" s="1"/>
  <c r="W118" i="1"/>
  <c r="G130" i="1"/>
  <c r="L10" i="2"/>
  <c r="N42" i="2"/>
  <c r="N29" i="2"/>
  <c r="N22" i="2" s="1"/>
  <c r="U42" i="2"/>
  <c r="V41" i="2"/>
  <c r="X47" i="2"/>
  <c r="V47" i="2"/>
  <c r="T47" i="2"/>
  <c r="R47" i="2"/>
  <c r="O56" i="2"/>
  <c r="O28" i="2"/>
  <c r="V55" i="2"/>
  <c r="R63" i="2"/>
  <c r="Q66" i="2"/>
  <c r="M154" i="2"/>
  <c r="T176" i="2"/>
  <c r="R176" i="2"/>
  <c r="X176" i="2"/>
  <c r="V176" i="2"/>
  <c r="W226" i="2"/>
  <c r="X225" i="2"/>
  <c r="P231" i="2"/>
  <c r="X231" i="2" s="1"/>
  <c r="V230" i="2"/>
  <c r="T230" i="2"/>
  <c r="X230" i="2"/>
  <c r="R230" i="2"/>
  <c r="P14" i="1"/>
  <c r="O36" i="1"/>
  <c r="V37" i="1"/>
  <c r="V24" i="1" s="1"/>
  <c r="O63" i="1"/>
  <c r="Q64" i="1"/>
  <c r="P75" i="1"/>
  <c r="O94" i="1"/>
  <c r="Q95" i="1"/>
  <c r="O107" i="1"/>
  <c r="Q108" i="1"/>
  <c r="I130" i="1"/>
  <c r="O42" i="2"/>
  <c r="O29" i="2"/>
  <c r="O22" i="2" s="1"/>
  <c r="Q56" i="2"/>
  <c r="Q28" i="2"/>
  <c r="T73" i="2"/>
  <c r="R74" i="2"/>
  <c r="Y111" i="2"/>
  <c r="Z111" i="2" s="1"/>
  <c r="Z112" i="2" s="1"/>
  <c r="Z120" i="2" s="1"/>
  <c r="K112" i="2"/>
  <c r="K120" i="2" s="1"/>
  <c r="V119" i="2"/>
  <c r="X119" i="2"/>
  <c r="Z170" i="2"/>
  <c r="Z155" i="2" s="1"/>
  <c r="Q156" i="2"/>
  <c r="G351" i="2"/>
  <c r="G359" i="2"/>
  <c r="M50" i="1"/>
  <c r="Q50" i="1" s="1"/>
  <c r="S64" i="1"/>
  <c r="S95" i="1"/>
  <c r="K124" i="2"/>
  <c r="Y124" i="2"/>
  <c r="Y125" i="2" s="1"/>
  <c r="S108" i="1"/>
  <c r="M119" i="1"/>
  <c r="V122" i="1"/>
  <c r="V77" i="1" s="1"/>
  <c r="Q135" i="1"/>
  <c r="M128" i="1"/>
  <c r="S128" i="1" s="1"/>
  <c r="H21" i="2"/>
  <c r="X65" i="2"/>
  <c r="U74" i="2"/>
  <c r="V74" i="2" s="1"/>
  <c r="U29" i="2"/>
  <c r="V73" i="2"/>
  <c r="X88" i="2"/>
  <c r="V88" i="2"/>
  <c r="T88" i="2"/>
  <c r="P89" i="2"/>
  <c r="R88" i="2"/>
  <c r="T91" i="2"/>
  <c r="X96" i="2"/>
  <c r="V96" i="2"/>
  <c r="T96" i="2"/>
  <c r="R96" i="2"/>
  <c r="X111" i="2"/>
  <c r="V111" i="2"/>
  <c r="T111" i="2"/>
  <c r="R111" i="2"/>
  <c r="T165" i="2"/>
  <c r="R165" i="2"/>
  <c r="X165" i="2"/>
  <c r="V165" i="2"/>
  <c r="M294" i="2"/>
  <c r="M257" i="2"/>
  <c r="R10" i="1"/>
  <c r="S10" i="1" s="1"/>
  <c r="Q29" i="1"/>
  <c r="O34" i="1"/>
  <c r="Q35" i="1"/>
  <c r="S36" i="1"/>
  <c r="O49" i="1"/>
  <c r="W51" i="1"/>
  <c r="W56" i="1" s="1"/>
  <c r="W42" i="1" s="1"/>
  <c r="O54" i="1"/>
  <c r="O61" i="1"/>
  <c r="S63" i="1"/>
  <c r="O68" i="1"/>
  <c r="O69" i="1"/>
  <c r="O87" i="1"/>
  <c r="O88" i="1"/>
  <c r="S94" i="1"/>
  <c r="W102" i="1"/>
  <c r="Z124" i="2" s="1"/>
  <c r="Z125" i="2" s="1"/>
  <c r="O105" i="1"/>
  <c r="S107" i="1"/>
  <c r="O118" i="1"/>
  <c r="V119" i="1"/>
  <c r="V76" i="1" s="1"/>
  <c r="V5" i="1" s="1"/>
  <c r="V18" i="1" s="1"/>
  <c r="U126" i="1"/>
  <c r="O135" i="1"/>
  <c r="Q22" i="2"/>
  <c r="H31" i="2"/>
  <c r="X62" i="2"/>
  <c r="V62" i="2"/>
  <c r="T62" i="2"/>
  <c r="V91" i="2"/>
  <c r="U129" i="2"/>
  <c r="Y138" i="2"/>
  <c r="X194" i="2"/>
  <c r="V194" i="2"/>
  <c r="T194" i="2"/>
  <c r="R194" i="2"/>
  <c r="J185" i="2"/>
  <c r="J4" i="2" s="1"/>
  <c r="J14" i="2" s="1"/>
  <c r="J200" i="2"/>
  <c r="X115" i="2"/>
  <c r="V115" i="2"/>
  <c r="T115" i="2"/>
  <c r="R115" i="2"/>
  <c r="O121" i="1"/>
  <c r="S135" i="1"/>
  <c r="K15" i="2"/>
  <c r="U30" i="2"/>
  <c r="X35" i="2"/>
  <c r="V35" i="2"/>
  <c r="T35" i="2"/>
  <c r="X51" i="2"/>
  <c r="V51" i="2"/>
  <c r="T51" i="2"/>
  <c r="R62" i="2"/>
  <c r="T70" i="2"/>
  <c r="R70" i="2"/>
  <c r="X70" i="2"/>
  <c r="V70" i="2"/>
  <c r="X73" i="2"/>
  <c r="X94" i="2"/>
  <c r="V94" i="2"/>
  <c r="T94" i="2"/>
  <c r="R94" i="2"/>
  <c r="P138" i="2"/>
  <c r="T138" i="2" s="1"/>
  <c r="V134" i="2"/>
  <c r="X134" i="2"/>
  <c r="X179" i="2"/>
  <c r="T179" i="2"/>
  <c r="R179" i="2"/>
  <c r="V179" i="2"/>
  <c r="V192" i="2"/>
  <c r="U184" i="2"/>
  <c r="U200" i="2"/>
  <c r="Z250" i="2"/>
  <c r="M126" i="1"/>
  <c r="W42" i="2"/>
  <c r="W29" i="2"/>
  <c r="R41" i="2"/>
  <c r="X54" i="2"/>
  <c r="V54" i="2"/>
  <c r="T54" i="2"/>
  <c r="R73" i="2"/>
  <c r="X76" i="2"/>
  <c r="V76" i="2"/>
  <c r="T76" i="2"/>
  <c r="R91" i="2"/>
  <c r="X114" i="2"/>
  <c r="V114" i="2"/>
  <c r="T114" i="2"/>
  <c r="R114" i="2"/>
  <c r="T117" i="2"/>
  <c r="X140" i="2"/>
  <c r="V140" i="2"/>
  <c r="T140" i="2"/>
  <c r="X150" i="2"/>
  <c r="N157" i="2"/>
  <c r="N214" i="2"/>
  <c r="Z214" i="2"/>
  <c r="Z317" i="2"/>
  <c r="Z308" i="2"/>
  <c r="V594" i="2"/>
  <c r="T594" i="2"/>
  <c r="T8" i="2"/>
  <c r="M30" i="2"/>
  <c r="M23" i="2" s="1"/>
  <c r="M6" i="2" s="1"/>
  <c r="M16" i="2" s="1"/>
  <c r="G42" i="2"/>
  <c r="G29" i="2"/>
  <c r="G22" i="2" s="1"/>
  <c r="K49" i="2"/>
  <c r="K48" i="2"/>
  <c r="P46" i="2"/>
  <c r="J56" i="2"/>
  <c r="J28" i="2"/>
  <c r="S56" i="2"/>
  <c r="P55" i="2"/>
  <c r="Z30" i="2"/>
  <c r="Z23" i="2" s="1"/>
  <c r="T63" i="2"/>
  <c r="X72" i="2"/>
  <c r="V72" i="2"/>
  <c r="T72" i="2"/>
  <c r="R72" i="2"/>
  <c r="V78" i="2"/>
  <c r="M92" i="2"/>
  <c r="P117" i="2"/>
  <c r="R117" i="2" s="1"/>
  <c r="T134" i="2"/>
  <c r="X141" i="2"/>
  <c r="V141" i="2"/>
  <c r="X200" i="2"/>
  <c r="U212" i="2"/>
  <c r="U214" i="2" s="1"/>
  <c r="Q212" i="2"/>
  <c r="Q214" i="2" s="1"/>
  <c r="W252" i="2"/>
  <c r="R418" i="2"/>
  <c r="G28" i="2"/>
  <c r="H42" i="2"/>
  <c r="H29" i="2"/>
  <c r="H22" i="2" s="1"/>
  <c r="Q42" i="2"/>
  <c r="X52" i="2"/>
  <c r="V52" i="2"/>
  <c r="R30" i="2"/>
  <c r="Q23" i="2"/>
  <c r="M74" i="2"/>
  <c r="M29" i="2"/>
  <c r="M22" i="2" s="1"/>
  <c r="M24" i="2" s="1"/>
  <c r="X74" i="2"/>
  <c r="X77" i="2"/>
  <c r="V77" i="2"/>
  <c r="N92" i="2"/>
  <c r="W92" i="2"/>
  <c r="X85" i="2"/>
  <c r="R89" i="2"/>
  <c r="Q92" i="2"/>
  <c r="R92" i="2" s="1"/>
  <c r="W129" i="2"/>
  <c r="X136" i="2"/>
  <c r="V136" i="2"/>
  <c r="T136" i="2"/>
  <c r="R136" i="2"/>
  <c r="V137" i="2"/>
  <c r="M184" i="2"/>
  <c r="M187" i="2" s="1"/>
  <c r="M200" i="2"/>
  <c r="O92" i="2"/>
  <c r="T89" i="2"/>
  <c r="H120" i="2"/>
  <c r="X118" i="2"/>
  <c r="V118" i="2"/>
  <c r="T118" i="2"/>
  <c r="R118" i="2"/>
  <c r="X138" i="2"/>
  <c r="Q150" i="2"/>
  <c r="R150" i="2" s="1"/>
  <c r="R149" i="2"/>
  <c r="Q157" i="2"/>
  <c r="W155" i="2"/>
  <c r="Z184" i="2"/>
  <c r="Z187" i="2" s="1"/>
  <c r="Z200" i="2"/>
  <c r="T226" i="2"/>
  <c r="Y271" i="2"/>
  <c r="Y307" i="2"/>
  <c r="Y310" i="2" s="1"/>
  <c r="Y330" i="2"/>
  <c r="U308" i="2"/>
  <c r="U310" i="2" s="1"/>
  <c r="X333" i="2"/>
  <c r="V333" i="2"/>
  <c r="T333" i="2"/>
  <c r="X340" i="2"/>
  <c r="W307" i="2"/>
  <c r="W347" i="2"/>
  <c r="X347" i="2" s="1"/>
  <c r="X79" i="2"/>
  <c r="V79" i="2"/>
  <c r="H92" i="2"/>
  <c r="P92" i="2"/>
  <c r="T92" i="2" s="1"/>
  <c r="X95" i="2"/>
  <c r="V95" i="2"/>
  <c r="X110" i="2"/>
  <c r="V110" i="2"/>
  <c r="T110" i="2"/>
  <c r="R110" i="2"/>
  <c r="I120" i="2"/>
  <c r="X133" i="2"/>
  <c r="V133" i="2"/>
  <c r="T133" i="2"/>
  <c r="R133" i="2"/>
  <c r="X137" i="2"/>
  <c r="V138" i="2"/>
  <c r="W154" i="2"/>
  <c r="K257" i="2"/>
  <c r="K271" i="2"/>
  <c r="U259" i="2"/>
  <c r="L294" i="2"/>
  <c r="L257" i="2"/>
  <c r="Y294" i="2"/>
  <c r="R333" i="2"/>
  <c r="Y173" i="2"/>
  <c r="X168" i="2"/>
  <c r="T168" i="2"/>
  <c r="R168" i="2"/>
  <c r="N187" i="2"/>
  <c r="T196" i="2"/>
  <c r="R196" i="2"/>
  <c r="W185" i="2"/>
  <c r="W187" i="2" s="1"/>
  <c r="X197" i="2"/>
  <c r="W220" i="2"/>
  <c r="X219" i="2"/>
  <c r="H258" i="2"/>
  <c r="H250" i="2" s="1"/>
  <c r="H271" i="2"/>
  <c r="T268" i="2"/>
  <c r="X279" i="2"/>
  <c r="V279" i="2"/>
  <c r="T279" i="2"/>
  <c r="N257" i="2"/>
  <c r="N294" i="2"/>
  <c r="P327" i="2"/>
  <c r="X326" i="2"/>
  <c r="V326" i="2"/>
  <c r="T326" i="2"/>
  <c r="R326" i="2"/>
  <c r="Q386" i="2"/>
  <c r="Q387" i="2" s="1"/>
  <c r="M423" i="2"/>
  <c r="O509" i="2"/>
  <c r="P104" i="2"/>
  <c r="X104" i="2"/>
  <c r="R109" i="2"/>
  <c r="R112" i="2"/>
  <c r="R126" i="2"/>
  <c r="R135" i="2"/>
  <c r="Z161" i="2"/>
  <c r="Z163" i="2" s="1"/>
  <c r="O157" i="2"/>
  <c r="V168" i="2"/>
  <c r="S156" i="2"/>
  <c r="Y192" i="2"/>
  <c r="V196" i="2"/>
  <c r="X203" i="2"/>
  <c r="T203" i="2"/>
  <c r="R203" i="2"/>
  <c r="X205" i="2"/>
  <c r="V205" i="2"/>
  <c r="Z218" i="2"/>
  <c r="Z219" i="2" s="1"/>
  <c r="Z220" i="2" s="1"/>
  <c r="Z212" i="2" s="1"/>
  <c r="S212" i="2"/>
  <c r="G239" i="2"/>
  <c r="O239" i="2"/>
  <c r="X241" i="2"/>
  <c r="T241" i="2"/>
  <c r="R241" i="2"/>
  <c r="X243" i="2"/>
  <c r="V243" i="2"/>
  <c r="T243" i="2"/>
  <c r="R243" i="2"/>
  <c r="W260" i="2"/>
  <c r="W249" i="2"/>
  <c r="X266" i="2"/>
  <c r="V266" i="2"/>
  <c r="T266" i="2"/>
  <c r="R266" i="2"/>
  <c r="I250" i="2"/>
  <c r="I4" i="2" s="1"/>
  <c r="Q258" i="2"/>
  <c r="R268" i="2"/>
  <c r="R279" i="2"/>
  <c r="S310" i="2"/>
  <c r="Q310" i="2"/>
  <c r="Q317" i="2"/>
  <c r="Z422" i="2"/>
  <c r="Z441" i="2"/>
  <c r="P37" i="2"/>
  <c r="R38" i="2"/>
  <c r="R50" i="2"/>
  <c r="R61" i="2"/>
  <c r="P65" i="2"/>
  <c r="V65" i="2" s="1"/>
  <c r="R71" i="2"/>
  <c r="R87" i="2"/>
  <c r="R103" i="2"/>
  <c r="T109" i="2"/>
  <c r="T126" i="2"/>
  <c r="T135" i="2"/>
  <c r="R146" i="2"/>
  <c r="T148" i="2"/>
  <c r="Q173" i="2"/>
  <c r="T164" i="2"/>
  <c r="P170" i="2"/>
  <c r="P172" i="2"/>
  <c r="T172" i="2" s="1"/>
  <c r="X171" i="2"/>
  <c r="N173" i="2"/>
  <c r="V180" i="2"/>
  <c r="T180" i="2"/>
  <c r="K197" i="2"/>
  <c r="P195" i="2"/>
  <c r="X196" i="2"/>
  <c r="V203" i="2"/>
  <c r="R205" i="2"/>
  <c r="L214" i="2"/>
  <c r="G212" i="2"/>
  <c r="G214" i="2" s="1"/>
  <c r="O212" i="2"/>
  <c r="O214" i="2" s="1"/>
  <c r="P226" i="2"/>
  <c r="R225" i="2"/>
  <c r="H239" i="2"/>
  <c r="X232" i="2"/>
  <c r="T232" i="2"/>
  <c r="R232" i="2"/>
  <c r="T234" i="2"/>
  <c r="R234" i="2"/>
  <c r="N239" i="2"/>
  <c r="V241" i="2"/>
  <c r="R302" i="2"/>
  <c r="I317" i="2"/>
  <c r="I308" i="2"/>
  <c r="I310" i="2" s="1"/>
  <c r="L395" i="2"/>
  <c r="L385" i="2"/>
  <c r="L387" i="2" s="1"/>
  <c r="S10" i="2"/>
  <c r="T38" i="2"/>
  <c r="R40" i="2"/>
  <c r="T50" i="2"/>
  <c r="T61" i="2"/>
  <c r="T71" i="2"/>
  <c r="T87" i="2"/>
  <c r="R90" i="2"/>
  <c r="R99" i="2"/>
  <c r="T103" i="2"/>
  <c r="V109" i="2"/>
  <c r="V126" i="2"/>
  <c r="V135" i="2"/>
  <c r="T146" i="2"/>
  <c r="V148" i="2"/>
  <c r="U150" i="2"/>
  <c r="V150" i="2" s="1"/>
  <c r="I173" i="2"/>
  <c r="V164" i="2"/>
  <c r="O173" i="2"/>
  <c r="T205" i="2"/>
  <c r="T237" i="2"/>
  <c r="R237" i="2"/>
  <c r="P238" i="2"/>
  <c r="T238" i="2" s="1"/>
  <c r="Q257" i="2"/>
  <c r="I386" i="2"/>
  <c r="I387" i="2" s="1"/>
  <c r="X146" i="2"/>
  <c r="X148" i="2"/>
  <c r="S154" i="2"/>
  <c r="S173" i="2"/>
  <c r="X164" i="2"/>
  <c r="T170" i="2"/>
  <c r="S155" i="2"/>
  <c r="T171" i="2"/>
  <c r="X180" i="2"/>
  <c r="P184" i="2"/>
  <c r="X184" i="2" s="1"/>
  <c r="J187" i="2"/>
  <c r="R192" i="2"/>
  <c r="P200" i="2"/>
  <c r="R200" i="2" s="1"/>
  <c r="K212" i="2"/>
  <c r="T225" i="2"/>
  <c r="S211" i="2"/>
  <c r="X234" i="2"/>
  <c r="V237" i="2"/>
  <c r="W213" i="2"/>
  <c r="X244" i="2"/>
  <c r="V244" i="2"/>
  <c r="T244" i="2"/>
  <c r="Y154" i="2"/>
  <c r="R162" i="2"/>
  <c r="K154" i="2"/>
  <c r="K157" i="2" s="1"/>
  <c r="K173" i="2"/>
  <c r="Y170" i="2"/>
  <c r="Y155" i="2" s="1"/>
  <c r="X169" i="2"/>
  <c r="T169" i="2"/>
  <c r="R169" i="2"/>
  <c r="V171" i="2"/>
  <c r="Q184" i="2"/>
  <c r="X191" i="2"/>
  <c r="V191" i="2"/>
  <c r="T197" i="2"/>
  <c r="V204" i="2"/>
  <c r="T204" i="2"/>
  <c r="T219" i="2"/>
  <c r="X224" i="2"/>
  <c r="T224" i="2"/>
  <c r="R224" i="2"/>
  <c r="K214" i="2"/>
  <c r="U239" i="2"/>
  <c r="T236" i="2"/>
  <c r="X237" i="2"/>
  <c r="S239" i="2"/>
  <c r="H260" i="2"/>
  <c r="H249" i="2"/>
  <c r="S250" i="2"/>
  <c r="U271" i="2"/>
  <c r="X268" i="2"/>
  <c r="Z280" i="2"/>
  <c r="Z283" i="2" s="1"/>
  <c r="Z347" i="2"/>
  <c r="Z307" i="2"/>
  <c r="Z310" i="2" s="1"/>
  <c r="X342" i="2"/>
  <c r="V342" i="2"/>
  <c r="T342" i="2"/>
  <c r="R342" i="2"/>
  <c r="W156" i="2"/>
  <c r="P163" i="2"/>
  <c r="P197" i="2"/>
  <c r="P219" i="2"/>
  <c r="X245" i="2"/>
  <c r="V245" i="2"/>
  <c r="I257" i="2"/>
  <c r="V268" i="2"/>
  <c r="X277" i="2"/>
  <c r="V277" i="2"/>
  <c r="T277" i="2"/>
  <c r="R277" i="2"/>
  <c r="Z294" i="2"/>
  <c r="P316" i="2"/>
  <c r="X314" i="2"/>
  <c r="V314" i="2"/>
  <c r="T314" i="2"/>
  <c r="R314" i="2"/>
  <c r="S317" i="2"/>
  <c r="V346" i="2"/>
  <c r="X364" i="2"/>
  <c r="X366" i="2"/>
  <c r="V366" i="2"/>
  <c r="Z380" i="2"/>
  <c r="Z376" i="2" s="1"/>
  <c r="Z377" i="2" s="1"/>
  <c r="Z378" i="2" s="1"/>
  <c r="Y376" i="2"/>
  <c r="Y377" i="2" s="1"/>
  <c r="Y378" i="2" s="1"/>
  <c r="Y397" i="2"/>
  <c r="Z397" i="2" s="1"/>
  <c r="X397" i="2"/>
  <c r="V397" i="2"/>
  <c r="M386" i="2"/>
  <c r="M406" i="2"/>
  <c r="V507" i="2"/>
  <c r="T507" i="2"/>
  <c r="R507" i="2"/>
  <c r="X507" i="2"/>
  <c r="M172" i="2"/>
  <c r="M156" i="2" s="1"/>
  <c r="P199" i="2"/>
  <c r="G249" i="2"/>
  <c r="J250" i="2"/>
  <c r="J257" i="2"/>
  <c r="S257" i="2"/>
  <c r="S271" i="2"/>
  <c r="X267" i="2"/>
  <c r="V267" i="2"/>
  <c r="T267" i="2"/>
  <c r="N258" i="2"/>
  <c r="N250" i="2" s="1"/>
  <c r="X282" i="2"/>
  <c r="U303" i="2"/>
  <c r="U258" i="2"/>
  <c r="R366" i="2"/>
  <c r="U387" i="2"/>
  <c r="V385" i="2"/>
  <c r="R397" i="2"/>
  <c r="I271" i="2"/>
  <c r="X285" i="2"/>
  <c r="V285" i="2"/>
  <c r="T285" i="2"/>
  <c r="M310" i="2"/>
  <c r="P346" i="2"/>
  <c r="X345" i="2"/>
  <c r="V345" i="2"/>
  <c r="M369" i="2"/>
  <c r="M357" i="2"/>
  <c r="P368" i="2"/>
  <c r="T366" i="2"/>
  <c r="K378" i="2"/>
  <c r="K358" i="2"/>
  <c r="Y395" i="2"/>
  <c r="T397" i="2"/>
  <c r="Z476" i="2"/>
  <c r="Z458" i="2"/>
  <c r="T177" i="2"/>
  <c r="N200" i="2"/>
  <c r="T207" i="2"/>
  <c r="T235" i="2"/>
  <c r="W239" i="2"/>
  <c r="L271" i="2"/>
  <c r="Y258" i="2"/>
  <c r="Y250" i="2" s="1"/>
  <c r="J271" i="2"/>
  <c r="X278" i="2"/>
  <c r="V278" i="2"/>
  <c r="T278" i="2"/>
  <c r="T282" i="2"/>
  <c r="R282" i="2"/>
  <c r="R285" i="2"/>
  <c r="W303" i="2"/>
  <c r="N310" i="2"/>
  <c r="X315" i="2"/>
  <c r="V315" i="2"/>
  <c r="T315" i="2"/>
  <c r="V327" i="2"/>
  <c r="R329" i="2"/>
  <c r="R345" i="2"/>
  <c r="Z357" i="2"/>
  <c r="N357" i="2"/>
  <c r="L378" i="2"/>
  <c r="L358" i="2"/>
  <c r="L352" i="2" s="1"/>
  <c r="L4" i="2" s="1"/>
  <c r="U431" i="2"/>
  <c r="Y454" i="2"/>
  <c r="T466" i="2"/>
  <c r="X466" i="2"/>
  <c r="V466" i="2"/>
  <c r="R466" i="2"/>
  <c r="S213" i="2"/>
  <c r="O260" i="2"/>
  <c r="O249" i="2"/>
  <c r="O253" i="2" s="1"/>
  <c r="P265" i="2"/>
  <c r="T265" i="2" s="1"/>
  <c r="X264" i="2"/>
  <c r="V264" i="2"/>
  <c r="T264" i="2"/>
  <c r="M271" i="2"/>
  <c r="Y257" i="2"/>
  <c r="G258" i="2"/>
  <c r="G250" i="2" s="1"/>
  <c r="O258" i="2"/>
  <c r="O250" i="2" s="1"/>
  <c r="R278" i="2"/>
  <c r="H283" i="2"/>
  <c r="P280" i="2"/>
  <c r="U294" i="2"/>
  <c r="U257" i="2"/>
  <c r="M303" i="2"/>
  <c r="M258" i="2"/>
  <c r="M250" i="2" s="1"/>
  <c r="O310" i="2"/>
  <c r="R315" i="2"/>
  <c r="K330" i="2"/>
  <c r="K307" i="2"/>
  <c r="K310" i="2" s="1"/>
  <c r="X327" i="2"/>
  <c r="T329" i="2"/>
  <c r="R344" i="2"/>
  <c r="T345" i="2"/>
  <c r="K387" i="2"/>
  <c r="S385" i="2"/>
  <c r="S395" i="2"/>
  <c r="K421" i="2"/>
  <c r="K423" i="2" s="1"/>
  <c r="K431" i="2"/>
  <c r="P302" i="2"/>
  <c r="X302" i="2" s="1"/>
  <c r="X321" i="2"/>
  <c r="V321" i="2"/>
  <c r="T321" i="2"/>
  <c r="R321" i="2"/>
  <c r="N330" i="2"/>
  <c r="X334" i="2"/>
  <c r="V334" i="2"/>
  <c r="Q395" i="2"/>
  <c r="R394" i="2"/>
  <c r="U418" i="2"/>
  <c r="W423" i="2"/>
  <c r="L421" i="2"/>
  <c r="L423" i="2" s="1"/>
  <c r="L431" i="2"/>
  <c r="H524" i="2"/>
  <c r="H525" i="2" s="1"/>
  <c r="H507" i="2"/>
  <c r="R242" i="2"/>
  <c r="P270" i="2"/>
  <c r="P290" i="2"/>
  <c r="X328" i="2"/>
  <c r="V328" i="2"/>
  <c r="T328" i="2"/>
  <c r="R328" i="2"/>
  <c r="P329" i="2"/>
  <c r="V329" i="2" s="1"/>
  <c r="X329" i="2"/>
  <c r="R334" i="2"/>
  <c r="I353" i="2"/>
  <c r="W359" i="2"/>
  <c r="G395" i="2"/>
  <c r="O395" i="2"/>
  <c r="S406" i="2"/>
  <c r="S386" i="2"/>
  <c r="T475" i="2"/>
  <c r="S460" i="2"/>
  <c r="V480" i="2"/>
  <c r="X480" i="2"/>
  <c r="T480" i="2"/>
  <c r="R480" i="2"/>
  <c r="R297" i="2"/>
  <c r="X332" i="2"/>
  <c r="V332" i="2"/>
  <c r="T332" i="2"/>
  <c r="R332" i="2"/>
  <c r="T334" i="2"/>
  <c r="P344" i="2"/>
  <c r="P347" i="2" s="1"/>
  <c r="V347" i="2" s="1"/>
  <c r="X344" i="2"/>
  <c r="J359" i="2"/>
  <c r="M352" i="2"/>
  <c r="O387" i="2"/>
  <c r="H395" i="2"/>
  <c r="P395" i="2"/>
  <c r="Z395" i="2"/>
  <c r="Z385" i="2"/>
  <c r="V394" i="2"/>
  <c r="T405" i="2"/>
  <c r="X406" i="2"/>
  <c r="Q454" i="2"/>
  <c r="J460" i="2"/>
  <c r="J453" i="2" s="1"/>
  <c r="J6" i="2" s="1"/>
  <c r="J16" i="2" s="1"/>
  <c r="J476" i="2"/>
  <c r="U460" i="2"/>
  <c r="V475" i="2"/>
  <c r="V242" i="2"/>
  <c r="P293" i="2"/>
  <c r="K359" i="2"/>
  <c r="U369" i="2"/>
  <c r="U357" i="2"/>
  <c r="I358" i="2"/>
  <c r="I352" i="2" s="1"/>
  <c r="I378" i="2"/>
  <c r="I395" i="2"/>
  <c r="X393" i="2"/>
  <c r="V393" i="2"/>
  <c r="T393" i="2"/>
  <c r="Y405" i="2"/>
  <c r="Y406" i="2" s="1"/>
  <c r="V405" i="2"/>
  <c r="U406" i="2"/>
  <c r="V406" i="2" s="1"/>
  <c r="U386" i="2"/>
  <c r="V408" i="2"/>
  <c r="X408" i="2"/>
  <c r="T408" i="2"/>
  <c r="H461" i="2"/>
  <c r="H451" i="2"/>
  <c r="H454" i="2" s="1"/>
  <c r="X265" i="2"/>
  <c r="X322" i="2"/>
  <c r="V322" i="2"/>
  <c r="T322" i="2"/>
  <c r="R322" i="2"/>
  <c r="T327" i="2"/>
  <c r="J347" i="2"/>
  <c r="T340" i="2"/>
  <c r="H359" i="2"/>
  <c r="L369" i="2"/>
  <c r="L357" i="2"/>
  <c r="V364" i="2"/>
  <c r="Y369" i="2"/>
  <c r="X368" i="2"/>
  <c r="G387" i="2"/>
  <c r="J395" i="2"/>
  <c r="J385" i="2"/>
  <c r="R393" i="2"/>
  <c r="X394" i="2"/>
  <c r="V395" i="2"/>
  <c r="R408" i="2"/>
  <c r="H422" i="2"/>
  <c r="H423" i="2" s="1"/>
  <c r="H352" i="2" s="1"/>
  <c r="H353" i="2" s="1"/>
  <c r="X444" i="2"/>
  <c r="V444" i="2"/>
  <c r="I461" i="2"/>
  <c r="I451" i="2"/>
  <c r="I454" i="2" s="1"/>
  <c r="W452" i="2"/>
  <c r="W454" i="2" s="1"/>
  <c r="Y509" i="2"/>
  <c r="Q347" i="2"/>
  <c r="R347" i="2" s="1"/>
  <c r="Q359" i="2"/>
  <c r="W387" i="2"/>
  <c r="Z431" i="2"/>
  <c r="Z421" i="2"/>
  <c r="J461" i="2"/>
  <c r="J451" i="2"/>
  <c r="J454" i="2" s="1"/>
  <c r="I488" i="2"/>
  <c r="I459" i="2"/>
  <c r="I452" i="2" s="1"/>
  <c r="S459" i="2"/>
  <c r="S488" i="2"/>
  <c r="R320" i="2"/>
  <c r="U330" i="2"/>
  <c r="R339" i="2"/>
  <c r="P364" i="2"/>
  <c r="R364" i="2" s="1"/>
  <c r="N368" i="2"/>
  <c r="N358" i="2" s="1"/>
  <c r="W395" i="2"/>
  <c r="Z402" i="2"/>
  <c r="Z405" i="2" s="1"/>
  <c r="W418" i="2"/>
  <c r="T418" i="2"/>
  <c r="P429" i="2"/>
  <c r="X433" i="2"/>
  <c r="V433" i="2"/>
  <c r="T471" i="2"/>
  <c r="V471" i="2"/>
  <c r="R471" i="2"/>
  <c r="P473" i="2"/>
  <c r="T474" i="2"/>
  <c r="P475" i="2"/>
  <c r="X474" i="2"/>
  <c r="V474" i="2"/>
  <c r="R474" i="2"/>
  <c r="X502" i="2"/>
  <c r="T502" i="2"/>
  <c r="V502" i="2"/>
  <c r="R319" i="2"/>
  <c r="T320" i="2"/>
  <c r="T339" i="2"/>
  <c r="S347" i="2"/>
  <c r="T347" i="2" s="1"/>
  <c r="S359" i="2"/>
  <c r="Z365" i="2"/>
  <c r="Z368" i="2" s="1"/>
  <c r="Z358" i="2" s="1"/>
  <c r="R381" i="2"/>
  <c r="P405" i="2"/>
  <c r="P406" i="2" s="1"/>
  <c r="V415" i="2"/>
  <c r="T415" i="2"/>
  <c r="R415" i="2"/>
  <c r="P417" i="2"/>
  <c r="P418" i="2" s="1"/>
  <c r="Y417" i="2"/>
  <c r="Y418" i="2" s="1"/>
  <c r="H431" i="2"/>
  <c r="R428" i="2"/>
  <c r="N422" i="2"/>
  <c r="N423" i="2" s="1"/>
  <c r="N441" i="2"/>
  <c r="X443" i="2"/>
  <c r="V443" i="2"/>
  <c r="T443" i="2"/>
  <c r="X468" i="2"/>
  <c r="W476" i="2"/>
  <c r="X471" i="2"/>
  <c r="R502" i="2"/>
  <c r="X514" i="2"/>
  <c r="Y508" i="2"/>
  <c r="Y9" i="2" s="1"/>
  <c r="Y10" i="2" s="1"/>
  <c r="Y525" i="2"/>
  <c r="J541" i="2"/>
  <c r="J508" i="2"/>
  <c r="J9" i="2" s="1"/>
  <c r="J10" i="2" s="1"/>
  <c r="T319" i="2"/>
  <c r="V320" i="2"/>
  <c r="W330" i="2"/>
  <c r="R338" i="2"/>
  <c r="V339" i="2"/>
  <c r="R363" i="2"/>
  <c r="P377" i="2"/>
  <c r="R406" i="2"/>
  <c r="X415" i="2"/>
  <c r="I431" i="2"/>
  <c r="S423" i="2"/>
  <c r="T433" i="2"/>
  <c r="R443" i="2"/>
  <c r="W453" i="2"/>
  <c r="Q461" i="2"/>
  <c r="M458" i="2"/>
  <c r="M476" i="2"/>
  <c r="T497" i="2"/>
  <c r="S498" i="2"/>
  <c r="V571" i="2"/>
  <c r="R571" i="2"/>
  <c r="X571" i="2"/>
  <c r="R405" i="2"/>
  <c r="Q423" i="2"/>
  <c r="T428" i="2"/>
  <c r="G422" i="2"/>
  <c r="G423" i="2" s="1"/>
  <c r="G352" i="2" s="1"/>
  <c r="R435" i="2"/>
  <c r="P439" i="2"/>
  <c r="O451" i="2"/>
  <c r="O454" i="2" s="1"/>
  <c r="G461" i="2"/>
  <c r="N458" i="2"/>
  <c r="N476" i="2"/>
  <c r="H514" i="2"/>
  <c r="R513" i="2"/>
  <c r="X513" i="2"/>
  <c r="V513" i="2"/>
  <c r="T571" i="2"/>
  <c r="X494" i="2"/>
  <c r="T494" i="2"/>
  <c r="P524" i="2"/>
  <c r="X523" i="2"/>
  <c r="V523" i="2"/>
  <c r="R523" i="2"/>
  <c r="O508" i="2"/>
  <c r="O9" i="2" s="1"/>
  <c r="O10" i="2" s="1"/>
  <c r="O525" i="2"/>
  <c r="V528" i="2"/>
  <c r="R528" i="2"/>
  <c r="X528" i="2"/>
  <c r="X535" i="2"/>
  <c r="T535" i="2"/>
  <c r="R535" i="2"/>
  <c r="X557" i="2"/>
  <c r="T557" i="2"/>
  <c r="R557" i="2"/>
  <c r="P569" i="2"/>
  <c r="N565" i="2"/>
  <c r="X572" i="2"/>
  <c r="T572" i="2"/>
  <c r="R572" i="2"/>
  <c r="O460" i="2"/>
  <c r="O453" i="2" s="1"/>
  <c r="O6" i="2" s="1"/>
  <c r="O16" i="2" s="1"/>
  <c r="P468" i="2"/>
  <c r="R465" i="2"/>
  <c r="K473" i="2"/>
  <c r="R494" i="2"/>
  <c r="T513" i="2"/>
  <c r="M507" i="2"/>
  <c r="M524" i="2"/>
  <c r="Q508" i="2"/>
  <c r="Q525" i="2"/>
  <c r="T528" i="2"/>
  <c r="V535" i="2"/>
  <c r="U541" i="2"/>
  <c r="V541" i="2" s="1"/>
  <c r="U508" i="2"/>
  <c r="V540" i="2"/>
  <c r="V557" i="2"/>
  <c r="V572" i="2"/>
  <c r="W431" i="2"/>
  <c r="H476" i="2"/>
  <c r="X475" i="2"/>
  <c r="X493" i="2"/>
  <c r="T493" i="2"/>
  <c r="V494" i="2"/>
  <c r="S509" i="2"/>
  <c r="T523" i="2"/>
  <c r="X529" i="2"/>
  <c r="T529" i="2"/>
  <c r="R529" i="2"/>
  <c r="R536" i="2"/>
  <c r="X536" i="2"/>
  <c r="T536" i="2"/>
  <c r="R558" i="2"/>
  <c r="X558" i="2"/>
  <c r="T558" i="2"/>
  <c r="R573" i="2"/>
  <c r="X573" i="2"/>
  <c r="T573" i="2"/>
  <c r="X575" i="2"/>
  <c r="T575" i="2"/>
  <c r="R575" i="2"/>
  <c r="P581" i="2"/>
  <c r="T580" i="2"/>
  <c r="R595" i="2"/>
  <c r="M619" i="2"/>
  <c r="M612" i="2"/>
  <c r="P428" i="2"/>
  <c r="V428" i="2" s="1"/>
  <c r="L461" i="2"/>
  <c r="R468" i="2"/>
  <c r="T469" i="2"/>
  <c r="R479" i="2"/>
  <c r="T482" i="2"/>
  <c r="R493" i="2"/>
  <c r="P501" i="2"/>
  <c r="L508" i="2"/>
  <c r="L9" i="2" s="1"/>
  <c r="G508" i="2"/>
  <c r="G9" i="2" s="1"/>
  <c r="G10" i="2" s="1"/>
  <c r="G525" i="2"/>
  <c r="V529" i="2"/>
  <c r="V536" i="2"/>
  <c r="R541" i="2"/>
  <c r="V552" i="2"/>
  <c r="R552" i="2"/>
  <c r="P553" i="2"/>
  <c r="X553" i="2" s="1"/>
  <c r="X552" i="2"/>
  <c r="W554" i="2"/>
  <c r="V558" i="2"/>
  <c r="V573" i="2"/>
  <c r="V575" i="2"/>
  <c r="R581" i="2"/>
  <c r="R411" i="2"/>
  <c r="Q431" i="2"/>
  <c r="U461" i="2"/>
  <c r="T468" i="2"/>
  <c r="V469" i="2"/>
  <c r="V479" i="2"/>
  <c r="V482" i="2"/>
  <c r="V493" i="2"/>
  <c r="Y498" i="2"/>
  <c r="V503" i="2"/>
  <c r="R503" i="2"/>
  <c r="U509" i="2"/>
  <c r="R519" i="2"/>
  <c r="X519" i="2"/>
  <c r="T519" i="2"/>
  <c r="I508" i="2"/>
  <c r="I9" i="2" s="1"/>
  <c r="I10" i="2" s="1"/>
  <c r="I525" i="2"/>
  <c r="R530" i="2"/>
  <c r="X530" i="2"/>
  <c r="T530" i="2"/>
  <c r="W566" i="2"/>
  <c r="R580" i="2"/>
  <c r="S613" i="2"/>
  <c r="Y439" i="2"/>
  <c r="Y440" i="2" s="1"/>
  <c r="R467" i="2"/>
  <c r="X469" i="2"/>
  <c r="T478" i="2"/>
  <c r="X479" i="2"/>
  <c r="X482" i="2"/>
  <c r="Q488" i="2"/>
  <c r="V492" i="2"/>
  <c r="R492" i="2"/>
  <c r="P495" i="2"/>
  <c r="V500" i="2"/>
  <c r="R500" i="2"/>
  <c r="T503" i="2"/>
  <c r="V519" i="2"/>
  <c r="X524" i="2"/>
  <c r="W508" i="2"/>
  <c r="W525" i="2"/>
  <c r="V530" i="2"/>
  <c r="P541" i="2"/>
  <c r="X541" i="2" s="1"/>
  <c r="T540" i="2"/>
  <c r="Z541" i="2"/>
  <c r="Z508" i="2"/>
  <c r="X594" i="2"/>
  <c r="V603" i="2"/>
  <c r="V517" i="2"/>
  <c r="K524" i="2"/>
  <c r="V533" i="2"/>
  <c r="V546" i="2"/>
  <c r="T598" i="2"/>
  <c r="V608" i="2"/>
  <c r="U612" i="2"/>
  <c r="K619" i="2"/>
  <c r="S619" i="2"/>
  <c r="R585" i="2"/>
  <c r="X586" i="2"/>
  <c r="T588" i="2"/>
  <c r="R594" i="2"/>
  <c r="V598" i="2"/>
  <c r="P603" i="2"/>
  <c r="X603" i="2" s="1"/>
  <c r="R607" i="2"/>
  <c r="X608" i="2"/>
  <c r="T532" i="2"/>
  <c r="T545" i="2"/>
  <c r="V548" i="2"/>
  <c r="T560" i="2"/>
  <c r="V570" i="2"/>
  <c r="T585" i="2"/>
  <c r="V588" i="2"/>
  <c r="R593" i="2"/>
  <c r="W595" i="2"/>
  <c r="X598" i="2"/>
  <c r="T607" i="2"/>
  <c r="P487" i="2"/>
  <c r="P497" i="2"/>
  <c r="V497" i="2" s="1"/>
  <c r="T593" i="2"/>
  <c r="P595" i="2"/>
  <c r="V595" i="2" s="1"/>
  <c r="V607" i="2"/>
  <c r="P617" i="2"/>
  <c r="V593" i="2"/>
  <c r="R599" i="2"/>
  <c r="I612" i="2"/>
  <c r="Q612" i="2"/>
  <c r="Y612" i="2"/>
  <c r="V599" i="2"/>
  <c r="R608" i="2"/>
  <c r="K508" i="2" l="1"/>
  <c r="K525" i="2"/>
  <c r="Q9" i="2"/>
  <c r="Q509" i="2"/>
  <c r="P283" i="2"/>
  <c r="V280" i="2"/>
  <c r="T280" i="2"/>
  <c r="X280" i="2"/>
  <c r="R280" i="2"/>
  <c r="W16" i="1"/>
  <c r="P317" i="2"/>
  <c r="P308" i="2"/>
  <c r="X316" i="2"/>
  <c r="V316" i="2"/>
  <c r="T316" i="2"/>
  <c r="R316" i="2"/>
  <c r="Y184" i="2"/>
  <c r="Y187" i="2" s="1"/>
  <c r="Y200" i="2"/>
  <c r="S387" i="2"/>
  <c r="T385" i="2"/>
  <c r="S351" i="2"/>
  <c r="K185" i="2"/>
  <c r="K187" i="2" s="1"/>
  <c r="K200" i="2"/>
  <c r="X270" i="2"/>
  <c r="T270" i="2"/>
  <c r="P259" i="2"/>
  <c r="V270" i="2"/>
  <c r="R270" i="2"/>
  <c r="V7" i="1"/>
  <c r="V16" i="1"/>
  <c r="P19" i="1"/>
  <c r="P488" i="2"/>
  <c r="V487" i="2"/>
  <c r="R487" i="2"/>
  <c r="T487" i="2"/>
  <c r="Z9" i="2"/>
  <c r="Z10" i="2" s="1"/>
  <c r="Z509" i="2"/>
  <c r="X487" i="2"/>
  <c r="N508" i="2"/>
  <c r="N566" i="2"/>
  <c r="V524" i="2"/>
  <c r="T524" i="2"/>
  <c r="P525" i="2"/>
  <c r="R524" i="2"/>
  <c r="Z406" i="2"/>
  <c r="Z386" i="2"/>
  <c r="P173" i="2"/>
  <c r="R163" i="2"/>
  <c r="V163" i="2"/>
  <c r="P154" i="2"/>
  <c r="X163" i="2"/>
  <c r="T163" i="2"/>
  <c r="Y613" i="2"/>
  <c r="Y11" i="2"/>
  <c r="Y441" i="2"/>
  <c r="Y422" i="2"/>
  <c r="Y423" i="2" s="1"/>
  <c r="N451" i="2"/>
  <c r="N454" i="2" s="1"/>
  <c r="N461" i="2"/>
  <c r="T459" i="2"/>
  <c r="S452" i="2"/>
  <c r="R395" i="2"/>
  <c r="P358" i="2"/>
  <c r="R368" i="2"/>
  <c r="I14" i="2"/>
  <c r="Q613" i="2"/>
  <c r="Q11" i="2"/>
  <c r="V581" i="2"/>
  <c r="T581" i="2"/>
  <c r="X497" i="2"/>
  <c r="S461" i="2"/>
  <c r="X417" i="2"/>
  <c r="I359" i="2"/>
  <c r="X293" i="2"/>
  <c r="V293" i="2"/>
  <c r="T293" i="2"/>
  <c r="R293" i="2"/>
  <c r="V344" i="2"/>
  <c r="U260" i="2"/>
  <c r="U249" i="2"/>
  <c r="Z369" i="2"/>
  <c r="M359" i="2"/>
  <c r="M351" i="2"/>
  <c r="M353" i="2" s="1"/>
  <c r="X199" i="2"/>
  <c r="P186" i="2"/>
  <c r="T199" i="2"/>
  <c r="P220" i="2"/>
  <c r="R219" i="2"/>
  <c r="V219" i="2"/>
  <c r="T200" i="2"/>
  <c r="R170" i="2"/>
  <c r="P155" i="2"/>
  <c r="V170" i="2"/>
  <c r="T37" i="2"/>
  <c r="R37" i="2"/>
  <c r="V37" i="2"/>
  <c r="X37" i="2"/>
  <c r="P105" i="2"/>
  <c r="T104" i="2"/>
  <c r="R417" i="2"/>
  <c r="N260" i="2"/>
  <c r="N249" i="2"/>
  <c r="N253" i="2" s="1"/>
  <c r="K249" i="2"/>
  <c r="K253" i="2" s="1"/>
  <c r="K260" i="2"/>
  <c r="V104" i="2"/>
  <c r="W310" i="2"/>
  <c r="Z6" i="2"/>
  <c r="Z16" i="2" s="1"/>
  <c r="G4" i="2"/>
  <c r="G14" i="2" s="1"/>
  <c r="V30" i="2"/>
  <c r="U23" i="2"/>
  <c r="X89" i="2"/>
  <c r="V89" i="2"/>
  <c r="U119" i="1"/>
  <c r="M76" i="1"/>
  <c r="O31" i="2"/>
  <c r="O21" i="2"/>
  <c r="T30" i="2"/>
  <c r="S23" i="2"/>
  <c r="X117" i="2"/>
  <c r="Y56" i="2"/>
  <c r="P120" i="2"/>
  <c r="K16" i="1"/>
  <c r="K20" i="1" s="1"/>
  <c r="K7" i="1"/>
  <c r="V92" i="2"/>
  <c r="U122" i="1"/>
  <c r="M77" i="1"/>
  <c r="S77" i="1" s="1"/>
  <c r="Q37" i="1"/>
  <c r="Z29" i="2"/>
  <c r="Q119" i="1"/>
  <c r="X377" i="2"/>
  <c r="R377" i="2"/>
  <c r="T377" i="2"/>
  <c r="P378" i="2"/>
  <c r="I509" i="2"/>
  <c r="Y260" i="2"/>
  <c r="Y249" i="2"/>
  <c r="Y253" i="2" s="1"/>
  <c r="U250" i="2"/>
  <c r="G260" i="2"/>
  <c r="I613" i="2"/>
  <c r="I11" i="2"/>
  <c r="P604" i="2"/>
  <c r="T603" i="2"/>
  <c r="R603" i="2"/>
  <c r="U613" i="2"/>
  <c r="U11" i="2"/>
  <c r="V501" i="2"/>
  <c r="R501" i="2"/>
  <c r="X501" i="2"/>
  <c r="T501" i="2"/>
  <c r="R525" i="2"/>
  <c r="M451" i="2"/>
  <c r="M454" i="2" s="1"/>
  <c r="M461" i="2"/>
  <c r="X418" i="2"/>
  <c r="Z423" i="2"/>
  <c r="Z352" i="2" s="1"/>
  <c r="J387" i="2"/>
  <c r="J351" i="2"/>
  <c r="J353" i="2" s="1"/>
  <c r="Y358" i="2"/>
  <c r="T406" i="2"/>
  <c r="R290" i="2"/>
  <c r="X290" i="2"/>
  <c r="T290" i="2"/>
  <c r="P294" i="2"/>
  <c r="V294" i="2" s="1"/>
  <c r="V290" i="2"/>
  <c r="W352" i="2"/>
  <c r="U352" i="2"/>
  <c r="T395" i="2"/>
  <c r="X303" i="2"/>
  <c r="Y386" i="2"/>
  <c r="Y387" i="2" s="1"/>
  <c r="M387" i="2"/>
  <c r="P386" i="2"/>
  <c r="T386" i="2" s="1"/>
  <c r="R197" i="2"/>
  <c r="P185" i="2"/>
  <c r="V197" i="2"/>
  <c r="H253" i="2"/>
  <c r="X172" i="2"/>
  <c r="V226" i="2"/>
  <c r="R226" i="2"/>
  <c r="R195" i="2"/>
  <c r="X195" i="2"/>
  <c r="V195" i="2"/>
  <c r="T195" i="2"/>
  <c r="Z173" i="2"/>
  <c r="Z154" i="2"/>
  <c r="Z157" i="2" s="1"/>
  <c r="Z257" i="2"/>
  <c r="X92" i="2"/>
  <c r="R23" i="2"/>
  <c r="Q6" i="2"/>
  <c r="H4" i="2"/>
  <c r="H14" i="2" s="1"/>
  <c r="X55" i="2"/>
  <c r="R55" i="2"/>
  <c r="R65" i="2"/>
  <c r="M11" i="1"/>
  <c r="S126" i="1"/>
  <c r="Q126" i="1"/>
  <c r="O126" i="1"/>
  <c r="M31" i="2"/>
  <c r="G353" i="2"/>
  <c r="V4" i="1"/>
  <c r="V17" i="1" s="1"/>
  <c r="V25" i="1"/>
  <c r="M173" i="2"/>
  <c r="I21" i="2"/>
  <c r="I31" i="2"/>
  <c r="T16" i="1"/>
  <c r="O50" i="1"/>
  <c r="F7" i="1"/>
  <c r="F16" i="1"/>
  <c r="F20" i="1" s="1"/>
  <c r="O128" i="1"/>
  <c r="P17" i="1"/>
  <c r="W25" i="1"/>
  <c r="W4" i="1"/>
  <c r="W17" i="1" s="1"/>
  <c r="M157" i="2"/>
  <c r="M42" i="1"/>
  <c r="O56" i="1"/>
  <c r="Q56" i="1"/>
  <c r="L21" i="2"/>
  <c r="L31" i="2"/>
  <c r="T19" i="1"/>
  <c r="T595" i="2"/>
  <c r="P431" i="2"/>
  <c r="T431" i="2" s="1"/>
  <c r="P421" i="2"/>
  <c r="K459" i="2"/>
  <c r="K476" i="2"/>
  <c r="V569" i="2"/>
  <c r="R569" i="2"/>
  <c r="P565" i="2"/>
  <c r="X569" i="2"/>
  <c r="T569" i="2"/>
  <c r="H508" i="2"/>
  <c r="H9" i="2" s="1"/>
  <c r="X439" i="2"/>
  <c r="V439" i="2"/>
  <c r="T439" i="2"/>
  <c r="R439" i="2"/>
  <c r="P440" i="2"/>
  <c r="J509" i="2"/>
  <c r="P460" i="2"/>
  <c r="R475" i="2"/>
  <c r="X395" i="2"/>
  <c r="L359" i="2"/>
  <c r="L351" i="2"/>
  <c r="L353" i="2" s="1"/>
  <c r="U453" i="2"/>
  <c r="V460" i="2"/>
  <c r="P303" i="2"/>
  <c r="V303" i="2" s="1"/>
  <c r="V302" i="2"/>
  <c r="K351" i="2"/>
  <c r="L14" i="2"/>
  <c r="K352" i="2"/>
  <c r="S260" i="2"/>
  <c r="S249" i="2"/>
  <c r="S3" i="2" s="1"/>
  <c r="T302" i="2"/>
  <c r="X238" i="2"/>
  <c r="T155" i="2"/>
  <c r="O461" i="2"/>
  <c r="X220" i="2"/>
  <c r="W212" i="2"/>
  <c r="L249" i="2"/>
  <c r="L253" i="2" s="1"/>
  <c r="L260" i="2"/>
  <c r="W157" i="2"/>
  <c r="X154" i="2"/>
  <c r="G31" i="2"/>
  <c r="G21" i="2"/>
  <c r="J21" i="2"/>
  <c r="J31" i="2"/>
  <c r="V200" i="2"/>
  <c r="H24" i="2"/>
  <c r="H3" i="2"/>
  <c r="K125" i="2"/>
  <c r="P124" i="2"/>
  <c r="K127" i="2"/>
  <c r="R172" i="2"/>
  <c r="Q14" i="1"/>
  <c r="P15" i="1"/>
  <c r="S22" i="2"/>
  <c r="S31" i="2"/>
  <c r="D7" i="1"/>
  <c r="D16" i="1"/>
  <c r="D20" i="1" s="1"/>
  <c r="E7" i="1"/>
  <c r="E16" i="1"/>
  <c r="E20" i="1" s="1"/>
  <c r="J78" i="1"/>
  <c r="J3" i="1"/>
  <c r="M43" i="1"/>
  <c r="U59" i="1"/>
  <c r="S59" i="1"/>
  <c r="U58" i="1"/>
  <c r="S58" i="1"/>
  <c r="Q58" i="1"/>
  <c r="O58" i="1"/>
  <c r="P239" i="2"/>
  <c r="R239" i="2" s="1"/>
  <c r="P211" i="2"/>
  <c r="R231" i="2"/>
  <c r="V231" i="2"/>
  <c r="R497" i="2"/>
  <c r="M613" i="2"/>
  <c r="M11" i="2"/>
  <c r="M508" i="2"/>
  <c r="M9" i="2" s="1"/>
  <c r="M525" i="2"/>
  <c r="V377" i="2"/>
  <c r="X581" i="2"/>
  <c r="V368" i="2"/>
  <c r="H509" i="2"/>
  <c r="H8" i="2"/>
  <c r="H10" i="2" s="1"/>
  <c r="V417" i="2"/>
  <c r="V265" i="2"/>
  <c r="P271" i="2"/>
  <c r="T271" i="2" s="1"/>
  <c r="P257" i="2"/>
  <c r="T257" i="2" s="1"/>
  <c r="X346" i="2"/>
  <c r="R346" i="2"/>
  <c r="P309" i="2"/>
  <c r="J249" i="2"/>
  <c r="J253" i="2" s="1"/>
  <c r="J260" i="2"/>
  <c r="I260" i="2"/>
  <c r="I249" i="2"/>
  <c r="I253" i="2" s="1"/>
  <c r="T346" i="2"/>
  <c r="Q187" i="2"/>
  <c r="R184" i="2"/>
  <c r="V199" i="2"/>
  <c r="V184" i="2"/>
  <c r="U187" i="2"/>
  <c r="V187" i="2" s="1"/>
  <c r="P39" i="2"/>
  <c r="R104" i="2"/>
  <c r="M260" i="2"/>
  <c r="M249" i="2"/>
  <c r="M253" i="2" s="1"/>
  <c r="M13" i="1"/>
  <c r="Q128" i="1"/>
  <c r="X226" i="2"/>
  <c r="T65" i="2"/>
  <c r="U128" i="1"/>
  <c r="O11" i="1"/>
  <c r="N15" i="1"/>
  <c r="J4" i="1"/>
  <c r="J17" i="1" s="1"/>
  <c r="O119" i="1"/>
  <c r="R138" i="2"/>
  <c r="X23" i="2"/>
  <c r="L7" i="1"/>
  <c r="L16" i="1"/>
  <c r="L20" i="1" s="1"/>
  <c r="O122" i="1"/>
  <c r="U56" i="1"/>
  <c r="X525" i="2"/>
  <c r="X617" i="2"/>
  <c r="V617" i="2"/>
  <c r="T617" i="2"/>
  <c r="R617" i="2"/>
  <c r="P618" i="2"/>
  <c r="X595" i="2"/>
  <c r="W509" i="2"/>
  <c r="W9" i="2"/>
  <c r="P498" i="2"/>
  <c r="X495" i="2"/>
  <c r="V495" i="2"/>
  <c r="T495" i="2"/>
  <c r="R495" i="2"/>
  <c r="U9" i="2"/>
  <c r="M509" i="2"/>
  <c r="M8" i="2"/>
  <c r="M10" i="2" s="1"/>
  <c r="P476" i="2"/>
  <c r="P458" i="2"/>
  <c r="V468" i="2"/>
  <c r="L509" i="2"/>
  <c r="T541" i="2"/>
  <c r="P459" i="2"/>
  <c r="V473" i="2"/>
  <c r="T473" i="2"/>
  <c r="R473" i="2"/>
  <c r="X473" i="2"/>
  <c r="X429" i="2"/>
  <c r="V429" i="2"/>
  <c r="T429" i="2"/>
  <c r="P430" i="2"/>
  <c r="R429" i="2"/>
  <c r="N352" i="2"/>
  <c r="N4" i="2" s="1"/>
  <c r="G509" i="2"/>
  <c r="X405" i="2"/>
  <c r="U359" i="2"/>
  <c r="U351" i="2"/>
  <c r="Z387" i="2"/>
  <c r="T460" i="2"/>
  <c r="S453" i="2"/>
  <c r="V418" i="2"/>
  <c r="X428" i="2"/>
  <c r="N369" i="2"/>
  <c r="Z451" i="2"/>
  <c r="Z454" i="2" s="1"/>
  <c r="Z461" i="2"/>
  <c r="T368" i="2"/>
  <c r="S352" i="2"/>
  <c r="T317" i="2"/>
  <c r="T344" i="2"/>
  <c r="Y157" i="2"/>
  <c r="R265" i="2"/>
  <c r="T417" i="2"/>
  <c r="W253" i="2"/>
  <c r="P330" i="2"/>
  <c r="R327" i="2"/>
  <c r="P307" i="2"/>
  <c r="P258" i="2"/>
  <c r="V258" i="2" s="1"/>
  <c r="R199" i="2"/>
  <c r="X170" i="2"/>
  <c r="Y112" i="2"/>
  <c r="Y120" i="2" s="1"/>
  <c r="V46" i="2"/>
  <c r="T46" i="2"/>
  <c r="R46" i="2"/>
  <c r="X46" i="2"/>
  <c r="P48" i="2"/>
  <c r="V117" i="2"/>
  <c r="P66" i="2"/>
  <c r="U22" i="2"/>
  <c r="Q21" i="2"/>
  <c r="Q31" i="2"/>
  <c r="Q59" i="1"/>
  <c r="G7" i="1"/>
  <c r="G16" i="1"/>
  <c r="G20" i="1" s="1"/>
  <c r="I16" i="1"/>
  <c r="I20" i="1" s="1"/>
  <c r="I7" i="1"/>
  <c r="U24" i="1"/>
  <c r="T25" i="1"/>
  <c r="T4" i="1"/>
  <c r="T7" i="1" s="1"/>
  <c r="W6" i="2"/>
  <c r="N7" i="1"/>
  <c r="N16" i="1"/>
  <c r="X476" i="2"/>
  <c r="P369" i="2"/>
  <c r="T364" i="2"/>
  <c r="P357" i="2"/>
  <c r="T488" i="2"/>
  <c r="V369" i="2"/>
  <c r="N351" i="2"/>
  <c r="N353" i="2" s="1"/>
  <c r="N359" i="2"/>
  <c r="X239" i="2"/>
  <c r="G253" i="2"/>
  <c r="V239" i="2"/>
  <c r="T231" i="2"/>
  <c r="T173" i="2"/>
  <c r="Q260" i="2"/>
  <c r="Q249" i="2"/>
  <c r="R257" i="2"/>
  <c r="Q250" i="2"/>
  <c r="U251" i="2"/>
  <c r="V259" i="2"/>
  <c r="V308" i="2"/>
  <c r="X155" i="2"/>
  <c r="M4" i="2"/>
  <c r="M14" i="2" s="1"/>
  <c r="K28" i="2"/>
  <c r="W22" i="2"/>
  <c r="M41" i="1"/>
  <c r="U50" i="1"/>
  <c r="P78" i="1"/>
  <c r="Z269" i="2"/>
  <c r="Z270" i="2" s="1"/>
  <c r="W119" i="1"/>
  <c r="W76" i="1" s="1"/>
  <c r="W5" i="1" s="1"/>
  <c r="W18" i="1" s="1"/>
  <c r="O37" i="1"/>
  <c r="M24" i="1"/>
  <c r="S37" i="1"/>
  <c r="W31" i="2"/>
  <c r="W21" i="2"/>
  <c r="X120" i="2"/>
  <c r="R6" i="1"/>
  <c r="N24" i="2"/>
  <c r="N3" i="2"/>
  <c r="U31" i="2"/>
  <c r="U21" i="2"/>
  <c r="S50" i="1"/>
  <c r="R17" i="1"/>
  <c r="W78" i="1"/>
  <c r="T498" i="2"/>
  <c r="V553" i="2"/>
  <c r="P554" i="2"/>
  <c r="X554" i="2" s="1"/>
  <c r="T553" i="2"/>
  <c r="R553" i="2"/>
  <c r="Z359" i="2"/>
  <c r="Z351" i="2"/>
  <c r="V271" i="2"/>
  <c r="S214" i="2"/>
  <c r="T211" i="2"/>
  <c r="P187" i="2"/>
  <c r="T187" i="2" s="1"/>
  <c r="T184" i="2"/>
  <c r="S157" i="2"/>
  <c r="T154" i="2"/>
  <c r="P213" i="2"/>
  <c r="V238" i="2"/>
  <c r="R238" i="2"/>
  <c r="P156" i="2"/>
  <c r="V156" i="2" s="1"/>
  <c r="V172" i="2"/>
  <c r="R317" i="2"/>
  <c r="Q352" i="2"/>
  <c r="R386" i="2"/>
  <c r="X185" i="2"/>
  <c r="P49" i="2"/>
  <c r="K53" i="2"/>
  <c r="K29" i="2" s="1"/>
  <c r="O4" i="2"/>
  <c r="O14" i="2" s="1"/>
  <c r="V78" i="1"/>
  <c r="O82" i="1"/>
  <c r="M117" i="1"/>
  <c r="U82" i="1"/>
  <c r="S82" i="1"/>
  <c r="Q82" i="1"/>
  <c r="H16" i="1"/>
  <c r="H7" i="1"/>
  <c r="P44" i="1"/>
  <c r="Q41" i="1"/>
  <c r="P3" i="1"/>
  <c r="S13" i="1"/>
  <c r="R15" i="1"/>
  <c r="W44" i="1"/>
  <c r="S41" i="1"/>
  <c r="R3" i="1"/>
  <c r="R44" i="1"/>
  <c r="Z56" i="2"/>
  <c r="Z28" i="2"/>
  <c r="S13" i="2" l="1"/>
  <c r="N13" i="2"/>
  <c r="N7" i="2"/>
  <c r="M12" i="2"/>
  <c r="M15" i="2"/>
  <c r="Q10" i="2"/>
  <c r="Z353" i="2"/>
  <c r="N20" i="1"/>
  <c r="Q24" i="2"/>
  <c r="Q3" i="2"/>
  <c r="P310" i="2"/>
  <c r="V307" i="2"/>
  <c r="T307" i="2"/>
  <c r="R307" i="2"/>
  <c r="U13" i="1"/>
  <c r="Q13" i="1"/>
  <c r="O13" i="1"/>
  <c r="X211" i="2"/>
  <c r="R211" i="2"/>
  <c r="V211" i="2"/>
  <c r="X124" i="2"/>
  <c r="V124" i="2"/>
  <c r="T124" i="2"/>
  <c r="P125" i="2"/>
  <c r="R124" i="2"/>
  <c r="J24" i="2"/>
  <c r="J3" i="2"/>
  <c r="U454" i="2"/>
  <c r="V378" i="2"/>
  <c r="T378" i="2"/>
  <c r="R378" i="2"/>
  <c r="X378" i="2"/>
  <c r="T23" i="2"/>
  <c r="S6" i="2"/>
  <c r="V173" i="2"/>
  <c r="X173" i="2"/>
  <c r="V213" i="2"/>
  <c r="R213" i="2"/>
  <c r="K128" i="2"/>
  <c r="P127" i="2"/>
  <c r="Y127" i="2"/>
  <c r="R105" i="2"/>
  <c r="V105" i="2"/>
  <c r="T105" i="2"/>
  <c r="X105" i="2"/>
  <c r="M44" i="1"/>
  <c r="U41" i="1"/>
  <c r="O41" i="1"/>
  <c r="Q253" i="2"/>
  <c r="P252" i="2"/>
  <c r="R309" i="2"/>
  <c r="V309" i="2"/>
  <c r="X309" i="2"/>
  <c r="T309" i="2"/>
  <c r="R431" i="2"/>
  <c r="K129" i="2"/>
  <c r="G24" i="2"/>
  <c r="G3" i="2"/>
  <c r="P441" i="2"/>
  <c r="T440" i="2"/>
  <c r="R440" i="2"/>
  <c r="X440" i="2"/>
  <c r="V440" i="2"/>
  <c r="V565" i="2"/>
  <c r="P566" i="2"/>
  <c r="T565" i="2"/>
  <c r="R565" i="2"/>
  <c r="X565" i="2"/>
  <c r="O42" i="1"/>
  <c r="S42" i="1"/>
  <c r="Q42" i="1"/>
  <c r="U42" i="1"/>
  <c r="V23" i="2"/>
  <c r="U6" i="2"/>
  <c r="V488" i="2"/>
  <c r="X488" i="2"/>
  <c r="S353" i="2"/>
  <c r="Q353" i="2"/>
  <c r="R19" i="1"/>
  <c r="Z21" i="2"/>
  <c r="Z31" i="2"/>
  <c r="W4" i="2"/>
  <c r="V251" i="2"/>
  <c r="U5" i="2"/>
  <c r="U4" i="2"/>
  <c r="R330" i="2"/>
  <c r="T330" i="2"/>
  <c r="P461" i="2"/>
  <c r="P451" i="2"/>
  <c r="X458" i="2"/>
  <c r="T458" i="2"/>
  <c r="V458" i="2"/>
  <c r="R458" i="2"/>
  <c r="P619" i="2"/>
  <c r="P612" i="2"/>
  <c r="X618" i="2"/>
  <c r="R618" i="2"/>
  <c r="V618" i="2"/>
  <c r="T618" i="2"/>
  <c r="S43" i="1"/>
  <c r="O43" i="1"/>
  <c r="M6" i="1"/>
  <c r="U43" i="1"/>
  <c r="Q43" i="1"/>
  <c r="H13" i="2"/>
  <c r="H17" i="2" s="1"/>
  <c r="H7" i="2"/>
  <c r="Q16" i="2"/>
  <c r="X213" i="2"/>
  <c r="N9" i="2"/>
  <c r="N10" i="2" s="1"/>
  <c r="N509" i="2"/>
  <c r="K9" i="2"/>
  <c r="K10" i="2" s="1"/>
  <c r="K509" i="2"/>
  <c r="X431" i="2"/>
  <c r="U77" i="1"/>
  <c r="O77" i="1"/>
  <c r="O24" i="1"/>
  <c r="M25" i="1"/>
  <c r="M4" i="1"/>
  <c r="S24" i="1"/>
  <c r="Q24" i="1"/>
  <c r="P16" i="1"/>
  <c r="P7" i="1"/>
  <c r="K22" i="2"/>
  <c r="T156" i="2"/>
  <c r="W16" i="2"/>
  <c r="T476" i="2"/>
  <c r="R476" i="2"/>
  <c r="V476" i="2"/>
  <c r="R187" i="2"/>
  <c r="J16" i="1"/>
  <c r="J20" i="1" s="1"/>
  <c r="J7" i="1"/>
  <c r="S4" i="2"/>
  <c r="S24" i="2"/>
  <c r="I3" i="2"/>
  <c r="I24" i="2"/>
  <c r="T185" i="2"/>
  <c r="R185" i="2"/>
  <c r="V185" i="2"/>
  <c r="V604" i="2"/>
  <c r="X604" i="2"/>
  <c r="R604" i="2"/>
  <c r="T604" i="2"/>
  <c r="O24" i="2"/>
  <c r="O3" i="2"/>
  <c r="T358" i="2"/>
  <c r="R358" i="2"/>
  <c r="X358" i="2"/>
  <c r="V358" i="2"/>
  <c r="T259" i="2"/>
  <c r="P251" i="2"/>
  <c r="R259" i="2"/>
  <c r="X259" i="2"/>
  <c r="T387" i="2"/>
  <c r="S253" i="2"/>
  <c r="Z259" i="2"/>
  <c r="Z251" i="2" s="1"/>
  <c r="Z5" i="2" s="1"/>
  <c r="Z15" i="2" s="1"/>
  <c r="Z271" i="2"/>
  <c r="K21" i="2"/>
  <c r="K31" i="2"/>
  <c r="P351" i="2"/>
  <c r="T351" i="2" s="1"/>
  <c r="X357" i="2"/>
  <c r="P359" i="2"/>
  <c r="V359" i="2" s="1"/>
  <c r="R357" i="2"/>
  <c r="T357" i="2"/>
  <c r="T66" i="2"/>
  <c r="X66" i="2"/>
  <c r="V66" i="2"/>
  <c r="P260" i="2"/>
  <c r="X260" i="2" s="1"/>
  <c r="P249" i="2"/>
  <c r="R249" i="2" s="1"/>
  <c r="X257" i="2"/>
  <c r="Q77" i="1"/>
  <c r="Q4" i="2"/>
  <c r="T239" i="2"/>
  <c r="K353" i="2"/>
  <c r="M3" i="2"/>
  <c r="U11" i="1"/>
  <c r="S11" i="1"/>
  <c r="Q11" i="1"/>
  <c r="W353" i="2"/>
  <c r="I12" i="2"/>
  <c r="I15" i="2"/>
  <c r="V120" i="2"/>
  <c r="T120" i="2"/>
  <c r="R120" i="2"/>
  <c r="P212" i="2"/>
  <c r="V220" i="2"/>
  <c r="R220" i="2"/>
  <c r="T220" i="2"/>
  <c r="T213" i="2"/>
  <c r="V431" i="2"/>
  <c r="Y12" i="2"/>
  <c r="Y15" i="2"/>
  <c r="P508" i="2"/>
  <c r="V330" i="2"/>
  <c r="T308" i="2"/>
  <c r="X308" i="2"/>
  <c r="R308" i="2"/>
  <c r="R283" i="2"/>
  <c r="V283" i="2"/>
  <c r="X283" i="2"/>
  <c r="T283" i="2"/>
  <c r="V260" i="2"/>
  <c r="W7" i="1"/>
  <c r="P53" i="2"/>
  <c r="T49" i="2"/>
  <c r="R49" i="2"/>
  <c r="X49" i="2"/>
  <c r="V49" i="2"/>
  <c r="R554" i="2"/>
  <c r="V554" i="2"/>
  <c r="T554" i="2"/>
  <c r="Q44" i="1"/>
  <c r="K56" i="2"/>
  <c r="P422" i="2"/>
  <c r="R430" i="2"/>
  <c r="X430" i="2"/>
  <c r="V430" i="2"/>
  <c r="T430" i="2"/>
  <c r="R498" i="2"/>
  <c r="X498" i="2"/>
  <c r="V498" i="2"/>
  <c r="X271" i="2"/>
  <c r="R271" i="2"/>
  <c r="E140" i="1"/>
  <c r="X156" i="2"/>
  <c r="K452" i="2"/>
  <c r="K454" i="2" s="1"/>
  <c r="K461" i="2"/>
  <c r="L3" i="2"/>
  <c r="L24" i="2"/>
  <c r="P387" i="2"/>
  <c r="X386" i="2"/>
  <c r="V386" i="2"/>
  <c r="Y28" i="2"/>
  <c r="U76" i="1"/>
  <c r="M5" i="1"/>
  <c r="Q76" i="1"/>
  <c r="S76" i="1"/>
  <c r="O76" i="1"/>
  <c r="V257" i="2"/>
  <c r="R488" i="2"/>
  <c r="P157" i="2"/>
  <c r="T157" i="2" s="1"/>
  <c r="V154" i="2"/>
  <c r="R154" i="2"/>
  <c r="X330" i="2"/>
  <c r="V317" i="2"/>
  <c r="X317" i="2"/>
  <c r="X187" i="2"/>
  <c r="P250" i="2"/>
  <c r="T258" i="2"/>
  <c r="X258" i="2"/>
  <c r="W214" i="2"/>
  <c r="X294" i="2"/>
  <c r="T294" i="2"/>
  <c r="R294" i="2"/>
  <c r="X310" i="2"/>
  <c r="U24" i="2"/>
  <c r="U3" i="2"/>
  <c r="S44" i="1"/>
  <c r="S117" i="1"/>
  <c r="M75" i="1"/>
  <c r="M3" i="1" s="1"/>
  <c r="U117" i="1"/>
  <c r="O117" i="1"/>
  <c r="Q117" i="1"/>
  <c r="R258" i="2"/>
  <c r="T17" i="1"/>
  <c r="T20" i="1" s="1"/>
  <c r="U4" i="1"/>
  <c r="V357" i="2"/>
  <c r="P452" i="2"/>
  <c r="R459" i="2"/>
  <c r="X459" i="2"/>
  <c r="V459" i="2"/>
  <c r="R16" i="1"/>
  <c r="R7" i="1"/>
  <c r="W24" i="2"/>
  <c r="W3" i="2"/>
  <c r="X369" i="2"/>
  <c r="R369" i="2"/>
  <c r="T369" i="2"/>
  <c r="U25" i="1"/>
  <c r="R66" i="2"/>
  <c r="P56" i="2"/>
  <c r="R48" i="2"/>
  <c r="X48" i="2"/>
  <c r="P28" i="2"/>
  <c r="V48" i="2"/>
  <c r="T48" i="2"/>
  <c r="U353" i="2"/>
  <c r="U10" i="2"/>
  <c r="W10" i="2"/>
  <c r="R156" i="2"/>
  <c r="P42" i="2"/>
  <c r="X39" i="2"/>
  <c r="V39" i="2"/>
  <c r="T39" i="2"/>
  <c r="R39" i="2"/>
  <c r="R303" i="2"/>
  <c r="T303" i="2"/>
  <c r="P453" i="2"/>
  <c r="V453" i="2" s="1"/>
  <c r="R460" i="2"/>
  <c r="X460" i="2"/>
  <c r="P423" i="2"/>
  <c r="P352" i="2" s="1"/>
  <c r="V421" i="2"/>
  <c r="R421" i="2"/>
  <c r="T421" i="2"/>
  <c r="X421" i="2"/>
  <c r="P6" i="2"/>
  <c r="P16" i="2" s="1"/>
  <c r="Z249" i="2"/>
  <c r="Z253" i="2" s="1"/>
  <c r="Y352" i="2"/>
  <c r="Y353" i="2" s="1"/>
  <c r="Y359" i="2"/>
  <c r="U12" i="2"/>
  <c r="X307" i="2"/>
  <c r="R155" i="2"/>
  <c r="V155" i="2"/>
  <c r="T186" i="2"/>
  <c r="R186" i="2"/>
  <c r="V186" i="2"/>
  <c r="X186" i="2"/>
  <c r="V249" i="2"/>
  <c r="U253" i="2"/>
  <c r="Q12" i="2"/>
  <c r="Q15" i="2"/>
  <c r="T452" i="2"/>
  <c r="S454" i="2"/>
  <c r="T525" i="2"/>
  <c r="V525" i="2"/>
  <c r="V20" i="1"/>
  <c r="R173" i="2"/>
  <c r="W20" i="1"/>
  <c r="T352" i="2" l="1"/>
  <c r="R352" i="2"/>
  <c r="V352" i="2"/>
  <c r="X352" i="2"/>
  <c r="M7" i="1"/>
  <c r="M16" i="1"/>
  <c r="O3" i="1"/>
  <c r="U3" i="1"/>
  <c r="Q3" i="1"/>
  <c r="S3" i="1"/>
  <c r="V253" i="2"/>
  <c r="P20" i="1"/>
  <c r="R6" i="2"/>
  <c r="W14" i="2"/>
  <c r="G13" i="2"/>
  <c r="G17" i="2" s="1"/>
  <c r="D140" i="1" s="1"/>
  <c r="G7" i="2"/>
  <c r="T252" i="2"/>
  <c r="V252" i="2"/>
  <c r="R252" i="2"/>
  <c r="X252" i="2"/>
  <c r="U44" i="1"/>
  <c r="O44" i="1"/>
  <c r="Z127" i="2"/>
  <c r="Z128" i="2" s="1"/>
  <c r="Y128" i="2"/>
  <c r="X250" i="2"/>
  <c r="T250" i="2"/>
  <c r="M19" i="1"/>
  <c r="O6" i="1"/>
  <c r="Q6" i="1"/>
  <c r="U6" i="1"/>
  <c r="V454" i="2"/>
  <c r="P9" i="2"/>
  <c r="T508" i="2"/>
  <c r="P509" i="2"/>
  <c r="X508" i="2"/>
  <c r="V508" i="2"/>
  <c r="R508" i="2"/>
  <c r="V212" i="2"/>
  <c r="R212" i="2"/>
  <c r="T212" i="2"/>
  <c r="X157" i="2"/>
  <c r="K24" i="2"/>
  <c r="K3" i="2"/>
  <c r="O13" i="2"/>
  <c r="O17" i="2" s="1"/>
  <c r="L140" i="1" s="1"/>
  <c r="O7" i="2"/>
  <c r="S14" i="2"/>
  <c r="R16" i="2"/>
  <c r="R566" i="2"/>
  <c r="T566" i="2"/>
  <c r="V566" i="2"/>
  <c r="X566" i="2"/>
  <c r="X127" i="2"/>
  <c r="V127" i="2"/>
  <c r="T127" i="2"/>
  <c r="R127" i="2"/>
  <c r="P128" i="2"/>
  <c r="T260" i="2"/>
  <c r="R453" i="2"/>
  <c r="X453" i="2"/>
  <c r="M78" i="1"/>
  <c r="U75" i="1"/>
  <c r="S75" i="1"/>
  <c r="O75" i="1"/>
  <c r="Q75" i="1"/>
  <c r="Q7" i="1"/>
  <c r="R441" i="2"/>
  <c r="V441" i="2"/>
  <c r="X441" i="2"/>
  <c r="T441" i="2"/>
  <c r="R250" i="2"/>
  <c r="R20" i="1"/>
  <c r="U13" i="2"/>
  <c r="U7" i="2"/>
  <c r="Q14" i="2"/>
  <c r="T251" i="2"/>
  <c r="R251" i="2"/>
  <c r="P5" i="2"/>
  <c r="X251" i="2"/>
  <c r="X6" i="2"/>
  <c r="U14" i="2"/>
  <c r="J13" i="2"/>
  <c r="J17" i="2" s="1"/>
  <c r="G140" i="1" s="1"/>
  <c r="H133" i="1" s="1"/>
  <c r="J7" i="2"/>
  <c r="S16" i="2"/>
  <c r="T16" i="2" s="1"/>
  <c r="T6" i="2"/>
  <c r="T454" i="2"/>
  <c r="X214" i="2"/>
  <c r="R387" i="2"/>
  <c r="X387" i="2"/>
  <c r="V387" i="2"/>
  <c r="R422" i="2"/>
  <c r="V422" i="2"/>
  <c r="T422" i="2"/>
  <c r="X422" i="2"/>
  <c r="X16" i="2"/>
  <c r="O4" i="1"/>
  <c r="Q4" i="1"/>
  <c r="S4" i="1"/>
  <c r="T353" i="2"/>
  <c r="P214" i="2"/>
  <c r="T42" i="2"/>
  <c r="R42" i="2"/>
  <c r="X42" i="2"/>
  <c r="V42" i="2"/>
  <c r="Y21" i="2"/>
  <c r="Y31" i="2"/>
  <c r="V423" i="2"/>
  <c r="R423" i="2"/>
  <c r="X423" i="2"/>
  <c r="T423" i="2"/>
  <c r="V56" i="2"/>
  <c r="X56" i="2"/>
  <c r="T56" i="2"/>
  <c r="R56" i="2"/>
  <c r="W13" i="2"/>
  <c r="W7" i="2"/>
  <c r="X212" i="2"/>
  <c r="O25" i="1"/>
  <c r="S25" i="1"/>
  <c r="Q25" i="1"/>
  <c r="P454" i="2"/>
  <c r="V451" i="2"/>
  <c r="T451" i="2"/>
  <c r="R451" i="2"/>
  <c r="X451" i="2"/>
  <c r="Z3" i="2"/>
  <c r="V310" i="2"/>
  <c r="T310" i="2"/>
  <c r="R310" i="2"/>
  <c r="S7" i="2"/>
  <c r="V157" i="2"/>
  <c r="R157" i="2"/>
  <c r="V6" i="2"/>
  <c r="U16" i="2"/>
  <c r="V16" i="2" s="1"/>
  <c r="U5" i="1"/>
  <c r="M18" i="1"/>
  <c r="S5" i="1"/>
  <c r="Q5" i="1"/>
  <c r="O5" i="1"/>
  <c r="R359" i="2"/>
  <c r="X359" i="2"/>
  <c r="T359" i="2"/>
  <c r="I7" i="2"/>
  <c r="I13" i="2"/>
  <c r="I17" i="2" s="1"/>
  <c r="F140" i="1" s="1"/>
  <c r="K4" i="2"/>
  <c r="K14" i="2" s="1"/>
  <c r="X461" i="2"/>
  <c r="V461" i="2"/>
  <c r="R461" i="2"/>
  <c r="R260" i="2"/>
  <c r="V250" i="2"/>
  <c r="P129" i="2"/>
  <c r="V125" i="2"/>
  <c r="X125" i="2"/>
  <c r="R125" i="2"/>
  <c r="T125" i="2"/>
  <c r="Q13" i="2"/>
  <c r="Q7" i="2"/>
  <c r="P353" i="2"/>
  <c r="V353" i="2" s="1"/>
  <c r="X351" i="2"/>
  <c r="R351" i="2"/>
  <c r="V619" i="2"/>
  <c r="X619" i="2"/>
  <c r="R619" i="2"/>
  <c r="T619" i="2"/>
  <c r="P21" i="2"/>
  <c r="T28" i="2"/>
  <c r="V28" i="2"/>
  <c r="X28" i="2"/>
  <c r="R28" i="2"/>
  <c r="L13" i="2"/>
  <c r="L17" i="2" s="1"/>
  <c r="I140" i="1" s="1"/>
  <c r="L7" i="2"/>
  <c r="R53" i="2"/>
  <c r="X53" i="2"/>
  <c r="V53" i="2"/>
  <c r="T53" i="2"/>
  <c r="Z260" i="2"/>
  <c r="P29" i="2"/>
  <c r="V351" i="2"/>
  <c r="R452" i="2"/>
  <c r="V452" i="2"/>
  <c r="X452" i="2"/>
  <c r="M13" i="2"/>
  <c r="M17" i="2" s="1"/>
  <c r="J140" i="1" s="1"/>
  <c r="M7" i="2"/>
  <c r="P253" i="2"/>
  <c r="X253" i="2" s="1"/>
  <c r="X249" i="2"/>
  <c r="T249" i="2"/>
  <c r="P613" i="2"/>
  <c r="X612" i="2"/>
  <c r="P11" i="2"/>
  <c r="T612" i="2"/>
  <c r="R612" i="2"/>
  <c r="V612" i="2"/>
  <c r="T453" i="2"/>
  <c r="U15" i="2"/>
  <c r="S6" i="1"/>
  <c r="T461" i="2"/>
  <c r="N14" i="2"/>
  <c r="N17" i="2" s="1"/>
  <c r="K140" i="1" s="1"/>
  <c r="U16" i="1" l="1"/>
  <c r="O16" i="1"/>
  <c r="P22" i="2"/>
  <c r="R29" i="2"/>
  <c r="V29" i="2"/>
  <c r="X29" i="2"/>
  <c r="T29" i="2"/>
  <c r="Z13" i="2"/>
  <c r="U17" i="2"/>
  <c r="K13" i="2"/>
  <c r="K17" i="2" s="1"/>
  <c r="K7" i="2"/>
  <c r="O7" i="1"/>
  <c r="U7" i="1"/>
  <c r="Y3" i="2"/>
  <c r="P15" i="2"/>
  <c r="T5" i="2"/>
  <c r="R5" i="2"/>
  <c r="X5" i="2"/>
  <c r="R140" i="1"/>
  <c r="V509" i="2"/>
  <c r="T509" i="2"/>
  <c r="R509" i="2"/>
  <c r="X509" i="2"/>
  <c r="O19" i="1"/>
  <c r="U19" i="1"/>
  <c r="Q19" i="1"/>
  <c r="R353" i="2"/>
  <c r="Z129" i="2"/>
  <c r="Z22" i="2"/>
  <c r="P24" i="2"/>
  <c r="P3" i="2"/>
  <c r="T21" i="2"/>
  <c r="V21" i="2"/>
  <c r="X21" i="2"/>
  <c r="R21" i="2"/>
  <c r="P31" i="2"/>
  <c r="S16" i="1"/>
  <c r="R128" i="2"/>
  <c r="T128" i="2"/>
  <c r="V128" i="2"/>
  <c r="X128" i="2"/>
  <c r="X353" i="2"/>
  <c r="T253" i="2"/>
  <c r="S17" i="2"/>
  <c r="R129" i="2"/>
  <c r="T129" i="2"/>
  <c r="X129" i="2"/>
  <c r="V129" i="2"/>
  <c r="T9" i="2"/>
  <c r="P10" i="2"/>
  <c r="R9" i="2"/>
  <c r="V9" i="2"/>
  <c r="X9" i="2"/>
  <c r="P140" i="1"/>
  <c r="U18" i="1"/>
  <c r="O18" i="1"/>
  <c r="S18" i="1"/>
  <c r="Q18" i="1"/>
  <c r="M133" i="1"/>
  <c r="H127" i="1"/>
  <c r="Q16" i="1"/>
  <c r="V15" i="2"/>
  <c r="T11" i="2"/>
  <c r="P12" i="2"/>
  <c r="X11" i="2"/>
  <c r="R11" i="2"/>
  <c r="V11" i="2"/>
  <c r="R253" i="2"/>
  <c r="O78" i="1"/>
  <c r="S78" i="1"/>
  <c r="U78" i="1"/>
  <c r="Q78" i="1"/>
  <c r="V5" i="2"/>
  <c r="X613" i="2"/>
  <c r="T613" i="2"/>
  <c r="V613" i="2"/>
  <c r="R613" i="2"/>
  <c r="Q17" i="2"/>
  <c r="S19" i="1"/>
  <c r="X454" i="2"/>
  <c r="R454" i="2"/>
  <c r="W17" i="2"/>
  <c r="V214" i="2"/>
  <c r="R214" i="2"/>
  <c r="T214" i="2"/>
  <c r="Y129" i="2"/>
  <c r="Y22" i="2"/>
  <c r="Y4" i="2" s="1"/>
  <c r="Y14" i="2" s="1"/>
  <c r="S7" i="1"/>
  <c r="P13" i="2" l="1"/>
  <c r="P7" i="2"/>
  <c r="T3" i="2"/>
  <c r="X3" i="2"/>
  <c r="R3" i="2"/>
  <c r="V3" i="2"/>
  <c r="T140" i="1"/>
  <c r="H12" i="1"/>
  <c r="H130" i="1"/>
  <c r="T24" i="2"/>
  <c r="V24" i="2"/>
  <c r="R24" i="2"/>
  <c r="X24" i="2"/>
  <c r="P4" i="2"/>
  <c r="R22" i="2"/>
  <c r="T22" i="2"/>
  <c r="V22" i="2"/>
  <c r="X22" i="2"/>
  <c r="Z4" i="2"/>
  <c r="Z24" i="2"/>
  <c r="T15" i="2"/>
  <c r="X15" i="2"/>
  <c r="R15" i="2"/>
  <c r="N140" i="1"/>
  <c r="O133" i="1"/>
  <c r="U133" i="1"/>
  <c r="S133" i="1"/>
  <c r="M127" i="1"/>
  <c r="Q133" i="1"/>
  <c r="X12" i="2"/>
  <c r="T12" i="2"/>
  <c r="V12" i="2"/>
  <c r="R12" i="2"/>
  <c r="V31" i="2"/>
  <c r="T31" i="2"/>
  <c r="R31" i="2"/>
  <c r="X31" i="2"/>
  <c r="Y13" i="2"/>
  <c r="Y17" i="2" s="1"/>
  <c r="V140" i="1" s="1"/>
  <c r="Y7" i="2"/>
  <c r="T10" i="2"/>
  <c r="V10" i="2"/>
  <c r="X10" i="2"/>
  <c r="R10" i="2"/>
  <c r="Y24" i="2"/>
  <c r="Z14" i="2" l="1"/>
  <c r="Z17" i="2" s="1"/>
  <c r="W140" i="1" s="1"/>
  <c r="Z7" i="2"/>
  <c r="V7" i="2"/>
  <c r="T7" i="2"/>
  <c r="R7" i="2"/>
  <c r="X7" i="2"/>
  <c r="H15" i="1"/>
  <c r="H17" i="1"/>
  <c r="H20" i="1" s="1"/>
  <c r="H140" i="1" s="1"/>
  <c r="T13" i="2"/>
  <c r="R13" i="2"/>
  <c r="V13" i="2"/>
  <c r="X13" i="2"/>
  <c r="S127" i="1"/>
  <c r="M12" i="1"/>
  <c r="U127" i="1"/>
  <c r="Q127" i="1"/>
  <c r="O127" i="1"/>
  <c r="M130" i="1"/>
  <c r="P14" i="2"/>
  <c r="V4" i="2"/>
  <c r="T4" i="2"/>
  <c r="R4" i="2"/>
  <c r="X4" i="2"/>
  <c r="Q12" i="1" l="1"/>
  <c r="S12" i="1"/>
  <c r="O12" i="1"/>
  <c r="U12" i="1"/>
  <c r="M15" i="1"/>
  <c r="M17" i="1"/>
  <c r="V14" i="2"/>
  <c r="T14" i="2"/>
  <c r="R14" i="2"/>
  <c r="X14" i="2"/>
  <c r="Q130" i="1"/>
  <c r="S130" i="1"/>
  <c r="U130" i="1"/>
  <c r="O130" i="1"/>
  <c r="P17" i="2"/>
  <c r="V17" i="2" l="1"/>
  <c r="R17" i="2"/>
  <c r="X17" i="2"/>
  <c r="T17" i="2"/>
  <c r="O17" i="1"/>
  <c r="S17" i="1"/>
  <c r="Q17" i="1"/>
  <c r="U17" i="1"/>
  <c r="M20" i="1"/>
  <c r="U15" i="1"/>
  <c r="S15" i="1"/>
  <c r="Q15" i="1"/>
  <c r="O15" i="1"/>
  <c r="M140" i="1" l="1"/>
  <c r="U20" i="1"/>
  <c r="O20" i="1"/>
  <c r="Q20" i="1"/>
  <c r="S20" i="1"/>
  <c r="S140" i="1" l="1"/>
  <c r="Q140" i="1"/>
  <c r="U140" i="1"/>
  <c r="O140" i="1"/>
</calcChain>
</file>

<file path=xl/sharedStrings.xml><?xml version="1.0" encoding="utf-8"?>
<sst xmlns="http://schemas.openxmlformats.org/spreadsheetml/2006/main" count="2341" uniqueCount="376">
  <si>
    <t>SUMÁR PRÍJMOV</t>
  </si>
  <si>
    <t>2021 S</t>
  </si>
  <si>
    <t>2022 S</t>
  </si>
  <si>
    <t>2023 R</t>
  </si>
  <si>
    <t>2023 OS</t>
  </si>
  <si>
    <t>2024 R</t>
  </si>
  <si>
    <t>U1</t>
  </si>
  <si>
    <t>U2</t>
  </si>
  <si>
    <t>U3</t>
  </si>
  <si>
    <t>U4</t>
  </si>
  <si>
    <t>2024 U</t>
  </si>
  <si>
    <t>Č1</t>
  </si>
  <si>
    <t>P1</t>
  </si>
  <si>
    <t>Č2</t>
  </si>
  <si>
    <t>P2</t>
  </si>
  <si>
    <t>Č3</t>
  </si>
  <si>
    <t>P3</t>
  </si>
  <si>
    <t>Č4</t>
  </si>
  <si>
    <t>P4</t>
  </si>
  <si>
    <t>2025 R</t>
  </si>
  <si>
    <t>2026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</si>
  <si>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</si>
  <si>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</si>
  <si>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</si>
  <si>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</si>
  <si>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</si>
  <si>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</si>
  <si>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</si>
  <si>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</si>
  <si>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</si>
  <si>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</si>
  <si>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</si>
  <si>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</si>
  <si>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</si>
  <si>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</si>
  <si>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</si>
  <si>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</si>
  <si>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</si>
  <si>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</si>
  <si>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</si>
  <si>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</si>
  <si>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</si>
  <si>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</si>
  <si>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</si>
  <si>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</si>
  <si>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</si>
  <si>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</si>
  <si>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</si>
  <si>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Iné nedaňové príjmy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</si>
  <si>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</si>
  <si>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</si>
  <si>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</si>
  <si>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</si>
  <si>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</si>
  <si>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</si>
  <si>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</si>
  <si>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</si>
  <si>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</si>
  <si>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</si>
  <si>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</si>
  <si>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</si>
  <si>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</si>
  <si>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Príspevok rodičov MŠ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</si>
  <si>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</si>
  <si>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</si>
  <si>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</si>
  <si>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</si>
  <si>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</si>
  <si>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</si>
  <si>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</si>
  <si>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</si>
  <si>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</si>
  <si>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</si>
  <si>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</si>
  <si>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</si>
  <si>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</si>
  <si>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ZŠ pojekt NIVAM ESF</t>
  </si>
  <si>
    <t>MŠ predškoláci</t>
  </si>
  <si>
    <t>Prídavky na deti</t>
  </si>
  <si>
    <t>Sčítanie 2021</t>
  </si>
  <si>
    <t>Voľby</t>
  </si>
  <si>
    <t>DOS</t>
  </si>
  <si>
    <t>Regionálny rozvoj ESF</t>
  </si>
  <si>
    <t>Energodotácie</t>
  </si>
  <si>
    <t>Ubytovanie utečenci</t>
  </si>
  <si>
    <t>Migračné výzvy</t>
  </si>
  <si>
    <t>Krytie inflácie/Výpadok DP</t>
  </si>
  <si>
    <t>Defibrilátor – náplne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</si>
  <si>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</si>
  <si>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</si>
  <si>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</si>
  <si>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</si>
  <si>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</si>
  <si>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</si>
  <si>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</si>
  <si>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</si>
  <si>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</si>
  <si>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ZŠ debarierizácia</t>
  </si>
  <si>
    <t>ZŠ tréningové ihrisko</t>
  </si>
  <si>
    <t>MŠ fotovoltika</t>
  </si>
  <si>
    <t>Vodozádržné obecný úrad</t>
  </si>
  <si>
    <t>Stacionárne zariadenie</t>
  </si>
  <si>
    <t>Malotraktor</t>
  </si>
  <si>
    <t>Dotácie (RO)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</si>
  <si>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</si>
  <si>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</si>
  <si>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</si>
  <si>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</si>
  <si>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</si>
  <si>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</si>
  <si>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</si>
  <si>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</si>
  <si>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Stravné (RO)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</si>
  <si>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</si>
  <si>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</si>
  <si>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</si>
  <si>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</si>
  <si>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</si>
  <si>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</si>
  <si>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</si>
  <si>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</si>
  <si>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</si>
  <si>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</si>
  <si>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</si>
  <si>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</si>
  <si>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</si>
  <si>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</si>
  <si>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</si>
  <si>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</si>
  <si>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</si>
  <si>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</si>
  <si>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</si>
  <si>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</si>
  <si>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</si>
  <si>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</si>
  <si>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</si>
  <si>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</si>
  <si>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</si>
  <si>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ESMAO/DCOM</t>
  </si>
  <si>
    <t>Žiadosti o dotácie/obstáravanie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</si>
  <si>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</si>
  <si>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</si>
  <si>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</si>
  <si>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</si>
  <si>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</si>
  <si>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</si>
  <si>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</si>
  <si>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</si>
  <si>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Fotovoltaika – žiadosť o dotáciu/obstarávanie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</si>
  <si>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</si>
  <si>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</si>
  <si>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</si>
  <si>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</si>
  <si>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</si>
  <si>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</si>
  <si>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</si>
  <si>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</si>
  <si>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</si>
  <si>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</si>
  <si>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</si>
  <si>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</si>
  <si>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</si>
  <si>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</si>
  <si>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</si>
  <si>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</si>
  <si>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</si>
  <si>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111/AC/PO</t>
  </si>
  <si>
    <t>09.1.x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</si>
  <si>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</si>
  <si>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</si>
  <si>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</si>
  <si>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</si>
  <si>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</si>
  <si>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</si>
  <si>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</si>
  <si>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</si>
  <si>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Externý manažment vodozádržné/zateplenie VO a žiadosť/vratka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</si>
  <si>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</si>
  <si>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</si>
  <si>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</si>
  <si>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</si>
  <si>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</si>
  <si>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</si>
  <si>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Žiadosť o dotáciu</t>
  </si>
  <si>
    <t>Odber podzemnej vody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</si>
  <si>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</si>
  <si>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</si>
  <si>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</si>
  <si>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</si>
  <si>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</si>
  <si>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</si>
  <si>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</si>
  <si>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Vrátenie dotácie – porušenie zmluvy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</si>
  <si>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</si>
  <si>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</si>
  <si>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</si>
  <si>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</si>
  <si>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</si>
  <si>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</si>
  <si>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COVID-19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</si>
  <si>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</si>
  <si>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</si>
  <si>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</si>
  <si>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</si>
  <si>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</si>
  <si>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</si>
  <si>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</si>
  <si>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</si>
  <si>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</si>
  <si>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</si>
  <si>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</si>
  <si>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</si>
  <si>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</si>
  <si>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</si>
  <si>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</si>
  <si>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</si>
  <si>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</si>
  <si>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Verejné obstarávanie regulácie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</si>
  <si>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</si>
  <si>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</si>
  <si>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</si>
  <si>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</si>
  <si>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</si>
  <si>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</si>
  <si>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</si>
  <si>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Dohoda správca</t>
  </si>
  <si>
    <t>Prvok 6.1.2 Ostatné športové kluby</t>
  </si>
  <si>
    <t>Šachový klub</t>
  </si>
  <si>
    <t>OZ Bajk Relax Kysuce</t>
  </si>
  <si>
    <t>Podprogram 6.2 Kultúra</t>
  </si>
  <si>
    <t>Prvok 6.2.1 Kultúrny dom</t>
  </si>
  <si>
    <t>08.2.0</t>
  </si>
  <si>
    <t>Prvok 6.2.2 Kultúrne akcie</t>
  </si>
  <si>
    <t>Rocknes</t>
  </si>
  <si>
    <t>Letné kino, Kysucká knižnica</t>
  </si>
  <si>
    <t>Deň obce/kultúrne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</si>
  <si>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</si>
  <si>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</si>
  <si>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</si>
  <si>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</si>
  <si>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</si>
  <si>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</si>
  <si>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</si>
  <si>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</si>
  <si>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</si>
  <si>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Priatelia Kysúc</t>
  </si>
  <si>
    <t>Jednota dôchodcov</t>
  </si>
  <si>
    <t>SZ sklerózy multiplex</t>
  </si>
  <si>
    <t>Cyklotrasa KNM-Žilina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</si>
  <si>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</si>
  <si>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</si>
  <si>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</si>
  <si>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</si>
  <si>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</si>
  <si>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</si>
  <si>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odchodné, náhrada mzdy</t>
  </si>
  <si>
    <t>Prvok 7.1.2 Starostlivosť o starých občanov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</si>
  <si>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</si>
  <si>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</si>
  <si>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</si>
  <si>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</si>
  <si>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</si>
  <si>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</si>
  <si>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</si>
  <si>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</si>
  <si>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</si>
  <si>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</si>
  <si>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Projekt – fotovoltika na verejné budovy</t>
  </si>
  <si>
    <t>08.3.0-710</t>
  </si>
  <si>
    <t>Rekonštrukcia miestneho rozhlasu</t>
  </si>
  <si>
    <t>Podprogram 8.2 Školstvo</t>
  </si>
  <si>
    <t>09.x-710</t>
  </si>
  <si>
    <t>MŠ – fotovoltika</t>
  </si>
  <si>
    <t>ZŠ – vodozádržné opatrenia</t>
  </si>
  <si>
    <t>ZŠ – rekonštrukcia kotolne</t>
  </si>
  <si>
    <t>ZŠ – strecha CVČ</t>
  </si>
  <si>
    <t>ZŠ – vstupná rampa</t>
  </si>
  <si>
    <t>ZŠ – debarierizácia</t>
  </si>
  <si>
    <t>ZŠ – tréningové ihrisko</t>
  </si>
  <si>
    <t>ZŠ – zateplenie školy</t>
  </si>
  <si>
    <t>ZŠ – zníženie energetickej náročnosti telocvične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</si>
  <si>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</si>
  <si>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</si>
  <si>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</si>
  <si>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</si>
  <si>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</si>
  <si>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</si>
  <si>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</si>
  <si>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8.4 Odpadové hospodárstvo</t>
  </si>
  <si>
    <t>05.1.0-710</t>
  </si>
  <si>
    <t>BRKO – malotraktor – spolufinancovanie</t>
  </si>
  <si>
    <t>BRKO – auto na kompost, kontajnery – spolufinancovanie</t>
  </si>
  <si>
    <t>BRKO – odpadové nádoby</t>
  </si>
  <si>
    <t>05.2.0-710</t>
  </si>
  <si>
    <t>Kanalizácia – prepojenie Radovka/kamienková ulica</t>
  </si>
  <si>
    <t>Podprogram 8.5 Prostredie pre život</t>
  </si>
  <si>
    <t>04.5.1-710</t>
  </si>
  <si>
    <t>Asfaltovanie miestnych komunikácií</t>
  </si>
  <si>
    <t>06.2.0-710</t>
  </si>
  <si>
    <t>Regulácia potoka – projekt, obstarávanie</t>
  </si>
  <si>
    <t>Regulácia potoka – realizácia</t>
  </si>
  <si>
    <t>Vodozádržné opatrenia pri obecnom úrade</t>
  </si>
  <si>
    <t>Detské ihrisko v centre</t>
  </si>
  <si>
    <t>06.4.0-710</t>
  </si>
  <si>
    <t>Verejné osvetlenie/vianočné osvetlenie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</si>
  <si>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</si>
  <si>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</si>
  <si>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</si>
  <si>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</si>
  <si>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</si>
  <si>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</si>
  <si>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</si>
  <si>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</si>
  <si>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</si>
  <si>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</si>
  <si>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</si>
  <si>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</si>
  <si>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Podprogram 8.7 Solidarita</t>
  </si>
  <si>
    <t>10.2.0-710</t>
  </si>
  <si>
    <t>Oplotenie a odvodnenie pozemku</t>
  </si>
  <si>
    <t>Projekt stacionárneho zariadenia</t>
  </si>
  <si>
    <t>Podprogram 8.8 Plánovanie</t>
  </si>
  <si>
    <t>04.4.3-710</t>
  </si>
  <si>
    <t>Dodatok k územnému plánu</t>
  </si>
  <si>
    <t>Projektová dokumentácia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</si>
  <si>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</si>
  <si>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</si>
  <si>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</si>
  <si>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</si>
  <si>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</si>
  <si>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2021</t>
  </si>
  <si>
    <t>Skutočnosť v roku 2022</t>
  </si>
  <si>
    <t>Schválený rozpočet na rok 2023</t>
  </si>
  <si>
    <t>Odhad skutočnosti na rok 2023</t>
  </si>
  <si>
    <t>Rozpočet na rok 2024</t>
  </si>
  <si>
    <t>Rozpočet na rok 2025</t>
  </si>
  <si>
    <t>Rozpočet na rok 2026</t>
  </si>
  <si>
    <t>BRKO</t>
  </si>
  <si>
    <t>biologicky rozložiteľný komunálny odpad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</si>
  <si>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</si>
  <si>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</si>
  <si>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</si>
  <si>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</si>
  <si>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</si>
  <si>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</si>
  <si>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</si>
  <si>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</si>
  <si>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</si>
  <si>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</si>
  <si>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</si>
  <si>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</si>
  <si>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</si>
  <si>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</si>
  <si>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</si>
  <si>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</si>
  <si>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</si>
  <si>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</si>
  <si>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</si>
  <si>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</si>
  <si>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</si>
  <si>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</si>
  <si>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Spojená organizácia Slovenského zväzu telesne postihnutých a Zväzu postihnutých civilizačnými chorobami</t>
  </si>
  <si>
    <t>SODB</t>
  </si>
  <si>
    <t>sčítanie obyvateľov, domov a bytov</t>
  </si>
  <si>
    <t>SZP</t>
  </si>
  <si>
    <t>sociálne znevýhodnené prostredie</t>
  </si>
  <si>
    <t>ŠJ</t>
  </si>
  <si>
    <t>školská jedáleň</t>
  </si>
  <si>
    <t>U#</t>
  </si>
  <si>
    <t>úpravy v kvartáli #</t>
  </si>
  <si>
    <t>ÚPSVaR</t>
  </si>
  <si>
    <t>Úrad práce, sociálnych vecí a rodiny Žilina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</si>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</sst>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6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63">
    <xf numFmtId="0" fontId="0" fillId="0" borderId="0" xfId="0"/>
    <xf numFmtId="14" fontId="3" fillId="0" borderId="18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66" fontId="3" fillId="0" borderId="14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5" fillId="0" borderId="1" xfId="0" applyNumberFormat="1" applyFont="1" applyBorder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14" xfId="0" applyFont="1" applyBorder="1"/>
    <xf numFmtId="166" fontId="3" fillId="0" borderId="14" xfId="0" applyNumberFormat="1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5" xfId="0" applyFont="1" applyBorder="1"/>
    <xf numFmtId="4" fontId="3" fillId="0" borderId="15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0" borderId="16" xfId="0" applyNumberFormat="1" applyFont="1" applyBorder="1"/>
    <xf numFmtId="4" fontId="3" fillId="0" borderId="15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14" fontId="3" fillId="0" borderId="17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3" fillId="0" borderId="8" xfId="0" applyFont="1" applyBorder="1"/>
    <xf numFmtId="4" fontId="3" fillId="0" borderId="10" xfId="0" applyNumberFormat="1" applyFont="1" applyBorder="1"/>
    <xf numFmtId="4" fontId="3" fillId="0" borderId="16" xfId="0" applyNumberFormat="1" applyFont="1" applyBorder="1"/>
    <xf numFmtId="0" fontId="3" fillId="0" borderId="21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24" xfId="0" applyFont="1" applyBorder="1"/>
    <xf numFmtId="0" fontId="3" fillId="0" borderId="25" xfId="0" applyFont="1" applyBorder="1"/>
    <xf numFmtId="4" fontId="3" fillId="0" borderId="25" xfId="0" applyNumberFormat="1" applyFont="1" applyBorder="1"/>
    <xf numFmtId="4" fontId="3" fillId="0" borderId="25" xfId="0" applyNumberFormat="1" applyFont="1" applyBorder="1"/>
    <xf numFmtId="165" fontId="3" fillId="0" borderId="25" xfId="0" applyNumberFormat="1" applyFont="1" applyBorder="1"/>
    <xf numFmtId="165" fontId="3" fillId="0" borderId="26" xfId="0" applyNumberFormat="1" applyFont="1" applyBorder="1"/>
    <xf numFmtId="4" fontId="3" fillId="0" borderId="26" xfId="0" applyNumberFormat="1" applyFont="1" applyBorder="1"/>
    <xf numFmtId="167" fontId="3" fillId="0" borderId="0" xfId="0" applyNumberFormat="1" applyFont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4" fontId="3" fillId="0" borderId="27" xfId="0" applyNumberFormat="1" applyFont="1" applyBorder="1" applyAlignment="1">
      <alignment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ColWidth="11.5703125" defaultRowHeight="15" x14ac:dyDescent="0.25"/>
  <cols>
    <col min="1" max="1" width="11.5703125" style="15" customWidth="1"/>
    <col min="2" max="2" width="8.7109375" style="15" customWidth="1"/>
    <col min="3" max="3" width="18.140625" style="15" customWidth="1"/>
    <col min="4" max="5" width="11.28515625" style="15" hidden="1" customWidth="1"/>
    <col min="6" max="7" width="11" style="15" hidden="1" customWidth="1"/>
    <col min="8" max="8" width="12.7109375" style="15" customWidth="1"/>
    <col min="9" max="12" width="11" style="15" hidden="1" customWidth="1"/>
    <col min="13" max="14" width="12.7109375" style="15" customWidth="1"/>
    <col min="15" max="15" width="6.7109375" style="16" customWidth="1"/>
    <col min="16" max="16" width="12.7109375" style="15" customWidth="1"/>
    <col min="17" max="17" width="6.7109375" style="15" customWidth="1"/>
    <col min="18" max="18" width="12.7109375" style="15" customWidth="1"/>
    <col min="19" max="19" width="6.7109375" style="15" customWidth="1"/>
    <col min="20" max="20" width="12.7109375" style="15" customWidth="1"/>
    <col min="21" max="21" width="6.7109375" style="15" customWidth="1"/>
    <col min="22" max="23" width="11.28515625" style="15" hidden="1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3">
        <v>111</v>
      </c>
      <c r="C3" s="23" t="s">
        <v>22</v>
      </c>
      <c r="D3" s="24">
        <f t="shared" ref="D3:N3" si="0">D41+D75-D8</f>
        <v>763985.94</v>
      </c>
      <c r="E3" s="24">
        <f t="shared" si="0"/>
        <v>762955.45</v>
      </c>
      <c r="F3" s="24">
        <f t="shared" si="0"/>
        <v>734801</v>
      </c>
      <c r="G3" s="24">
        <f t="shared" si="0"/>
        <v>979941</v>
      </c>
      <c r="H3" s="24">
        <f t="shared" si="0"/>
        <v>867563</v>
      </c>
      <c r="I3" s="24">
        <f t="shared" si="0"/>
        <v>32930</v>
      </c>
      <c r="J3" s="24">
        <f t="shared" si="0"/>
        <v>-195670</v>
      </c>
      <c r="K3" s="24">
        <f t="shared" si="0"/>
        <v>37445</v>
      </c>
      <c r="L3" s="24">
        <f t="shared" si="0"/>
        <v>19730</v>
      </c>
      <c r="M3" s="24">
        <f t="shared" si="0"/>
        <v>1026851</v>
      </c>
      <c r="N3" s="24">
        <f t="shared" si="0"/>
        <v>312303.84999999998</v>
      </c>
      <c r="O3" s="25">
        <f t="shared" ref="O3:O20" si="1">IFERROR(N3/$M3,0)</f>
        <v>0.30413745519067514</v>
      </c>
      <c r="P3" s="24">
        <f>P41+P75-P8</f>
        <v>542262.83000000007</v>
      </c>
      <c r="Q3" s="25">
        <f t="shared" ref="Q3:Q20" si="2">IFERROR(P3/$M3,0)</f>
        <v>0.52808326621876012</v>
      </c>
      <c r="R3" s="24">
        <f>R41+R75-R8</f>
        <v>791230.83999999985</v>
      </c>
      <c r="S3" s="25">
        <f t="shared" ref="S3:S20" si="3">IFERROR(R3/$M3,0)</f>
        <v>0.7705410424686735</v>
      </c>
      <c r="T3" s="24">
        <f>T41+T75-T8</f>
        <v>1049300.56</v>
      </c>
      <c r="U3" s="25">
        <f t="shared" ref="U3:U20" si="4">IFERROR(T3/$M3,0)</f>
        <v>1.0218625292277068</v>
      </c>
      <c r="V3" s="24">
        <f>V41+V75-V8</f>
        <v>823228</v>
      </c>
      <c r="W3" s="24">
        <f>W41+W75-W8</f>
        <v>823228</v>
      </c>
    </row>
    <row r="4" spans="1:23" ht="13.9" customHeight="1" x14ac:dyDescent="0.25">
      <c r="A4" s="14"/>
      <c r="B4" s="23">
        <v>41</v>
      </c>
      <c r="C4" s="23" t="s">
        <v>23</v>
      </c>
      <c r="D4" s="24">
        <f t="shared" ref="D4:N4" si="5">D24+D42-D9</f>
        <v>1361666.5299999998</v>
      </c>
      <c r="E4" s="24">
        <f t="shared" si="5"/>
        <v>1464687.7300000002</v>
      </c>
      <c r="F4" s="24">
        <f t="shared" si="5"/>
        <v>1579872</v>
      </c>
      <c r="G4" s="24">
        <f t="shared" si="5"/>
        <v>1530074</v>
      </c>
      <c r="H4" s="24">
        <f t="shared" si="5"/>
        <v>1383272</v>
      </c>
      <c r="I4" s="24">
        <f t="shared" si="5"/>
        <v>0</v>
      </c>
      <c r="J4" s="24">
        <f t="shared" si="5"/>
        <v>245810</v>
      </c>
      <c r="K4" s="24">
        <f t="shared" si="5"/>
        <v>6454</v>
      </c>
      <c r="L4" s="24">
        <f t="shared" si="5"/>
        <v>0</v>
      </c>
      <c r="M4" s="24">
        <f t="shared" si="5"/>
        <v>1635536</v>
      </c>
      <c r="N4" s="24">
        <f t="shared" si="5"/>
        <v>463159.59</v>
      </c>
      <c r="O4" s="25">
        <f t="shared" si="1"/>
        <v>0.28318520044804885</v>
      </c>
      <c r="P4" s="24">
        <f>P24+P42-P9</f>
        <v>793443.37999999989</v>
      </c>
      <c r="Q4" s="25">
        <f t="shared" si="2"/>
        <v>0.48512743223016791</v>
      </c>
      <c r="R4" s="24">
        <f>R24+R42-R9</f>
        <v>1185995.7999999998</v>
      </c>
      <c r="S4" s="25">
        <f t="shared" si="3"/>
        <v>0.72514197180618456</v>
      </c>
      <c r="T4" s="24">
        <f>T24+T42-T9</f>
        <v>1570875.69</v>
      </c>
      <c r="U4" s="25">
        <f t="shared" si="4"/>
        <v>0.9604653703739936</v>
      </c>
      <c r="V4" s="24">
        <f>V24+V42-V9</f>
        <v>1318492</v>
      </c>
      <c r="W4" s="24">
        <f>W24+W42-W9</f>
        <v>1440080</v>
      </c>
    </row>
    <row r="5" spans="1:23" ht="13.9" customHeight="1" x14ac:dyDescent="0.25">
      <c r="A5" s="14"/>
      <c r="B5" s="23">
        <v>71</v>
      </c>
      <c r="C5" s="23" t="s">
        <v>24</v>
      </c>
      <c r="D5" s="24">
        <f t="shared" ref="D5:N5" si="6">D76</f>
        <v>3000</v>
      </c>
      <c r="E5" s="24">
        <f t="shared" si="6"/>
        <v>3000</v>
      </c>
      <c r="F5" s="24">
        <f t="shared" si="6"/>
        <v>3000</v>
      </c>
      <c r="G5" s="24">
        <f t="shared" si="6"/>
        <v>3000</v>
      </c>
      <c r="H5" s="24">
        <f t="shared" si="6"/>
        <v>3000</v>
      </c>
      <c r="I5" s="24">
        <f t="shared" si="6"/>
        <v>0</v>
      </c>
      <c r="J5" s="24">
        <f t="shared" si="6"/>
        <v>0</v>
      </c>
      <c r="K5" s="24">
        <f t="shared" si="6"/>
        <v>0</v>
      </c>
      <c r="L5" s="24">
        <f t="shared" si="6"/>
        <v>0</v>
      </c>
      <c r="M5" s="24">
        <f t="shared" si="6"/>
        <v>3000</v>
      </c>
      <c r="N5" s="24">
        <f t="shared" si="6"/>
        <v>0</v>
      </c>
      <c r="O5" s="25">
        <f t="shared" si="1"/>
        <v>0</v>
      </c>
      <c r="P5" s="24">
        <f>P76</f>
        <v>3000</v>
      </c>
      <c r="Q5" s="25">
        <f t="shared" si="2"/>
        <v>1</v>
      </c>
      <c r="R5" s="24">
        <f>R76</f>
        <v>3000</v>
      </c>
      <c r="S5" s="25">
        <f t="shared" si="3"/>
        <v>1</v>
      </c>
      <c r="T5" s="24">
        <f>T76</f>
        <v>3000</v>
      </c>
      <c r="U5" s="25">
        <f t="shared" si="4"/>
        <v>1</v>
      </c>
      <c r="V5" s="24">
        <f>V76</f>
        <v>3000</v>
      </c>
      <c r="W5" s="24">
        <f>W76</f>
        <v>3000</v>
      </c>
    </row>
    <row r="6" spans="1:23" ht="13.9" customHeight="1" x14ac:dyDescent="0.25">
      <c r="A6" s="14"/>
      <c r="B6" s="23">
        <v>72</v>
      </c>
      <c r="C6" s="23" t="s">
        <v>25</v>
      </c>
      <c r="D6" s="24">
        <f t="shared" ref="D6:N6" si="7">D43+D77</f>
        <v>55845.61</v>
      </c>
      <c r="E6" s="24">
        <f t="shared" si="7"/>
        <v>83132.320000000007</v>
      </c>
      <c r="F6" s="24">
        <f t="shared" si="7"/>
        <v>142260</v>
      </c>
      <c r="G6" s="24">
        <f t="shared" si="7"/>
        <v>100472</v>
      </c>
      <c r="H6" s="24">
        <f t="shared" si="7"/>
        <v>100476</v>
      </c>
      <c r="I6" s="24">
        <f t="shared" si="7"/>
        <v>0</v>
      </c>
      <c r="J6" s="24">
        <f t="shared" si="7"/>
        <v>-9114</v>
      </c>
      <c r="K6" s="24">
        <f t="shared" si="7"/>
        <v>0</v>
      </c>
      <c r="L6" s="24">
        <f t="shared" si="7"/>
        <v>3933</v>
      </c>
      <c r="M6" s="24">
        <f t="shared" si="7"/>
        <v>95295</v>
      </c>
      <c r="N6" s="24">
        <f t="shared" si="7"/>
        <v>23653.99</v>
      </c>
      <c r="O6" s="25">
        <f t="shared" si="1"/>
        <v>0.2482185843958235</v>
      </c>
      <c r="P6" s="24">
        <f>P43+P77</f>
        <v>49902.26</v>
      </c>
      <c r="Q6" s="25">
        <f t="shared" si="2"/>
        <v>0.52366084264651869</v>
      </c>
      <c r="R6" s="24">
        <f>R43+R77</f>
        <v>67420.3</v>
      </c>
      <c r="S6" s="25">
        <f t="shared" si="3"/>
        <v>0.70749042447137833</v>
      </c>
      <c r="T6" s="24">
        <f>T43+T77</f>
        <v>95193.46</v>
      </c>
      <c r="U6" s="25">
        <f t="shared" si="4"/>
        <v>0.99893446665617303</v>
      </c>
      <c r="V6" s="24">
        <f>V43+V77</f>
        <v>100476</v>
      </c>
      <c r="W6" s="24">
        <f>W43+W77</f>
        <v>100476</v>
      </c>
    </row>
    <row r="7" spans="1:23" ht="13.9" customHeight="1" x14ac:dyDescent="0.25">
      <c r="A7" s="14"/>
      <c r="B7" s="23"/>
      <c r="C7" s="26" t="s">
        <v>26</v>
      </c>
      <c r="D7" s="27">
        <f t="shared" ref="D7:N7" si="8">SUM(D3:D6)</f>
        <v>2184498.0799999996</v>
      </c>
      <c r="E7" s="27">
        <f t="shared" si="8"/>
        <v>2313775.5</v>
      </c>
      <c r="F7" s="27">
        <f t="shared" si="8"/>
        <v>2459933</v>
      </c>
      <c r="G7" s="27">
        <f t="shared" si="8"/>
        <v>2613487</v>
      </c>
      <c r="H7" s="27">
        <f t="shared" si="8"/>
        <v>2354311</v>
      </c>
      <c r="I7" s="27">
        <f t="shared" si="8"/>
        <v>32930</v>
      </c>
      <c r="J7" s="27">
        <f t="shared" si="8"/>
        <v>41026</v>
      </c>
      <c r="K7" s="27">
        <f t="shared" si="8"/>
        <v>43899</v>
      </c>
      <c r="L7" s="27">
        <f t="shared" si="8"/>
        <v>23663</v>
      </c>
      <c r="M7" s="27">
        <f t="shared" si="8"/>
        <v>2760682</v>
      </c>
      <c r="N7" s="27">
        <f t="shared" si="8"/>
        <v>799117.42999999993</v>
      </c>
      <c r="O7" s="28">
        <f t="shared" si="1"/>
        <v>0.28946377380661731</v>
      </c>
      <c r="P7" s="27">
        <f>SUM(P3:P6)</f>
        <v>1388608.47</v>
      </c>
      <c r="Q7" s="28">
        <f t="shared" si="2"/>
        <v>0.50299472014523949</v>
      </c>
      <c r="R7" s="27">
        <f>SUM(R3:R6)</f>
        <v>2047646.9399999997</v>
      </c>
      <c r="S7" s="28">
        <f t="shared" si="3"/>
        <v>0.74171778567759694</v>
      </c>
      <c r="T7" s="27">
        <f>SUM(T3:T6)</f>
        <v>2718369.71</v>
      </c>
      <c r="U7" s="28">
        <f t="shared" si="4"/>
        <v>0.98467324740770579</v>
      </c>
      <c r="V7" s="27">
        <f>SUM(V3:V6)</f>
        <v>2245196</v>
      </c>
      <c r="W7" s="27">
        <f>SUM(W3:W6)</f>
        <v>2366784</v>
      </c>
    </row>
    <row r="8" spans="1:23" ht="13.9" customHeight="1" x14ac:dyDescent="0.25">
      <c r="A8" s="14"/>
      <c r="B8" s="23">
        <v>111</v>
      </c>
      <c r="C8" s="23" t="s">
        <v>22</v>
      </c>
      <c r="D8" s="24">
        <f>SUM(D108:D116)</f>
        <v>100000</v>
      </c>
      <c r="E8" s="24">
        <f>SUM(E108:E116)</f>
        <v>184139.16</v>
      </c>
      <c r="F8" s="24">
        <f>SUM(F108:F116)</f>
        <v>405618</v>
      </c>
      <c r="G8" s="24">
        <f>SUM(G108:G116)</f>
        <v>155461</v>
      </c>
      <c r="H8" s="24">
        <f>SUM(H108:H116)</f>
        <v>1009328</v>
      </c>
      <c r="I8" s="24">
        <f>SUM(I108:I109)</f>
        <v>0</v>
      </c>
      <c r="J8" s="24">
        <f>SUM(J108:J109)</f>
        <v>-250000</v>
      </c>
      <c r="K8" s="24">
        <f>SUM(K108:K109)</f>
        <v>0</v>
      </c>
      <c r="L8" s="24">
        <f>SUM(L108:L109)</f>
        <v>0</v>
      </c>
      <c r="M8" s="24">
        <f>SUM(M108:M116)</f>
        <v>494475</v>
      </c>
      <c r="N8" s="24">
        <f>SUM(N108:N116)</f>
        <v>46402.34</v>
      </c>
      <c r="O8" s="25">
        <f t="shared" si="1"/>
        <v>9.3841630011628485E-2</v>
      </c>
      <c r="P8" s="24">
        <f>SUM(P108:P116)</f>
        <v>228175.13999999998</v>
      </c>
      <c r="Q8" s="25">
        <f t="shared" si="2"/>
        <v>0.46144929470650686</v>
      </c>
      <c r="R8" s="24">
        <f>SUM(R108:R116)</f>
        <v>228175.13999999998</v>
      </c>
      <c r="S8" s="25">
        <f t="shared" si="3"/>
        <v>0.46144929470650686</v>
      </c>
      <c r="T8" s="24">
        <f>SUM(T108:T116)</f>
        <v>250681.13999999998</v>
      </c>
      <c r="U8" s="25">
        <f t="shared" si="4"/>
        <v>0.50696423479447894</v>
      </c>
      <c r="V8" s="24">
        <f>SUM(V108:V116)</f>
        <v>0</v>
      </c>
      <c r="W8" s="24">
        <f>SUM(W108:W116)</f>
        <v>0</v>
      </c>
    </row>
    <row r="9" spans="1:23" ht="13.9" customHeight="1" x14ac:dyDescent="0.25">
      <c r="A9" s="14"/>
      <c r="B9" s="23">
        <v>43</v>
      </c>
      <c r="C9" s="23" t="s">
        <v>23</v>
      </c>
      <c r="D9" s="24">
        <f t="shared" ref="D9:N9" si="9">D53</f>
        <v>87.5</v>
      </c>
      <c r="E9" s="24">
        <f t="shared" si="9"/>
        <v>6650</v>
      </c>
      <c r="F9" s="24">
        <f t="shared" si="9"/>
        <v>0</v>
      </c>
      <c r="G9" s="24">
        <f t="shared" si="9"/>
        <v>3650</v>
      </c>
      <c r="H9" s="24">
        <f t="shared" si="9"/>
        <v>0</v>
      </c>
      <c r="I9" s="24">
        <f t="shared" si="9"/>
        <v>0</v>
      </c>
      <c r="J9" s="24">
        <f t="shared" si="9"/>
        <v>0</v>
      </c>
      <c r="K9" s="24">
        <f t="shared" si="9"/>
        <v>0</v>
      </c>
      <c r="L9" s="24">
        <f t="shared" si="9"/>
        <v>0</v>
      </c>
      <c r="M9" s="24">
        <f t="shared" si="9"/>
        <v>0</v>
      </c>
      <c r="N9" s="24">
        <f t="shared" si="9"/>
        <v>0</v>
      </c>
      <c r="O9" s="25">
        <f t="shared" si="1"/>
        <v>0</v>
      </c>
      <c r="P9" s="24">
        <f>P53</f>
        <v>0</v>
      </c>
      <c r="Q9" s="25">
        <f t="shared" si="2"/>
        <v>0</v>
      </c>
      <c r="R9" s="24">
        <f>R53</f>
        <v>0</v>
      </c>
      <c r="S9" s="25">
        <f t="shared" si="3"/>
        <v>0</v>
      </c>
      <c r="T9" s="24">
        <f>T53</f>
        <v>0</v>
      </c>
      <c r="U9" s="25">
        <f t="shared" si="4"/>
        <v>0</v>
      </c>
      <c r="V9" s="24">
        <f>V53</f>
        <v>0</v>
      </c>
      <c r="W9" s="24">
        <f>W53</f>
        <v>0</v>
      </c>
    </row>
    <row r="10" spans="1:23" ht="13.9" customHeight="1" x14ac:dyDescent="0.25">
      <c r="A10" s="14"/>
      <c r="B10" s="23"/>
      <c r="C10" s="26" t="s">
        <v>27</v>
      </c>
      <c r="D10" s="27">
        <f t="shared" ref="D10:N10" si="10">SUM(D8:D9)</f>
        <v>100087.5</v>
      </c>
      <c r="E10" s="27">
        <f t="shared" si="10"/>
        <v>190789.16</v>
      </c>
      <c r="F10" s="27">
        <f t="shared" si="10"/>
        <v>405618</v>
      </c>
      <c r="G10" s="27">
        <f t="shared" si="10"/>
        <v>159111</v>
      </c>
      <c r="H10" s="27">
        <f t="shared" si="10"/>
        <v>1009328</v>
      </c>
      <c r="I10" s="27">
        <f t="shared" si="10"/>
        <v>0</v>
      </c>
      <c r="J10" s="27">
        <f t="shared" si="10"/>
        <v>-250000</v>
      </c>
      <c r="K10" s="27">
        <f t="shared" si="10"/>
        <v>0</v>
      </c>
      <c r="L10" s="27">
        <f t="shared" si="10"/>
        <v>0</v>
      </c>
      <c r="M10" s="27">
        <f t="shared" si="10"/>
        <v>494475</v>
      </c>
      <c r="N10" s="27">
        <f t="shared" si="10"/>
        <v>46402.34</v>
      </c>
      <c r="O10" s="28">
        <f t="shared" si="1"/>
        <v>9.3841630011628485E-2</v>
      </c>
      <c r="P10" s="27">
        <f>SUM(P8:P9)</f>
        <v>228175.13999999998</v>
      </c>
      <c r="Q10" s="28">
        <f t="shared" si="2"/>
        <v>0.46144929470650686</v>
      </c>
      <c r="R10" s="27">
        <f>SUM(R8:R9)</f>
        <v>228175.13999999998</v>
      </c>
      <c r="S10" s="28">
        <f t="shared" si="3"/>
        <v>0.46144929470650686</v>
      </c>
      <c r="T10" s="27">
        <f>SUM(T8:T9)</f>
        <v>250681.13999999998</v>
      </c>
      <c r="U10" s="28">
        <f t="shared" si="4"/>
        <v>0.50696423479447894</v>
      </c>
      <c r="V10" s="27">
        <f>SUM(V8:V9)</f>
        <v>0</v>
      </c>
      <c r="W10" s="27">
        <f>SUM(W8:W9)</f>
        <v>0</v>
      </c>
    </row>
    <row r="11" spans="1:23" ht="13.9" customHeight="1" x14ac:dyDescent="0.25">
      <c r="A11" s="14"/>
      <c r="B11" s="23">
        <v>131</v>
      </c>
      <c r="C11" s="23" t="s">
        <v>22</v>
      </c>
      <c r="D11" s="24">
        <f t="shared" ref="D11:N11" si="11">D126</f>
        <v>34161.160000000003</v>
      </c>
      <c r="E11" s="24">
        <f t="shared" si="11"/>
        <v>69416.210000000006</v>
      </c>
      <c r="F11" s="24">
        <f t="shared" si="11"/>
        <v>32326</v>
      </c>
      <c r="G11" s="24">
        <f t="shared" si="11"/>
        <v>32326</v>
      </c>
      <c r="H11" s="24">
        <f t="shared" si="11"/>
        <v>0</v>
      </c>
      <c r="I11" s="24">
        <f t="shared" si="11"/>
        <v>0</v>
      </c>
      <c r="J11" s="24">
        <f t="shared" si="11"/>
        <v>326950</v>
      </c>
      <c r="K11" s="24">
        <f t="shared" si="11"/>
        <v>0</v>
      </c>
      <c r="L11" s="24">
        <f t="shared" si="11"/>
        <v>0</v>
      </c>
      <c r="M11" s="24">
        <f t="shared" si="11"/>
        <v>326950</v>
      </c>
      <c r="N11" s="24">
        <f t="shared" si="11"/>
        <v>0</v>
      </c>
      <c r="O11" s="25">
        <f t="shared" si="1"/>
        <v>0</v>
      </c>
      <c r="P11" s="24">
        <f>P126</f>
        <v>326950.78999999998</v>
      </c>
      <c r="Q11" s="25">
        <f t="shared" si="2"/>
        <v>1.000002416271601</v>
      </c>
      <c r="R11" s="24">
        <f>R126</f>
        <v>326950.78999999998</v>
      </c>
      <c r="S11" s="25">
        <f t="shared" si="3"/>
        <v>1.000002416271601</v>
      </c>
      <c r="T11" s="24">
        <f>T126</f>
        <v>326950.78999999998</v>
      </c>
      <c r="U11" s="25">
        <f t="shared" si="4"/>
        <v>1.000002416271601</v>
      </c>
      <c r="V11" s="24">
        <f t="shared" ref="V11:W14" si="12">V126</f>
        <v>0</v>
      </c>
      <c r="W11" s="24">
        <f t="shared" si="12"/>
        <v>0</v>
      </c>
    </row>
    <row r="12" spans="1:23" ht="13.9" customHeight="1" x14ac:dyDescent="0.25">
      <c r="A12" s="14"/>
      <c r="B12" s="23">
        <v>41</v>
      </c>
      <c r="C12" s="23" t="s">
        <v>23</v>
      </c>
      <c r="D12" s="24">
        <f t="shared" ref="D12:N12" si="13">D127</f>
        <v>759956.16999999993</v>
      </c>
      <c r="E12" s="24">
        <f t="shared" si="13"/>
        <v>403699.06</v>
      </c>
      <c r="F12" s="24">
        <f t="shared" si="13"/>
        <v>199814</v>
      </c>
      <c r="G12" s="24">
        <f t="shared" si="13"/>
        <v>112422</v>
      </c>
      <c r="H12" s="24">
        <f t="shared" si="13"/>
        <v>195876</v>
      </c>
      <c r="I12" s="24">
        <f t="shared" si="13"/>
        <v>0</v>
      </c>
      <c r="J12" s="24">
        <f t="shared" si="13"/>
        <v>-121674</v>
      </c>
      <c r="K12" s="24">
        <f t="shared" si="13"/>
        <v>0</v>
      </c>
      <c r="L12" s="24">
        <f t="shared" si="13"/>
        <v>0</v>
      </c>
      <c r="M12" s="24">
        <f t="shared" si="13"/>
        <v>74202</v>
      </c>
      <c r="N12" s="24">
        <f t="shared" si="13"/>
        <v>0</v>
      </c>
      <c r="O12" s="25">
        <f t="shared" si="1"/>
        <v>0</v>
      </c>
      <c r="P12" s="24">
        <f>P127</f>
        <v>74201.16</v>
      </c>
      <c r="Q12" s="25">
        <f t="shared" si="2"/>
        <v>0.99998867955041648</v>
      </c>
      <c r="R12" s="24">
        <f>R127</f>
        <v>74201.16</v>
      </c>
      <c r="S12" s="25">
        <f t="shared" si="3"/>
        <v>0.99998867955041648</v>
      </c>
      <c r="T12" s="24">
        <f>T127</f>
        <v>74201.16</v>
      </c>
      <c r="U12" s="25">
        <f t="shared" si="4"/>
        <v>0.99998867955041648</v>
      </c>
      <c r="V12" s="24">
        <f t="shared" si="12"/>
        <v>0</v>
      </c>
      <c r="W12" s="24">
        <f t="shared" si="12"/>
        <v>0</v>
      </c>
    </row>
    <row r="13" spans="1:23" ht="13.9" customHeight="1" x14ac:dyDescent="0.25">
      <c r="A13" s="14"/>
      <c r="B13" s="23">
        <v>71</v>
      </c>
      <c r="C13" s="23" t="s">
        <v>24</v>
      </c>
      <c r="D13" s="24">
        <f t="shared" ref="D13:N13" si="14">D128</f>
        <v>3760.3</v>
      </c>
      <c r="E13" s="24">
        <f t="shared" si="14"/>
        <v>4060.3</v>
      </c>
      <c r="F13" s="24">
        <f t="shared" si="14"/>
        <v>3000</v>
      </c>
      <c r="G13" s="24">
        <f t="shared" si="14"/>
        <v>29918</v>
      </c>
      <c r="H13" s="24">
        <f t="shared" si="14"/>
        <v>0</v>
      </c>
      <c r="I13" s="24">
        <f t="shared" si="14"/>
        <v>26300</v>
      </c>
      <c r="J13" s="24">
        <f t="shared" si="14"/>
        <v>23000</v>
      </c>
      <c r="K13" s="24">
        <f t="shared" si="14"/>
        <v>1000</v>
      </c>
      <c r="L13" s="24">
        <f t="shared" si="14"/>
        <v>0</v>
      </c>
      <c r="M13" s="24">
        <f t="shared" si="14"/>
        <v>50300</v>
      </c>
      <c r="N13" s="24">
        <f t="shared" si="14"/>
        <v>200</v>
      </c>
      <c r="O13" s="25">
        <f t="shared" si="1"/>
        <v>3.9761431411530811E-3</v>
      </c>
      <c r="P13" s="24">
        <f>P128</f>
        <v>49300</v>
      </c>
      <c r="Q13" s="25">
        <f t="shared" si="2"/>
        <v>0.98011928429423456</v>
      </c>
      <c r="R13" s="24">
        <f>R128</f>
        <v>49700</v>
      </c>
      <c r="S13" s="25">
        <f t="shared" si="3"/>
        <v>0.98807157057654071</v>
      </c>
      <c r="T13" s="24">
        <f>T128</f>
        <v>49900</v>
      </c>
      <c r="U13" s="25">
        <f t="shared" si="4"/>
        <v>0.99204771371769385</v>
      </c>
      <c r="V13" s="24">
        <f t="shared" si="12"/>
        <v>0</v>
      </c>
      <c r="W13" s="24">
        <f t="shared" si="12"/>
        <v>0</v>
      </c>
    </row>
    <row r="14" spans="1:23" ht="13.9" customHeight="1" x14ac:dyDescent="0.25">
      <c r="A14" s="14"/>
      <c r="B14" s="29">
        <v>72</v>
      </c>
      <c r="C14" s="29" t="s">
        <v>25</v>
      </c>
      <c r="D14" s="24">
        <f t="shared" ref="D14:N14" si="15">D129</f>
        <v>13138.14</v>
      </c>
      <c r="E14" s="24">
        <f t="shared" si="15"/>
        <v>0</v>
      </c>
      <c r="F14" s="24">
        <f t="shared" si="15"/>
        <v>0</v>
      </c>
      <c r="G14" s="24">
        <f t="shared" si="15"/>
        <v>0</v>
      </c>
      <c r="H14" s="24">
        <f t="shared" si="15"/>
        <v>0</v>
      </c>
      <c r="I14" s="24">
        <f t="shared" si="15"/>
        <v>0</v>
      </c>
      <c r="J14" s="24">
        <f t="shared" si="15"/>
        <v>14691</v>
      </c>
      <c r="K14" s="24">
        <f t="shared" si="15"/>
        <v>0</v>
      </c>
      <c r="L14" s="24">
        <f t="shared" si="15"/>
        <v>0</v>
      </c>
      <c r="M14" s="24">
        <f t="shared" si="15"/>
        <v>14691</v>
      </c>
      <c r="N14" s="24">
        <f t="shared" si="15"/>
        <v>0</v>
      </c>
      <c r="O14" s="25">
        <f t="shared" si="1"/>
        <v>0</v>
      </c>
      <c r="P14" s="24">
        <f>P129</f>
        <v>0</v>
      </c>
      <c r="Q14" s="25">
        <f t="shared" si="2"/>
        <v>0</v>
      </c>
      <c r="R14" s="24">
        <f>R129</f>
        <v>0</v>
      </c>
      <c r="S14" s="25">
        <f t="shared" si="3"/>
        <v>0</v>
      </c>
      <c r="T14" s="24">
        <f>T129</f>
        <v>0</v>
      </c>
      <c r="U14" s="25">
        <f t="shared" si="4"/>
        <v>0</v>
      </c>
      <c r="V14" s="24">
        <f t="shared" si="12"/>
        <v>0</v>
      </c>
      <c r="W14" s="24">
        <f t="shared" si="12"/>
        <v>0</v>
      </c>
    </row>
    <row r="15" spans="1:23" ht="13.9" customHeight="1" x14ac:dyDescent="0.25">
      <c r="A15" s="14"/>
      <c r="B15" s="23"/>
      <c r="C15" s="26" t="s">
        <v>28</v>
      </c>
      <c r="D15" s="27">
        <f t="shared" ref="D15:N15" si="16">SUM(D11:D14)</f>
        <v>811015.77</v>
      </c>
      <c r="E15" s="27">
        <f t="shared" si="16"/>
        <v>477175.57</v>
      </c>
      <c r="F15" s="27">
        <f t="shared" si="16"/>
        <v>235140</v>
      </c>
      <c r="G15" s="27">
        <f t="shared" si="16"/>
        <v>174666</v>
      </c>
      <c r="H15" s="27">
        <f t="shared" si="16"/>
        <v>195876</v>
      </c>
      <c r="I15" s="27">
        <f t="shared" si="16"/>
        <v>26300</v>
      </c>
      <c r="J15" s="27">
        <f t="shared" si="16"/>
        <v>242967</v>
      </c>
      <c r="K15" s="27">
        <f t="shared" si="16"/>
        <v>1000</v>
      </c>
      <c r="L15" s="27">
        <f t="shared" si="16"/>
        <v>0</v>
      </c>
      <c r="M15" s="27">
        <f t="shared" si="16"/>
        <v>466143</v>
      </c>
      <c r="N15" s="27">
        <f t="shared" si="16"/>
        <v>200</v>
      </c>
      <c r="O15" s="28">
        <f t="shared" si="1"/>
        <v>4.2905288720414123E-4</v>
      </c>
      <c r="P15" s="27">
        <f>SUM(P11:P14)</f>
        <v>450451.94999999995</v>
      </c>
      <c r="Q15" s="28">
        <f t="shared" si="2"/>
        <v>0.96633854847117717</v>
      </c>
      <c r="R15" s="27">
        <f>SUM(R11:R14)</f>
        <v>450851.94999999995</v>
      </c>
      <c r="S15" s="28">
        <f t="shared" si="3"/>
        <v>0.96719665424558543</v>
      </c>
      <c r="T15" s="27">
        <f>SUM(T11:T14)</f>
        <v>451051.94999999995</v>
      </c>
      <c r="U15" s="28">
        <f t="shared" si="4"/>
        <v>0.96762570713278961</v>
      </c>
      <c r="V15" s="27">
        <f>SUM(V11:V14)</f>
        <v>0</v>
      </c>
      <c r="W15" s="27">
        <f>SUM(W11:W14)</f>
        <v>0</v>
      </c>
    </row>
    <row r="16" spans="1:23" ht="13.9" customHeight="1" x14ac:dyDescent="0.25">
      <c r="A16" s="14"/>
      <c r="B16" s="23">
        <v>111</v>
      </c>
      <c r="C16" s="23" t="s">
        <v>22</v>
      </c>
      <c r="D16" s="24">
        <f t="shared" ref="D16:N16" si="17">D3+D8+D11</f>
        <v>898147.1</v>
      </c>
      <c r="E16" s="24">
        <f t="shared" si="17"/>
        <v>1016510.82</v>
      </c>
      <c r="F16" s="24">
        <f t="shared" si="17"/>
        <v>1172745</v>
      </c>
      <c r="G16" s="24">
        <f t="shared" si="17"/>
        <v>1167728</v>
      </c>
      <c r="H16" s="24">
        <f t="shared" si="17"/>
        <v>1876891</v>
      </c>
      <c r="I16" s="24">
        <f t="shared" si="17"/>
        <v>32930</v>
      </c>
      <c r="J16" s="24">
        <f t="shared" si="17"/>
        <v>-118720</v>
      </c>
      <c r="K16" s="24">
        <f t="shared" si="17"/>
        <v>37445</v>
      </c>
      <c r="L16" s="24">
        <f t="shared" si="17"/>
        <v>19730</v>
      </c>
      <c r="M16" s="24">
        <f t="shared" si="17"/>
        <v>1848276</v>
      </c>
      <c r="N16" s="24">
        <f t="shared" si="17"/>
        <v>358706.18999999994</v>
      </c>
      <c r="O16" s="25">
        <f t="shared" si="1"/>
        <v>0.19407609577790327</v>
      </c>
      <c r="P16" s="24">
        <f>P3+P8+P11</f>
        <v>1097388.76</v>
      </c>
      <c r="Q16" s="25">
        <f t="shared" si="2"/>
        <v>0.59373641166146185</v>
      </c>
      <c r="R16" s="24">
        <f>R3+R8+R11</f>
        <v>1346356.7699999998</v>
      </c>
      <c r="S16" s="25">
        <f t="shared" si="3"/>
        <v>0.72843924284035488</v>
      </c>
      <c r="T16" s="24">
        <f>T3+T8+T11</f>
        <v>1626932.49</v>
      </c>
      <c r="U16" s="25">
        <f t="shared" si="4"/>
        <v>0.88024325912363732</v>
      </c>
      <c r="V16" s="24">
        <f>V3+V8+V11</f>
        <v>823228</v>
      </c>
      <c r="W16" s="24">
        <f>W3+W8+W11</f>
        <v>823228</v>
      </c>
    </row>
    <row r="17" spans="1:23" ht="13.9" customHeight="1" x14ac:dyDescent="0.25">
      <c r="A17" s="14"/>
      <c r="B17" s="23">
        <v>41</v>
      </c>
      <c r="C17" s="23" t="s">
        <v>23</v>
      </c>
      <c r="D17" s="24">
        <f t="shared" ref="D17:N17" si="18">D4+D9+D12</f>
        <v>2121710.1999999997</v>
      </c>
      <c r="E17" s="24">
        <f t="shared" si="18"/>
        <v>1875036.7900000003</v>
      </c>
      <c r="F17" s="24">
        <f t="shared" si="18"/>
        <v>1779686</v>
      </c>
      <c r="G17" s="24">
        <f t="shared" si="18"/>
        <v>1646146</v>
      </c>
      <c r="H17" s="24">
        <f t="shared" si="18"/>
        <v>1579148</v>
      </c>
      <c r="I17" s="24">
        <f t="shared" si="18"/>
        <v>0</v>
      </c>
      <c r="J17" s="24">
        <f t="shared" si="18"/>
        <v>124136</v>
      </c>
      <c r="K17" s="24">
        <f t="shared" si="18"/>
        <v>6454</v>
      </c>
      <c r="L17" s="24">
        <f t="shared" si="18"/>
        <v>0</v>
      </c>
      <c r="M17" s="24">
        <f t="shared" si="18"/>
        <v>1709738</v>
      </c>
      <c r="N17" s="24">
        <f t="shared" si="18"/>
        <v>463159.59</v>
      </c>
      <c r="O17" s="25">
        <f t="shared" si="1"/>
        <v>0.27089506696347632</v>
      </c>
      <c r="P17" s="24">
        <f>P4+P9+P12</f>
        <v>867644.53999999992</v>
      </c>
      <c r="Q17" s="25">
        <f t="shared" si="2"/>
        <v>0.50747222088998423</v>
      </c>
      <c r="R17" s="24">
        <f>R4+R9+R12</f>
        <v>1260196.9599999997</v>
      </c>
      <c r="S17" s="25">
        <f t="shared" si="3"/>
        <v>0.73707021777605675</v>
      </c>
      <c r="T17" s="24">
        <f>T4+T9+T12</f>
        <v>1645076.8499999999</v>
      </c>
      <c r="U17" s="25">
        <f t="shared" si="4"/>
        <v>0.96218066744729303</v>
      </c>
      <c r="V17" s="24">
        <f>V4+V9+V12</f>
        <v>1318492</v>
      </c>
      <c r="W17" s="24">
        <f>W4+W9+W12</f>
        <v>1440080</v>
      </c>
    </row>
    <row r="18" spans="1:23" ht="13.9" customHeight="1" x14ac:dyDescent="0.25">
      <c r="A18" s="14"/>
      <c r="B18" s="23">
        <v>71</v>
      </c>
      <c r="C18" s="23" t="s">
        <v>24</v>
      </c>
      <c r="D18" s="24">
        <f t="shared" ref="D18:N18" si="19">D5+D13</f>
        <v>6760.3</v>
      </c>
      <c r="E18" s="24">
        <f t="shared" si="19"/>
        <v>7060.3</v>
      </c>
      <c r="F18" s="24">
        <f t="shared" si="19"/>
        <v>6000</v>
      </c>
      <c r="G18" s="24">
        <f t="shared" si="19"/>
        <v>32918</v>
      </c>
      <c r="H18" s="24">
        <f t="shared" si="19"/>
        <v>3000</v>
      </c>
      <c r="I18" s="24">
        <f t="shared" si="19"/>
        <v>26300</v>
      </c>
      <c r="J18" s="24">
        <f t="shared" si="19"/>
        <v>23000</v>
      </c>
      <c r="K18" s="24">
        <f t="shared" si="19"/>
        <v>1000</v>
      </c>
      <c r="L18" s="24">
        <f t="shared" si="19"/>
        <v>0</v>
      </c>
      <c r="M18" s="24">
        <f t="shared" si="19"/>
        <v>53300</v>
      </c>
      <c r="N18" s="24">
        <f t="shared" si="19"/>
        <v>200</v>
      </c>
      <c r="O18" s="25">
        <f t="shared" si="1"/>
        <v>3.7523452157598499E-3</v>
      </c>
      <c r="P18" s="24">
        <f>P5+P13</f>
        <v>52300</v>
      </c>
      <c r="Q18" s="25">
        <f t="shared" si="2"/>
        <v>0.98123827392120078</v>
      </c>
      <c r="R18" s="24">
        <f>R5+R13</f>
        <v>52700</v>
      </c>
      <c r="S18" s="25">
        <f t="shared" si="3"/>
        <v>0.98874296435272047</v>
      </c>
      <c r="T18" s="24">
        <f>T5+T13</f>
        <v>52900</v>
      </c>
      <c r="U18" s="25">
        <f t="shared" si="4"/>
        <v>0.99249530956848031</v>
      </c>
      <c r="V18" s="24">
        <f>V5+V13</f>
        <v>3000</v>
      </c>
      <c r="W18" s="24">
        <f>W5+W13</f>
        <v>3000</v>
      </c>
    </row>
    <row r="19" spans="1:23" ht="13.9" customHeight="1" x14ac:dyDescent="0.25">
      <c r="A19" s="14"/>
      <c r="B19" s="23">
        <v>72</v>
      </c>
      <c r="C19" s="23" t="s">
        <v>25</v>
      </c>
      <c r="D19" s="24">
        <f t="shared" ref="D19:N19" si="20">D6+D14</f>
        <v>68983.75</v>
      </c>
      <c r="E19" s="24">
        <f t="shared" si="20"/>
        <v>83132.320000000007</v>
      </c>
      <c r="F19" s="24">
        <f t="shared" si="20"/>
        <v>142260</v>
      </c>
      <c r="G19" s="24">
        <f t="shared" si="20"/>
        <v>100472</v>
      </c>
      <c r="H19" s="24">
        <f t="shared" si="20"/>
        <v>100476</v>
      </c>
      <c r="I19" s="24">
        <f t="shared" si="20"/>
        <v>0</v>
      </c>
      <c r="J19" s="24">
        <f t="shared" si="20"/>
        <v>5577</v>
      </c>
      <c r="K19" s="24">
        <f t="shared" si="20"/>
        <v>0</v>
      </c>
      <c r="L19" s="24">
        <f t="shared" si="20"/>
        <v>3933</v>
      </c>
      <c r="M19" s="24">
        <f t="shared" si="20"/>
        <v>109986</v>
      </c>
      <c r="N19" s="24">
        <f t="shared" si="20"/>
        <v>23653.99</v>
      </c>
      <c r="O19" s="25">
        <f t="shared" si="1"/>
        <v>0.21506364446384088</v>
      </c>
      <c r="P19" s="24">
        <f>P6+P14</f>
        <v>49902.26</v>
      </c>
      <c r="Q19" s="25">
        <f t="shared" si="2"/>
        <v>0.45371465459240268</v>
      </c>
      <c r="R19" s="24">
        <f>R6+R14</f>
        <v>67420.3</v>
      </c>
      <c r="S19" s="25">
        <f t="shared" si="3"/>
        <v>0.612989835069918</v>
      </c>
      <c r="T19" s="24">
        <f>T6+T14</f>
        <v>95193.46</v>
      </c>
      <c r="U19" s="25">
        <f t="shared" si="4"/>
        <v>0.86550524612223378</v>
      </c>
      <c r="V19" s="24">
        <f>V6+V14</f>
        <v>100476</v>
      </c>
      <c r="W19" s="24">
        <f>W6+W14</f>
        <v>100476</v>
      </c>
    </row>
    <row r="20" spans="1:23" ht="13.9" customHeight="1" x14ac:dyDescent="0.25">
      <c r="A20" s="30"/>
      <c r="B20" s="31"/>
      <c r="C20" s="26" t="s">
        <v>29</v>
      </c>
      <c r="D20" s="27">
        <f t="shared" ref="D20:N20" si="21">SUM(D16:D19)</f>
        <v>3095601.3499999996</v>
      </c>
      <c r="E20" s="27">
        <f t="shared" si="21"/>
        <v>2981740.23</v>
      </c>
      <c r="F20" s="27">
        <f t="shared" si="21"/>
        <v>3100691</v>
      </c>
      <c r="G20" s="27">
        <f t="shared" si="21"/>
        <v>2947264</v>
      </c>
      <c r="H20" s="27">
        <f t="shared" si="21"/>
        <v>3559515</v>
      </c>
      <c r="I20" s="27">
        <f t="shared" si="21"/>
        <v>59230</v>
      </c>
      <c r="J20" s="27">
        <f t="shared" si="21"/>
        <v>33993</v>
      </c>
      <c r="K20" s="27">
        <f t="shared" si="21"/>
        <v>44899</v>
      </c>
      <c r="L20" s="27">
        <f t="shared" si="21"/>
        <v>23663</v>
      </c>
      <c r="M20" s="27">
        <f t="shared" si="21"/>
        <v>3721300</v>
      </c>
      <c r="N20" s="27">
        <f t="shared" si="21"/>
        <v>845719.77</v>
      </c>
      <c r="O20" s="28">
        <f t="shared" si="1"/>
        <v>0.2272646037675006</v>
      </c>
      <c r="P20" s="27">
        <f>SUM(P16:P19)</f>
        <v>2067235.5599999998</v>
      </c>
      <c r="Q20" s="28">
        <f t="shared" si="2"/>
        <v>0.55551435251121917</v>
      </c>
      <c r="R20" s="27">
        <f>SUM(R16:R19)</f>
        <v>2726674.0299999993</v>
      </c>
      <c r="S20" s="28">
        <f t="shared" si="3"/>
        <v>0.73272083142987643</v>
      </c>
      <c r="T20" s="27">
        <f>SUM(T16:T19)</f>
        <v>3420102.8</v>
      </c>
      <c r="U20" s="28">
        <f t="shared" si="4"/>
        <v>0.91906129578373141</v>
      </c>
      <c r="V20" s="27">
        <f>SUM(V16:V19)</f>
        <v>2245196</v>
      </c>
      <c r="W20" s="27">
        <f>SUM(W16:W19)</f>
        <v>2366784</v>
      </c>
    </row>
    <row r="22" spans="1:23" ht="13.9" customHeight="1" x14ac:dyDescent="0.25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2"/>
      <c r="S22" s="32"/>
      <c r="T22" s="32"/>
      <c r="U22" s="32"/>
      <c r="V22" s="32"/>
      <c r="W22" s="32"/>
    </row>
    <row r="23" spans="1:23" ht="13.9" customHeight="1" x14ac:dyDescent="0.25">
      <c r="A23" s="20"/>
      <c r="B23" s="20"/>
      <c r="C23" s="20"/>
      <c r="D23" s="21" t="s">
        <v>1</v>
      </c>
      <c r="E23" s="21" t="s">
        <v>2</v>
      </c>
      <c r="F23" s="21" t="s">
        <v>3</v>
      </c>
      <c r="G23" s="21" t="s">
        <v>4</v>
      </c>
      <c r="H23" s="21" t="s">
        <v>5</v>
      </c>
      <c r="I23" s="21" t="s">
        <v>6</v>
      </c>
      <c r="J23" s="21" t="s">
        <v>7</v>
      </c>
      <c r="K23" s="21" t="s">
        <v>8</v>
      </c>
      <c r="L23" s="21" t="s">
        <v>9</v>
      </c>
      <c r="M23" s="21" t="s">
        <v>10</v>
      </c>
      <c r="N23" s="21" t="s">
        <v>11</v>
      </c>
      <c r="O23" s="22" t="s">
        <v>12</v>
      </c>
      <c r="P23" s="21" t="s">
        <v>13</v>
      </c>
      <c r="Q23" s="22" t="s">
        <v>14</v>
      </c>
      <c r="R23" s="21" t="s">
        <v>15</v>
      </c>
      <c r="S23" s="22" t="s">
        <v>16</v>
      </c>
      <c r="T23" s="21" t="s">
        <v>17</v>
      </c>
      <c r="U23" s="22" t="s">
        <v>18</v>
      </c>
      <c r="V23" s="21" t="s">
        <v>19</v>
      </c>
      <c r="W23" s="21" t="s">
        <v>20</v>
      </c>
    </row>
    <row r="24" spans="1:23" ht="13.9" customHeight="1" x14ac:dyDescent="0.25">
      <c r="A24" s="34" t="s">
        <v>21</v>
      </c>
      <c r="B24" s="35">
        <v>41</v>
      </c>
      <c r="C24" s="35" t="s">
        <v>23</v>
      </c>
      <c r="D24" s="36">
        <f t="shared" ref="D24:N24" si="22">D37</f>
        <v>1262842.5799999998</v>
      </c>
      <c r="E24" s="36">
        <f t="shared" si="22"/>
        <v>1369565.9800000002</v>
      </c>
      <c r="F24" s="36">
        <f t="shared" si="22"/>
        <v>1450635</v>
      </c>
      <c r="G24" s="36">
        <f t="shared" si="22"/>
        <v>1418920</v>
      </c>
      <c r="H24" s="36">
        <f t="shared" si="22"/>
        <v>1278745</v>
      </c>
      <c r="I24" s="36">
        <f t="shared" si="22"/>
        <v>0</v>
      </c>
      <c r="J24" s="36">
        <f t="shared" si="22"/>
        <v>235933</v>
      </c>
      <c r="K24" s="36">
        <f t="shared" si="22"/>
        <v>1547</v>
      </c>
      <c r="L24" s="36">
        <f t="shared" si="22"/>
        <v>0</v>
      </c>
      <c r="M24" s="36">
        <f t="shared" si="22"/>
        <v>1516225</v>
      </c>
      <c r="N24" s="36">
        <f t="shared" si="22"/>
        <v>430222.75</v>
      </c>
      <c r="O24" s="37">
        <f>N24/$M24</f>
        <v>0.28374598097248099</v>
      </c>
      <c r="P24" s="36">
        <f>P37</f>
        <v>739726.67999999993</v>
      </c>
      <c r="Q24" s="37">
        <f>P24/$M24</f>
        <v>0.4878739501063496</v>
      </c>
      <c r="R24" s="36">
        <f>R37</f>
        <v>1112707.1599999999</v>
      </c>
      <c r="S24" s="37">
        <f>R24/$M24</f>
        <v>0.7338667809856716</v>
      </c>
      <c r="T24" s="36">
        <f>T37</f>
        <v>1462084.21</v>
      </c>
      <c r="U24" s="37">
        <f>T24/$M24</f>
        <v>0.96429237745057628</v>
      </c>
      <c r="V24" s="36">
        <f>V37</f>
        <v>1213965</v>
      </c>
      <c r="W24" s="36">
        <f>W37</f>
        <v>1335553</v>
      </c>
    </row>
    <row r="25" spans="1:23" ht="13.9" customHeight="1" x14ac:dyDescent="0.25">
      <c r="A25" s="30"/>
      <c r="B25" s="31"/>
      <c r="C25" s="38" t="s">
        <v>29</v>
      </c>
      <c r="D25" s="39">
        <f t="shared" ref="D25:N25" si="23">SUM(D24:D24)</f>
        <v>1262842.5799999998</v>
      </c>
      <c r="E25" s="39">
        <f t="shared" si="23"/>
        <v>1369565.9800000002</v>
      </c>
      <c r="F25" s="39">
        <f t="shared" si="23"/>
        <v>1450635</v>
      </c>
      <c r="G25" s="39">
        <f t="shared" si="23"/>
        <v>1418920</v>
      </c>
      <c r="H25" s="39">
        <f t="shared" si="23"/>
        <v>1278745</v>
      </c>
      <c r="I25" s="39">
        <f t="shared" si="23"/>
        <v>0</v>
      </c>
      <c r="J25" s="39">
        <f t="shared" si="23"/>
        <v>235933</v>
      </c>
      <c r="K25" s="39">
        <f t="shared" si="23"/>
        <v>1547</v>
      </c>
      <c r="L25" s="39">
        <f t="shared" si="23"/>
        <v>0</v>
      </c>
      <c r="M25" s="39">
        <f t="shared" si="23"/>
        <v>1516225</v>
      </c>
      <c r="N25" s="39">
        <f t="shared" si="23"/>
        <v>430222.75</v>
      </c>
      <c r="O25" s="40">
        <f>N25/$M25</f>
        <v>0.28374598097248099</v>
      </c>
      <c r="P25" s="39">
        <f>SUM(P24:P24)</f>
        <v>739726.67999999993</v>
      </c>
      <c r="Q25" s="40">
        <f>P25/$M25</f>
        <v>0.4878739501063496</v>
      </c>
      <c r="R25" s="39">
        <f>SUM(R24:R24)</f>
        <v>1112707.1599999999</v>
      </c>
      <c r="S25" s="40">
        <f>R25/$M25</f>
        <v>0.7338667809856716</v>
      </c>
      <c r="T25" s="39">
        <f>SUM(T24:T24)</f>
        <v>1462084.21</v>
      </c>
      <c r="U25" s="40">
        <f>T25/$M25</f>
        <v>0.96429237745057628</v>
      </c>
      <c r="V25" s="39">
        <f>SUM(V24:V24)</f>
        <v>1213965</v>
      </c>
      <c r="W25" s="39">
        <f>SUM(W24:W24)</f>
        <v>1335553</v>
      </c>
    </row>
    <row r="27" spans="1:23" ht="13.9" customHeight="1" x14ac:dyDescent="0.25">
      <c r="A27" s="41" t="s">
        <v>31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1"/>
      <c r="W27" s="41"/>
    </row>
    <row r="28" spans="1:23" ht="13.9" customHeight="1" x14ac:dyDescent="0.25">
      <c r="A28" s="21" t="s">
        <v>32</v>
      </c>
      <c r="B28" s="21" t="s">
        <v>33</v>
      </c>
      <c r="C28" s="21" t="s">
        <v>34</v>
      </c>
      <c r="D28" s="21" t="s">
        <v>1</v>
      </c>
      <c r="E28" s="21" t="s">
        <v>2</v>
      </c>
      <c r="F28" s="21" t="s">
        <v>3</v>
      </c>
      <c r="G28" s="21" t="s">
        <v>4</v>
      </c>
      <c r="H28" s="21" t="s">
        <v>5</v>
      </c>
      <c r="I28" s="21" t="s">
        <v>6</v>
      </c>
      <c r="J28" s="21" t="s">
        <v>7</v>
      </c>
      <c r="K28" s="21" t="s">
        <v>8</v>
      </c>
      <c r="L28" s="21" t="s">
        <v>9</v>
      </c>
      <c r="M28" s="21" t="s">
        <v>10</v>
      </c>
      <c r="N28" s="21" t="s">
        <v>11</v>
      </c>
      <c r="O28" s="22" t="s">
        <v>12</v>
      </c>
      <c r="P28" s="21" t="s">
        <v>13</v>
      </c>
      <c r="Q28" s="22" t="s">
        <v>14</v>
      </c>
      <c r="R28" s="21" t="s">
        <v>15</v>
      </c>
      <c r="S28" s="22" t="s">
        <v>16</v>
      </c>
      <c r="T28" s="21" t="s">
        <v>17</v>
      </c>
      <c r="U28" s="22" t="s">
        <v>18</v>
      </c>
      <c r="V28" s="21" t="s">
        <v>19</v>
      </c>
      <c r="W28" s="21" t="s">
        <v>20</v>
      </c>
    </row>
    <row r="29" spans="1:23" ht="13.9" customHeight="1" x14ac:dyDescent="0.25">
      <c r="A29" s="13" t="s">
        <v>35</v>
      </c>
      <c r="B29" s="23">
        <v>111003</v>
      </c>
      <c r="C29" s="23" t="s">
        <v>36</v>
      </c>
      <c r="D29" s="24">
        <v>1139485.1000000001</v>
      </c>
      <c r="E29" s="24">
        <v>1241704.26</v>
      </c>
      <c r="F29" s="24">
        <v>1323320</v>
      </c>
      <c r="G29" s="24">
        <v>1309835</v>
      </c>
      <c r="H29" s="24">
        <v>1102816</v>
      </c>
      <c r="I29" s="24"/>
      <c r="J29" s="24">
        <v>234000</v>
      </c>
      <c r="K29" s="24"/>
      <c r="L29" s="24"/>
      <c r="M29" s="24">
        <f t="shared" ref="M29:M36" si="24">H29+SUM(I29:L29)</f>
        <v>1336816</v>
      </c>
      <c r="N29" s="24">
        <v>409800.34</v>
      </c>
      <c r="O29" s="25">
        <f t="shared" ref="O29:O37" si="25">IFERROR(N29/$M29,0)</f>
        <v>0.3065495475817166</v>
      </c>
      <c r="P29" s="24">
        <v>656988.34</v>
      </c>
      <c r="Q29" s="25">
        <f t="shared" ref="Q29:Q37" si="26">IFERROR(P29/$M29,0)</f>
        <v>0.49145756783282063</v>
      </c>
      <c r="R29" s="24">
        <v>983201.34</v>
      </c>
      <c r="S29" s="25">
        <f t="shared" ref="S29:S37" si="27">IFERROR(R29/$M29,0)</f>
        <v>0.73547993141913315</v>
      </c>
      <c r="T29" s="24">
        <v>1300797.3400000001</v>
      </c>
      <c r="U29" s="25">
        <f t="shared" ref="U29:U37" si="28">IFERROR(T29/$M29,0)</f>
        <v>0.97305638173091891</v>
      </c>
      <c r="V29" s="24">
        <v>1038036</v>
      </c>
      <c r="W29" s="24">
        <v>1159624</v>
      </c>
    </row>
    <row r="30" spans="1:23" ht="13.9" customHeight="1" x14ac:dyDescent="0.25">
      <c r="A30" s="13"/>
      <c r="B30" s="23">
        <v>121001</v>
      </c>
      <c r="C30" s="23" t="s">
        <v>37</v>
      </c>
      <c r="D30" s="24">
        <v>23552.34</v>
      </c>
      <c r="E30" s="24">
        <v>19723.59</v>
      </c>
      <c r="F30" s="24">
        <v>19725</v>
      </c>
      <c r="G30" s="24">
        <v>13451</v>
      </c>
      <c r="H30" s="24">
        <v>41809</v>
      </c>
      <c r="I30" s="24"/>
      <c r="J30" s="24"/>
      <c r="K30" s="24"/>
      <c r="L30" s="24"/>
      <c r="M30" s="24">
        <f t="shared" si="24"/>
        <v>41809</v>
      </c>
      <c r="N30" s="24">
        <v>2405.9699999999998</v>
      </c>
      <c r="O30" s="25">
        <f t="shared" si="25"/>
        <v>5.7546700471190405E-2</v>
      </c>
      <c r="P30" s="24">
        <v>10871.91</v>
      </c>
      <c r="Q30" s="25">
        <f t="shared" si="26"/>
        <v>0.26003755172331317</v>
      </c>
      <c r="R30" s="24">
        <v>15003.75</v>
      </c>
      <c r="S30" s="25">
        <f t="shared" si="27"/>
        <v>0.35886412016551461</v>
      </c>
      <c r="T30" s="24">
        <v>25080.62</v>
      </c>
      <c r="U30" s="25">
        <f t="shared" si="28"/>
        <v>0.59988567054940323</v>
      </c>
      <c r="V30" s="24">
        <f t="shared" ref="V30:V36" si="29">H30</f>
        <v>41809</v>
      </c>
      <c r="W30" s="24">
        <f t="shared" ref="W30:W36" si="30">V30</f>
        <v>41809</v>
      </c>
    </row>
    <row r="31" spans="1:23" ht="13.9" customHeight="1" x14ac:dyDescent="0.25">
      <c r="A31" s="13"/>
      <c r="B31" s="23">
        <v>121002</v>
      </c>
      <c r="C31" s="23" t="s">
        <v>38</v>
      </c>
      <c r="D31" s="24">
        <v>22607.49</v>
      </c>
      <c r="E31" s="24">
        <v>23788.01</v>
      </c>
      <c r="F31" s="24">
        <v>23790</v>
      </c>
      <c r="G31" s="24">
        <v>21503</v>
      </c>
      <c r="H31" s="24">
        <v>40525</v>
      </c>
      <c r="I31" s="24"/>
      <c r="J31" s="24"/>
      <c r="K31" s="24"/>
      <c r="L31" s="24"/>
      <c r="M31" s="24">
        <f t="shared" si="24"/>
        <v>40525</v>
      </c>
      <c r="N31" s="24">
        <v>3617.28</v>
      </c>
      <c r="O31" s="25">
        <f t="shared" si="25"/>
        <v>8.9260456508328201E-2</v>
      </c>
      <c r="P31" s="24">
        <v>16996.34</v>
      </c>
      <c r="Q31" s="25">
        <f t="shared" si="26"/>
        <v>0.4194038247995065</v>
      </c>
      <c r="R31" s="24">
        <v>24909.55</v>
      </c>
      <c r="S31" s="25">
        <f t="shared" si="27"/>
        <v>0.61467119062307218</v>
      </c>
      <c r="T31" s="24">
        <v>31854.01</v>
      </c>
      <c r="U31" s="25">
        <f t="shared" si="28"/>
        <v>0.78603355953115361</v>
      </c>
      <c r="V31" s="24">
        <f t="shared" si="29"/>
        <v>40525</v>
      </c>
      <c r="W31" s="24">
        <f t="shared" si="30"/>
        <v>40525</v>
      </c>
    </row>
    <row r="32" spans="1:23" ht="13.9" customHeight="1" x14ac:dyDescent="0.25">
      <c r="A32" s="13"/>
      <c r="B32" s="23">
        <v>121003</v>
      </c>
      <c r="C32" s="23" t="s">
        <v>39</v>
      </c>
      <c r="D32" s="24">
        <v>95.03</v>
      </c>
      <c r="E32" s="24">
        <v>111.54</v>
      </c>
      <c r="F32" s="24">
        <v>110</v>
      </c>
      <c r="G32" s="24">
        <v>85</v>
      </c>
      <c r="H32" s="24">
        <v>188</v>
      </c>
      <c r="I32" s="24"/>
      <c r="J32" s="24"/>
      <c r="K32" s="24"/>
      <c r="L32" s="24"/>
      <c r="M32" s="24">
        <f t="shared" si="24"/>
        <v>188</v>
      </c>
      <c r="N32" s="24">
        <v>3.69</v>
      </c>
      <c r="O32" s="25">
        <f t="shared" si="25"/>
        <v>1.9627659574468086E-2</v>
      </c>
      <c r="P32" s="24">
        <v>57.92</v>
      </c>
      <c r="Q32" s="25">
        <f t="shared" si="26"/>
        <v>0.30808510638297876</v>
      </c>
      <c r="R32" s="24">
        <v>118.33</v>
      </c>
      <c r="S32" s="25">
        <f t="shared" si="27"/>
        <v>0.6294148936170213</v>
      </c>
      <c r="T32" s="24">
        <v>150.9</v>
      </c>
      <c r="U32" s="25">
        <f t="shared" si="28"/>
        <v>0.80265957446808511</v>
      </c>
      <c r="V32" s="24">
        <f t="shared" si="29"/>
        <v>188</v>
      </c>
      <c r="W32" s="24">
        <f t="shared" si="30"/>
        <v>188</v>
      </c>
    </row>
    <row r="33" spans="1:64" ht="13.9" customHeight="1" x14ac:dyDescent="0.25">
      <c r="A33" s="13"/>
      <c r="B33" s="23">
        <v>133001</v>
      </c>
      <c r="C33" s="23" t="s">
        <v>40</v>
      </c>
      <c r="D33" s="24">
        <v>2400.1799999999998</v>
      </c>
      <c r="E33" s="24">
        <v>2578.1</v>
      </c>
      <c r="F33" s="24">
        <v>2580</v>
      </c>
      <c r="G33" s="24">
        <v>2179</v>
      </c>
      <c r="H33" s="24">
        <v>2890</v>
      </c>
      <c r="I33" s="24"/>
      <c r="J33" s="24"/>
      <c r="K33" s="24"/>
      <c r="L33" s="24"/>
      <c r="M33" s="24">
        <f t="shared" si="24"/>
        <v>2890</v>
      </c>
      <c r="N33" s="24">
        <v>345</v>
      </c>
      <c r="O33" s="25">
        <f t="shared" si="25"/>
        <v>0.11937716262975778</v>
      </c>
      <c r="P33" s="24">
        <v>1609.07</v>
      </c>
      <c r="Q33" s="25">
        <f t="shared" si="26"/>
        <v>0.55677162629757782</v>
      </c>
      <c r="R33" s="24">
        <v>2462.2199999999998</v>
      </c>
      <c r="S33" s="25">
        <f t="shared" si="27"/>
        <v>0.85197923875432524</v>
      </c>
      <c r="T33" s="24">
        <v>2784.22</v>
      </c>
      <c r="U33" s="25">
        <f t="shared" si="28"/>
        <v>0.96339792387543244</v>
      </c>
      <c r="V33" s="24">
        <f t="shared" si="29"/>
        <v>2890</v>
      </c>
      <c r="W33" s="24">
        <f t="shared" si="30"/>
        <v>2890</v>
      </c>
    </row>
    <row r="34" spans="1:64" ht="13.9" customHeight="1" x14ac:dyDescent="0.25">
      <c r="A34" s="13"/>
      <c r="B34" s="23">
        <v>133006</v>
      </c>
      <c r="C34" s="23" t="s">
        <v>41</v>
      </c>
      <c r="D34" s="24">
        <v>233.4</v>
      </c>
      <c r="E34" s="24">
        <v>1169.0999999999999</v>
      </c>
      <c r="F34" s="24">
        <v>635</v>
      </c>
      <c r="G34" s="24">
        <v>427</v>
      </c>
      <c r="H34" s="24">
        <v>427</v>
      </c>
      <c r="I34" s="24"/>
      <c r="J34" s="24"/>
      <c r="K34" s="24">
        <v>623</v>
      </c>
      <c r="L34" s="24"/>
      <c r="M34" s="24">
        <f t="shared" si="24"/>
        <v>1050</v>
      </c>
      <c r="N34" s="24">
        <v>101.1</v>
      </c>
      <c r="O34" s="25">
        <f t="shared" si="25"/>
        <v>9.628571428571428E-2</v>
      </c>
      <c r="P34" s="24">
        <v>308.10000000000002</v>
      </c>
      <c r="Q34" s="25">
        <f t="shared" si="26"/>
        <v>0.29342857142857143</v>
      </c>
      <c r="R34" s="24">
        <v>1011.3</v>
      </c>
      <c r="S34" s="25">
        <f t="shared" si="27"/>
        <v>0.96314285714285708</v>
      </c>
      <c r="T34" s="24">
        <v>1781.7</v>
      </c>
      <c r="U34" s="25">
        <f t="shared" si="28"/>
        <v>1.6968571428571428</v>
      </c>
      <c r="V34" s="24">
        <f t="shared" si="29"/>
        <v>427</v>
      </c>
      <c r="W34" s="24">
        <f t="shared" si="30"/>
        <v>427</v>
      </c>
    </row>
    <row r="35" spans="1:64" ht="13.9" customHeight="1" x14ac:dyDescent="0.25">
      <c r="A35" s="13"/>
      <c r="B35" s="23">
        <v>133012</v>
      </c>
      <c r="C35" s="23" t="s">
        <v>42</v>
      </c>
      <c r="D35" s="24">
        <v>1217.4000000000001</v>
      </c>
      <c r="E35" s="24">
        <v>2243.4299999999998</v>
      </c>
      <c r="F35" s="24">
        <v>2225</v>
      </c>
      <c r="G35" s="24">
        <v>2993</v>
      </c>
      <c r="H35" s="24">
        <v>2993</v>
      </c>
      <c r="I35" s="24"/>
      <c r="J35" s="24">
        <v>1933</v>
      </c>
      <c r="K35" s="24">
        <v>924</v>
      </c>
      <c r="L35" s="24"/>
      <c r="M35" s="24">
        <f t="shared" si="24"/>
        <v>5850</v>
      </c>
      <c r="N35" s="24">
        <v>415.04</v>
      </c>
      <c r="O35" s="25">
        <f t="shared" si="25"/>
        <v>7.0947008547008555E-2</v>
      </c>
      <c r="P35" s="24">
        <v>3711.49</v>
      </c>
      <c r="Q35" s="25">
        <f t="shared" si="26"/>
        <v>0.63444273504273496</v>
      </c>
      <c r="R35" s="24">
        <v>5799.11</v>
      </c>
      <c r="S35" s="25">
        <f t="shared" si="27"/>
        <v>0.99130085470085461</v>
      </c>
      <c r="T35" s="24">
        <v>6202.04</v>
      </c>
      <c r="U35" s="25">
        <f t="shared" si="28"/>
        <v>1.0601777777777777</v>
      </c>
      <c r="V35" s="24">
        <f t="shared" si="29"/>
        <v>2993</v>
      </c>
      <c r="W35" s="24">
        <f t="shared" si="30"/>
        <v>2993</v>
      </c>
    </row>
    <row r="36" spans="1:64" ht="13.9" customHeight="1" x14ac:dyDescent="0.25">
      <c r="A36" s="13"/>
      <c r="B36" s="23">
        <v>133013</v>
      </c>
      <c r="C36" s="23" t="s">
        <v>43</v>
      </c>
      <c r="D36" s="24">
        <v>73251.64</v>
      </c>
      <c r="E36" s="24">
        <v>78247.95</v>
      </c>
      <c r="F36" s="24">
        <v>78250</v>
      </c>
      <c r="G36" s="24">
        <v>68447</v>
      </c>
      <c r="H36" s="24">
        <v>87097</v>
      </c>
      <c r="I36" s="24"/>
      <c r="J36" s="24"/>
      <c r="K36" s="24"/>
      <c r="L36" s="24"/>
      <c r="M36" s="24">
        <f t="shared" si="24"/>
        <v>87097</v>
      </c>
      <c r="N36" s="24">
        <v>13534.33</v>
      </c>
      <c r="O36" s="25">
        <f t="shared" si="25"/>
        <v>0.1553937563865575</v>
      </c>
      <c r="P36" s="24">
        <v>49183.51</v>
      </c>
      <c r="Q36" s="25">
        <f t="shared" si="26"/>
        <v>0.56469809522716052</v>
      </c>
      <c r="R36" s="24">
        <v>80201.56</v>
      </c>
      <c r="S36" s="25">
        <f t="shared" si="27"/>
        <v>0.920830338588011</v>
      </c>
      <c r="T36" s="24">
        <v>93433.38</v>
      </c>
      <c r="U36" s="25">
        <f t="shared" si="28"/>
        <v>1.0727508410163382</v>
      </c>
      <c r="V36" s="24">
        <f t="shared" si="29"/>
        <v>87097</v>
      </c>
      <c r="W36" s="24">
        <f t="shared" si="30"/>
        <v>87097</v>
      </c>
    </row>
    <row r="37" spans="1:64" ht="13.9" customHeight="1" x14ac:dyDescent="0.25">
      <c r="A37" s="26" t="s">
        <v>21</v>
      </c>
      <c r="B37" s="26">
        <v>41</v>
      </c>
      <c r="C37" s="26" t="s">
        <v>23</v>
      </c>
      <c r="D37" s="27">
        <f t="shared" ref="D37:N37" si="31">SUM(D29:D36)</f>
        <v>1262842.5799999998</v>
      </c>
      <c r="E37" s="27">
        <f t="shared" si="31"/>
        <v>1369565.9800000002</v>
      </c>
      <c r="F37" s="27">
        <f t="shared" si="31"/>
        <v>1450635</v>
      </c>
      <c r="G37" s="27">
        <f t="shared" si="31"/>
        <v>1418920</v>
      </c>
      <c r="H37" s="27">
        <f t="shared" si="31"/>
        <v>1278745</v>
      </c>
      <c r="I37" s="27">
        <f t="shared" si="31"/>
        <v>0</v>
      </c>
      <c r="J37" s="27">
        <f t="shared" si="31"/>
        <v>235933</v>
      </c>
      <c r="K37" s="27">
        <f t="shared" si="31"/>
        <v>1547</v>
      </c>
      <c r="L37" s="27">
        <f t="shared" si="31"/>
        <v>0</v>
      </c>
      <c r="M37" s="27">
        <f t="shared" si="31"/>
        <v>1516225</v>
      </c>
      <c r="N37" s="27">
        <f t="shared" si="31"/>
        <v>430222.75</v>
      </c>
      <c r="O37" s="28">
        <f t="shared" si="25"/>
        <v>0.28374598097248099</v>
      </c>
      <c r="P37" s="27">
        <f>SUM(P29:P36)</f>
        <v>739726.67999999993</v>
      </c>
      <c r="Q37" s="28">
        <f t="shared" si="26"/>
        <v>0.4878739501063496</v>
      </c>
      <c r="R37" s="27">
        <f>SUM(R29:R36)</f>
        <v>1112707.1599999999</v>
      </c>
      <c r="S37" s="28">
        <f t="shared" si="27"/>
        <v>0.7338667809856716</v>
      </c>
      <c r="T37" s="27">
        <f>SUM(T29:T36)</f>
        <v>1462084.21</v>
      </c>
      <c r="U37" s="28">
        <f t="shared" si="28"/>
        <v>0.96429237745057628</v>
      </c>
      <c r="V37" s="27">
        <f>SUM(V29:V36)</f>
        <v>1213965</v>
      </c>
      <c r="W37" s="27">
        <f>SUM(W29:W36)</f>
        <v>1335553</v>
      </c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9" spans="1:64" ht="13.9" customHeight="1" x14ac:dyDescent="0.25">
      <c r="A39" s="32" t="s">
        <v>44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2"/>
      <c r="Q39" s="32"/>
      <c r="R39" s="32"/>
      <c r="S39" s="32"/>
      <c r="T39" s="32"/>
      <c r="U39" s="32"/>
      <c r="V39" s="32"/>
      <c r="W39" s="32"/>
    </row>
    <row r="40" spans="1:64" ht="13.9" customHeight="1" x14ac:dyDescent="0.25">
      <c r="A40" s="20"/>
      <c r="B40" s="20"/>
      <c r="C40" s="20"/>
      <c r="D40" s="21" t="s">
        <v>1</v>
      </c>
      <c r="E40" s="21" t="s">
        <v>2</v>
      </c>
      <c r="F40" s="21" t="s">
        <v>3</v>
      </c>
      <c r="G40" s="21" t="s">
        <v>4</v>
      </c>
      <c r="H40" s="21" t="s">
        <v>5</v>
      </c>
      <c r="I40" s="21" t="s">
        <v>6</v>
      </c>
      <c r="J40" s="21" t="s">
        <v>7</v>
      </c>
      <c r="K40" s="21" t="s">
        <v>8</v>
      </c>
      <c r="L40" s="21" t="s">
        <v>9</v>
      </c>
      <c r="M40" s="21" t="s">
        <v>10</v>
      </c>
      <c r="N40" s="21" t="s">
        <v>11</v>
      </c>
      <c r="O40" s="22" t="s">
        <v>12</v>
      </c>
      <c r="P40" s="21" t="s">
        <v>13</v>
      </c>
      <c r="Q40" s="22" t="s">
        <v>14</v>
      </c>
      <c r="R40" s="21" t="s">
        <v>15</v>
      </c>
      <c r="S40" s="22" t="s">
        <v>16</v>
      </c>
      <c r="T40" s="21" t="s">
        <v>17</v>
      </c>
      <c r="U40" s="22" t="s">
        <v>18</v>
      </c>
      <c r="V40" s="21" t="s">
        <v>19</v>
      </c>
      <c r="W40" s="21" t="s">
        <v>20</v>
      </c>
    </row>
    <row r="41" spans="1:64" ht="13.9" customHeight="1" x14ac:dyDescent="0.25">
      <c r="A41" s="12" t="s">
        <v>21</v>
      </c>
      <c r="B41" s="35">
        <v>111</v>
      </c>
      <c r="C41" s="35" t="s">
        <v>45</v>
      </c>
      <c r="D41" s="36">
        <f t="shared" ref="D41:N41" si="32">D50</f>
        <v>5302.35</v>
      </c>
      <c r="E41" s="36">
        <f t="shared" si="32"/>
        <v>236.74</v>
      </c>
      <c r="F41" s="36">
        <f t="shared" si="32"/>
        <v>30</v>
      </c>
      <c r="G41" s="36">
        <f t="shared" si="32"/>
        <v>0</v>
      </c>
      <c r="H41" s="36">
        <f t="shared" si="32"/>
        <v>0</v>
      </c>
      <c r="I41" s="36">
        <f t="shared" si="32"/>
        <v>4037</v>
      </c>
      <c r="J41" s="36">
        <f t="shared" si="32"/>
        <v>0</v>
      </c>
      <c r="K41" s="36">
        <f t="shared" si="32"/>
        <v>0</v>
      </c>
      <c r="L41" s="36">
        <f t="shared" si="32"/>
        <v>0</v>
      </c>
      <c r="M41" s="36">
        <f t="shared" si="32"/>
        <v>4037</v>
      </c>
      <c r="N41" s="36">
        <f t="shared" si="32"/>
        <v>4036.38</v>
      </c>
      <c r="O41" s="37">
        <f>IFERROR(N41/$M41,0)</f>
        <v>0.99984642060936346</v>
      </c>
      <c r="P41" s="36">
        <f>P50</f>
        <v>4036.38</v>
      </c>
      <c r="Q41" s="37">
        <f>IFERROR(P41/$M41,0)</f>
        <v>0.99984642060936346</v>
      </c>
      <c r="R41" s="36">
        <f>R50</f>
        <v>4036.38</v>
      </c>
      <c r="S41" s="37">
        <f>IFERROR(R41/$M41,0)</f>
        <v>0.99984642060936346</v>
      </c>
      <c r="T41" s="36">
        <f>T50</f>
        <v>4036.38</v>
      </c>
      <c r="U41" s="37">
        <f>IFERROR(T41/$M41,0)</f>
        <v>0.99984642060936346</v>
      </c>
      <c r="V41" s="36">
        <f>V50</f>
        <v>0</v>
      </c>
      <c r="W41" s="36">
        <f>W50</f>
        <v>0</v>
      </c>
    </row>
    <row r="42" spans="1:64" ht="13.9" customHeight="1" x14ac:dyDescent="0.25">
      <c r="A42" s="12" t="s">
        <v>21</v>
      </c>
      <c r="B42" s="35">
        <v>41</v>
      </c>
      <c r="C42" s="35" t="s">
        <v>23</v>
      </c>
      <c r="D42" s="36">
        <f t="shared" ref="D42:N42" si="33">D56</f>
        <v>98911.45</v>
      </c>
      <c r="E42" s="36">
        <f t="shared" si="33"/>
        <v>101771.75</v>
      </c>
      <c r="F42" s="36">
        <f t="shared" si="33"/>
        <v>129237</v>
      </c>
      <c r="G42" s="36">
        <f t="shared" si="33"/>
        <v>114804</v>
      </c>
      <c r="H42" s="36">
        <f t="shared" si="33"/>
        <v>104527</v>
      </c>
      <c r="I42" s="36">
        <f t="shared" si="33"/>
        <v>0</v>
      </c>
      <c r="J42" s="36">
        <f t="shared" si="33"/>
        <v>9877</v>
      </c>
      <c r="K42" s="36">
        <f t="shared" si="33"/>
        <v>4907</v>
      </c>
      <c r="L42" s="36">
        <f t="shared" si="33"/>
        <v>0</v>
      </c>
      <c r="M42" s="36">
        <f t="shared" si="33"/>
        <v>119311</v>
      </c>
      <c r="N42" s="36">
        <f t="shared" si="33"/>
        <v>32936.840000000004</v>
      </c>
      <c r="O42" s="37">
        <f>IFERROR(N42/$M42,0)</f>
        <v>0.2760587037238813</v>
      </c>
      <c r="P42" s="36">
        <f>P56</f>
        <v>53716.700000000004</v>
      </c>
      <c r="Q42" s="37">
        <f>IFERROR(P42/$M42,0)</f>
        <v>0.45022420397113427</v>
      </c>
      <c r="R42" s="36">
        <f>R56</f>
        <v>73288.639999999999</v>
      </c>
      <c r="S42" s="37">
        <f>IFERROR(R42/$M42,0)</f>
        <v>0.61426557484221911</v>
      </c>
      <c r="T42" s="36">
        <f>T56</f>
        <v>108791.48000000001</v>
      </c>
      <c r="U42" s="37">
        <f>IFERROR(T42/$M42,0)</f>
        <v>0.91183109688125996</v>
      </c>
      <c r="V42" s="36">
        <f>V56</f>
        <v>104527</v>
      </c>
      <c r="W42" s="36">
        <f>W56</f>
        <v>104527</v>
      </c>
    </row>
    <row r="43" spans="1:64" ht="13.9" customHeight="1" x14ac:dyDescent="0.25">
      <c r="A43" s="12"/>
      <c r="B43" s="35">
        <v>72</v>
      </c>
      <c r="C43" s="35" t="s">
        <v>25</v>
      </c>
      <c r="D43" s="36">
        <f t="shared" ref="D43:N43" si="34">D59</f>
        <v>50354.5</v>
      </c>
      <c r="E43" s="36">
        <f t="shared" si="34"/>
        <v>78785.180000000008</v>
      </c>
      <c r="F43" s="36">
        <f t="shared" si="34"/>
        <v>117650</v>
      </c>
      <c r="G43" s="36">
        <f t="shared" si="34"/>
        <v>100472</v>
      </c>
      <c r="H43" s="36">
        <f t="shared" si="34"/>
        <v>100476</v>
      </c>
      <c r="I43" s="36">
        <f t="shared" si="34"/>
        <v>0</v>
      </c>
      <c r="J43" s="36">
        <f t="shared" si="34"/>
        <v>-9125</v>
      </c>
      <c r="K43" s="36">
        <f t="shared" si="34"/>
        <v>0</v>
      </c>
      <c r="L43" s="36">
        <f t="shared" si="34"/>
        <v>1933</v>
      </c>
      <c r="M43" s="36">
        <f t="shared" si="34"/>
        <v>93284</v>
      </c>
      <c r="N43" s="36">
        <f t="shared" si="34"/>
        <v>23613.99</v>
      </c>
      <c r="O43" s="37">
        <f>IFERROR(N43/$M43,0)</f>
        <v>0.25314083872904253</v>
      </c>
      <c r="P43" s="36">
        <f>P59</f>
        <v>49852.18</v>
      </c>
      <c r="Q43" s="37">
        <f>IFERROR(P43/$M43,0)</f>
        <v>0.5344129754298701</v>
      </c>
      <c r="R43" s="36">
        <f>R59</f>
        <v>67370.22</v>
      </c>
      <c r="S43" s="37">
        <f>IFERROR(R43/$M43,0)</f>
        <v>0.72220552291925733</v>
      </c>
      <c r="T43" s="36">
        <f>T59</f>
        <v>93211.11</v>
      </c>
      <c r="U43" s="37">
        <f>IFERROR(T43/$M43,0)</f>
        <v>0.99921862270057027</v>
      </c>
      <c r="V43" s="36">
        <f>V59</f>
        <v>100476</v>
      </c>
      <c r="W43" s="36">
        <f>W59</f>
        <v>100476</v>
      </c>
    </row>
    <row r="44" spans="1:64" ht="13.9" customHeight="1" x14ac:dyDescent="0.25">
      <c r="A44" s="30"/>
      <c r="B44" s="31"/>
      <c r="C44" s="38" t="s">
        <v>29</v>
      </c>
      <c r="D44" s="39">
        <f t="shared" ref="D44:N44" si="35">SUM(D41:D43)</f>
        <v>154568.29999999999</v>
      </c>
      <c r="E44" s="39">
        <f t="shared" si="35"/>
        <v>180793.67</v>
      </c>
      <c r="F44" s="39">
        <f t="shared" si="35"/>
        <v>246917</v>
      </c>
      <c r="G44" s="39">
        <f t="shared" si="35"/>
        <v>215276</v>
      </c>
      <c r="H44" s="39">
        <f t="shared" si="35"/>
        <v>205003</v>
      </c>
      <c r="I44" s="39">
        <f t="shared" si="35"/>
        <v>4037</v>
      </c>
      <c r="J44" s="39">
        <f t="shared" si="35"/>
        <v>752</v>
      </c>
      <c r="K44" s="39">
        <f t="shared" si="35"/>
        <v>4907</v>
      </c>
      <c r="L44" s="39">
        <f t="shared" si="35"/>
        <v>1933</v>
      </c>
      <c r="M44" s="39">
        <f t="shared" si="35"/>
        <v>216632</v>
      </c>
      <c r="N44" s="39">
        <f t="shared" si="35"/>
        <v>60587.210000000006</v>
      </c>
      <c r="O44" s="40">
        <f>IFERROR(N44/$M44,0)</f>
        <v>0.27967802540714209</v>
      </c>
      <c r="P44" s="39">
        <f>SUM(P41:P43)</f>
        <v>107605.26000000001</v>
      </c>
      <c r="Q44" s="40">
        <f>IFERROR(P44/$M44,0)</f>
        <v>0.49671913660031763</v>
      </c>
      <c r="R44" s="39">
        <f>SUM(R41:R43)</f>
        <v>144695.24</v>
      </c>
      <c r="S44" s="40">
        <f>IFERROR(R44/$M44,0)</f>
        <v>0.66793105358395799</v>
      </c>
      <c r="T44" s="39">
        <f>SUM(T41:T43)</f>
        <v>206038.97000000003</v>
      </c>
      <c r="U44" s="40">
        <f>IFERROR(T44/$M44,0)</f>
        <v>0.95110126851065413</v>
      </c>
      <c r="V44" s="39">
        <f>SUM(V41:V43)</f>
        <v>205003</v>
      </c>
      <c r="W44" s="39">
        <f>SUM(W41:W43)</f>
        <v>205003</v>
      </c>
    </row>
    <row r="46" spans="1:64" ht="13.9" customHeight="1" x14ac:dyDescent="0.25">
      <c r="A46" s="41" t="s">
        <v>46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1"/>
      <c r="U46" s="41"/>
      <c r="V46" s="41"/>
      <c r="W46" s="41"/>
    </row>
    <row r="47" spans="1:64" ht="13.9" customHeight="1" x14ac:dyDescent="0.25">
      <c r="A47" s="21" t="s">
        <v>32</v>
      </c>
      <c r="B47" s="21" t="s">
        <v>33</v>
      </c>
      <c r="C47" s="21" t="s">
        <v>34</v>
      </c>
      <c r="D47" s="21" t="s">
        <v>1</v>
      </c>
      <c r="E47" s="21" t="s">
        <v>2</v>
      </c>
      <c r="F47" s="21" t="s">
        <v>3</v>
      </c>
      <c r="G47" s="21" t="s">
        <v>4</v>
      </c>
      <c r="H47" s="21" t="s">
        <v>5</v>
      </c>
      <c r="I47" s="21" t="s">
        <v>6</v>
      </c>
      <c r="J47" s="21" t="s">
        <v>7</v>
      </c>
      <c r="K47" s="21" t="s">
        <v>8</v>
      </c>
      <c r="L47" s="21" t="s">
        <v>9</v>
      </c>
      <c r="M47" s="21" t="s">
        <v>10</v>
      </c>
      <c r="N47" s="21" t="s">
        <v>11</v>
      </c>
      <c r="O47" s="22" t="s">
        <v>12</v>
      </c>
      <c r="P47" s="21" t="s">
        <v>13</v>
      </c>
      <c r="Q47" s="22" t="s">
        <v>14</v>
      </c>
      <c r="R47" s="21" t="s">
        <v>15</v>
      </c>
      <c r="S47" s="22" t="s">
        <v>16</v>
      </c>
      <c r="T47" s="21" t="s">
        <v>17</v>
      </c>
      <c r="U47" s="22" t="s">
        <v>18</v>
      </c>
      <c r="V47" s="21" t="s">
        <v>19</v>
      </c>
      <c r="W47" s="21" t="s">
        <v>20</v>
      </c>
    </row>
    <row r="48" spans="1:64" ht="13.9" customHeight="1" x14ac:dyDescent="0.25">
      <c r="A48" s="45" t="s">
        <v>47</v>
      </c>
      <c r="B48" s="23">
        <v>290</v>
      </c>
      <c r="C48" s="23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4037</v>
      </c>
      <c r="J48" s="46"/>
      <c r="K48" s="46"/>
      <c r="L48" s="46"/>
      <c r="M48" s="46">
        <f>H48+SUM(I48:L48)</f>
        <v>4037</v>
      </c>
      <c r="N48" s="46">
        <v>4036.38</v>
      </c>
      <c r="O48" s="47">
        <f t="shared" ref="O48:O59" si="36">IFERROR(N48/$M48,0)</f>
        <v>0.99984642060936346</v>
      </c>
      <c r="P48" s="46">
        <v>4036.38</v>
      </c>
      <c r="Q48" s="47">
        <f t="shared" ref="Q48:Q59" si="37">IFERROR(P48/$M48,0)</f>
        <v>0.99984642060936346</v>
      </c>
      <c r="R48" s="46">
        <v>4036.38</v>
      </c>
      <c r="S48" s="47">
        <f t="shared" ref="S48:S59" si="38">IFERROR(R48/$M48,0)</f>
        <v>0.99984642060936346</v>
      </c>
      <c r="T48" s="46">
        <v>4036.38</v>
      </c>
      <c r="U48" s="47">
        <f t="shared" ref="U48:U59" si="39">IFERROR(T48/$M48,0)</f>
        <v>0.99984642060936346</v>
      </c>
      <c r="V48" s="24">
        <f>H48</f>
        <v>0</v>
      </c>
      <c r="W48" s="24">
        <f>V48</f>
        <v>0</v>
      </c>
    </row>
    <row r="49" spans="1:23" ht="13.9" customHeight="1" x14ac:dyDescent="0.25">
      <c r="A49" s="45"/>
      <c r="B49" s="23" t="s">
        <v>49</v>
      </c>
      <c r="C49" s="23" t="s">
        <v>50</v>
      </c>
      <c r="D49" s="46">
        <v>5302.35</v>
      </c>
      <c r="E49" s="46">
        <v>236.74</v>
      </c>
      <c r="F49" s="46">
        <v>30</v>
      </c>
      <c r="G49" s="46">
        <v>0</v>
      </c>
      <c r="H49" s="46">
        <v>0</v>
      </c>
      <c r="I49" s="46"/>
      <c r="J49" s="46"/>
      <c r="K49" s="46"/>
      <c r="L49" s="46"/>
      <c r="M49" s="46">
        <f>H49+SUM(I49:L49)</f>
        <v>0</v>
      </c>
      <c r="N49" s="46">
        <v>0</v>
      </c>
      <c r="O49" s="47">
        <f t="shared" si="36"/>
        <v>0</v>
      </c>
      <c r="P49" s="46">
        <v>0</v>
      </c>
      <c r="Q49" s="47">
        <f t="shared" si="37"/>
        <v>0</v>
      </c>
      <c r="R49" s="46">
        <v>0</v>
      </c>
      <c r="S49" s="47">
        <f t="shared" si="38"/>
        <v>0</v>
      </c>
      <c r="T49" s="46">
        <v>0</v>
      </c>
      <c r="U49" s="47">
        <f t="shared" si="39"/>
        <v>0</v>
      </c>
      <c r="V49" s="24">
        <f>H49</f>
        <v>0</v>
      </c>
      <c r="W49" s="24">
        <f>V49</f>
        <v>0</v>
      </c>
    </row>
    <row r="50" spans="1:23" ht="13.9" customHeight="1" x14ac:dyDescent="0.25">
      <c r="A50" s="48" t="s">
        <v>21</v>
      </c>
      <c r="B50" s="48">
        <v>111</v>
      </c>
      <c r="C50" s="48" t="s">
        <v>45</v>
      </c>
      <c r="D50" s="49">
        <f t="shared" ref="D50:N50" si="40">SUM(D48:D49)</f>
        <v>5302.35</v>
      </c>
      <c r="E50" s="49">
        <f t="shared" si="40"/>
        <v>236.74</v>
      </c>
      <c r="F50" s="49">
        <f t="shared" si="40"/>
        <v>30</v>
      </c>
      <c r="G50" s="49">
        <f t="shared" si="40"/>
        <v>0</v>
      </c>
      <c r="H50" s="49">
        <f t="shared" si="40"/>
        <v>0</v>
      </c>
      <c r="I50" s="49">
        <f t="shared" si="40"/>
        <v>4037</v>
      </c>
      <c r="J50" s="49">
        <f t="shared" si="40"/>
        <v>0</v>
      </c>
      <c r="K50" s="49">
        <f t="shared" si="40"/>
        <v>0</v>
      </c>
      <c r="L50" s="49">
        <f t="shared" si="40"/>
        <v>0</v>
      </c>
      <c r="M50" s="49">
        <f t="shared" si="40"/>
        <v>4037</v>
      </c>
      <c r="N50" s="49">
        <f t="shared" si="40"/>
        <v>4036.38</v>
      </c>
      <c r="O50" s="50">
        <f t="shared" si="36"/>
        <v>0.99984642060936346</v>
      </c>
      <c r="P50" s="49">
        <f>SUM(P48:P49)</f>
        <v>4036.38</v>
      </c>
      <c r="Q50" s="50">
        <f t="shared" si="37"/>
        <v>0.99984642060936346</v>
      </c>
      <c r="R50" s="49">
        <f>SUM(R48:R49)</f>
        <v>4036.38</v>
      </c>
      <c r="S50" s="50">
        <f t="shared" si="38"/>
        <v>0.99984642060936346</v>
      </c>
      <c r="T50" s="49">
        <f>SUM(T48:T49)</f>
        <v>4036.38</v>
      </c>
      <c r="U50" s="50">
        <f t="shared" si="39"/>
        <v>0.99984642060936346</v>
      </c>
      <c r="V50" s="49">
        <f>SUM(V48:V49)</f>
        <v>0</v>
      </c>
      <c r="W50" s="49">
        <f>SUM(W48:W49)</f>
        <v>0</v>
      </c>
    </row>
    <row r="51" spans="1:23" ht="13.9" customHeight="1" x14ac:dyDescent="0.25">
      <c r="A51" s="11" t="s">
        <v>47</v>
      </c>
      <c r="B51" s="23">
        <v>210</v>
      </c>
      <c r="C51" s="23" t="s">
        <v>51</v>
      </c>
      <c r="D51" s="24">
        <v>2414.84</v>
      </c>
      <c r="E51" s="24">
        <v>3008.78</v>
      </c>
      <c r="F51" s="24">
        <v>3035</v>
      </c>
      <c r="G51" s="24">
        <v>3372</v>
      </c>
      <c r="H51" s="24">
        <v>3772</v>
      </c>
      <c r="I51" s="24"/>
      <c r="J51" s="24"/>
      <c r="K51" s="24">
        <v>1526</v>
      </c>
      <c r="L51" s="24"/>
      <c r="M51" s="24">
        <f>H51+SUM(I51:L51)</f>
        <v>5298</v>
      </c>
      <c r="N51" s="24">
        <v>1467.72</v>
      </c>
      <c r="O51" s="25">
        <f t="shared" si="36"/>
        <v>0.27703284258210648</v>
      </c>
      <c r="P51" s="24">
        <v>3550.23</v>
      </c>
      <c r="Q51" s="25">
        <f t="shared" si="37"/>
        <v>0.67010758776896939</v>
      </c>
      <c r="R51" s="24">
        <v>4998.43</v>
      </c>
      <c r="S51" s="25">
        <f t="shared" si="38"/>
        <v>0.94345602114005289</v>
      </c>
      <c r="T51" s="24">
        <v>5714.21</v>
      </c>
      <c r="U51" s="25">
        <f t="shared" si="39"/>
        <v>1.0785598338995848</v>
      </c>
      <c r="V51" s="24">
        <f>H51</f>
        <v>3772</v>
      </c>
      <c r="W51" s="24">
        <f>V51</f>
        <v>3772</v>
      </c>
    </row>
    <row r="52" spans="1:23" ht="13.9" customHeight="1" x14ac:dyDescent="0.25">
      <c r="A52" s="11"/>
      <c r="B52" s="23">
        <v>220</v>
      </c>
      <c r="C52" s="23" t="s">
        <v>52</v>
      </c>
      <c r="D52" s="24">
        <v>64485.95</v>
      </c>
      <c r="E52" s="24">
        <v>76775.839999999997</v>
      </c>
      <c r="F52" s="24">
        <v>97640</v>
      </c>
      <c r="G52" s="24">
        <v>74374</v>
      </c>
      <c r="H52" s="24">
        <v>89899</v>
      </c>
      <c r="I52" s="24"/>
      <c r="J52" s="24"/>
      <c r="K52" s="24">
        <v>1578</v>
      </c>
      <c r="L52" s="24"/>
      <c r="M52" s="24">
        <f>H52+SUM(I52:L52)</f>
        <v>91477</v>
      </c>
      <c r="N52" s="24">
        <v>19839.07</v>
      </c>
      <c r="O52" s="25">
        <f t="shared" si="36"/>
        <v>0.21687495217377045</v>
      </c>
      <c r="P52" s="24">
        <v>35222.47</v>
      </c>
      <c r="Q52" s="25">
        <f t="shared" si="37"/>
        <v>0.3850418137892585</v>
      </c>
      <c r="R52" s="24">
        <v>50958.1</v>
      </c>
      <c r="S52" s="25">
        <f t="shared" si="38"/>
        <v>0.55705915148070007</v>
      </c>
      <c r="T52" s="24">
        <v>80419.72</v>
      </c>
      <c r="U52" s="25">
        <f t="shared" si="39"/>
        <v>0.87912502596281039</v>
      </c>
      <c r="V52" s="24">
        <f>H52</f>
        <v>89899</v>
      </c>
      <c r="W52" s="24">
        <f>V52</f>
        <v>89899</v>
      </c>
    </row>
    <row r="53" spans="1:23" ht="13.9" hidden="1" customHeight="1" x14ac:dyDescent="0.25">
      <c r="A53" s="11"/>
      <c r="B53" s="23">
        <v>230</v>
      </c>
      <c r="C53" s="23" t="s">
        <v>53</v>
      </c>
      <c r="D53" s="24">
        <v>87.5</v>
      </c>
      <c r="E53" s="24">
        <v>6650</v>
      </c>
      <c r="F53" s="24">
        <v>0</v>
      </c>
      <c r="G53" s="24">
        <v>3650</v>
      </c>
      <c r="H53" s="24">
        <v>0</v>
      </c>
      <c r="I53" s="24"/>
      <c r="J53" s="24"/>
      <c r="K53" s="24"/>
      <c r="L53" s="24"/>
      <c r="M53" s="24">
        <f>H53+SUM(I53:L53)</f>
        <v>0</v>
      </c>
      <c r="N53" s="24"/>
      <c r="O53" s="25">
        <f t="shared" si="36"/>
        <v>0</v>
      </c>
      <c r="P53" s="24"/>
      <c r="Q53" s="25">
        <f t="shared" si="37"/>
        <v>0</v>
      </c>
      <c r="R53" s="24"/>
      <c r="S53" s="25">
        <f t="shared" si="38"/>
        <v>0</v>
      </c>
      <c r="T53" s="24"/>
      <c r="U53" s="25">
        <f t="shared" si="39"/>
        <v>0</v>
      </c>
      <c r="V53" s="24">
        <f>H53</f>
        <v>0</v>
      </c>
      <c r="W53" s="24">
        <f>V53</f>
        <v>0</v>
      </c>
    </row>
    <row r="54" spans="1:23" ht="13.9" customHeight="1" x14ac:dyDescent="0.25">
      <c r="A54" s="11"/>
      <c r="B54" s="23">
        <v>240</v>
      </c>
      <c r="C54" s="23" t="s">
        <v>54</v>
      </c>
      <c r="D54" s="24">
        <v>0</v>
      </c>
      <c r="E54" s="24">
        <v>0</v>
      </c>
      <c r="F54" s="24">
        <v>0</v>
      </c>
      <c r="G54" s="24">
        <v>9</v>
      </c>
      <c r="H54" s="24">
        <v>10</v>
      </c>
      <c r="I54" s="24"/>
      <c r="J54" s="24"/>
      <c r="K54" s="24">
        <v>164</v>
      </c>
      <c r="L54" s="24"/>
      <c r="M54" s="24">
        <f>H54+SUM(I54:L54)</f>
        <v>174</v>
      </c>
      <c r="N54" s="24">
        <v>93.88</v>
      </c>
      <c r="O54" s="25">
        <f t="shared" si="36"/>
        <v>0.53954022988505745</v>
      </c>
      <c r="P54" s="24">
        <v>127.43</v>
      </c>
      <c r="Q54" s="25">
        <f t="shared" si="37"/>
        <v>0.7323563218390805</v>
      </c>
      <c r="R54" s="24">
        <v>153.80000000000001</v>
      </c>
      <c r="S54" s="25">
        <f t="shared" si="38"/>
        <v>0.88390804597701156</v>
      </c>
      <c r="T54" s="24">
        <v>293.35000000000002</v>
      </c>
      <c r="U54" s="25">
        <f t="shared" si="39"/>
        <v>1.6859195402298852</v>
      </c>
      <c r="V54" s="24">
        <f>H54</f>
        <v>10</v>
      </c>
      <c r="W54" s="24">
        <f>V54</f>
        <v>10</v>
      </c>
    </row>
    <row r="55" spans="1:23" ht="13.9" customHeight="1" x14ac:dyDescent="0.25">
      <c r="A55" s="11"/>
      <c r="B55" s="23">
        <v>290</v>
      </c>
      <c r="C55" s="23" t="s">
        <v>48</v>
      </c>
      <c r="D55" s="24">
        <v>31923.16</v>
      </c>
      <c r="E55" s="24">
        <v>15337.13</v>
      </c>
      <c r="F55" s="24">
        <f>28562</f>
        <v>28562</v>
      </c>
      <c r="G55" s="24">
        <v>33399</v>
      </c>
      <c r="H55" s="24">
        <v>10846</v>
      </c>
      <c r="I55" s="24"/>
      <c r="J55" s="24">
        <f>6788+2574+515</f>
        <v>9877</v>
      </c>
      <c r="K55" s="24">
        <v>1639</v>
      </c>
      <c r="L55" s="24"/>
      <c r="M55" s="24">
        <f>H55+SUM(I55:L55)</f>
        <v>22362</v>
      </c>
      <c r="N55" s="24">
        <v>11536.17</v>
      </c>
      <c r="O55" s="25">
        <f t="shared" si="36"/>
        <v>0.51588274751811114</v>
      </c>
      <c r="P55" s="24">
        <v>14816.57</v>
      </c>
      <c r="Q55" s="25">
        <f t="shared" si="37"/>
        <v>0.66257803416510153</v>
      </c>
      <c r="R55" s="24">
        <v>17178.310000000001</v>
      </c>
      <c r="S55" s="25">
        <f t="shared" si="38"/>
        <v>0.76819202218048477</v>
      </c>
      <c r="T55" s="24">
        <v>22364.2</v>
      </c>
      <c r="U55" s="25">
        <f t="shared" si="39"/>
        <v>1.0000983811823629</v>
      </c>
      <c r="V55" s="24">
        <f>H55</f>
        <v>10846</v>
      </c>
      <c r="W55" s="24">
        <f>V55</f>
        <v>10846</v>
      </c>
    </row>
    <row r="56" spans="1:23" ht="13.9" customHeight="1" x14ac:dyDescent="0.25">
      <c r="A56" s="48" t="s">
        <v>21</v>
      </c>
      <c r="B56" s="48">
        <v>41</v>
      </c>
      <c r="C56" s="48" t="s">
        <v>23</v>
      </c>
      <c r="D56" s="49">
        <f t="shared" ref="D56:N56" si="41">SUM(D51:D55)</f>
        <v>98911.45</v>
      </c>
      <c r="E56" s="49">
        <f t="shared" si="41"/>
        <v>101771.75</v>
      </c>
      <c r="F56" s="49">
        <f t="shared" si="41"/>
        <v>129237</v>
      </c>
      <c r="G56" s="49">
        <f t="shared" si="41"/>
        <v>114804</v>
      </c>
      <c r="H56" s="49">
        <f t="shared" si="41"/>
        <v>104527</v>
      </c>
      <c r="I56" s="49">
        <f t="shared" si="41"/>
        <v>0</v>
      </c>
      <c r="J56" s="49">
        <f t="shared" si="41"/>
        <v>9877</v>
      </c>
      <c r="K56" s="49">
        <f t="shared" si="41"/>
        <v>4907</v>
      </c>
      <c r="L56" s="49">
        <f t="shared" si="41"/>
        <v>0</v>
      </c>
      <c r="M56" s="49">
        <f t="shared" si="41"/>
        <v>119311</v>
      </c>
      <c r="N56" s="49">
        <f t="shared" si="41"/>
        <v>32936.840000000004</v>
      </c>
      <c r="O56" s="50">
        <f t="shared" si="36"/>
        <v>0.2760587037238813</v>
      </c>
      <c r="P56" s="49">
        <f>SUM(P51:P55)</f>
        <v>53716.700000000004</v>
      </c>
      <c r="Q56" s="50">
        <f t="shared" si="37"/>
        <v>0.45022420397113427</v>
      </c>
      <c r="R56" s="49">
        <f>SUM(R51:R55)</f>
        <v>73288.639999999999</v>
      </c>
      <c r="S56" s="50">
        <f t="shared" si="38"/>
        <v>0.61426557484221911</v>
      </c>
      <c r="T56" s="49">
        <f>SUM(T51:T55)</f>
        <v>108791.48000000001</v>
      </c>
      <c r="U56" s="50">
        <f t="shared" si="39"/>
        <v>0.91183109688125996</v>
      </c>
      <c r="V56" s="49">
        <f>SUM(V51:V55)</f>
        <v>104527</v>
      </c>
      <c r="W56" s="49">
        <f>SUM(W51:W55)</f>
        <v>104527</v>
      </c>
    </row>
    <row r="57" spans="1:23" ht="13.9" customHeight="1" x14ac:dyDescent="0.25">
      <c r="A57" s="13" t="s">
        <v>47</v>
      </c>
      <c r="B57" s="23">
        <v>290</v>
      </c>
      <c r="C57" s="23" t="s">
        <v>48</v>
      </c>
      <c r="D57" s="24">
        <v>2779.45</v>
      </c>
      <c r="E57" s="24">
        <v>3032.57</v>
      </c>
      <c r="F57" s="24">
        <v>2450</v>
      </c>
      <c r="G57" s="24">
        <v>2572</v>
      </c>
      <c r="H57" s="24">
        <v>2576</v>
      </c>
      <c r="I57" s="24"/>
      <c r="J57" s="24"/>
      <c r="K57" s="24"/>
      <c r="L57" s="24"/>
      <c r="M57" s="24">
        <f>H57+SUM(I57:L57)</f>
        <v>2576</v>
      </c>
      <c r="N57" s="24">
        <v>640.09</v>
      </c>
      <c r="O57" s="25">
        <f t="shared" si="36"/>
        <v>0.24848214285714287</v>
      </c>
      <c r="P57" s="24">
        <v>1296.05</v>
      </c>
      <c r="Q57" s="25">
        <f t="shared" si="37"/>
        <v>0.50312499999999993</v>
      </c>
      <c r="R57" s="24">
        <v>1906.4</v>
      </c>
      <c r="S57" s="25">
        <f t="shared" si="38"/>
        <v>0.74006211180124226</v>
      </c>
      <c r="T57" s="24">
        <v>2696.59</v>
      </c>
      <c r="U57" s="25">
        <f t="shared" si="39"/>
        <v>1.0468128881987577</v>
      </c>
      <c r="V57" s="24">
        <f>H57</f>
        <v>2576</v>
      </c>
      <c r="W57" s="24">
        <f>V57</f>
        <v>2576</v>
      </c>
    </row>
    <row r="58" spans="1:23" ht="13.9" customHeight="1" x14ac:dyDescent="0.25">
      <c r="A58" s="13"/>
      <c r="B58" s="23" t="s">
        <v>49</v>
      </c>
      <c r="C58" s="23" t="s">
        <v>50</v>
      </c>
      <c r="D58" s="46">
        <f>18288.59+29286.46</f>
        <v>47575.05</v>
      </c>
      <c r="E58" s="46">
        <v>75752.61</v>
      </c>
      <c r="F58" s="46">
        <v>115200</v>
      </c>
      <c r="G58" s="46">
        <v>97900</v>
      </c>
      <c r="H58" s="46">
        <v>97900</v>
      </c>
      <c r="I58" s="46"/>
      <c r="J58" s="46">
        <f>-14100+4975</f>
        <v>-9125</v>
      </c>
      <c r="K58" s="46"/>
      <c r="L58" s="46">
        <v>1933</v>
      </c>
      <c r="M58" s="46">
        <f>H58+SUM(I58:L58)</f>
        <v>90708</v>
      </c>
      <c r="N58" s="46">
        <v>22973.9</v>
      </c>
      <c r="O58" s="47">
        <f t="shared" si="36"/>
        <v>0.25327314018609165</v>
      </c>
      <c r="P58" s="46">
        <v>48556.13</v>
      </c>
      <c r="Q58" s="47">
        <f t="shared" si="37"/>
        <v>0.53530151695550554</v>
      </c>
      <c r="R58" s="46">
        <v>65463.82</v>
      </c>
      <c r="S58" s="47">
        <f t="shared" si="38"/>
        <v>0.72169841689817882</v>
      </c>
      <c r="T58" s="46">
        <v>90514.52</v>
      </c>
      <c r="U58" s="47">
        <f t="shared" si="39"/>
        <v>0.99786700180799937</v>
      </c>
      <c r="V58" s="24">
        <f>H58</f>
        <v>97900</v>
      </c>
      <c r="W58" s="24">
        <f>V58</f>
        <v>97900</v>
      </c>
    </row>
    <row r="59" spans="1:23" ht="13.9" customHeight="1" x14ac:dyDescent="0.25">
      <c r="A59" s="48" t="s">
        <v>21</v>
      </c>
      <c r="B59" s="48">
        <v>72</v>
      </c>
      <c r="C59" s="48" t="s">
        <v>25</v>
      </c>
      <c r="D59" s="49">
        <f t="shared" ref="D59:N59" si="42">SUM(D57:D58)</f>
        <v>50354.5</v>
      </c>
      <c r="E59" s="49">
        <f t="shared" si="42"/>
        <v>78785.180000000008</v>
      </c>
      <c r="F59" s="49">
        <f t="shared" si="42"/>
        <v>117650</v>
      </c>
      <c r="G59" s="49">
        <f t="shared" si="42"/>
        <v>100472</v>
      </c>
      <c r="H59" s="49">
        <f t="shared" si="42"/>
        <v>100476</v>
      </c>
      <c r="I59" s="49">
        <f t="shared" si="42"/>
        <v>0</v>
      </c>
      <c r="J59" s="49">
        <f t="shared" si="42"/>
        <v>-9125</v>
      </c>
      <c r="K59" s="49">
        <f t="shared" si="42"/>
        <v>0</v>
      </c>
      <c r="L59" s="49">
        <f t="shared" si="42"/>
        <v>1933</v>
      </c>
      <c r="M59" s="49">
        <f t="shared" si="42"/>
        <v>93284</v>
      </c>
      <c r="N59" s="49">
        <f t="shared" si="42"/>
        <v>23613.99</v>
      </c>
      <c r="O59" s="50">
        <f t="shared" si="36"/>
        <v>0.25314083872904253</v>
      </c>
      <c r="P59" s="49">
        <f>SUM(P57:P58)</f>
        <v>49852.18</v>
      </c>
      <c r="Q59" s="50">
        <f t="shared" si="37"/>
        <v>0.5344129754298701</v>
      </c>
      <c r="R59" s="49">
        <f>SUM(R57:R58)</f>
        <v>67370.22</v>
      </c>
      <c r="S59" s="50">
        <f t="shared" si="38"/>
        <v>0.72220552291925733</v>
      </c>
      <c r="T59" s="49">
        <f>SUM(T57:T58)</f>
        <v>93211.11</v>
      </c>
      <c r="U59" s="50">
        <f t="shared" si="39"/>
        <v>0.99921862270057027</v>
      </c>
      <c r="V59" s="49">
        <f>SUM(V57:V58)</f>
        <v>100476</v>
      </c>
      <c r="W59" s="49">
        <f>SUM(W57:W58)</f>
        <v>100476</v>
      </c>
    </row>
    <row r="61" spans="1:23" ht="13.9" customHeight="1" x14ac:dyDescent="0.25">
      <c r="B61" s="52" t="s">
        <v>55</v>
      </c>
      <c r="C61" s="30" t="s">
        <v>56</v>
      </c>
      <c r="D61" s="53">
        <v>2398.81</v>
      </c>
      <c r="E61" s="53">
        <v>3008.78</v>
      </c>
      <c r="F61" s="53">
        <v>3005</v>
      </c>
      <c r="G61" s="53">
        <v>3342</v>
      </c>
      <c r="H61" s="53">
        <v>3742</v>
      </c>
      <c r="I61" s="53"/>
      <c r="J61" s="53"/>
      <c r="K61" s="53">
        <v>1526</v>
      </c>
      <c r="L61" s="53"/>
      <c r="M61" s="53">
        <f t="shared" ref="M61:M71" si="43">H61+SUM(I61:L61)</f>
        <v>5268</v>
      </c>
      <c r="N61" s="53">
        <v>1467.72</v>
      </c>
      <c r="O61" s="54">
        <f t="shared" ref="O61:O71" si="44">IFERROR(N61/$M61,0)</f>
        <v>0.27861047835990888</v>
      </c>
      <c r="P61" s="53">
        <v>3550.23</v>
      </c>
      <c r="Q61" s="54">
        <f t="shared" ref="Q61:Q71" si="45">IFERROR(P61/$M61,0)</f>
        <v>0.67392369020501142</v>
      </c>
      <c r="R61" s="53">
        <v>4998.43</v>
      </c>
      <c r="S61" s="54">
        <f t="shared" ref="S61:S71" si="46">IFERROR(R61/$M61,0)</f>
        <v>0.94882877752467731</v>
      </c>
      <c r="T61" s="53">
        <v>5708.43</v>
      </c>
      <c r="U61" s="55">
        <f t="shared" ref="U61:U71" si="47">IFERROR(T61/$M61,0)</f>
        <v>1.083604783599089</v>
      </c>
      <c r="V61" s="53">
        <f>H61</f>
        <v>3742</v>
      </c>
      <c r="W61" s="56">
        <f t="shared" ref="W61:W68" si="48">V61</f>
        <v>3742</v>
      </c>
    </row>
    <row r="62" spans="1:23" ht="13.9" customHeight="1" x14ac:dyDescent="0.25">
      <c r="B62" s="57"/>
      <c r="C62" s="58" t="s">
        <v>57</v>
      </c>
      <c r="D62" s="59">
        <v>6673</v>
      </c>
      <c r="E62" s="59">
        <v>8042.5</v>
      </c>
      <c r="F62" s="59">
        <v>8040</v>
      </c>
      <c r="G62" s="59">
        <v>6781</v>
      </c>
      <c r="H62" s="59">
        <v>6781</v>
      </c>
      <c r="I62" s="59"/>
      <c r="J62" s="59"/>
      <c r="K62" s="59">
        <v>458</v>
      </c>
      <c r="L62" s="59"/>
      <c r="M62" s="59">
        <f t="shared" si="43"/>
        <v>7239</v>
      </c>
      <c r="N62" s="59">
        <v>2455</v>
      </c>
      <c r="O62" s="16">
        <f t="shared" si="44"/>
        <v>0.33913523967398812</v>
      </c>
      <c r="P62" s="59">
        <v>4505</v>
      </c>
      <c r="Q62" s="16">
        <f t="shared" si="45"/>
        <v>0.62232352534880508</v>
      </c>
      <c r="R62" s="59">
        <v>6482</v>
      </c>
      <c r="S62" s="16">
        <f t="shared" si="46"/>
        <v>0.89542754524105539</v>
      </c>
      <c r="T62" s="59">
        <v>8023</v>
      </c>
      <c r="U62" s="60">
        <f t="shared" si="47"/>
        <v>1.1083022516922227</v>
      </c>
      <c r="V62" s="59">
        <f>H62</f>
        <v>6781</v>
      </c>
      <c r="W62" s="61">
        <f t="shared" si="48"/>
        <v>6781</v>
      </c>
    </row>
    <row r="63" spans="1:23" ht="13.9" customHeight="1" x14ac:dyDescent="0.25">
      <c r="B63" s="57"/>
      <c r="C63" s="58" t="s">
        <v>58</v>
      </c>
      <c r="D63" s="59">
        <v>15872.26</v>
      </c>
      <c r="E63" s="59">
        <v>22067.42</v>
      </c>
      <c r="F63" s="59">
        <v>22065</v>
      </c>
      <c r="G63" s="59">
        <v>13005</v>
      </c>
      <c r="H63" s="59">
        <v>29399</v>
      </c>
      <c r="I63" s="59"/>
      <c r="J63" s="59"/>
      <c r="K63" s="59"/>
      <c r="L63" s="59"/>
      <c r="M63" s="59">
        <f t="shared" si="43"/>
        <v>29399</v>
      </c>
      <c r="N63" s="59">
        <v>4993.51</v>
      </c>
      <c r="O63" s="16">
        <f t="shared" si="44"/>
        <v>0.16985305622640226</v>
      </c>
      <c r="P63" s="59">
        <v>5560.81</v>
      </c>
      <c r="Q63" s="16">
        <f t="shared" si="45"/>
        <v>0.1891496309398279</v>
      </c>
      <c r="R63" s="59">
        <v>6138.11</v>
      </c>
      <c r="S63" s="16">
        <f t="shared" si="46"/>
        <v>0.20878635327732234</v>
      </c>
      <c r="T63" s="59">
        <v>18801.21</v>
      </c>
      <c r="U63" s="60">
        <f t="shared" si="47"/>
        <v>0.63951869111194259</v>
      </c>
      <c r="V63" s="59">
        <f>H63</f>
        <v>29399</v>
      </c>
      <c r="W63" s="61">
        <f t="shared" si="48"/>
        <v>29399</v>
      </c>
    </row>
    <row r="64" spans="1:23" ht="13.9" customHeight="1" x14ac:dyDescent="0.25">
      <c r="B64" s="57"/>
      <c r="C64" s="58" t="s">
        <v>59</v>
      </c>
      <c r="D64" s="62">
        <v>34315.06</v>
      </c>
      <c r="E64" s="62">
        <v>41391.19</v>
      </c>
      <c r="F64" s="62">
        <v>47600</v>
      </c>
      <c r="G64" s="62">
        <v>43261</v>
      </c>
      <c r="H64" s="62">
        <v>48600</v>
      </c>
      <c r="I64" s="62"/>
      <c r="J64" s="62"/>
      <c r="K64" s="62"/>
      <c r="L64" s="62"/>
      <c r="M64" s="62">
        <f t="shared" si="43"/>
        <v>48600</v>
      </c>
      <c r="N64" s="62">
        <v>10672.91</v>
      </c>
      <c r="O64" s="63">
        <f t="shared" si="44"/>
        <v>0.21960720164609054</v>
      </c>
      <c r="P64" s="62">
        <v>21915.71</v>
      </c>
      <c r="Q64" s="63">
        <f t="shared" si="45"/>
        <v>0.45094053497942382</v>
      </c>
      <c r="R64" s="62">
        <v>32740.54</v>
      </c>
      <c r="S64" s="63">
        <f t="shared" si="46"/>
        <v>0.67367366255144034</v>
      </c>
      <c r="T64" s="62">
        <v>43524.73</v>
      </c>
      <c r="U64" s="64">
        <f t="shared" si="47"/>
        <v>0.89557057613168733</v>
      </c>
      <c r="V64" s="59">
        <f>H64</f>
        <v>48600</v>
      </c>
      <c r="W64" s="61">
        <f t="shared" si="48"/>
        <v>48600</v>
      </c>
    </row>
    <row r="65" spans="1:23" ht="13.9" hidden="1" customHeight="1" x14ac:dyDescent="0.25">
      <c r="B65" s="57"/>
      <c r="C65" s="58" t="s">
        <v>60</v>
      </c>
      <c r="D65" s="62">
        <v>0</v>
      </c>
      <c r="E65" s="62">
        <v>0</v>
      </c>
      <c r="F65" s="62">
        <v>15000</v>
      </c>
      <c r="G65" s="62">
        <v>500</v>
      </c>
      <c r="H65" s="62">
        <v>0</v>
      </c>
      <c r="I65" s="62"/>
      <c r="J65" s="62"/>
      <c r="K65" s="62"/>
      <c r="L65" s="62"/>
      <c r="M65" s="62">
        <f t="shared" si="43"/>
        <v>0</v>
      </c>
      <c r="N65" s="62"/>
      <c r="O65" s="63">
        <f t="shared" si="44"/>
        <v>0</v>
      </c>
      <c r="P65" s="62"/>
      <c r="Q65" s="63">
        <f t="shared" si="45"/>
        <v>0</v>
      </c>
      <c r="R65" s="62"/>
      <c r="S65" s="63">
        <f t="shared" si="46"/>
        <v>0</v>
      </c>
      <c r="T65" s="62"/>
      <c r="U65" s="64">
        <f t="shared" si="47"/>
        <v>0</v>
      </c>
      <c r="V65" s="59">
        <v>0</v>
      </c>
      <c r="W65" s="61">
        <f t="shared" si="48"/>
        <v>0</v>
      </c>
    </row>
    <row r="66" spans="1:23" ht="13.9" customHeight="1" x14ac:dyDescent="0.25">
      <c r="B66" s="57"/>
      <c r="C66" s="58" t="s">
        <v>61</v>
      </c>
      <c r="D66" s="62">
        <v>1250</v>
      </c>
      <c r="E66" s="62">
        <v>1195</v>
      </c>
      <c r="F66" s="62">
        <v>1200</v>
      </c>
      <c r="G66" s="62">
        <v>1444</v>
      </c>
      <c r="H66" s="62">
        <v>1444</v>
      </c>
      <c r="I66" s="62"/>
      <c r="J66" s="62"/>
      <c r="K66" s="62"/>
      <c r="L66" s="62"/>
      <c r="M66" s="62">
        <f t="shared" si="43"/>
        <v>1444</v>
      </c>
      <c r="N66" s="62">
        <v>240</v>
      </c>
      <c r="O66" s="63">
        <f t="shared" si="44"/>
        <v>0.16620498614958448</v>
      </c>
      <c r="P66" s="62">
        <v>788.1</v>
      </c>
      <c r="Q66" s="63">
        <f t="shared" si="45"/>
        <v>0.54577562326869811</v>
      </c>
      <c r="R66" s="62">
        <v>1238.0999999999999</v>
      </c>
      <c r="S66" s="63">
        <f t="shared" si="46"/>
        <v>0.85740997229916893</v>
      </c>
      <c r="T66" s="62">
        <v>4295.1000000000004</v>
      </c>
      <c r="U66" s="64">
        <f t="shared" si="47"/>
        <v>2.9744459833795016</v>
      </c>
      <c r="V66" s="59">
        <f>H66</f>
        <v>1444</v>
      </c>
      <c r="W66" s="61">
        <f t="shared" si="48"/>
        <v>1444</v>
      </c>
    </row>
    <row r="67" spans="1:23" ht="13.9" hidden="1" customHeight="1" x14ac:dyDescent="0.25">
      <c r="B67" s="57"/>
      <c r="C67" s="58" t="s">
        <v>62</v>
      </c>
      <c r="D67" s="62">
        <v>2461</v>
      </c>
      <c r="E67" s="62">
        <v>0</v>
      </c>
      <c r="F67" s="62">
        <v>0</v>
      </c>
      <c r="G67" s="62">
        <v>0</v>
      </c>
      <c r="H67" s="62">
        <v>0</v>
      </c>
      <c r="I67" s="62"/>
      <c r="J67" s="62"/>
      <c r="K67" s="62"/>
      <c r="L67" s="62"/>
      <c r="M67" s="62">
        <f t="shared" si="43"/>
        <v>0</v>
      </c>
      <c r="N67" s="62"/>
      <c r="O67" s="63">
        <f t="shared" si="44"/>
        <v>0</v>
      </c>
      <c r="P67" s="62"/>
      <c r="Q67" s="63">
        <f t="shared" si="45"/>
        <v>0</v>
      </c>
      <c r="R67" s="62"/>
      <c r="S67" s="63">
        <f t="shared" si="46"/>
        <v>0</v>
      </c>
      <c r="T67" s="62"/>
      <c r="U67" s="64">
        <f t="shared" si="47"/>
        <v>0</v>
      </c>
      <c r="V67" s="59">
        <f>H67</f>
        <v>0</v>
      </c>
      <c r="W67" s="61">
        <f t="shared" si="48"/>
        <v>0</v>
      </c>
    </row>
    <row r="68" spans="1:23" ht="13.9" hidden="1" customHeight="1" x14ac:dyDescent="0.25">
      <c r="B68" s="57"/>
      <c r="C68" s="58" t="s">
        <v>63</v>
      </c>
      <c r="D68" s="62">
        <v>87.5</v>
      </c>
      <c r="E68" s="62">
        <v>6650</v>
      </c>
      <c r="F68" s="62">
        <v>0</v>
      </c>
      <c r="G68" s="62">
        <v>3650</v>
      </c>
      <c r="H68" s="62">
        <v>0</v>
      </c>
      <c r="I68" s="62"/>
      <c r="J68" s="62"/>
      <c r="K68" s="62"/>
      <c r="L68" s="62"/>
      <c r="M68" s="62">
        <f t="shared" si="43"/>
        <v>0</v>
      </c>
      <c r="N68" s="62"/>
      <c r="O68" s="63">
        <f t="shared" si="44"/>
        <v>0</v>
      </c>
      <c r="P68" s="62"/>
      <c r="Q68" s="63">
        <f t="shared" si="45"/>
        <v>0</v>
      </c>
      <c r="R68" s="62"/>
      <c r="S68" s="63">
        <f t="shared" si="46"/>
        <v>0</v>
      </c>
      <c r="T68" s="62"/>
      <c r="U68" s="64">
        <f t="shared" si="47"/>
        <v>0</v>
      </c>
      <c r="V68" s="59">
        <f>H68</f>
        <v>0</v>
      </c>
      <c r="W68" s="61">
        <f t="shared" si="48"/>
        <v>0</v>
      </c>
    </row>
    <row r="69" spans="1:23" ht="13.9" customHeight="1" x14ac:dyDescent="0.25">
      <c r="B69" s="57"/>
      <c r="C69" s="58" t="s">
        <v>64</v>
      </c>
      <c r="D69" s="62">
        <v>5379.89</v>
      </c>
      <c r="E69" s="62">
        <v>3111.51</v>
      </c>
      <c r="F69" s="62">
        <v>14400</v>
      </c>
      <c r="G69" s="62">
        <v>16897</v>
      </c>
      <c r="H69" s="62">
        <v>1470</v>
      </c>
      <c r="I69" s="62"/>
      <c r="J69" s="62">
        <f>1170+176</f>
        <v>1346</v>
      </c>
      <c r="K69" s="62">
        <v>576</v>
      </c>
      <c r="L69" s="62"/>
      <c r="M69" s="62">
        <f t="shared" si="43"/>
        <v>3392</v>
      </c>
      <c r="N69" s="62">
        <v>2342.36</v>
      </c>
      <c r="O69" s="63">
        <f t="shared" si="44"/>
        <v>0.6905542452830189</v>
      </c>
      <c r="P69" s="62">
        <v>2800.96</v>
      </c>
      <c r="Q69" s="63">
        <f t="shared" si="45"/>
        <v>0.82575471698113212</v>
      </c>
      <c r="R69" s="62">
        <v>3122.26</v>
      </c>
      <c r="S69" s="63">
        <f t="shared" si="46"/>
        <v>0.92047759433962273</v>
      </c>
      <c r="T69" s="62">
        <v>3413.13</v>
      </c>
      <c r="U69" s="64">
        <f t="shared" si="47"/>
        <v>1.0062293632075472</v>
      </c>
      <c r="V69" s="59">
        <v>0</v>
      </c>
      <c r="W69" s="61">
        <v>0</v>
      </c>
    </row>
    <row r="70" spans="1:23" ht="13.9" customHeight="1" x14ac:dyDescent="0.25">
      <c r="B70" s="57"/>
      <c r="C70" s="58" t="s">
        <v>65</v>
      </c>
      <c r="D70" s="59">
        <v>12597.46</v>
      </c>
      <c r="E70" s="59">
        <v>4334.43</v>
      </c>
      <c r="F70" s="59">
        <v>6294</v>
      </c>
      <c r="G70" s="59">
        <v>7991</v>
      </c>
      <c r="H70" s="59">
        <v>0</v>
      </c>
      <c r="I70" s="59">
        <v>4037</v>
      </c>
      <c r="J70" s="59">
        <f>6788+212</f>
        <v>7000</v>
      </c>
      <c r="K70" s="59"/>
      <c r="L70" s="59"/>
      <c r="M70" s="59">
        <f t="shared" si="43"/>
        <v>11037</v>
      </c>
      <c r="N70" s="59">
        <v>10824.25</v>
      </c>
      <c r="O70" s="16">
        <f t="shared" si="44"/>
        <v>0.98072392860378721</v>
      </c>
      <c r="P70" s="59">
        <v>11036.69</v>
      </c>
      <c r="Q70" s="16">
        <f t="shared" si="45"/>
        <v>0.99997191265742502</v>
      </c>
      <c r="R70" s="59">
        <v>11036.69</v>
      </c>
      <c r="S70" s="16">
        <f t="shared" si="46"/>
        <v>0.99997191265742502</v>
      </c>
      <c r="T70" s="59">
        <v>11036.69</v>
      </c>
      <c r="U70" s="60">
        <f t="shared" si="47"/>
        <v>0.99997191265742502</v>
      </c>
      <c r="V70" s="59">
        <v>0</v>
      </c>
      <c r="W70" s="61">
        <f>V70</f>
        <v>0</v>
      </c>
    </row>
    <row r="71" spans="1:23" ht="13.9" customHeight="1" x14ac:dyDescent="0.25">
      <c r="B71" s="65"/>
      <c r="C71" s="66" t="s">
        <v>66</v>
      </c>
      <c r="D71" s="67">
        <v>6521.55</v>
      </c>
      <c r="E71" s="67">
        <v>6397.79</v>
      </c>
      <c r="F71" s="67">
        <v>7010</v>
      </c>
      <c r="G71" s="67">
        <v>6956</v>
      </c>
      <c r="H71" s="67">
        <v>9375</v>
      </c>
      <c r="I71" s="67"/>
      <c r="J71" s="67"/>
      <c r="K71" s="67"/>
      <c r="L71" s="67"/>
      <c r="M71" s="67">
        <f t="shared" si="43"/>
        <v>9375</v>
      </c>
      <c r="N71" s="67">
        <v>1716</v>
      </c>
      <c r="O71" s="68">
        <f t="shared" si="44"/>
        <v>0.18304000000000001</v>
      </c>
      <c r="P71" s="67">
        <v>3396</v>
      </c>
      <c r="Q71" s="68">
        <f t="shared" si="45"/>
        <v>0.36224000000000001</v>
      </c>
      <c r="R71" s="67">
        <v>5064</v>
      </c>
      <c r="S71" s="68">
        <f t="shared" si="46"/>
        <v>0.54015999999999997</v>
      </c>
      <c r="T71" s="67">
        <v>9292.9599999999991</v>
      </c>
      <c r="U71" s="69">
        <f t="shared" si="47"/>
        <v>0.99124906666666657</v>
      </c>
      <c r="V71" s="67">
        <f>H71</f>
        <v>9375</v>
      </c>
      <c r="W71" s="70">
        <f>V71</f>
        <v>9375</v>
      </c>
    </row>
    <row r="73" spans="1:23" ht="13.9" customHeight="1" x14ac:dyDescent="0.25">
      <c r="A73" s="32" t="s">
        <v>67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  <c r="P73" s="32"/>
      <c r="Q73" s="32"/>
      <c r="R73" s="32"/>
      <c r="S73" s="32"/>
      <c r="T73" s="32"/>
      <c r="U73" s="32"/>
      <c r="V73" s="32"/>
      <c r="W73" s="32"/>
    </row>
    <row r="74" spans="1:23" ht="13.9" customHeight="1" x14ac:dyDescent="0.25">
      <c r="A74" s="20"/>
      <c r="B74" s="20"/>
      <c r="C74" s="20"/>
      <c r="D74" s="21" t="s">
        <v>1</v>
      </c>
      <c r="E74" s="21" t="s">
        <v>2</v>
      </c>
      <c r="F74" s="21" t="s">
        <v>3</v>
      </c>
      <c r="G74" s="21" t="s">
        <v>4</v>
      </c>
      <c r="H74" s="21" t="s">
        <v>5</v>
      </c>
      <c r="I74" s="21" t="s">
        <v>6</v>
      </c>
      <c r="J74" s="21" t="s">
        <v>7</v>
      </c>
      <c r="K74" s="21" t="s">
        <v>8</v>
      </c>
      <c r="L74" s="21" t="s">
        <v>9</v>
      </c>
      <c r="M74" s="21" t="s">
        <v>10</v>
      </c>
      <c r="N74" s="21" t="s">
        <v>11</v>
      </c>
      <c r="O74" s="22" t="s">
        <v>12</v>
      </c>
      <c r="P74" s="21" t="s">
        <v>13</v>
      </c>
      <c r="Q74" s="22" t="s">
        <v>14</v>
      </c>
      <c r="R74" s="21" t="s">
        <v>15</v>
      </c>
      <c r="S74" s="22" t="s">
        <v>16</v>
      </c>
      <c r="T74" s="21" t="s">
        <v>17</v>
      </c>
      <c r="U74" s="22" t="s">
        <v>18</v>
      </c>
      <c r="V74" s="21" t="s">
        <v>19</v>
      </c>
      <c r="W74" s="21" t="s">
        <v>20</v>
      </c>
    </row>
    <row r="75" spans="1:23" ht="13.9" customHeight="1" x14ac:dyDescent="0.25">
      <c r="A75" s="12" t="s">
        <v>21</v>
      </c>
      <c r="B75" s="35">
        <v>111</v>
      </c>
      <c r="C75" s="35" t="s">
        <v>22</v>
      </c>
      <c r="D75" s="71">
        <f t="shared" ref="D75:N75" si="49">D117</f>
        <v>858683.59</v>
      </c>
      <c r="E75" s="71">
        <f t="shared" si="49"/>
        <v>946857.87</v>
      </c>
      <c r="F75" s="71">
        <f t="shared" si="49"/>
        <v>1140389</v>
      </c>
      <c r="G75" s="71">
        <f t="shared" si="49"/>
        <v>1135402</v>
      </c>
      <c r="H75" s="71">
        <f t="shared" si="49"/>
        <v>1876891</v>
      </c>
      <c r="I75" s="71">
        <f t="shared" si="49"/>
        <v>28893</v>
      </c>
      <c r="J75" s="71">
        <f t="shared" si="49"/>
        <v>-445670</v>
      </c>
      <c r="K75" s="71">
        <f t="shared" si="49"/>
        <v>37445</v>
      </c>
      <c r="L75" s="71">
        <f t="shared" si="49"/>
        <v>19730</v>
      </c>
      <c r="M75" s="71">
        <f t="shared" si="49"/>
        <v>1517289</v>
      </c>
      <c r="N75" s="71">
        <f t="shared" si="49"/>
        <v>354669.80999999994</v>
      </c>
      <c r="O75" s="72">
        <f>IFERROR(N75/$M75,0)</f>
        <v>0.23375231086497031</v>
      </c>
      <c r="P75" s="71">
        <f>P117</f>
        <v>766401.59000000008</v>
      </c>
      <c r="Q75" s="72">
        <f>IFERROR(P75/$M75,0)</f>
        <v>0.50511246703825052</v>
      </c>
      <c r="R75" s="71">
        <f>R117</f>
        <v>1015369.5999999999</v>
      </c>
      <c r="S75" s="72">
        <f>IFERROR(R75/$M75,0)</f>
        <v>0.66919986897683947</v>
      </c>
      <c r="T75" s="71">
        <f>T117</f>
        <v>1295945.32</v>
      </c>
      <c r="U75" s="72">
        <f>IFERROR(T75/$M75,0)</f>
        <v>0.85411897140228399</v>
      </c>
      <c r="V75" s="71">
        <f>V117</f>
        <v>823228</v>
      </c>
      <c r="W75" s="71">
        <f>W117</f>
        <v>823228</v>
      </c>
    </row>
    <row r="76" spans="1:23" ht="13.9" customHeight="1" x14ac:dyDescent="0.25">
      <c r="A76" s="12" t="s">
        <v>21</v>
      </c>
      <c r="B76" s="35">
        <v>71</v>
      </c>
      <c r="C76" s="35" t="s">
        <v>24</v>
      </c>
      <c r="D76" s="36">
        <f t="shared" ref="D76:N76" si="50">D119</f>
        <v>3000</v>
      </c>
      <c r="E76" s="36">
        <f t="shared" si="50"/>
        <v>3000</v>
      </c>
      <c r="F76" s="36">
        <f t="shared" si="50"/>
        <v>3000</v>
      </c>
      <c r="G76" s="36">
        <f t="shared" si="50"/>
        <v>3000</v>
      </c>
      <c r="H76" s="36">
        <f t="shared" si="50"/>
        <v>3000</v>
      </c>
      <c r="I76" s="36">
        <f t="shared" si="50"/>
        <v>0</v>
      </c>
      <c r="J76" s="36">
        <f t="shared" si="50"/>
        <v>0</v>
      </c>
      <c r="K76" s="36">
        <f t="shared" si="50"/>
        <v>0</v>
      </c>
      <c r="L76" s="36">
        <f t="shared" si="50"/>
        <v>0</v>
      </c>
      <c r="M76" s="36">
        <f t="shared" si="50"/>
        <v>3000</v>
      </c>
      <c r="N76" s="36">
        <f t="shared" si="50"/>
        <v>0</v>
      </c>
      <c r="O76" s="37">
        <f>IFERROR(N76/$M76,0)</f>
        <v>0</v>
      </c>
      <c r="P76" s="36">
        <f>P119</f>
        <v>3000</v>
      </c>
      <c r="Q76" s="37">
        <f>IFERROR(P76/$M76,0)</f>
        <v>1</v>
      </c>
      <c r="R76" s="36">
        <f>R119</f>
        <v>3000</v>
      </c>
      <c r="S76" s="37">
        <f>IFERROR(R76/$M76,0)</f>
        <v>1</v>
      </c>
      <c r="T76" s="36">
        <f>T119</f>
        <v>3000</v>
      </c>
      <c r="U76" s="37">
        <f>IFERROR(T76/$M76,0)</f>
        <v>1</v>
      </c>
      <c r="V76" s="36">
        <f>V119</f>
        <v>3000</v>
      </c>
      <c r="W76" s="36">
        <f>W119</f>
        <v>3000</v>
      </c>
    </row>
    <row r="77" spans="1:23" ht="13.9" customHeight="1" x14ac:dyDescent="0.25">
      <c r="A77" s="12" t="s">
        <v>21</v>
      </c>
      <c r="B77" s="35">
        <v>72</v>
      </c>
      <c r="C77" s="35" t="s">
        <v>25</v>
      </c>
      <c r="D77" s="36">
        <f t="shared" ref="D77:N77" si="51">D122</f>
        <v>5491.1100000000006</v>
      </c>
      <c r="E77" s="36">
        <f t="shared" si="51"/>
        <v>4347.1400000000003</v>
      </c>
      <c r="F77" s="36">
        <f t="shared" si="51"/>
        <v>24610</v>
      </c>
      <c r="G77" s="36">
        <f t="shared" si="51"/>
        <v>0</v>
      </c>
      <c r="H77" s="36">
        <f t="shared" si="51"/>
        <v>0</v>
      </c>
      <c r="I77" s="36">
        <f t="shared" si="51"/>
        <v>0</v>
      </c>
      <c r="J77" s="36">
        <f t="shared" si="51"/>
        <v>11</v>
      </c>
      <c r="K77" s="36">
        <f t="shared" si="51"/>
        <v>0</v>
      </c>
      <c r="L77" s="36">
        <f t="shared" si="51"/>
        <v>2000</v>
      </c>
      <c r="M77" s="36">
        <f t="shared" si="51"/>
        <v>2011</v>
      </c>
      <c r="N77" s="36">
        <f t="shared" si="51"/>
        <v>40</v>
      </c>
      <c r="O77" s="37">
        <f>IFERROR(N77/$M77,0)</f>
        <v>1.9890601690701143E-2</v>
      </c>
      <c r="P77" s="36">
        <f>P122</f>
        <v>50.08</v>
      </c>
      <c r="Q77" s="37">
        <f>IFERROR(P77/$M77,0)</f>
        <v>2.490303331675783E-2</v>
      </c>
      <c r="R77" s="36">
        <f>R122</f>
        <v>50.08</v>
      </c>
      <c r="S77" s="37">
        <f>IFERROR(R77/$M77,0)</f>
        <v>2.490303331675783E-2</v>
      </c>
      <c r="T77" s="36">
        <f>T122</f>
        <v>1982.35</v>
      </c>
      <c r="U77" s="37">
        <f>IFERROR(T77/$M77,0)</f>
        <v>0.98575335653903529</v>
      </c>
      <c r="V77" s="36">
        <f>V122</f>
        <v>0</v>
      </c>
      <c r="W77" s="36">
        <f>W122</f>
        <v>0</v>
      </c>
    </row>
    <row r="78" spans="1:23" ht="13.9" customHeight="1" x14ac:dyDescent="0.25">
      <c r="A78" s="30"/>
      <c r="B78" s="31"/>
      <c r="C78" s="38" t="s">
        <v>29</v>
      </c>
      <c r="D78" s="39">
        <f t="shared" ref="D78:N78" si="52">SUM(D75:D77)</f>
        <v>867174.7</v>
      </c>
      <c r="E78" s="39">
        <f t="shared" si="52"/>
        <v>954205.01</v>
      </c>
      <c r="F78" s="39">
        <f t="shared" si="52"/>
        <v>1167999</v>
      </c>
      <c r="G78" s="39">
        <f t="shared" si="52"/>
        <v>1138402</v>
      </c>
      <c r="H78" s="39">
        <f t="shared" si="52"/>
        <v>1879891</v>
      </c>
      <c r="I78" s="39">
        <f t="shared" si="52"/>
        <v>28893</v>
      </c>
      <c r="J78" s="39">
        <f t="shared" si="52"/>
        <v>-445659</v>
      </c>
      <c r="K78" s="39">
        <f t="shared" si="52"/>
        <v>37445</v>
      </c>
      <c r="L78" s="39">
        <f t="shared" si="52"/>
        <v>21730</v>
      </c>
      <c r="M78" s="39">
        <f t="shared" si="52"/>
        <v>1522300</v>
      </c>
      <c r="N78" s="39">
        <f t="shared" si="52"/>
        <v>354709.80999999994</v>
      </c>
      <c r="O78" s="40">
        <f>IFERROR(N78/$M78,0)</f>
        <v>0.23300913748932534</v>
      </c>
      <c r="P78" s="39">
        <f>SUM(P75:P77)</f>
        <v>769451.67</v>
      </c>
      <c r="Q78" s="40">
        <f>IFERROR(P78/$M78,0)</f>
        <v>0.50545337318531169</v>
      </c>
      <c r="R78" s="39">
        <f>SUM(R75:R77)</f>
        <v>1018419.6799999998</v>
      </c>
      <c r="S78" s="40">
        <f>IFERROR(R78/$M78,0)</f>
        <v>0.66900064376272739</v>
      </c>
      <c r="T78" s="39">
        <f>SUM(T75:T77)</f>
        <v>1300927.6700000002</v>
      </c>
      <c r="U78" s="40">
        <f>IFERROR(T78/$M78,0)</f>
        <v>0.85458035209879801</v>
      </c>
      <c r="V78" s="39">
        <f>SUM(V75:V77)</f>
        <v>826228</v>
      </c>
      <c r="W78" s="39">
        <f>SUM(W75:W77)</f>
        <v>826228</v>
      </c>
    </row>
    <row r="80" spans="1:23" ht="13.9" customHeight="1" x14ac:dyDescent="0.25">
      <c r="A80" s="73" t="s">
        <v>68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3"/>
      <c r="Q80" s="73"/>
      <c r="R80" s="73"/>
      <c r="S80" s="73"/>
      <c r="T80" s="73"/>
      <c r="U80" s="73"/>
      <c r="V80" s="73"/>
      <c r="W80" s="73"/>
    </row>
    <row r="81" spans="1:23" ht="13.9" customHeight="1" x14ac:dyDescent="0.25">
      <c r="A81" s="21" t="s">
        <v>32</v>
      </c>
      <c r="B81" s="21" t="s">
        <v>33</v>
      </c>
      <c r="C81" s="21" t="s">
        <v>34</v>
      </c>
      <c r="D81" s="21" t="s">
        <v>1</v>
      </c>
      <c r="E81" s="21" t="s">
        <v>2</v>
      </c>
      <c r="F81" s="21" t="s">
        <v>3</v>
      </c>
      <c r="G81" s="21" t="s">
        <v>4</v>
      </c>
      <c r="H81" s="21" t="s">
        <v>5</v>
      </c>
      <c r="I81" s="21" t="s">
        <v>6</v>
      </c>
      <c r="J81" s="21" t="s">
        <v>7</v>
      </c>
      <c r="K81" s="21" t="s">
        <v>8</v>
      </c>
      <c r="L81" s="21" t="s">
        <v>9</v>
      </c>
      <c r="M81" s="21" t="s">
        <v>10</v>
      </c>
      <c r="N81" s="21" t="s">
        <v>11</v>
      </c>
      <c r="O81" s="22" t="s">
        <v>12</v>
      </c>
      <c r="P81" s="21" t="s">
        <v>13</v>
      </c>
      <c r="Q81" s="22" t="s">
        <v>14</v>
      </c>
      <c r="R81" s="21" t="s">
        <v>15</v>
      </c>
      <c r="S81" s="22" t="s">
        <v>16</v>
      </c>
      <c r="T81" s="21" t="s">
        <v>17</v>
      </c>
      <c r="U81" s="22" t="s">
        <v>18</v>
      </c>
      <c r="V81" s="21" t="s">
        <v>19</v>
      </c>
      <c r="W81" s="21" t="s">
        <v>20</v>
      </c>
    </row>
    <row r="82" spans="1:23" ht="13.9" customHeight="1" x14ac:dyDescent="0.25">
      <c r="A82" s="11" t="s">
        <v>47</v>
      </c>
      <c r="B82" s="23">
        <v>312001</v>
      </c>
      <c r="C82" s="23" t="s">
        <v>69</v>
      </c>
      <c r="D82" s="75">
        <v>550791</v>
      </c>
      <c r="E82" s="75">
        <v>572208</v>
      </c>
      <c r="F82" s="75">
        <v>605033</v>
      </c>
      <c r="G82" s="75">
        <v>630207</v>
      </c>
      <c r="H82" s="75">
        <v>614500</v>
      </c>
      <c r="I82" s="75"/>
      <c r="J82" s="75">
        <f>32821+3203</f>
        <v>36024</v>
      </c>
      <c r="K82" s="75">
        <v>2986</v>
      </c>
      <c r="L82" s="75">
        <v>14764</v>
      </c>
      <c r="M82" s="75">
        <f t="shared" ref="M82:M116" si="53">H82+SUM(I82:L82)</f>
        <v>668274</v>
      </c>
      <c r="N82" s="75">
        <v>162519</v>
      </c>
      <c r="O82" s="76">
        <f t="shared" ref="O82:O122" si="54">IFERROR(N82/$M82,0)</f>
        <v>0.24319216369333538</v>
      </c>
      <c r="P82" s="75">
        <v>321834</v>
      </c>
      <c r="Q82" s="76">
        <f t="shared" ref="Q82:Q122" si="55">IFERROR(P82/$M82,0)</f>
        <v>0.48158988678296627</v>
      </c>
      <c r="R82" s="75">
        <v>491387</v>
      </c>
      <c r="S82" s="76">
        <f t="shared" ref="S82:S122" si="56">IFERROR(R82/$M82,0)</f>
        <v>0.73530767319991497</v>
      </c>
      <c r="T82" s="75">
        <v>681224.61</v>
      </c>
      <c r="U82" s="76">
        <f t="shared" ref="U82:U122" si="57">IFERROR(T82/$M82,0)</f>
        <v>1.0193791917686457</v>
      </c>
      <c r="V82" s="77">
        <f t="shared" ref="V82:V88" si="58">H82</f>
        <v>614500</v>
      </c>
      <c r="W82" s="77">
        <f t="shared" ref="W82:W88" si="59">V82</f>
        <v>614500</v>
      </c>
    </row>
    <row r="83" spans="1:23" ht="13.9" customHeight="1" x14ac:dyDescent="0.25">
      <c r="A83" s="11"/>
      <c r="B83" s="23">
        <v>312001</v>
      </c>
      <c r="C83" s="23" t="s">
        <v>70</v>
      </c>
      <c r="D83" s="75">
        <v>1800</v>
      </c>
      <c r="E83" s="75">
        <v>2220</v>
      </c>
      <c r="F83" s="75">
        <v>1500</v>
      </c>
      <c r="G83" s="75">
        <v>1250</v>
      </c>
      <c r="H83" s="75">
        <v>1250</v>
      </c>
      <c r="I83" s="75"/>
      <c r="J83" s="75">
        <v>-350</v>
      </c>
      <c r="K83" s="75"/>
      <c r="L83" s="75"/>
      <c r="M83" s="75">
        <f t="shared" si="53"/>
        <v>900</v>
      </c>
      <c r="N83" s="75">
        <v>500</v>
      </c>
      <c r="O83" s="76">
        <f t="shared" si="54"/>
        <v>0.55555555555555558</v>
      </c>
      <c r="P83" s="75">
        <v>500</v>
      </c>
      <c r="Q83" s="76">
        <f t="shared" si="55"/>
        <v>0.55555555555555558</v>
      </c>
      <c r="R83" s="75">
        <v>500</v>
      </c>
      <c r="S83" s="76">
        <f t="shared" si="56"/>
        <v>0.55555555555555558</v>
      </c>
      <c r="T83" s="75">
        <v>650</v>
      </c>
      <c r="U83" s="76">
        <f t="shared" si="57"/>
        <v>0.72222222222222221</v>
      </c>
      <c r="V83" s="77">
        <f t="shared" si="58"/>
        <v>1250</v>
      </c>
      <c r="W83" s="77">
        <f t="shared" si="59"/>
        <v>1250</v>
      </c>
    </row>
    <row r="84" spans="1:23" ht="13.9" customHeight="1" x14ac:dyDescent="0.25">
      <c r="A84" s="11"/>
      <c r="B84" s="23">
        <v>312001</v>
      </c>
      <c r="C84" s="23" t="s">
        <v>71</v>
      </c>
      <c r="D84" s="75">
        <v>19507</v>
      </c>
      <c r="E84" s="75">
        <v>19805</v>
      </c>
      <c r="F84" s="75">
        <v>23002</v>
      </c>
      <c r="G84" s="75">
        <v>23002</v>
      </c>
      <c r="H84" s="75">
        <v>24768</v>
      </c>
      <c r="I84" s="75"/>
      <c r="J84" s="75">
        <v>-6502</v>
      </c>
      <c r="K84" s="75">
        <v>25686</v>
      </c>
      <c r="L84" s="75"/>
      <c r="M84" s="75">
        <f t="shared" si="53"/>
        <v>43952</v>
      </c>
      <c r="N84" s="75">
        <v>9133</v>
      </c>
      <c r="O84" s="76">
        <f t="shared" si="54"/>
        <v>0.20779486712777576</v>
      </c>
      <c r="P84" s="75">
        <v>18266</v>
      </c>
      <c r="Q84" s="76">
        <f t="shared" si="55"/>
        <v>0.41558973425555151</v>
      </c>
      <c r="R84" s="75">
        <v>43952</v>
      </c>
      <c r="S84" s="76">
        <f t="shared" si="56"/>
        <v>1</v>
      </c>
      <c r="T84" s="75">
        <v>43952</v>
      </c>
      <c r="U84" s="76">
        <f t="shared" si="57"/>
        <v>1</v>
      </c>
      <c r="V84" s="77">
        <f t="shared" si="58"/>
        <v>24768</v>
      </c>
      <c r="W84" s="77">
        <f t="shared" si="59"/>
        <v>24768</v>
      </c>
    </row>
    <row r="85" spans="1:23" ht="13.9" customHeight="1" x14ac:dyDescent="0.25">
      <c r="A85" s="11"/>
      <c r="B85" s="23">
        <v>312001</v>
      </c>
      <c r="C85" s="23" t="s">
        <v>72</v>
      </c>
      <c r="D85" s="75">
        <f>5958+691</f>
        <v>6649</v>
      </c>
      <c r="E85" s="75">
        <v>6938</v>
      </c>
      <c r="F85" s="75">
        <v>6880</v>
      </c>
      <c r="G85" s="75">
        <v>6880</v>
      </c>
      <c r="H85" s="75">
        <v>6880</v>
      </c>
      <c r="I85" s="75"/>
      <c r="J85" s="75">
        <v>32</v>
      </c>
      <c r="K85" s="75"/>
      <c r="L85" s="75"/>
      <c r="M85" s="75">
        <f t="shared" si="53"/>
        <v>6912</v>
      </c>
      <c r="N85" s="75">
        <v>2074</v>
      </c>
      <c r="O85" s="76">
        <f t="shared" si="54"/>
        <v>0.30005787037037035</v>
      </c>
      <c r="P85" s="75">
        <v>4148</v>
      </c>
      <c r="Q85" s="76">
        <f t="shared" si="55"/>
        <v>0.6001157407407407</v>
      </c>
      <c r="R85" s="75">
        <v>4148</v>
      </c>
      <c r="S85" s="76">
        <f t="shared" si="56"/>
        <v>0.6001157407407407</v>
      </c>
      <c r="T85" s="75">
        <v>6925</v>
      </c>
      <c r="U85" s="76">
        <f t="shared" si="57"/>
        <v>1.001880787037037</v>
      </c>
      <c r="V85" s="77">
        <f t="shared" si="58"/>
        <v>6880</v>
      </c>
      <c r="W85" s="77">
        <f t="shared" si="59"/>
        <v>6880</v>
      </c>
    </row>
    <row r="86" spans="1:23" ht="13.9" customHeight="1" x14ac:dyDescent="0.25">
      <c r="A86" s="11"/>
      <c r="B86" s="23">
        <v>312001</v>
      </c>
      <c r="C86" s="23" t="s">
        <v>73</v>
      </c>
      <c r="D86" s="75">
        <v>42145</v>
      </c>
      <c r="E86" s="75">
        <v>5787.6</v>
      </c>
      <c r="F86" s="75">
        <v>3167</v>
      </c>
      <c r="G86" s="75">
        <v>41023</v>
      </c>
      <c r="H86" s="75">
        <v>71250</v>
      </c>
      <c r="I86" s="75"/>
      <c r="J86" s="75">
        <v>14094</v>
      </c>
      <c r="K86" s="75"/>
      <c r="L86" s="75"/>
      <c r="M86" s="75">
        <f t="shared" si="53"/>
        <v>85344</v>
      </c>
      <c r="N86" s="75">
        <v>52177.4</v>
      </c>
      <c r="O86" s="76">
        <f t="shared" si="54"/>
        <v>0.61137748406449199</v>
      </c>
      <c r="P86" s="75">
        <v>52177.4</v>
      </c>
      <c r="Q86" s="76">
        <f t="shared" si="55"/>
        <v>0.61137748406449199</v>
      </c>
      <c r="R86" s="75">
        <v>69303.399999999994</v>
      </c>
      <c r="S86" s="76">
        <f t="shared" si="56"/>
        <v>0.81204771278590171</v>
      </c>
      <c r="T86" s="75">
        <v>69303.399999999994</v>
      </c>
      <c r="U86" s="76">
        <f t="shared" si="57"/>
        <v>0.81204771278590171</v>
      </c>
      <c r="V86" s="77">
        <f t="shared" si="58"/>
        <v>71250</v>
      </c>
      <c r="W86" s="77">
        <f t="shared" si="59"/>
        <v>71250</v>
      </c>
    </row>
    <row r="87" spans="1:23" ht="13.9" customHeight="1" x14ac:dyDescent="0.25">
      <c r="A87" s="11"/>
      <c r="B87" s="23">
        <v>312001</v>
      </c>
      <c r="C87" s="23" t="s">
        <v>74</v>
      </c>
      <c r="D87" s="75">
        <v>365.2</v>
      </c>
      <c r="E87" s="75">
        <v>415</v>
      </c>
      <c r="F87" s="75">
        <v>415</v>
      </c>
      <c r="G87" s="75">
        <v>315</v>
      </c>
      <c r="H87" s="75">
        <v>415</v>
      </c>
      <c r="I87" s="75"/>
      <c r="J87" s="75">
        <v>-149</v>
      </c>
      <c r="K87" s="75"/>
      <c r="L87" s="75"/>
      <c r="M87" s="75">
        <f t="shared" si="53"/>
        <v>266</v>
      </c>
      <c r="N87" s="75">
        <v>132.80000000000001</v>
      </c>
      <c r="O87" s="76">
        <f t="shared" si="54"/>
        <v>0.49924812030075194</v>
      </c>
      <c r="P87" s="75">
        <v>132.80000000000001</v>
      </c>
      <c r="Q87" s="76">
        <f t="shared" si="55"/>
        <v>0.49924812030075194</v>
      </c>
      <c r="R87" s="75">
        <v>199.2</v>
      </c>
      <c r="S87" s="76">
        <f t="shared" si="56"/>
        <v>0.7488721804511278</v>
      </c>
      <c r="T87" s="75">
        <v>199.2</v>
      </c>
      <c r="U87" s="76">
        <f t="shared" si="57"/>
        <v>0.7488721804511278</v>
      </c>
      <c r="V87" s="77">
        <f t="shared" si="58"/>
        <v>415</v>
      </c>
      <c r="W87" s="77">
        <f t="shared" si="59"/>
        <v>415</v>
      </c>
    </row>
    <row r="88" spans="1:23" ht="13.9" customHeight="1" x14ac:dyDescent="0.25">
      <c r="A88" s="11"/>
      <c r="B88" s="23">
        <v>312001</v>
      </c>
      <c r="C88" s="23" t="s">
        <v>75</v>
      </c>
      <c r="D88" s="75">
        <v>20806</v>
      </c>
      <c r="E88" s="75">
        <f>9960+14756+376+450</f>
        <v>25542</v>
      </c>
      <c r="F88" s="75">
        <v>8750</v>
      </c>
      <c r="G88" s="75">
        <v>21378</v>
      </c>
      <c r="H88" s="75">
        <v>8750</v>
      </c>
      <c r="I88" s="75"/>
      <c r="J88" s="75">
        <v>5139</v>
      </c>
      <c r="K88" s="75">
        <v>6483</v>
      </c>
      <c r="L88" s="75">
        <v>1148</v>
      </c>
      <c r="M88" s="75">
        <f t="shared" si="53"/>
        <v>21520</v>
      </c>
      <c r="N88" s="75">
        <v>8750</v>
      </c>
      <c r="O88" s="76">
        <f t="shared" si="54"/>
        <v>0.40659851301115241</v>
      </c>
      <c r="P88" s="75">
        <v>13889</v>
      </c>
      <c r="Q88" s="76">
        <f t="shared" si="55"/>
        <v>0.64539962825278807</v>
      </c>
      <c r="R88" s="75">
        <v>20372</v>
      </c>
      <c r="S88" s="76">
        <f t="shared" si="56"/>
        <v>0.94665427509293676</v>
      </c>
      <c r="T88" s="75">
        <v>21529.45</v>
      </c>
      <c r="U88" s="76">
        <f t="shared" si="57"/>
        <v>1.000439126394052</v>
      </c>
      <c r="V88" s="77">
        <f t="shared" si="58"/>
        <v>8750</v>
      </c>
      <c r="W88" s="77">
        <f t="shared" si="59"/>
        <v>8750</v>
      </c>
    </row>
    <row r="89" spans="1:23" ht="13.9" customHeight="1" x14ac:dyDescent="0.25">
      <c r="A89" s="11"/>
      <c r="B89" s="23">
        <v>312001</v>
      </c>
      <c r="C89" s="23" t="s">
        <v>76</v>
      </c>
      <c r="D89" s="75">
        <v>0</v>
      </c>
      <c r="E89" s="75">
        <v>0</v>
      </c>
      <c r="F89" s="75">
        <v>0</v>
      </c>
      <c r="G89" s="75">
        <v>0</v>
      </c>
      <c r="H89" s="75">
        <v>34575</v>
      </c>
      <c r="I89" s="75"/>
      <c r="J89" s="75">
        <v>9915</v>
      </c>
      <c r="K89" s="75"/>
      <c r="L89" s="75"/>
      <c r="M89" s="75">
        <f t="shared" si="53"/>
        <v>44490</v>
      </c>
      <c r="N89" s="75">
        <v>2882.5</v>
      </c>
      <c r="O89" s="76">
        <f t="shared" si="54"/>
        <v>6.4789840413576091E-2</v>
      </c>
      <c r="P89" s="75">
        <v>14192.31</v>
      </c>
      <c r="Q89" s="76">
        <f t="shared" si="55"/>
        <v>0.31900000000000001</v>
      </c>
      <c r="R89" s="75">
        <v>22904.31</v>
      </c>
      <c r="S89" s="76">
        <f t="shared" si="56"/>
        <v>0.51481928523263654</v>
      </c>
      <c r="T89" s="75">
        <v>29666.31</v>
      </c>
      <c r="U89" s="76">
        <f t="shared" si="57"/>
        <v>0.66680849629130146</v>
      </c>
      <c r="V89" s="77">
        <v>0</v>
      </c>
      <c r="W89" s="77">
        <v>0</v>
      </c>
    </row>
    <row r="90" spans="1:23" ht="13.9" customHeight="1" x14ac:dyDescent="0.25">
      <c r="A90" s="11"/>
      <c r="B90" s="23">
        <v>312001</v>
      </c>
      <c r="C90" s="23" t="s">
        <v>77</v>
      </c>
      <c r="D90" s="75">
        <v>9055</v>
      </c>
      <c r="E90" s="75">
        <v>15975</v>
      </c>
      <c r="F90" s="75">
        <v>17612</v>
      </c>
      <c r="G90" s="75">
        <v>22348</v>
      </c>
      <c r="H90" s="75">
        <v>17612</v>
      </c>
      <c r="I90" s="75"/>
      <c r="J90" s="75"/>
      <c r="K90" s="75"/>
      <c r="L90" s="75">
        <v>1404</v>
      </c>
      <c r="M90" s="75">
        <f t="shared" si="53"/>
        <v>19016</v>
      </c>
      <c r="N90" s="75">
        <v>10607</v>
      </c>
      <c r="O90" s="76">
        <f t="shared" si="54"/>
        <v>0.55779343710559526</v>
      </c>
      <c r="P90" s="75">
        <v>21214</v>
      </c>
      <c r="Q90" s="76">
        <f t="shared" si="55"/>
        <v>1.1155868742111905</v>
      </c>
      <c r="R90" s="75">
        <v>21214</v>
      </c>
      <c r="S90" s="76">
        <f t="shared" si="56"/>
        <v>1.1155868742111905</v>
      </c>
      <c r="T90" s="75">
        <v>33226</v>
      </c>
      <c r="U90" s="76">
        <f t="shared" si="57"/>
        <v>1.7472654606647033</v>
      </c>
      <c r="V90" s="77">
        <f>H90</f>
        <v>17612</v>
      </c>
      <c r="W90" s="77">
        <f>V90</f>
        <v>17612</v>
      </c>
    </row>
    <row r="91" spans="1:23" ht="13.9" customHeight="1" x14ac:dyDescent="0.25">
      <c r="A91" s="11"/>
      <c r="B91" s="23">
        <v>312001</v>
      </c>
      <c r="C91" s="23" t="s">
        <v>78</v>
      </c>
      <c r="D91" s="75">
        <v>7171.9</v>
      </c>
      <c r="E91" s="75">
        <v>7879.27</v>
      </c>
      <c r="F91" s="75">
        <v>7880</v>
      </c>
      <c r="G91" s="75">
        <v>9209</v>
      </c>
      <c r="H91" s="75">
        <v>2880</v>
      </c>
      <c r="I91" s="75"/>
      <c r="J91" s="75">
        <v>-65</v>
      </c>
      <c r="K91" s="75">
        <v>5</v>
      </c>
      <c r="L91" s="75">
        <v>600</v>
      </c>
      <c r="M91" s="75">
        <f t="shared" si="53"/>
        <v>3420</v>
      </c>
      <c r="N91" s="75">
        <v>720</v>
      </c>
      <c r="O91" s="76">
        <f t="shared" si="54"/>
        <v>0.21052631578947367</v>
      </c>
      <c r="P91" s="75">
        <v>1500</v>
      </c>
      <c r="Q91" s="76">
        <f t="shared" si="55"/>
        <v>0.43859649122807015</v>
      </c>
      <c r="R91" s="75">
        <v>2520</v>
      </c>
      <c r="S91" s="76">
        <f t="shared" si="56"/>
        <v>0.73684210526315785</v>
      </c>
      <c r="T91" s="75">
        <v>3420</v>
      </c>
      <c r="U91" s="76">
        <f t="shared" si="57"/>
        <v>1</v>
      </c>
      <c r="V91" s="77">
        <f>H91</f>
        <v>2880</v>
      </c>
      <c r="W91" s="77">
        <f>V91</f>
        <v>2880</v>
      </c>
    </row>
    <row r="92" spans="1:23" ht="13.9" hidden="1" customHeight="1" x14ac:dyDescent="0.25">
      <c r="A92" s="11"/>
      <c r="B92" s="23">
        <v>312001</v>
      </c>
      <c r="C92" s="23" t="s">
        <v>79</v>
      </c>
      <c r="D92" s="75">
        <v>5765.41</v>
      </c>
      <c r="E92" s="75">
        <v>0</v>
      </c>
      <c r="F92" s="75">
        <v>0</v>
      </c>
      <c r="G92" s="75">
        <v>0</v>
      </c>
      <c r="H92" s="75">
        <v>0</v>
      </c>
      <c r="I92" s="75"/>
      <c r="J92" s="75"/>
      <c r="K92" s="75"/>
      <c r="L92" s="75"/>
      <c r="M92" s="75">
        <f t="shared" si="53"/>
        <v>0</v>
      </c>
      <c r="N92" s="75"/>
      <c r="O92" s="76">
        <f t="shared" si="54"/>
        <v>0</v>
      </c>
      <c r="P92" s="75"/>
      <c r="Q92" s="76">
        <f t="shared" si="55"/>
        <v>0</v>
      </c>
      <c r="R92" s="75"/>
      <c r="S92" s="76">
        <f t="shared" si="56"/>
        <v>0</v>
      </c>
      <c r="T92" s="75"/>
      <c r="U92" s="76">
        <f t="shared" si="57"/>
        <v>0</v>
      </c>
      <c r="V92" s="77">
        <v>0</v>
      </c>
      <c r="W92" s="77">
        <v>0</v>
      </c>
    </row>
    <row r="93" spans="1:23" ht="13.9" customHeight="1" x14ac:dyDescent="0.25">
      <c r="A93" s="11"/>
      <c r="B93" s="23">
        <v>312001</v>
      </c>
      <c r="C93" s="23" t="s">
        <v>80</v>
      </c>
      <c r="D93" s="75">
        <v>0</v>
      </c>
      <c r="E93" s="75">
        <v>5697.82</v>
      </c>
      <c r="F93" s="75">
        <v>2855</v>
      </c>
      <c r="G93" s="75">
        <v>3233</v>
      </c>
      <c r="H93" s="75">
        <v>4500</v>
      </c>
      <c r="I93" s="75"/>
      <c r="J93" s="75">
        <v>3143</v>
      </c>
      <c r="K93" s="75"/>
      <c r="L93" s="75"/>
      <c r="M93" s="75">
        <f t="shared" si="53"/>
        <v>7643</v>
      </c>
      <c r="N93" s="75">
        <v>4859.9799999999996</v>
      </c>
      <c r="O93" s="76">
        <f t="shared" si="54"/>
        <v>0.63587334816171659</v>
      </c>
      <c r="P93" s="75">
        <v>7643.12</v>
      </c>
      <c r="Q93" s="76">
        <f t="shared" si="55"/>
        <v>1.0000157006411095</v>
      </c>
      <c r="R93" s="75">
        <v>7643.12</v>
      </c>
      <c r="S93" s="76">
        <f t="shared" si="56"/>
        <v>1.0000157006411095</v>
      </c>
      <c r="T93" s="75">
        <v>7643.12</v>
      </c>
      <c r="U93" s="76">
        <f t="shared" si="57"/>
        <v>1.0000157006411095</v>
      </c>
      <c r="V93" s="77">
        <v>0</v>
      </c>
      <c r="W93" s="77">
        <v>0</v>
      </c>
    </row>
    <row r="94" spans="1:23" ht="13.9" customHeight="1" x14ac:dyDescent="0.25">
      <c r="A94" s="11"/>
      <c r="B94" s="23">
        <v>312001</v>
      </c>
      <c r="C94" s="23" t="s">
        <v>81</v>
      </c>
      <c r="D94" s="75">
        <v>46683</v>
      </c>
      <c r="E94" s="75">
        <f>50112+4234.33+3600</f>
        <v>57946.33</v>
      </c>
      <c r="F94" s="75">
        <v>44220</v>
      </c>
      <c r="G94" s="75">
        <f>45574+16000</f>
        <v>61574</v>
      </c>
      <c r="H94" s="75">
        <v>57120</v>
      </c>
      <c r="I94" s="75"/>
      <c r="J94" s="75"/>
      <c r="K94" s="75"/>
      <c r="L94" s="75"/>
      <c r="M94" s="75">
        <f t="shared" si="53"/>
        <v>57120</v>
      </c>
      <c r="N94" s="75">
        <v>14201.97</v>
      </c>
      <c r="O94" s="76">
        <f t="shared" si="54"/>
        <v>0.24863392857142855</v>
      </c>
      <c r="P94" s="75">
        <v>28403.94</v>
      </c>
      <c r="Q94" s="76">
        <f t="shared" si="55"/>
        <v>0.49726785714285709</v>
      </c>
      <c r="R94" s="75">
        <v>42761.98</v>
      </c>
      <c r="S94" s="76">
        <f t="shared" si="56"/>
        <v>0.74863410364145666</v>
      </c>
      <c r="T94" s="75">
        <v>57120</v>
      </c>
      <c r="U94" s="76">
        <f t="shared" si="57"/>
        <v>1</v>
      </c>
      <c r="V94" s="77">
        <f>H94</f>
        <v>57120</v>
      </c>
      <c r="W94" s="77">
        <f t="shared" ref="W94:W99" si="60">V94</f>
        <v>57120</v>
      </c>
    </row>
    <row r="95" spans="1:23" ht="13.9" hidden="1" customHeight="1" x14ac:dyDescent="0.25">
      <c r="A95" s="11"/>
      <c r="B95" s="23">
        <v>312001</v>
      </c>
      <c r="C95" s="23" t="s">
        <v>82</v>
      </c>
      <c r="D95" s="75">
        <v>0</v>
      </c>
      <c r="E95" s="75">
        <v>6454.99</v>
      </c>
      <c r="F95" s="75">
        <v>0</v>
      </c>
      <c r="G95" s="75">
        <v>1835</v>
      </c>
      <c r="H95" s="75">
        <v>0</v>
      </c>
      <c r="I95" s="75"/>
      <c r="J95" s="75"/>
      <c r="K95" s="75"/>
      <c r="L95" s="75"/>
      <c r="M95" s="75">
        <f t="shared" si="53"/>
        <v>0</v>
      </c>
      <c r="N95" s="75"/>
      <c r="O95" s="76">
        <f t="shared" si="54"/>
        <v>0</v>
      </c>
      <c r="P95" s="75"/>
      <c r="Q95" s="76">
        <f t="shared" si="55"/>
        <v>0</v>
      </c>
      <c r="R95" s="75"/>
      <c r="S95" s="76">
        <f t="shared" si="56"/>
        <v>0</v>
      </c>
      <c r="T95" s="75"/>
      <c r="U95" s="76">
        <f t="shared" si="57"/>
        <v>0</v>
      </c>
      <c r="V95" s="75">
        <f>výdaje!Y340</f>
        <v>0</v>
      </c>
      <c r="W95" s="77">
        <f t="shared" si="60"/>
        <v>0</v>
      </c>
    </row>
    <row r="96" spans="1:23" ht="13.9" customHeight="1" x14ac:dyDescent="0.25">
      <c r="A96" s="11"/>
      <c r="B96" s="23">
        <v>312001</v>
      </c>
      <c r="C96" s="23" t="s">
        <v>83</v>
      </c>
      <c r="D96" s="75">
        <v>0</v>
      </c>
      <c r="E96" s="75">
        <v>0</v>
      </c>
      <c r="F96" s="75">
        <v>0</v>
      </c>
      <c r="G96" s="75">
        <v>18766</v>
      </c>
      <c r="H96" s="75">
        <v>6255</v>
      </c>
      <c r="I96" s="75"/>
      <c r="J96" s="75">
        <v>1416</v>
      </c>
      <c r="K96" s="75"/>
      <c r="L96" s="75"/>
      <c r="M96" s="75">
        <f t="shared" si="53"/>
        <v>7671</v>
      </c>
      <c r="N96" s="75">
        <v>7670.09</v>
      </c>
      <c r="O96" s="76">
        <f t="shared" si="54"/>
        <v>0.99988137139877464</v>
      </c>
      <c r="P96" s="75">
        <v>7670.09</v>
      </c>
      <c r="Q96" s="76">
        <f t="shared" si="55"/>
        <v>0.99988137139877464</v>
      </c>
      <c r="R96" s="75">
        <v>7670.09</v>
      </c>
      <c r="S96" s="76">
        <f t="shared" si="56"/>
        <v>0.99988137139877464</v>
      </c>
      <c r="T96" s="75">
        <v>7670.09</v>
      </c>
      <c r="U96" s="76">
        <f t="shared" si="57"/>
        <v>0.99988137139877464</v>
      </c>
      <c r="V96" s="75">
        <f>výdaje!Y341</f>
        <v>4950</v>
      </c>
      <c r="W96" s="77">
        <f t="shared" si="60"/>
        <v>4950</v>
      </c>
    </row>
    <row r="97" spans="1:23" ht="13.9" customHeight="1" x14ac:dyDescent="0.25">
      <c r="A97" s="11"/>
      <c r="B97" s="23">
        <v>312001</v>
      </c>
      <c r="C97" s="23" t="s">
        <v>84</v>
      </c>
      <c r="D97" s="75">
        <v>0</v>
      </c>
      <c r="E97" s="75">
        <v>22985.5</v>
      </c>
      <c r="F97" s="75">
        <v>1362</v>
      </c>
      <c r="G97" s="75">
        <v>46285</v>
      </c>
      <c r="H97" s="75">
        <v>4000</v>
      </c>
      <c r="I97" s="75">
        <v>28893</v>
      </c>
      <c r="J97" s="75">
        <f>7741-1922</f>
        <v>5819</v>
      </c>
      <c r="K97" s="75">
        <f>4140+2760</f>
        <v>6900</v>
      </c>
      <c r="L97" s="75">
        <v>1764</v>
      </c>
      <c r="M97" s="75">
        <f t="shared" si="53"/>
        <v>47376</v>
      </c>
      <c r="N97" s="75">
        <v>24235</v>
      </c>
      <c r="O97" s="76">
        <f t="shared" si="54"/>
        <v>0.51154593042890917</v>
      </c>
      <c r="P97" s="75">
        <v>38712</v>
      </c>
      <c r="Q97" s="76">
        <f t="shared" si="55"/>
        <v>0.8171225937183384</v>
      </c>
      <c r="R97" s="75">
        <v>44286</v>
      </c>
      <c r="S97" s="76">
        <f t="shared" si="56"/>
        <v>0.93477710233029387</v>
      </c>
      <c r="T97" s="75">
        <v>49332</v>
      </c>
      <c r="U97" s="76">
        <f t="shared" si="57"/>
        <v>1.0412867274569402</v>
      </c>
      <c r="V97" s="75">
        <v>0</v>
      </c>
      <c r="W97" s="77">
        <f t="shared" si="60"/>
        <v>0</v>
      </c>
    </row>
    <row r="98" spans="1:23" ht="13.9" hidden="1" customHeight="1" x14ac:dyDescent="0.25">
      <c r="A98" s="11"/>
      <c r="B98" s="23">
        <v>312001</v>
      </c>
      <c r="C98" s="23" t="s">
        <v>85</v>
      </c>
      <c r="D98" s="75">
        <v>0</v>
      </c>
      <c r="E98" s="75">
        <v>0</v>
      </c>
      <c r="F98" s="75">
        <v>0</v>
      </c>
      <c r="G98" s="75">
        <v>59800</v>
      </c>
      <c r="H98" s="75">
        <v>0</v>
      </c>
      <c r="I98" s="75"/>
      <c r="J98" s="75"/>
      <c r="K98" s="75"/>
      <c r="L98" s="75"/>
      <c r="M98" s="75">
        <f t="shared" si="53"/>
        <v>0</v>
      </c>
      <c r="N98" s="75"/>
      <c r="O98" s="76">
        <f t="shared" si="54"/>
        <v>0</v>
      </c>
      <c r="P98" s="75"/>
      <c r="Q98" s="76">
        <f t="shared" si="55"/>
        <v>0</v>
      </c>
      <c r="R98" s="75"/>
      <c r="S98" s="76">
        <f t="shared" si="56"/>
        <v>0</v>
      </c>
      <c r="T98" s="75"/>
      <c r="U98" s="76">
        <f t="shared" si="57"/>
        <v>0</v>
      </c>
      <c r="V98" s="75">
        <v>0</v>
      </c>
      <c r="W98" s="77">
        <f t="shared" si="60"/>
        <v>0</v>
      </c>
    </row>
    <row r="99" spans="1:23" ht="13.9" customHeight="1" x14ac:dyDescent="0.25">
      <c r="A99" s="11"/>
      <c r="B99" s="23">
        <v>312001</v>
      </c>
      <c r="C99" s="23" t="s">
        <v>86</v>
      </c>
      <c r="D99" s="75">
        <v>0</v>
      </c>
      <c r="E99" s="75">
        <v>0</v>
      </c>
      <c r="F99" s="75">
        <v>0</v>
      </c>
      <c r="G99" s="75">
        <v>19374</v>
      </c>
      <c r="H99" s="75">
        <v>0</v>
      </c>
      <c r="I99" s="75"/>
      <c r="J99" s="75"/>
      <c r="K99" s="75"/>
      <c r="L99" s="75"/>
      <c r="M99" s="75">
        <f t="shared" si="53"/>
        <v>0</v>
      </c>
      <c r="N99" s="75">
        <v>0</v>
      </c>
      <c r="O99" s="76">
        <f t="shared" si="54"/>
        <v>0</v>
      </c>
      <c r="P99" s="75">
        <v>0</v>
      </c>
      <c r="Q99" s="76">
        <f t="shared" si="55"/>
        <v>0</v>
      </c>
      <c r="R99" s="75">
        <v>0</v>
      </c>
      <c r="S99" s="76">
        <f t="shared" si="56"/>
        <v>0</v>
      </c>
      <c r="T99" s="75">
        <v>24494</v>
      </c>
      <c r="U99" s="76">
        <f t="shared" si="57"/>
        <v>0</v>
      </c>
      <c r="V99" s="75">
        <v>0</v>
      </c>
      <c r="W99" s="77">
        <f t="shared" si="60"/>
        <v>0</v>
      </c>
    </row>
    <row r="100" spans="1:23" ht="13.9" customHeight="1" x14ac:dyDescent="0.25">
      <c r="A100" s="11"/>
      <c r="B100" s="23">
        <v>312001</v>
      </c>
      <c r="C100" s="23" t="s">
        <v>87</v>
      </c>
      <c r="D100" s="75">
        <v>0</v>
      </c>
      <c r="E100" s="75">
        <v>0</v>
      </c>
      <c r="F100" s="75">
        <v>0</v>
      </c>
      <c r="G100" s="75">
        <v>0</v>
      </c>
      <c r="H100" s="75">
        <v>0</v>
      </c>
      <c r="I100" s="75"/>
      <c r="J100" s="75"/>
      <c r="K100" s="75">
        <v>214</v>
      </c>
      <c r="L100" s="75"/>
      <c r="M100" s="75">
        <f t="shared" si="53"/>
        <v>214</v>
      </c>
      <c r="N100" s="75">
        <v>0</v>
      </c>
      <c r="O100" s="76">
        <f t="shared" si="54"/>
        <v>0</v>
      </c>
      <c r="P100" s="75">
        <v>0</v>
      </c>
      <c r="Q100" s="76">
        <f t="shared" si="55"/>
        <v>0</v>
      </c>
      <c r="R100" s="75">
        <v>0</v>
      </c>
      <c r="S100" s="76">
        <f t="shared" si="56"/>
        <v>0</v>
      </c>
      <c r="T100" s="75">
        <v>213.6</v>
      </c>
      <c r="U100" s="76">
        <f t="shared" si="57"/>
        <v>0.9981308411214953</v>
      </c>
      <c r="V100" s="75"/>
      <c r="W100" s="77"/>
    </row>
    <row r="101" spans="1:23" ht="13.9" hidden="1" customHeight="1" x14ac:dyDescent="0.25">
      <c r="A101" s="11"/>
      <c r="B101" s="23">
        <v>312012</v>
      </c>
      <c r="C101" s="23" t="s">
        <v>88</v>
      </c>
      <c r="D101" s="75">
        <v>0</v>
      </c>
      <c r="E101" s="75">
        <v>1349.5</v>
      </c>
      <c r="F101" s="75">
        <v>0</v>
      </c>
      <c r="G101" s="75">
        <v>0</v>
      </c>
      <c r="H101" s="75">
        <v>0</v>
      </c>
      <c r="I101" s="75"/>
      <c r="J101" s="75"/>
      <c r="K101" s="75"/>
      <c r="L101" s="75"/>
      <c r="M101" s="75">
        <f t="shared" si="53"/>
        <v>0</v>
      </c>
      <c r="N101" s="75"/>
      <c r="O101" s="76">
        <f t="shared" si="54"/>
        <v>0</v>
      </c>
      <c r="P101" s="75"/>
      <c r="Q101" s="76">
        <f t="shared" si="55"/>
        <v>0</v>
      </c>
      <c r="R101" s="75"/>
      <c r="S101" s="76">
        <f t="shared" si="56"/>
        <v>0</v>
      </c>
      <c r="T101" s="75"/>
      <c r="U101" s="76">
        <f t="shared" si="57"/>
        <v>0</v>
      </c>
      <c r="V101" s="75">
        <f>výdaje!Y343</f>
        <v>45</v>
      </c>
      <c r="W101" s="77">
        <f t="shared" ref="W101:W107" si="61">V101</f>
        <v>45</v>
      </c>
    </row>
    <row r="102" spans="1:23" ht="13.9" customHeight="1" x14ac:dyDescent="0.25">
      <c r="A102" s="11"/>
      <c r="B102" s="23">
        <v>312012</v>
      </c>
      <c r="C102" s="23" t="s">
        <v>89</v>
      </c>
      <c r="D102" s="75">
        <v>4105.09</v>
      </c>
      <c r="E102" s="75">
        <v>4116.1499999999996</v>
      </c>
      <c r="F102" s="75">
        <v>4116</v>
      </c>
      <c r="G102" s="75">
        <v>4829</v>
      </c>
      <c r="H102" s="75">
        <v>4829</v>
      </c>
      <c r="I102" s="75"/>
      <c r="J102" s="75"/>
      <c r="K102" s="75">
        <v>-4829</v>
      </c>
      <c r="L102" s="75"/>
      <c r="M102" s="75">
        <f t="shared" si="53"/>
        <v>0</v>
      </c>
      <c r="N102" s="75">
        <v>0</v>
      </c>
      <c r="O102" s="76">
        <f t="shared" si="54"/>
        <v>0</v>
      </c>
      <c r="P102" s="75">
        <v>0</v>
      </c>
      <c r="Q102" s="76">
        <f t="shared" si="55"/>
        <v>0</v>
      </c>
      <c r="R102" s="75">
        <v>0</v>
      </c>
      <c r="S102" s="76">
        <f t="shared" si="56"/>
        <v>0</v>
      </c>
      <c r="T102" s="75">
        <v>0</v>
      </c>
      <c r="U102" s="76">
        <f t="shared" si="57"/>
        <v>0</v>
      </c>
      <c r="V102" s="77">
        <f t="shared" ref="V102:V107" si="62">H102</f>
        <v>4829</v>
      </c>
      <c r="W102" s="77">
        <f t="shared" si="61"/>
        <v>4829</v>
      </c>
    </row>
    <row r="103" spans="1:23" ht="13.9" customHeight="1" x14ac:dyDescent="0.25">
      <c r="A103" s="11"/>
      <c r="B103" s="23">
        <v>312012</v>
      </c>
      <c r="C103" s="23" t="s">
        <v>90</v>
      </c>
      <c r="D103" s="75">
        <v>136.86000000000001</v>
      </c>
      <c r="E103" s="75">
        <v>137.29</v>
      </c>
      <c r="F103" s="75">
        <v>138</v>
      </c>
      <c r="G103" s="75">
        <v>138</v>
      </c>
      <c r="H103" s="75">
        <v>138</v>
      </c>
      <c r="I103" s="75"/>
      <c r="J103" s="75">
        <v>1</v>
      </c>
      <c r="K103" s="75"/>
      <c r="L103" s="75"/>
      <c r="M103" s="75">
        <f t="shared" si="53"/>
        <v>139</v>
      </c>
      <c r="N103" s="75">
        <v>0</v>
      </c>
      <c r="O103" s="76">
        <f t="shared" si="54"/>
        <v>0</v>
      </c>
      <c r="P103" s="75">
        <v>139.06</v>
      </c>
      <c r="Q103" s="76">
        <f t="shared" si="55"/>
        <v>1.0004316546762591</v>
      </c>
      <c r="R103" s="75">
        <v>139.06</v>
      </c>
      <c r="S103" s="76">
        <f t="shared" si="56"/>
        <v>1.0004316546762591</v>
      </c>
      <c r="T103" s="75">
        <v>139.06</v>
      </c>
      <c r="U103" s="76">
        <f t="shared" si="57"/>
        <v>1.0004316546762591</v>
      </c>
      <c r="V103" s="77">
        <f t="shared" si="62"/>
        <v>138</v>
      </c>
      <c r="W103" s="77">
        <f t="shared" si="61"/>
        <v>138</v>
      </c>
    </row>
    <row r="104" spans="1:23" ht="13.9" customHeight="1" x14ac:dyDescent="0.25">
      <c r="A104" s="11"/>
      <c r="B104" s="23">
        <v>312012</v>
      </c>
      <c r="C104" s="23" t="s">
        <v>91</v>
      </c>
      <c r="D104" s="75">
        <v>310.47000000000003</v>
      </c>
      <c r="E104" s="75">
        <v>318.27</v>
      </c>
      <c r="F104" s="75">
        <v>352</v>
      </c>
      <c r="G104" s="75">
        <v>352</v>
      </c>
      <c r="H104" s="75">
        <v>352</v>
      </c>
      <c r="I104" s="75"/>
      <c r="J104" s="75">
        <v>38</v>
      </c>
      <c r="K104" s="75"/>
      <c r="L104" s="75"/>
      <c r="M104" s="75">
        <f t="shared" si="53"/>
        <v>390</v>
      </c>
      <c r="N104" s="75">
        <v>0</v>
      </c>
      <c r="O104" s="76">
        <f t="shared" si="54"/>
        <v>0</v>
      </c>
      <c r="P104" s="75">
        <v>0</v>
      </c>
      <c r="Q104" s="76">
        <f t="shared" si="55"/>
        <v>0</v>
      </c>
      <c r="R104" s="75">
        <v>389.57</v>
      </c>
      <c r="S104" s="76">
        <f t="shared" si="56"/>
        <v>0.99889743589743585</v>
      </c>
      <c r="T104" s="75">
        <v>389.57</v>
      </c>
      <c r="U104" s="76">
        <f t="shared" si="57"/>
        <v>0.99889743589743585</v>
      </c>
      <c r="V104" s="77">
        <f t="shared" si="62"/>
        <v>352</v>
      </c>
      <c r="W104" s="77">
        <f t="shared" si="61"/>
        <v>352</v>
      </c>
    </row>
    <row r="105" spans="1:23" ht="13.9" customHeight="1" x14ac:dyDescent="0.25">
      <c r="A105" s="11"/>
      <c r="B105" s="23">
        <v>312012</v>
      </c>
      <c r="C105" s="23" t="s">
        <v>92</v>
      </c>
      <c r="D105" s="75">
        <v>5829.3</v>
      </c>
      <c r="E105" s="75">
        <v>5546.76</v>
      </c>
      <c r="F105" s="75">
        <v>6083</v>
      </c>
      <c r="G105" s="75">
        <v>6083</v>
      </c>
      <c r="H105" s="75">
        <v>6083</v>
      </c>
      <c r="I105" s="75"/>
      <c r="J105" s="75">
        <v>624</v>
      </c>
      <c r="K105" s="75"/>
      <c r="L105" s="75"/>
      <c r="M105" s="75">
        <f t="shared" si="53"/>
        <v>6707</v>
      </c>
      <c r="N105" s="75">
        <v>6706.86</v>
      </c>
      <c r="O105" s="76">
        <f t="shared" si="54"/>
        <v>0.99997912628596985</v>
      </c>
      <c r="P105" s="75">
        <v>6706.86</v>
      </c>
      <c r="Q105" s="76">
        <f t="shared" si="55"/>
        <v>0.99997912628596985</v>
      </c>
      <c r="R105" s="75">
        <v>6706.86</v>
      </c>
      <c r="S105" s="76">
        <f t="shared" si="56"/>
        <v>0.99997912628596985</v>
      </c>
      <c r="T105" s="75">
        <v>6706.86</v>
      </c>
      <c r="U105" s="76">
        <f t="shared" si="57"/>
        <v>0.99997912628596985</v>
      </c>
      <c r="V105" s="77">
        <f t="shared" si="62"/>
        <v>6083</v>
      </c>
      <c r="W105" s="77">
        <f t="shared" si="61"/>
        <v>6083</v>
      </c>
    </row>
    <row r="106" spans="1:23" ht="13.9" customHeight="1" x14ac:dyDescent="0.25">
      <c r="A106" s="11"/>
      <c r="B106" s="23">
        <v>312012</v>
      </c>
      <c r="C106" s="23" t="s">
        <v>93</v>
      </c>
      <c r="D106" s="75">
        <v>1082.6400000000001</v>
      </c>
      <c r="E106" s="75">
        <v>1084.3399999999999</v>
      </c>
      <c r="F106" s="75">
        <v>1094</v>
      </c>
      <c r="G106" s="75">
        <v>1094</v>
      </c>
      <c r="H106" s="75">
        <v>1094</v>
      </c>
      <c r="I106" s="75"/>
      <c r="J106" s="75">
        <v>4</v>
      </c>
      <c r="K106" s="75"/>
      <c r="L106" s="75"/>
      <c r="M106" s="75">
        <f t="shared" si="53"/>
        <v>1098</v>
      </c>
      <c r="N106" s="75">
        <v>1097.8699999999999</v>
      </c>
      <c r="O106" s="76">
        <f t="shared" si="54"/>
        <v>0.99988160291438966</v>
      </c>
      <c r="P106" s="75">
        <v>1097.8699999999999</v>
      </c>
      <c r="Q106" s="76">
        <f t="shared" si="55"/>
        <v>0.99988160291438966</v>
      </c>
      <c r="R106" s="75">
        <v>1097.8699999999999</v>
      </c>
      <c r="S106" s="76">
        <f t="shared" si="56"/>
        <v>0.99988160291438966</v>
      </c>
      <c r="T106" s="75">
        <v>1097.8699999999999</v>
      </c>
      <c r="U106" s="76">
        <f t="shared" si="57"/>
        <v>0.99988160291438966</v>
      </c>
      <c r="V106" s="77">
        <f t="shared" si="62"/>
        <v>1094</v>
      </c>
      <c r="W106" s="77">
        <f t="shared" si="61"/>
        <v>1094</v>
      </c>
    </row>
    <row r="107" spans="1:23" ht="13.9" customHeight="1" x14ac:dyDescent="0.25">
      <c r="A107" s="11"/>
      <c r="B107" s="23">
        <v>312012</v>
      </c>
      <c r="C107" s="23" t="s">
        <v>94</v>
      </c>
      <c r="D107" s="75">
        <v>36480.720000000001</v>
      </c>
      <c r="E107" s="75">
        <v>311.89</v>
      </c>
      <c r="F107" s="75">
        <v>312</v>
      </c>
      <c r="G107" s="75">
        <v>966</v>
      </c>
      <c r="H107" s="75">
        <v>312</v>
      </c>
      <c r="I107" s="75"/>
      <c r="J107" s="75"/>
      <c r="K107" s="75"/>
      <c r="L107" s="75">
        <v>50</v>
      </c>
      <c r="M107" s="75">
        <f t="shared" si="53"/>
        <v>362</v>
      </c>
      <c r="N107" s="75">
        <v>0</v>
      </c>
      <c r="O107" s="76">
        <f t="shared" si="54"/>
        <v>0</v>
      </c>
      <c r="P107" s="75">
        <v>0</v>
      </c>
      <c r="Q107" s="76">
        <f t="shared" si="55"/>
        <v>0</v>
      </c>
      <c r="R107" s="75">
        <v>0</v>
      </c>
      <c r="S107" s="76">
        <f t="shared" si="56"/>
        <v>0</v>
      </c>
      <c r="T107" s="75">
        <v>362.04</v>
      </c>
      <c r="U107" s="76">
        <f t="shared" si="57"/>
        <v>1.0001104972375692</v>
      </c>
      <c r="V107" s="77">
        <f t="shared" si="62"/>
        <v>312</v>
      </c>
      <c r="W107" s="77">
        <f t="shared" si="61"/>
        <v>312</v>
      </c>
    </row>
    <row r="108" spans="1:23" ht="13.9" hidden="1" customHeight="1" x14ac:dyDescent="0.25">
      <c r="A108" s="11"/>
      <c r="B108" s="23">
        <v>322001</v>
      </c>
      <c r="C108" s="23" t="s">
        <v>95</v>
      </c>
      <c r="D108" s="75">
        <v>0</v>
      </c>
      <c r="E108" s="75">
        <v>184139.16</v>
      </c>
      <c r="F108" s="75">
        <v>0</v>
      </c>
      <c r="G108" s="75">
        <v>0</v>
      </c>
      <c r="H108" s="75">
        <v>0</v>
      </c>
      <c r="I108" s="75"/>
      <c r="J108" s="75"/>
      <c r="K108" s="75"/>
      <c r="L108" s="75"/>
      <c r="M108" s="75">
        <f t="shared" si="53"/>
        <v>0</v>
      </c>
      <c r="N108" s="75"/>
      <c r="O108" s="76">
        <f t="shared" si="54"/>
        <v>0</v>
      </c>
      <c r="P108" s="75"/>
      <c r="Q108" s="76">
        <f t="shared" si="55"/>
        <v>0</v>
      </c>
      <c r="R108" s="75"/>
      <c r="S108" s="76">
        <f t="shared" si="56"/>
        <v>0</v>
      </c>
      <c r="T108" s="75"/>
      <c r="U108" s="76">
        <f t="shared" si="57"/>
        <v>0</v>
      </c>
      <c r="V108" s="77">
        <v>0</v>
      </c>
      <c r="W108" s="77">
        <v>0</v>
      </c>
    </row>
    <row r="109" spans="1:23" ht="13.9" customHeight="1" x14ac:dyDescent="0.25">
      <c r="A109" s="11"/>
      <c r="B109" s="23">
        <v>322001</v>
      </c>
      <c r="C109" s="23" t="s">
        <v>96</v>
      </c>
      <c r="D109" s="77">
        <v>100000</v>
      </c>
      <c r="E109" s="77">
        <v>0</v>
      </c>
      <c r="F109" s="77">
        <v>250000</v>
      </c>
      <c r="G109" s="77">
        <v>0</v>
      </c>
      <c r="H109" s="77">
        <v>250000</v>
      </c>
      <c r="I109" s="77"/>
      <c r="J109" s="77">
        <v>-250000</v>
      </c>
      <c r="K109" s="77"/>
      <c r="L109" s="77"/>
      <c r="M109" s="77">
        <f t="shared" si="53"/>
        <v>0</v>
      </c>
      <c r="N109" s="77">
        <v>0</v>
      </c>
      <c r="O109" s="78">
        <f t="shared" si="54"/>
        <v>0</v>
      </c>
      <c r="P109" s="77">
        <v>0</v>
      </c>
      <c r="Q109" s="78">
        <f t="shared" si="55"/>
        <v>0</v>
      </c>
      <c r="R109" s="77">
        <v>0</v>
      </c>
      <c r="S109" s="78">
        <f t="shared" si="56"/>
        <v>0</v>
      </c>
      <c r="T109" s="77">
        <v>0</v>
      </c>
      <c r="U109" s="78">
        <f t="shared" si="57"/>
        <v>0</v>
      </c>
      <c r="V109" s="77">
        <v>0</v>
      </c>
      <c r="W109" s="77">
        <v>0</v>
      </c>
    </row>
    <row r="110" spans="1:23" ht="13.9" customHeight="1" x14ac:dyDescent="0.25">
      <c r="A110" s="11"/>
      <c r="B110" s="23">
        <v>322001</v>
      </c>
      <c r="C110" s="23" t="s">
        <v>97</v>
      </c>
      <c r="D110" s="77">
        <v>0</v>
      </c>
      <c r="E110" s="77">
        <v>0</v>
      </c>
      <c r="F110" s="77">
        <v>0</v>
      </c>
      <c r="G110" s="77">
        <v>0</v>
      </c>
      <c r="H110" s="77">
        <v>304000</v>
      </c>
      <c r="I110" s="77"/>
      <c r="J110" s="77">
        <v>-304000</v>
      </c>
      <c r="K110" s="77"/>
      <c r="L110" s="77"/>
      <c r="M110" s="77">
        <f t="shared" si="53"/>
        <v>0</v>
      </c>
      <c r="N110" s="77">
        <v>0</v>
      </c>
      <c r="O110" s="78">
        <f t="shared" si="54"/>
        <v>0</v>
      </c>
      <c r="P110" s="77">
        <v>0</v>
      </c>
      <c r="Q110" s="78">
        <f t="shared" si="55"/>
        <v>0</v>
      </c>
      <c r="R110" s="77">
        <v>0</v>
      </c>
      <c r="S110" s="78">
        <f t="shared" si="56"/>
        <v>0</v>
      </c>
      <c r="T110" s="77">
        <v>0</v>
      </c>
      <c r="U110" s="78">
        <f t="shared" si="57"/>
        <v>0</v>
      </c>
      <c r="V110" s="77">
        <v>0</v>
      </c>
      <c r="W110" s="77">
        <v>0</v>
      </c>
    </row>
    <row r="111" spans="1:23" ht="13.9" hidden="1" customHeight="1" x14ac:dyDescent="0.25">
      <c r="A111" s="11"/>
      <c r="B111" s="23">
        <v>322001</v>
      </c>
      <c r="C111" s="23" t="s">
        <v>98</v>
      </c>
      <c r="D111" s="77">
        <v>0</v>
      </c>
      <c r="E111" s="77">
        <v>0</v>
      </c>
      <c r="F111" s="77">
        <v>0</v>
      </c>
      <c r="G111" s="77">
        <v>0</v>
      </c>
      <c r="H111" s="77">
        <v>0</v>
      </c>
      <c r="I111" s="77"/>
      <c r="J111" s="77">
        <f>134634-134634</f>
        <v>0</v>
      </c>
      <c r="K111" s="77"/>
      <c r="L111" s="77"/>
      <c r="M111" s="77">
        <f t="shared" si="53"/>
        <v>0</v>
      </c>
      <c r="N111" s="77">
        <v>0</v>
      </c>
      <c r="O111" s="78">
        <f t="shared" si="54"/>
        <v>0</v>
      </c>
      <c r="P111" s="77">
        <v>0</v>
      </c>
      <c r="Q111" s="78">
        <f t="shared" si="55"/>
        <v>0</v>
      </c>
      <c r="R111" s="77"/>
      <c r="S111" s="78">
        <f t="shared" si="56"/>
        <v>0</v>
      </c>
      <c r="T111" s="77"/>
      <c r="U111" s="78">
        <f t="shared" si="57"/>
        <v>0</v>
      </c>
      <c r="V111" s="77">
        <v>0</v>
      </c>
      <c r="W111" s="77">
        <v>0</v>
      </c>
    </row>
    <row r="112" spans="1:23" ht="13.9" customHeight="1" x14ac:dyDescent="0.25">
      <c r="A112" s="11"/>
      <c r="B112" s="23">
        <v>322001</v>
      </c>
      <c r="C112" s="23" t="s">
        <v>99</v>
      </c>
      <c r="D112" s="77">
        <v>0</v>
      </c>
      <c r="E112" s="77">
        <v>0</v>
      </c>
      <c r="F112" s="77">
        <v>0</v>
      </c>
      <c r="G112" s="77">
        <v>0</v>
      </c>
      <c r="H112" s="77">
        <v>46828</v>
      </c>
      <c r="I112" s="77"/>
      <c r="J112" s="77">
        <v>-736</v>
      </c>
      <c r="K112" s="77"/>
      <c r="L112" s="77"/>
      <c r="M112" s="77">
        <f t="shared" si="53"/>
        <v>46092</v>
      </c>
      <c r="N112" s="77">
        <v>46091.34</v>
      </c>
      <c r="O112" s="78">
        <f t="shared" si="54"/>
        <v>0.99998568081228834</v>
      </c>
      <c r="P112" s="77">
        <v>46091.34</v>
      </c>
      <c r="Q112" s="78">
        <f t="shared" si="55"/>
        <v>0.99998568081228834</v>
      </c>
      <c r="R112" s="77">
        <v>46091.34</v>
      </c>
      <c r="S112" s="78">
        <f t="shared" si="56"/>
        <v>0.99998568081228834</v>
      </c>
      <c r="T112" s="77">
        <v>46091.34</v>
      </c>
      <c r="U112" s="78">
        <f t="shared" si="57"/>
        <v>0.99998568081228834</v>
      </c>
      <c r="V112" s="77">
        <v>0</v>
      </c>
      <c r="W112" s="77">
        <v>0</v>
      </c>
    </row>
    <row r="113" spans="1:23" ht="13.9" hidden="1" customHeight="1" x14ac:dyDescent="0.25">
      <c r="A113" s="11"/>
      <c r="B113" s="23">
        <v>322001</v>
      </c>
      <c r="C113" s="23" t="s">
        <v>100</v>
      </c>
      <c r="D113" s="77">
        <v>0</v>
      </c>
      <c r="E113" s="77">
        <v>0</v>
      </c>
      <c r="F113" s="75">
        <v>155618</v>
      </c>
      <c r="G113" s="77">
        <v>155461</v>
      </c>
      <c r="H113" s="77">
        <v>0</v>
      </c>
      <c r="I113" s="77"/>
      <c r="J113" s="77"/>
      <c r="K113" s="77"/>
      <c r="L113" s="77"/>
      <c r="M113" s="77">
        <f t="shared" si="53"/>
        <v>0</v>
      </c>
      <c r="N113" s="77"/>
      <c r="O113" s="78">
        <f t="shared" si="54"/>
        <v>0</v>
      </c>
      <c r="P113" s="77"/>
      <c r="Q113" s="78">
        <f t="shared" si="55"/>
        <v>0</v>
      </c>
      <c r="R113" s="77"/>
      <c r="S113" s="78">
        <f t="shared" si="56"/>
        <v>0</v>
      </c>
      <c r="T113" s="77"/>
      <c r="U113" s="78">
        <f t="shared" si="57"/>
        <v>0</v>
      </c>
      <c r="V113" s="77">
        <v>0</v>
      </c>
      <c r="W113" s="77">
        <v>0</v>
      </c>
    </row>
    <row r="114" spans="1:23" ht="13.9" customHeight="1" x14ac:dyDescent="0.25">
      <c r="A114" s="11"/>
      <c r="B114" s="23">
        <v>322001</v>
      </c>
      <c r="C114" s="23" t="s">
        <v>101</v>
      </c>
      <c r="D114" s="77">
        <v>0</v>
      </c>
      <c r="E114" s="77">
        <v>0</v>
      </c>
      <c r="F114" s="75">
        <v>0</v>
      </c>
      <c r="G114" s="77">
        <v>0</v>
      </c>
      <c r="H114" s="77">
        <v>408500</v>
      </c>
      <c r="I114" s="77"/>
      <c r="J114" s="77">
        <v>35331</v>
      </c>
      <c r="K114" s="77"/>
      <c r="L114" s="77"/>
      <c r="M114" s="77">
        <f t="shared" si="53"/>
        <v>443831</v>
      </c>
      <c r="N114" s="77">
        <v>0</v>
      </c>
      <c r="O114" s="78">
        <f t="shared" si="54"/>
        <v>0</v>
      </c>
      <c r="P114" s="77">
        <v>177532.3</v>
      </c>
      <c r="Q114" s="78">
        <f t="shared" si="55"/>
        <v>0.39999977468901449</v>
      </c>
      <c r="R114" s="77">
        <v>177532.3</v>
      </c>
      <c r="S114" s="78">
        <f t="shared" si="56"/>
        <v>0.39999977468901449</v>
      </c>
      <c r="T114" s="77">
        <v>185188.3</v>
      </c>
      <c r="U114" s="78">
        <f t="shared" si="57"/>
        <v>0.41724958373795429</v>
      </c>
      <c r="V114" s="77">
        <v>0</v>
      </c>
      <c r="W114" s="77">
        <v>0</v>
      </c>
    </row>
    <row r="115" spans="1:23" ht="13.9" customHeight="1" x14ac:dyDescent="0.25">
      <c r="A115" s="11"/>
      <c r="B115" s="23">
        <v>322001</v>
      </c>
      <c r="C115" s="23" t="s">
        <v>102</v>
      </c>
      <c r="D115" s="77"/>
      <c r="E115" s="77"/>
      <c r="F115" s="75"/>
      <c r="G115" s="77"/>
      <c r="H115" s="77">
        <v>0</v>
      </c>
      <c r="I115" s="77"/>
      <c r="J115" s="77"/>
      <c r="K115" s="77"/>
      <c r="L115" s="77"/>
      <c r="M115" s="77">
        <f t="shared" si="53"/>
        <v>0</v>
      </c>
      <c r="N115" s="77">
        <v>0</v>
      </c>
      <c r="O115" s="78">
        <f t="shared" si="54"/>
        <v>0</v>
      </c>
      <c r="P115" s="77">
        <v>0</v>
      </c>
      <c r="Q115" s="78">
        <f t="shared" si="55"/>
        <v>0</v>
      </c>
      <c r="R115" s="77">
        <v>0</v>
      </c>
      <c r="S115" s="78">
        <f t="shared" si="56"/>
        <v>0</v>
      </c>
      <c r="T115" s="77">
        <v>14850</v>
      </c>
      <c r="U115" s="78">
        <f t="shared" si="57"/>
        <v>0</v>
      </c>
      <c r="V115" s="77"/>
      <c r="W115" s="77"/>
    </row>
    <row r="116" spans="1:23" ht="13.9" customHeight="1" x14ac:dyDescent="0.25">
      <c r="A116" s="11"/>
      <c r="B116" s="23">
        <v>312</v>
      </c>
      <c r="C116" s="23" t="s">
        <v>103</v>
      </c>
      <c r="D116" s="77">
        <v>0</v>
      </c>
      <c r="E116" s="77">
        <v>0</v>
      </c>
      <c r="F116" s="75">
        <v>0</v>
      </c>
      <c r="G116" s="77">
        <v>0</v>
      </c>
      <c r="H116" s="77">
        <v>0</v>
      </c>
      <c r="I116" s="77"/>
      <c r="J116" s="77">
        <f>311+4241</f>
        <v>4552</v>
      </c>
      <c r="K116" s="77"/>
      <c r="L116" s="77"/>
      <c r="M116" s="77">
        <f t="shared" si="53"/>
        <v>4552</v>
      </c>
      <c r="N116" s="77">
        <v>311</v>
      </c>
      <c r="O116" s="78">
        <f t="shared" si="54"/>
        <v>6.8321616871704752E-2</v>
      </c>
      <c r="P116" s="77">
        <v>4551.5</v>
      </c>
      <c r="Q116" s="78">
        <f t="shared" si="55"/>
        <v>0.99989015817223204</v>
      </c>
      <c r="R116" s="77">
        <v>4551.5</v>
      </c>
      <c r="S116" s="78">
        <f t="shared" si="56"/>
        <v>0.99989015817223204</v>
      </c>
      <c r="T116" s="77">
        <v>4551.5</v>
      </c>
      <c r="U116" s="78">
        <f t="shared" si="57"/>
        <v>0.99989015817223204</v>
      </c>
      <c r="V116" s="77">
        <v>0</v>
      </c>
      <c r="W116" s="77">
        <v>0</v>
      </c>
    </row>
    <row r="117" spans="1:23" ht="13.9" customHeight="1" x14ac:dyDescent="0.25">
      <c r="A117" s="79" t="s">
        <v>104</v>
      </c>
      <c r="B117" s="48">
        <v>111</v>
      </c>
      <c r="C117" s="48" t="s">
        <v>22</v>
      </c>
      <c r="D117" s="49">
        <f t="shared" ref="D117:N117" si="63">SUM(D82:D116)</f>
        <v>858683.59</v>
      </c>
      <c r="E117" s="49">
        <f t="shared" si="63"/>
        <v>946857.87</v>
      </c>
      <c r="F117" s="49">
        <f t="shared" si="63"/>
        <v>1140389</v>
      </c>
      <c r="G117" s="49">
        <f t="shared" si="63"/>
        <v>1135402</v>
      </c>
      <c r="H117" s="49">
        <f t="shared" si="63"/>
        <v>1876891</v>
      </c>
      <c r="I117" s="49">
        <f t="shared" si="63"/>
        <v>28893</v>
      </c>
      <c r="J117" s="49">
        <f t="shared" si="63"/>
        <v>-445670</v>
      </c>
      <c r="K117" s="49">
        <f t="shared" si="63"/>
        <v>37445</v>
      </c>
      <c r="L117" s="49">
        <f t="shared" si="63"/>
        <v>19730</v>
      </c>
      <c r="M117" s="49">
        <f t="shared" si="63"/>
        <v>1517289</v>
      </c>
      <c r="N117" s="49">
        <f t="shared" si="63"/>
        <v>354669.80999999994</v>
      </c>
      <c r="O117" s="50">
        <f t="shared" si="54"/>
        <v>0.23375231086497031</v>
      </c>
      <c r="P117" s="49">
        <f>SUM(P82:P116)</f>
        <v>766401.59000000008</v>
      </c>
      <c r="Q117" s="50">
        <f t="shared" si="55"/>
        <v>0.50511246703825052</v>
      </c>
      <c r="R117" s="49">
        <f>SUM(R82:R116)</f>
        <v>1015369.5999999999</v>
      </c>
      <c r="S117" s="50">
        <f t="shared" si="56"/>
        <v>0.66919986897683947</v>
      </c>
      <c r="T117" s="49">
        <f>SUM(T82:T116)</f>
        <v>1295945.32</v>
      </c>
      <c r="U117" s="50">
        <f t="shared" si="57"/>
        <v>0.85411897140228399</v>
      </c>
      <c r="V117" s="49">
        <f>SUM(V82:V116)</f>
        <v>823228</v>
      </c>
      <c r="W117" s="49">
        <f>SUM(W82:W116)</f>
        <v>823228</v>
      </c>
    </row>
    <row r="118" spans="1:23" ht="13.9" customHeight="1" x14ac:dyDescent="0.25">
      <c r="A118" s="80" t="s">
        <v>47</v>
      </c>
      <c r="B118" s="23">
        <v>311</v>
      </c>
      <c r="C118" s="23" t="s">
        <v>105</v>
      </c>
      <c r="D118" s="75">
        <v>3000</v>
      </c>
      <c r="E118" s="75">
        <v>3000</v>
      </c>
      <c r="F118" s="75">
        <v>3000</v>
      </c>
      <c r="G118" s="75">
        <v>3000</v>
      </c>
      <c r="H118" s="75">
        <v>3000</v>
      </c>
      <c r="I118" s="75"/>
      <c r="J118" s="75"/>
      <c r="K118" s="75"/>
      <c r="L118" s="75"/>
      <c r="M118" s="75">
        <f>H118+SUM(I118:L118)</f>
        <v>3000</v>
      </c>
      <c r="N118" s="75">
        <v>0</v>
      </c>
      <c r="O118" s="76">
        <f t="shared" si="54"/>
        <v>0</v>
      </c>
      <c r="P118" s="75">
        <v>3000</v>
      </c>
      <c r="Q118" s="76">
        <f t="shared" si="55"/>
        <v>1</v>
      </c>
      <c r="R118" s="75">
        <v>3000</v>
      </c>
      <c r="S118" s="76">
        <f t="shared" si="56"/>
        <v>1</v>
      </c>
      <c r="T118" s="75">
        <v>3000</v>
      </c>
      <c r="U118" s="76">
        <f t="shared" si="57"/>
        <v>1</v>
      </c>
      <c r="V118" s="77">
        <f>H118</f>
        <v>3000</v>
      </c>
      <c r="W118" s="77">
        <f>V118</f>
        <v>3000</v>
      </c>
    </row>
    <row r="119" spans="1:23" ht="13.9" customHeight="1" x14ac:dyDescent="0.25">
      <c r="A119" s="79" t="s">
        <v>104</v>
      </c>
      <c r="B119" s="48">
        <v>71</v>
      </c>
      <c r="C119" s="48" t="s">
        <v>24</v>
      </c>
      <c r="D119" s="49">
        <f t="shared" ref="D119:N119" si="64">SUM(D118:D118)</f>
        <v>3000</v>
      </c>
      <c r="E119" s="49">
        <f t="shared" si="64"/>
        <v>3000</v>
      </c>
      <c r="F119" s="49">
        <f t="shared" si="64"/>
        <v>3000</v>
      </c>
      <c r="G119" s="49">
        <f t="shared" si="64"/>
        <v>3000</v>
      </c>
      <c r="H119" s="49">
        <f t="shared" si="64"/>
        <v>3000</v>
      </c>
      <c r="I119" s="49">
        <f t="shared" si="64"/>
        <v>0</v>
      </c>
      <c r="J119" s="49">
        <f t="shared" si="64"/>
        <v>0</v>
      </c>
      <c r="K119" s="49">
        <f t="shared" si="64"/>
        <v>0</v>
      </c>
      <c r="L119" s="49">
        <f t="shared" si="64"/>
        <v>0</v>
      </c>
      <c r="M119" s="49">
        <f t="shared" si="64"/>
        <v>3000</v>
      </c>
      <c r="N119" s="49">
        <f t="shared" si="64"/>
        <v>0</v>
      </c>
      <c r="O119" s="50">
        <f t="shared" si="54"/>
        <v>0</v>
      </c>
      <c r="P119" s="49">
        <f>SUM(P118:P118)</f>
        <v>3000</v>
      </c>
      <c r="Q119" s="50">
        <f t="shared" si="55"/>
        <v>1</v>
      </c>
      <c r="R119" s="49">
        <f>SUM(R118:R118)</f>
        <v>3000</v>
      </c>
      <c r="S119" s="50">
        <f t="shared" si="56"/>
        <v>1</v>
      </c>
      <c r="T119" s="49">
        <f>SUM(T118:T118)</f>
        <v>3000</v>
      </c>
      <c r="U119" s="50">
        <f t="shared" si="57"/>
        <v>1</v>
      </c>
      <c r="V119" s="49">
        <f>SUM(V118:V118)</f>
        <v>3000</v>
      </c>
      <c r="W119" s="49">
        <f>SUM(W118:W118)</f>
        <v>3000</v>
      </c>
    </row>
    <row r="120" spans="1:23" ht="13.9" customHeight="1" x14ac:dyDescent="0.25">
      <c r="A120" s="11" t="s">
        <v>47</v>
      </c>
      <c r="B120" s="23">
        <v>311</v>
      </c>
      <c r="C120" s="23" t="s">
        <v>105</v>
      </c>
      <c r="D120" s="75">
        <v>455.43</v>
      </c>
      <c r="E120" s="75">
        <v>0</v>
      </c>
      <c r="F120" s="75">
        <v>0</v>
      </c>
      <c r="G120" s="75">
        <v>0</v>
      </c>
      <c r="H120" s="75">
        <v>0</v>
      </c>
      <c r="I120" s="75"/>
      <c r="J120" s="75"/>
      <c r="K120" s="75"/>
      <c r="L120" s="75"/>
      <c r="M120" s="75">
        <f>H120+SUM(I120:L120)</f>
        <v>0</v>
      </c>
      <c r="N120" s="75">
        <v>0</v>
      </c>
      <c r="O120" s="76">
        <f t="shared" si="54"/>
        <v>0</v>
      </c>
      <c r="P120" s="75">
        <v>0</v>
      </c>
      <c r="Q120" s="76">
        <f t="shared" si="55"/>
        <v>0</v>
      </c>
      <c r="R120" s="75">
        <v>0</v>
      </c>
      <c r="S120" s="76">
        <f t="shared" si="56"/>
        <v>0</v>
      </c>
      <c r="T120" s="75">
        <v>0</v>
      </c>
      <c r="U120" s="76">
        <f t="shared" si="57"/>
        <v>0</v>
      </c>
      <c r="V120" s="77">
        <f>H120</f>
        <v>0</v>
      </c>
      <c r="W120" s="77">
        <f>V120</f>
        <v>0</v>
      </c>
    </row>
    <row r="121" spans="1:23" ht="13.9" customHeight="1" x14ac:dyDescent="0.25">
      <c r="A121" s="11"/>
      <c r="B121" s="23">
        <v>311</v>
      </c>
      <c r="C121" s="23" t="s">
        <v>106</v>
      </c>
      <c r="D121" s="75">
        <v>5035.68</v>
      </c>
      <c r="E121" s="75">
        <v>4347.1400000000003</v>
      </c>
      <c r="F121" s="75">
        <v>24610</v>
      </c>
      <c r="G121" s="75">
        <v>0</v>
      </c>
      <c r="H121" s="75">
        <v>0</v>
      </c>
      <c r="I121" s="75"/>
      <c r="J121" s="75">
        <v>11</v>
      </c>
      <c r="K121" s="75"/>
      <c r="L121" s="75">
        <v>2000</v>
      </c>
      <c r="M121" s="75">
        <f>H121+SUM(I121:L121)</f>
        <v>2011</v>
      </c>
      <c r="N121" s="75">
        <v>40</v>
      </c>
      <c r="O121" s="76">
        <f t="shared" si="54"/>
        <v>1.9890601690701143E-2</v>
      </c>
      <c r="P121" s="75">
        <v>50.08</v>
      </c>
      <c r="Q121" s="76">
        <f t="shared" si="55"/>
        <v>2.490303331675783E-2</v>
      </c>
      <c r="R121" s="75">
        <v>50.08</v>
      </c>
      <c r="S121" s="76">
        <f t="shared" si="56"/>
        <v>2.490303331675783E-2</v>
      </c>
      <c r="T121" s="75">
        <v>1982.35</v>
      </c>
      <c r="U121" s="76">
        <f t="shared" si="57"/>
        <v>0.98575335653903529</v>
      </c>
      <c r="V121" s="77">
        <f>H121</f>
        <v>0</v>
      </c>
      <c r="W121" s="77">
        <f>V121</f>
        <v>0</v>
      </c>
    </row>
    <row r="122" spans="1:23" ht="13.9" customHeight="1" x14ac:dyDescent="0.25">
      <c r="A122" s="79" t="s">
        <v>104</v>
      </c>
      <c r="B122" s="48">
        <v>72</v>
      </c>
      <c r="C122" s="48" t="s">
        <v>25</v>
      </c>
      <c r="D122" s="49">
        <f t="shared" ref="D122:N122" si="65">SUM(D120:D121)</f>
        <v>5491.1100000000006</v>
      </c>
      <c r="E122" s="49">
        <f t="shared" si="65"/>
        <v>4347.1400000000003</v>
      </c>
      <c r="F122" s="49">
        <f t="shared" si="65"/>
        <v>24610</v>
      </c>
      <c r="G122" s="49">
        <f t="shared" si="65"/>
        <v>0</v>
      </c>
      <c r="H122" s="49">
        <f t="shared" si="65"/>
        <v>0</v>
      </c>
      <c r="I122" s="49">
        <f t="shared" si="65"/>
        <v>0</v>
      </c>
      <c r="J122" s="49">
        <f t="shared" si="65"/>
        <v>11</v>
      </c>
      <c r="K122" s="49">
        <f t="shared" si="65"/>
        <v>0</v>
      </c>
      <c r="L122" s="49">
        <f t="shared" si="65"/>
        <v>2000</v>
      </c>
      <c r="M122" s="49">
        <f t="shared" si="65"/>
        <v>2011</v>
      </c>
      <c r="N122" s="49">
        <f t="shared" si="65"/>
        <v>40</v>
      </c>
      <c r="O122" s="50">
        <f t="shared" si="54"/>
        <v>1.9890601690701143E-2</v>
      </c>
      <c r="P122" s="49">
        <f>SUM(P120:P121)</f>
        <v>50.08</v>
      </c>
      <c r="Q122" s="50">
        <f t="shared" si="55"/>
        <v>2.490303331675783E-2</v>
      </c>
      <c r="R122" s="49">
        <f>SUM(R120:R121)</f>
        <v>50.08</v>
      </c>
      <c r="S122" s="50">
        <f t="shared" si="56"/>
        <v>2.490303331675783E-2</v>
      </c>
      <c r="T122" s="49">
        <f>SUM(T120:T121)</f>
        <v>1982.35</v>
      </c>
      <c r="U122" s="50">
        <f t="shared" si="57"/>
        <v>0.98575335653903529</v>
      </c>
      <c r="V122" s="49">
        <f>SUM(V120:V121)</f>
        <v>0</v>
      </c>
      <c r="W122" s="49">
        <f>SUM(W120:W121)</f>
        <v>0</v>
      </c>
    </row>
    <row r="124" spans="1:23" ht="13.9" customHeight="1" x14ac:dyDescent="0.25">
      <c r="A124" s="32" t="s">
        <v>107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/>
      <c r="P124" s="32"/>
      <c r="Q124" s="32"/>
      <c r="R124" s="32"/>
      <c r="S124" s="32"/>
      <c r="T124" s="32"/>
      <c r="U124" s="32"/>
      <c r="V124" s="32"/>
      <c r="W124" s="32"/>
    </row>
    <row r="125" spans="1:23" ht="13.9" customHeight="1" x14ac:dyDescent="0.25">
      <c r="A125" s="20"/>
      <c r="B125" s="20"/>
      <c r="C125" s="20"/>
      <c r="D125" s="21" t="s">
        <v>1</v>
      </c>
      <c r="E125" s="21" t="s">
        <v>2</v>
      </c>
      <c r="F125" s="21" t="s">
        <v>3</v>
      </c>
      <c r="G125" s="21" t="s">
        <v>4</v>
      </c>
      <c r="H125" s="21" t="s">
        <v>5</v>
      </c>
      <c r="I125" s="21" t="s">
        <v>6</v>
      </c>
      <c r="J125" s="21" t="s">
        <v>7</v>
      </c>
      <c r="K125" s="21" t="s">
        <v>8</v>
      </c>
      <c r="L125" s="21" t="s">
        <v>9</v>
      </c>
      <c r="M125" s="21" t="s">
        <v>10</v>
      </c>
      <c r="N125" s="21" t="s">
        <v>11</v>
      </c>
      <c r="O125" s="22" t="s">
        <v>12</v>
      </c>
      <c r="P125" s="21" t="s">
        <v>13</v>
      </c>
      <c r="Q125" s="22" t="s">
        <v>14</v>
      </c>
      <c r="R125" s="21" t="s">
        <v>15</v>
      </c>
      <c r="S125" s="22" t="s">
        <v>16</v>
      </c>
      <c r="T125" s="21" t="s">
        <v>17</v>
      </c>
      <c r="U125" s="22" t="s">
        <v>18</v>
      </c>
      <c r="V125" s="21" t="s">
        <v>19</v>
      </c>
      <c r="W125" s="21" t="s">
        <v>20</v>
      </c>
    </row>
    <row r="126" spans="1:23" ht="13.9" customHeight="1" x14ac:dyDescent="0.25">
      <c r="A126" s="12" t="s">
        <v>21</v>
      </c>
      <c r="B126" s="35">
        <v>131</v>
      </c>
      <c r="C126" s="35" t="s">
        <v>45</v>
      </c>
      <c r="D126" s="36">
        <f t="shared" ref="D126:N126" si="66">D132</f>
        <v>34161.160000000003</v>
      </c>
      <c r="E126" s="36">
        <f t="shared" si="66"/>
        <v>69416.210000000006</v>
      </c>
      <c r="F126" s="36">
        <f t="shared" si="66"/>
        <v>32326</v>
      </c>
      <c r="G126" s="36">
        <f t="shared" si="66"/>
        <v>32326</v>
      </c>
      <c r="H126" s="36">
        <f t="shared" si="66"/>
        <v>0</v>
      </c>
      <c r="I126" s="36">
        <f t="shared" si="66"/>
        <v>0</v>
      </c>
      <c r="J126" s="36">
        <f t="shared" si="66"/>
        <v>326950</v>
      </c>
      <c r="K126" s="36">
        <f t="shared" si="66"/>
        <v>0</v>
      </c>
      <c r="L126" s="36">
        <f t="shared" si="66"/>
        <v>0</v>
      </c>
      <c r="M126" s="36">
        <f t="shared" si="66"/>
        <v>326950</v>
      </c>
      <c r="N126" s="36">
        <f t="shared" si="66"/>
        <v>0</v>
      </c>
      <c r="O126" s="37">
        <f>IFERROR(N126/$M126,0)</f>
        <v>0</v>
      </c>
      <c r="P126" s="36">
        <f>P132</f>
        <v>326950.78999999998</v>
      </c>
      <c r="Q126" s="37">
        <f>IFERROR(P126/$M126,0)</f>
        <v>1.000002416271601</v>
      </c>
      <c r="R126" s="36">
        <f>R132</f>
        <v>326950.78999999998</v>
      </c>
      <c r="S126" s="37">
        <f>IFERROR(R126/$M126,0)</f>
        <v>1.000002416271601</v>
      </c>
      <c r="T126" s="36">
        <f>T132</f>
        <v>326950.78999999998</v>
      </c>
      <c r="U126" s="37">
        <f>IFERROR(T126/$M126,0)</f>
        <v>1.000002416271601</v>
      </c>
      <c r="V126" s="36">
        <f>V132</f>
        <v>0</v>
      </c>
      <c r="W126" s="36">
        <f>W132</f>
        <v>0</v>
      </c>
    </row>
    <row r="127" spans="1:23" ht="13.9" customHeight="1" x14ac:dyDescent="0.25">
      <c r="A127" s="12"/>
      <c r="B127" s="35">
        <v>41</v>
      </c>
      <c r="C127" s="35" t="s">
        <v>23</v>
      </c>
      <c r="D127" s="36">
        <f t="shared" ref="D127:N127" si="67">D133+D134</f>
        <v>759956.16999999993</v>
      </c>
      <c r="E127" s="36">
        <f t="shared" si="67"/>
        <v>403699.06</v>
      </c>
      <c r="F127" s="36">
        <f t="shared" si="67"/>
        <v>199814</v>
      </c>
      <c r="G127" s="36">
        <f t="shared" si="67"/>
        <v>112422</v>
      </c>
      <c r="H127" s="36">
        <f t="shared" si="67"/>
        <v>195876</v>
      </c>
      <c r="I127" s="36">
        <f t="shared" si="67"/>
        <v>0</v>
      </c>
      <c r="J127" s="36">
        <f t="shared" si="67"/>
        <v>-121674</v>
      </c>
      <c r="K127" s="36">
        <f t="shared" si="67"/>
        <v>0</v>
      </c>
      <c r="L127" s="36">
        <f t="shared" si="67"/>
        <v>0</v>
      </c>
      <c r="M127" s="36">
        <f t="shared" si="67"/>
        <v>74202</v>
      </c>
      <c r="N127" s="36">
        <f t="shared" si="67"/>
        <v>0</v>
      </c>
      <c r="O127" s="37">
        <f>IFERROR(N127/$M127,0)</f>
        <v>0</v>
      </c>
      <c r="P127" s="36">
        <f>P133+P134</f>
        <v>74201.16</v>
      </c>
      <c r="Q127" s="37">
        <f>IFERROR(P127/$M127,0)</f>
        <v>0.99998867955041648</v>
      </c>
      <c r="R127" s="36">
        <f>R133+R134</f>
        <v>74201.16</v>
      </c>
      <c r="S127" s="37">
        <f>IFERROR(R127/$M127,0)</f>
        <v>0.99998867955041648</v>
      </c>
      <c r="T127" s="36">
        <f>T133+T134</f>
        <v>74201.16</v>
      </c>
      <c r="U127" s="37">
        <f>IFERROR(T127/$M127,0)</f>
        <v>0.99998867955041648</v>
      </c>
      <c r="V127" s="36">
        <f>V133+V134</f>
        <v>0</v>
      </c>
      <c r="W127" s="36">
        <f>W133+W134</f>
        <v>0</v>
      </c>
    </row>
    <row r="128" spans="1:23" ht="13.9" customHeight="1" x14ac:dyDescent="0.25">
      <c r="A128" s="12"/>
      <c r="B128" s="35">
        <v>71</v>
      </c>
      <c r="C128" s="35" t="s">
        <v>24</v>
      </c>
      <c r="D128" s="36">
        <f t="shared" ref="D128:N128" si="68">D135</f>
        <v>3760.3</v>
      </c>
      <c r="E128" s="36">
        <f t="shared" si="68"/>
        <v>4060.3</v>
      </c>
      <c r="F128" s="36">
        <f t="shared" si="68"/>
        <v>3000</v>
      </c>
      <c r="G128" s="36">
        <f t="shared" si="68"/>
        <v>29918</v>
      </c>
      <c r="H128" s="36">
        <f t="shared" si="68"/>
        <v>0</v>
      </c>
      <c r="I128" s="36">
        <f t="shared" si="68"/>
        <v>26300</v>
      </c>
      <c r="J128" s="36">
        <f t="shared" si="68"/>
        <v>23000</v>
      </c>
      <c r="K128" s="36">
        <f t="shared" si="68"/>
        <v>1000</v>
      </c>
      <c r="L128" s="36">
        <f t="shared" si="68"/>
        <v>0</v>
      </c>
      <c r="M128" s="36">
        <f t="shared" si="68"/>
        <v>50300</v>
      </c>
      <c r="N128" s="36">
        <f t="shared" si="68"/>
        <v>200</v>
      </c>
      <c r="O128" s="37">
        <f>IFERROR(N128/$M128,0)</f>
        <v>3.9761431411530811E-3</v>
      </c>
      <c r="P128" s="36">
        <f>P135</f>
        <v>49300</v>
      </c>
      <c r="Q128" s="37">
        <f>IFERROR(P128/$M128,0)</f>
        <v>0.98011928429423456</v>
      </c>
      <c r="R128" s="36">
        <f>R135</f>
        <v>49700</v>
      </c>
      <c r="S128" s="37">
        <f>IFERROR(R128/$M128,0)</f>
        <v>0.98807157057654071</v>
      </c>
      <c r="T128" s="36">
        <f>T135</f>
        <v>49900</v>
      </c>
      <c r="U128" s="37">
        <f>IFERROR(T128/$M128,0)</f>
        <v>0.99204771371769385</v>
      </c>
      <c r="V128" s="36">
        <f>V135</f>
        <v>0</v>
      </c>
      <c r="W128" s="36">
        <f>W135</f>
        <v>0</v>
      </c>
    </row>
    <row r="129" spans="1:23" ht="13.9" customHeight="1" x14ac:dyDescent="0.25">
      <c r="A129" s="12"/>
      <c r="B129" s="35">
        <v>72</v>
      </c>
      <c r="C129" s="35" t="s">
        <v>25</v>
      </c>
      <c r="D129" s="36">
        <f t="shared" ref="D129:N129" si="69">D136</f>
        <v>13138.14</v>
      </c>
      <c r="E129" s="36">
        <f t="shared" si="69"/>
        <v>0</v>
      </c>
      <c r="F129" s="36">
        <f t="shared" si="69"/>
        <v>0</v>
      </c>
      <c r="G129" s="36">
        <f t="shared" si="69"/>
        <v>0</v>
      </c>
      <c r="H129" s="36">
        <f t="shared" si="69"/>
        <v>0</v>
      </c>
      <c r="I129" s="36">
        <f t="shared" si="69"/>
        <v>0</v>
      </c>
      <c r="J129" s="36">
        <f t="shared" si="69"/>
        <v>14691</v>
      </c>
      <c r="K129" s="36">
        <f t="shared" si="69"/>
        <v>0</v>
      </c>
      <c r="L129" s="36">
        <f t="shared" si="69"/>
        <v>0</v>
      </c>
      <c r="M129" s="36">
        <f t="shared" si="69"/>
        <v>14691</v>
      </c>
      <c r="N129" s="36">
        <f t="shared" si="69"/>
        <v>0</v>
      </c>
      <c r="O129" s="37">
        <f>IFERROR(N129/$M129,0)</f>
        <v>0</v>
      </c>
      <c r="P129" s="36">
        <f>P136</f>
        <v>0</v>
      </c>
      <c r="Q129" s="37">
        <f>IFERROR(P129/$M129,0)</f>
        <v>0</v>
      </c>
      <c r="R129" s="36">
        <f>R136</f>
        <v>0</v>
      </c>
      <c r="S129" s="37">
        <f>IFERROR(R129/$M129,0)</f>
        <v>0</v>
      </c>
      <c r="T129" s="36">
        <f>T136</f>
        <v>0</v>
      </c>
      <c r="U129" s="37">
        <f>IFERROR(T129/$M129,0)</f>
        <v>0</v>
      </c>
      <c r="V129" s="36">
        <f>V136</f>
        <v>0</v>
      </c>
      <c r="W129" s="36">
        <f>W136</f>
        <v>0</v>
      </c>
    </row>
    <row r="130" spans="1:23" ht="13.9" customHeight="1" x14ac:dyDescent="0.25">
      <c r="A130" s="30"/>
      <c r="B130" s="31"/>
      <c r="C130" s="38" t="s">
        <v>29</v>
      </c>
      <c r="D130" s="39">
        <f t="shared" ref="D130:N130" si="70">SUM(D126:D129)</f>
        <v>811015.77</v>
      </c>
      <c r="E130" s="39">
        <f t="shared" si="70"/>
        <v>477175.57</v>
      </c>
      <c r="F130" s="39">
        <f t="shared" si="70"/>
        <v>235140</v>
      </c>
      <c r="G130" s="39">
        <f t="shared" si="70"/>
        <v>174666</v>
      </c>
      <c r="H130" s="39">
        <f t="shared" si="70"/>
        <v>195876</v>
      </c>
      <c r="I130" s="39">
        <f t="shared" si="70"/>
        <v>26300</v>
      </c>
      <c r="J130" s="39">
        <f t="shared" si="70"/>
        <v>242967</v>
      </c>
      <c r="K130" s="39">
        <f t="shared" si="70"/>
        <v>1000</v>
      </c>
      <c r="L130" s="39">
        <f t="shared" si="70"/>
        <v>0</v>
      </c>
      <c r="M130" s="39">
        <f t="shared" si="70"/>
        <v>466143</v>
      </c>
      <c r="N130" s="39">
        <f t="shared" si="70"/>
        <v>200</v>
      </c>
      <c r="O130" s="40">
        <f>IFERROR(N130/$M130,0)</f>
        <v>4.2905288720414123E-4</v>
      </c>
      <c r="P130" s="39">
        <f>SUM(P126:P129)</f>
        <v>450451.94999999995</v>
      </c>
      <c r="Q130" s="40">
        <f>IFERROR(P130/$M130,0)</f>
        <v>0.96633854847117717</v>
      </c>
      <c r="R130" s="39">
        <f>SUM(R126:R129)</f>
        <v>450851.94999999995</v>
      </c>
      <c r="S130" s="40">
        <f>IFERROR(R130/$M130,0)</f>
        <v>0.96719665424558543</v>
      </c>
      <c r="T130" s="39">
        <f>SUM(T126:T129)</f>
        <v>451051.94999999995</v>
      </c>
      <c r="U130" s="40">
        <f>IFERROR(T130/$M130,0)</f>
        <v>0.96762570713278961</v>
      </c>
      <c r="V130" s="39">
        <f>SUM(V126:V129)</f>
        <v>0</v>
      </c>
      <c r="W130" s="39">
        <f>SUM(W126:W129)</f>
        <v>0</v>
      </c>
    </row>
    <row r="132" spans="1:23" ht="13.9" customHeight="1" x14ac:dyDescent="0.25">
      <c r="B132" s="52" t="s">
        <v>55</v>
      </c>
      <c r="C132" s="30" t="s">
        <v>108</v>
      </c>
      <c r="D132" s="53">
        <v>34161.160000000003</v>
      </c>
      <c r="E132" s="53">
        <v>69416.210000000006</v>
      </c>
      <c r="F132" s="53">
        <v>32326</v>
      </c>
      <c r="G132" s="53">
        <v>32326</v>
      </c>
      <c r="H132" s="53"/>
      <c r="I132" s="53"/>
      <c r="J132" s="53">
        <f>79780+247170</f>
        <v>326950</v>
      </c>
      <c r="K132" s="53"/>
      <c r="L132" s="53"/>
      <c r="M132" s="53">
        <f>H132+SUM(I132:L132)</f>
        <v>326950</v>
      </c>
      <c r="N132" s="53">
        <v>0</v>
      </c>
      <c r="O132" s="54">
        <f>IFERROR(N132/$M132,0)</f>
        <v>0</v>
      </c>
      <c r="P132" s="53">
        <v>326950.78999999998</v>
      </c>
      <c r="Q132" s="54">
        <f>IFERROR(P132/$M132,0)</f>
        <v>1.000002416271601</v>
      </c>
      <c r="R132" s="53">
        <v>326950.78999999998</v>
      </c>
      <c r="S132" s="54">
        <f>IFERROR(R132/$M132,0)</f>
        <v>1.000002416271601</v>
      </c>
      <c r="T132" s="53">
        <v>326950.78999999998</v>
      </c>
      <c r="U132" s="55">
        <f>IFERROR(T132/$M132,0)</f>
        <v>1.000002416271601</v>
      </c>
      <c r="V132" s="53"/>
      <c r="W132" s="56"/>
    </row>
    <row r="133" spans="1:23" ht="13.9" customHeight="1" x14ac:dyDescent="0.25">
      <c r="B133" s="57"/>
      <c r="C133" s="15" t="s">
        <v>109</v>
      </c>
      <c r="D133" s="59">
        <v>187207.85</v>
      </c>
      <c r="E133" s="59">
        <v>12705.67</v>
      </c>
      <c r="F133" s="59">
        <v>199814</v>
      </c>
      <c r="G133" s="59">
        <v>112422</v>
      </c>
      <c r="H133" s="59">
        <f>G140</f>
        <v>195876</v>
      </c>
      <c r="I133" s="59"/>
      <c r="J133" s="59">
        <f>-75816-45858</f>
        <v>-121674</v>
      </c>
      <c r="K133" s="59"/>
      <c r="L133" s="59"/>
      <c r="M133" s="59">
        <f>H133+SUM(I133:L133)</f>
        <v>74202</v>
      </c>
      <c r="N133" s="59">
        <v>0</v>
      </c>
      <c r="O133" s="16">
        <f>IFERROR(N133/$M133,0)</f>
        <v>0</v>
      </c>
      <c r="P133" s="59">
        <v>74201.16</v>
      </c>
      <c r="Q133" s="16">
        <f>IFERROR(P133/$M133,0)</f>
        <v>0.99998867955041648</v>
      </c>
      <c r="R133" s="59">
        <v>74201.16</v>
      </c>
      <c r="S133" s="16">
        <f>IFERROR(R133/$M133,0)</f>
        <v>0.99998867955041648</v>
      </c>
      <c r="T133" s="59">
        <v>74201.16</v>
      </c>
      <c r="U133" s="60">
        <f>IFERROR(T133/$M133,0)</f>
        <v>0.99998867955041648</v>
      </c>
      <c r="V133" s="59"/>
      <c r="W133" s="61"/>
    </row>
    <row r="134" spans="1:23" ht="13.9" customHeight="1" x14ac:dyDescent="0.25">
      <c r="B134" s="57"/>
      <c r="C134" s="58" t="s">
        <v>110</v>
      </c>
      <c r="D134" s="59">
        <v>572748.31999999995</v>
      </c>
      <c r="E134" s="59">
        <v>390993.39</v>
      </c>
      <c r="F134" s="59"/>
      <c r="G134" s="59"/>
      <c r="H134" s="59"/>
      <c r="I134" s="59"/>
      <c r="J134" s="59"/>
      <c r="K134" s="59"/>
      <c r="L134" s="59"/>
      <c r="M134" s="59">
        <f>H134+SUM(I134:L134)</f>
        <v>0</v>
      </c>
      <c r="N134" s="59">
        <v>0</v>
      </c>
      <c r="O134" s="16">
        <f>IFERROR(N134/$M134,0)</f>
        <v>0</v>
      </c>
      <c r="P134" s="59">
        <v>0</v>
      </c>
      <c r="Q134" s="16">
        <f>IFERROR(P134/$M134,0)</f>
        <v>0</v>
      </c>
      <c r="R134" s="59">
        <v>0</v>
      </c>
      <c r="S134" s="16">
        <f>IFERROR(R134/$M134,0)</f>
        <v>0</v>
      </c>
      <c r="T134" s="59">
        <v>0</v>
      </c>
      <c r="U134" s="60">
        <f>IFERROR(T134/$M134,0)</f>
        <v>0</v>
      </c>
      <c r="V134" s="59"/>
      <c r="W134" s="61"/>
    </row>
    <row r="135" spans="1:23" ht="13.9" customHeight="1" x14ac:dyDescent="0.25">
      <c r="B135" s="57"/>
      <c r="C135" s="81" t="s">
        <v>111</v>
      </c>
      <c r="D135" s="82">
        <v>3760.3</v>
      </c>
      <c r="E135" s="82">
        <v>4060.3</v>
      </c>
      <c r="F135" s="82">
        <v>3000</v>
      </c>
      <c r="G135" s="82">
        <v>29918</v>
      </c>
      <c r="H135" s="82"/>
      <c r="I135" s="82">
        <v>26300</v>
      </c>
      <c r="J135" s="82">
        <f>22300+700</f>
        <v>23000</v>
      </c>
      <c r="K135" s="82">
        <v>1000</v>
      </c>
      <c r="L135" s="82"/>
      <c r="M135" s="82">
        <f>H135+SUM(I135:L135)</f>
        <v>50300</v>
      </c>
      <c r="N135" s="82">
        <v>200</v>
      </c>
      <c r="O135" s="83">
        <f>IFERROR(N135/$M135,0)</f>
        <v>3.9761431411530811E-3</v>
      </c>
      <c r="P135" s="82">
        <v>49300</v>
      </c>
      <c r="Q135" s="83">
        <f>IFERROR(P135/$M135,0)</f>
        <v>0.98011928429423456</v>
      </c>
      <c r="R135" s="82">
        <v>49700</v>
      </c>
      <c r="S135" s="83">
        <f>IFERROR(R135/$M135,0)</f>
        <v>0.98807157057654071</v>
      </c>
      <c r="T135" s="82">
        <v>49900</v>
      </c>
      <c r="U135" s="60">
        <f>IFERROR(T135/$M135,0)</f>
        <v>0.99204771371769385</v>
      </c>
      <c r="V135" s="82"/>
      <c r="W135" s="61"/>
    </row>
    <row r="136" spans="1:23" ht="13.9" customHeight="1" x14ac:dyDescent="0.25">
      <c r="B136" s="65"/>
      <c r="C136" s="66" t="s">
        <v>112</v>
      </c>
      <c r="D136" s="67">
        <v>13138.14</v>
      </c>
      <c r="E136" s="67"/>
      <c r="F136" s="67"/>
      <c r="G136" s="67"/>
      <c r="H136" s="67"/>
      <c r="I136" s="67"/>
      <c r="J136" s="67">
        <v>14691</v>
      </c>
      <c r="K136" s="67"/>
      <c r="L136" s="67"/>
      <c r="M136" s="67">
        <f>H136+SUM(I136:L136)</f>
        <v>14691</v>
      </c>
      <c r="N136" s="67">
        <v>0</v>
      </c>
      <c r="O136" s="68">
        <f>IFERROR(N136/$M136,0)</f>
        <v>0</v>
      </c>
      <c r="P136" s="67">
        <v>0</v>
      </c>
      <c r="Q136" s="68">
        <f>IFERROR(P136/$M136,0)</f>
        <v>0</v>
      </c>
      <c r="R136" s="67">
        <v>0</v>
      </c>
      <c r="S136" s="68">
        <f>IFERROR(R136/$M136,0)</f>
        <v>0</v>
      </c>
      <c r="T136" s="67">
        <v>0</v>
      </c>
      <c r="U136" s="69">
        <f>IFERROR(T136/$M136,0)</f>
        <v>0</v>
      </c>
      <c r="V136" s="67"/>
      <c r="W136" s="70"/>
    </row>
    <row r="138" spans="1:23" ht="13.9" customHeight="1" x14ac:dyDescent="0.25">
      <c r="A138" s="32" t="s">
        <v>113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/>
      <c r="P138" s="32"/>
      <c r="Q138" s="32"/>
      <c r="R138" s="32"/>
      <c r="S138" s="32"/>
      <c r="T138" s="32"/>
      <c r="U138" s="32"/>
      <c r="V138" s="32"/>
      <c r="W138" s="32"/>
    </row>
    <row r="139" spans="1:23" ht="13.9" customHeight="1" x14ac:dyDescent="0.25">
      <c r="A139" s="20"/>
      <c r="B139" s="20"/>
      <c r="C139" s="20"/>
      <c r="D139" s="21" t="s">
        <v>1</v>
      </c>
      <c r="E139" s="21" t="s">
        <v>2</v>
      </c>
      <c r="F139" s="21" t="s">
        <v>3</v>
      </c>
      <c r="G139" s="21" t="s">
        <v>4</v>
      </c>
      <c r="H139" s="21" t="s">
        <v>5</v>
      </c>
      <c r="I139" s="21" t="s">
        <v>6</v>
      </c>
      <c r="J139" s="21" t="s">
        <v>7</v>
      </c>
      <c r="K139" s="21" t="s">
        <v>8</v>
      </c>
      <c r="L139" s="21" t="s">
        <v>9</v>
      </c>
      <c r="M139" s="21" t="s">
        <v>10</v>
      </c>
      <c r="N139" s="21" t="s">
        <v>11</v>
      </c>
      <c r="O139" s="22" t="s">
        <v>12</v>
      </c>
      <c r="P139" s="21" t="s">
        <v>13</v>
      </c>
      <c r="Q139" s="22" t="s">
        <v>14</v>
      </c>
      <c r="R139" s="21" t="s">
        <v>15</v>
      </c>
      <c r="S139" s="22" t="s">
        <v>16</v>
      </c>
      <c r="T139" s="21" t="s">
        <v>17</v>
      </c>
      <c r="U139" s="22" t="s">
        <v>18</v>
      </c>
      <c r="V139" s="21" t="s">
        <v>19</v>
      </c>
      <c r="W139" s="21" t="s">
        <v>20</v>
      </c>
    </row>
    <row r="140" spans="1:23" ht="13.9" customHeight="1" x14ac:dyDescent="0.25">
      <c r="D140" s="36">
        <f>D20-výdaje!G17</f>
        <v>484066.89999999944</v>
      </c>
      <c r="E140" s="36">
        <f>E20-výdaje!H17</f>
        <v>239174.93999999994</v>
      </c>
      <c r="F140" s="36">
        <f>F20-výdaje!I17</f>
        <v>162691</v>
      </c>
      <c r="G140" s="36">
        <f>G20-výdaje!J17</f>
        <v>195876</v>
      </c>
      <c r="H140" s="36">
        <f>H20-výdaje!K17</f>
        <v>0</v>
      </c>
      <c r="I140" s="36">
        <f>I20-výdaje!L17</f>
        <v>0</v>
      </c>
      <c r="J140" s="36">
        <f>J20-výdaje!M17</f>
        <v>91904</v>
      </c>
      <c r="K140" s="36">
        <f>K20-výdaje!N17</f>
        <v>0</v>
      </c>
      <c r="L140" s="36">
        <f>L20-výdaje!O17</f>
        <v>-12726</v>
      </c>
      <c r="M140" s="36">
        <f>M20-výdaje!P17</f>
        <v>79178</v>
      </c>
      <c r="N140" s="36">
        <f>N20-výdaje!Q17</f>
        <v>334602.43</v>
      </c>
      <c r="O140" s="37">
        <f>N140/$M140</f>
        <v>4.2259520321301371</v>
      </c>
      <c r="P140" s="36">
        <f>P20-výdaje!S17</f>
        <v>533880.09999999986</v>
      </c>
      <c r="Q140" s="37">
        <f>P140/$M140</f>
        <v>6.7427833489100486</v>
      </c>
      <c r="R140" s="36">
        <f>R20-výdaje!U17</f>
        <v>531925.94999999925</v>
      </c>
      <c r="S140" s="37">
        <f>R140/$M140</f>
        <v>6.7181028821137092</v>
      </c>
      <c r="T140" s="36">
        <f>T20-výdaje!W17</f>
        <v>481662.88999999966</v>
      </c>
      <c r="U140" s="37">
        <f>T140/$M140</f>
        <v>6.0832919497840265</v>
      </c>
      <c r="V140" s="36">
        <f>V20-výdaje!Y17</f>
        <v>0</v>
      </c>
      <c r="W140" s="36">
        <f>W20-výdaje!Z17</f>
        <v>0</v>
      </c>
    </row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A75:A77"/>
    <mergeCell ref="A82:A116"/>
    <mergeCell ref="A120:A121"/>
    <mergeCell ref="A126:A129"/>
    <mergeCell ref="A3:A19"/>
    <mergeCell ref="A29:A36"/>
    <mergeCell ref="A41:A43"/>
    <mergeCell ref="A51:A55"/>
    <mergeCell ref="A57:A58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1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topLeftCell="D1" zoomScale="90" zoomScaleNormal="90" workbookViewId="0">
      <pane ySplit="2" topLeftCell="A3" activePane="bottomLeft" state="frozen"/>
      <selection activeCell="D1" sqref="D1"/>
      <selection pane="bottomLeft" activeCell="D1" sqref="D1"/>
    </sheetView>
  </sheetViews>
  <sheetFormatPr defaultColWidth="11.5703125" defaultRowHeight="15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8" width="11.28515625" style="15" hidden="1" customWidth="1"/>
    <col min="9" max="10" width="11" style="15" hidden="1" customWidth="1"/>
    <col min="11" max="11" width="12.7109375" style="15" customWidth="1"/>
    <col min="12" max="15" width="11" style="15" hidden="1" customWidth="1"/>
    <col min="16" max="17" width="12.7109375" style="15" customWidth="1"/>
    <col min="18" max="18" width="6.7109375" style="16" customWidth="1"/>
    <col min="19" max="19" width="12.7109375" style="15" customWidth="1"/>
    <col min="20" max="20" width="6.7109375" style="16" customWidth="1"/>
    <col min="21" max="21" width="12.7109375" style="15" customWidth="1"/>
    <col min="22" max="22" width="6.7109375" style="16" customWidth="1"/>
    <col min="23" max="23" width="12.7109375" style="15" customWidth="1"/>
    <col min="24" max="24" width="6.7109375" style="16" customWidth="1"/>
    <col min="25" max="26" width="11.28515625" style="15" hidden="1" customWidth="1"/>
    <col min="27" max="64" width="8.7109375" style="15" customWidth="1"/>
  </cols>
  <sheetData>
    <row r="1" spans="1:26" ht="13.9" customHeight="1" x14ac:dyDescent="0.25">
      <c r="A1" s="15" t="s">
        <v>114</v>
      </c>
      <c r="B1" s="15" t="s">
        <v>115</v>
      </c>
      <c r="C1" s="15" t="s">
        <v>116</v>
      </c>
      <c r="D1" s="17" t="s">
        <v>117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10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3">
        <v>111</v>
      </c>
      <c r="F3" s="23" t="s">
        <v>22</v>
      </c>
      <c r="G3" s="24">
        <f t="shared" ref="G3:Q3" si="0">G21+G154+G184+G211+G249+G351+G451</f>
        <v>722472.33000000007</v>
      </c>
      <c r="H3" s="24">
        <f t="shared" si="0"/>
        <v>791685.9800000001</v>
      </c>
      <c r="I3" s="24">
        <f t="shared" si="0"/>
        <v>765233</v>
      </c>
      <c r="J3" s="24">
        <f t="shared" si="0"/>
        <v>862207</v>
      </c>
      <c r="K3" s="24">
        <f t="shared" si="0"/>
        <v>862751</v>
      </c>
      <c r="L3" s="24">
        <f t="shared" si="0"/>
        <v>34162</v>
      </c>
      <c r="M3" s="24">
        <f t="shared" si="0"/>
        <v>212613</v>
      </c>
      <c r="N3" s="24">
        <f t="shared" si="0"/>
        <v>38033</v>
      </c>
      <c r="O3" s="24">
        <f t="shared" si="0"/>
        <v>44224</v>
      </c>
      <c r="P3" s="24">
        <f t="shared" si="0"/>
        <v>1191783</v>
      </c>
      <c r="Q3" s="24">
        <f t="shared" si="0"/>
        <v>239056.26</v>
      </c>
      <c r="R3" s="25">
        <f t="shared" ref="R3:R17" si="1">IFERROR(Q3/$P3,0)</f>
        <v>0.20058706996156181</v>
      </c>
      <c r="S3" s="24">
        <f>S21+S154+S184+S211+S249+S351+S451</f>
        <v>504785</v>
      </c>
      <c r="T3" s="25">
        <f t="shared" ref="T3:T17" si="2">IFERROR(S3/$P3,0)</f>
        <v>0.42355445580277618</v>
      </c>
      <c r="U3" s="24">
        <f>U21+U154+U184+U211+U249+U351+U451</f>
        <v>783039.62</v>
      </c>
      <c r="V3" s="25">
        <f t="shared" ref="V3:V17" si="3">IFERROR(U3/$P3,0)</f>
        <v>0.65703204358511569</v>
      </c>
      <c r="W3" s="24">
        <f>W21+W154+W184+W211+W249+W351+W451</f>
        <v>1147861.77</v>
      </c>
      <c r="X3" s="25">
        <f t="shared" ref="X3:X17" si="4">IFERROR(W3/$P3,0)</f>
        <v>0.96314662149065733</v>
      </c>
      <c r="Y3" s="24">
        <f>Y21+Y154+Y184+Y211+Y249+Y351+Y451</f>
        <v>818233</v>
      </c>
      <c r="Z3" s="24">
        <f>Z21+Z154+Z184+Z211+Z249+Z351+Z451</f>
        <v>818233</v>
      </c>
    </row>
    <row r="4" spans="1:26" ht="13.9" customHeight="1" x14ac:dyDescent="0.25">
      <c r="D4" s="10"/>
      <c r="E4" s="23">
        <v>41</v>
      </c>
      <c r="F4" s="23" t="s">
        <v>23</v>
      </c>
      <c r="G4" s="24">
        <f t="shared" ref="G4:Q4" si="5">G22+G155+G185+G212+G250+G352+G452</f>
        <v>864930.71</v>
      </c>
      <c r="H4" s="24">
        <f t="shared" si="5"/>
        <v>905801.05</v>
      </c>
      <c r="I4" s="24">
        <f t="shared" si="5"/>
        <v>1082610</v>
      </c>
      <c r="J4" s="24">
        <f t="shared" si="5"/>
        <v>986748</v>
      </c>
      <c r="K4" s="24">
        <f t="shared" si="5"/>
        <v>1118736</v>
      </c>
      <c r="L4" s="24">
        <f t="shared" si="5"/>
        <v>-1232</v>
      </c>
      <c r="M4" s="24">
        <f t="shared" si="5"/>
        <v>-24841</v>
      </c>
      <c r="N4" s="24">
        <f t="shared" si="5"/>
        <v>7121</v>
      </c>
      <c r="O4" s="24">
        <f t="shared" si="5"/>
        <v>-11621</v>
      </c>
      <c r="P4" s="24">
        <f t="shared" si="5"/>
        <v>1088163</v>
      </c>
      <c r="Q4" s="24">
        <f t="shared" si="5"/>
        <v>228162.32</v>
      </c>
      <c r="R4" s="25">
        <f t="shared" si="1"/>
        <v>0.20967660175911146</v>
      </c>
      <c r="S4" s="24">
        <f>S22+S155+S185+S212+S250+S352+S452</f>
        <v>489060.77999999991</v>
      </c>
      <c r="T4" s="25">
        <f t="shared" si="2"/>
        <v>0.4494370604403935</v>
      </c>
      <c r="U4" s="24">
        <f>U22+U155+U185+U212+U250+U352+U452</f>
        <v>737128.58000000007</v>
      </c>
      <c r="V4" s="25">
        <f t="shared" si="3"/>
        <v>0.6774063995927081</v>
      </c>
      <c r="W4" s="24">
        <f>W22+W155+W185+W212+W250+W352+W452</f>
        <v>1061924.4200000002</v>
      </c>
      <c r="X4" s="25">
        <f t="shared" si="4"/>
        <v>0.97588727056516367</v>
      </c>
      <c r="Y4" s="24">
        <f>Y22+Y155+Y185+Y212+Y250+Y352+Y452</f>
        <v>1149939</v>
      </c>
      <c r="Z4" s="24">
        <f>Z22+Z155+Z185+Z212+Z250+Z352+Z452</f>
        <v>1184738</v>
      </c>
    </row>
    <row r="5" spans="1:26" ht="13.9" customHeight="1" x14ac:dyDescent="0.25">
      <c r="D5" s="10"/>
      <c r="E5" s="23">
        <v>71</v>
      </c>
      <c r="F5" s="23" t="s">
        <v>24</v>
      </c>
      <c r="G5" s="24">
        <f t="shared" ref="G5:Q5" si="6">G251</f>
        <v>3000</v>
      </c>
      <c r="H5" s="24">
        <f t="shared" si="6"/>
        <v>3000</v>
      </c>
      <c r="I5" s="24">
        <f t="shared" si="6"/>
        <v>3000</v>
      </c>
      <c r="J5" s="24">
        <f t="shared" si="6"/>
        <v>3000</v>
      </c>
      <c r="K5" s="24">
        <f t="shared" si="6"/>
        <v>3000</v>
      </c>
      <c r="L5" s="24">
        <f t="shared" si="6"/>
        <v>0</v>
      </c>
      <c r="M5" s="24">
        <f t="shared" si="6"/>
        <v>0</v>
      </c>
      <c r="N5" s="24">
        <f t="shared" si="6"/>
        <v>0</v>
      </c>
      <c r="O5" s="24">
        <f t="shared" si="6"/>
        <v>0</v>
      </c>
      <c r="P5" s="24">
        <f t="shared" si="6"/>
        <v>3000</v>
      </c>
      <c r="Q5" s="24">
        <f t="shared" si="6"/>
        <v>0</v>
      </c>
      <c r="R5" s="25">
        <f t="shared" si="1"/>
        <v>0</v>
      </c>
      <c r="S5" s="24">
        <f>S251</f>
        <v>318</v>
      </c>
      <c r="T5" s="25">
        <f t="shared" si="2"/>
        <v>0.106</v>
      </c>
      <c r="U5" s="24">
        <f>U251</f>
        <v>3000</v>
      </c>
      <c r="V5" s="25">
        <f t="shared" si="3"/>
        <v>1</v>
      </c>
      <c r="W5" s="24">
        <f>W251</f>
        <v>3000</v>
      </c>
      <c r="X5" s="25">
        <f t="shared" si="4"/>
        <v>1</v>
      </c>
      <c r="Y5" s="24">
        <f>Y251</f>
        <v>3000</v>
      </c>
      <c r="Z5" s="24">
        <f>Z251</f>
        <v>3000</v>
      </c>
    </row>
    <row r="6" spans="1:26" ht="13.9" customHeight="1" x14ac:dyDescent="0.25">
      <c r="D6" s="10"/>
      <c r="E6" s="23">
        <v>72</v>
      </c>
      <c r="F6" s="23" t="s">
        <v>25</v>
      </c>
      <c r="G6" s="24">
        <f t="shared" ref="G6:Q6" si="7">G23+G156+G186+G213+G252+G453</f>
        <v>46431.06</v>
      </c>
      <c r="H6" s="24">
        <f t="shared" si="7"/>
        <v>74248.110000000015</v>
      </c>
      <c r="I6" s="24">
        <f t="shared" si="7"/>
        <v>153387</v>
      </c>
      <c r="J6" s="24">
        <f t="shared" si="7"/>
        <v>99624</v>
      </c>
      <c r="K6" s="24">
        <f t="shared" si="7"/>
        <v>100528</v>
      </c>
      <c r="L6" s="24">
        <f t="shared" si="7"/>
        <v>0</v>
      </c>
      <c r="M6" s="24">
        <f t="shared" si="7"/>
        <v>20573</v>
      </c>
      <c r="N6" s="24">
        <f t="shared" si="7"/>
        <v>0</v>
      </c>
      <c r="O6" s="24">
        <f t="shared" si="7"/>
        <v>3786</v>
      </c>
      <c r="P6" s="24">
        <f t="shared" si="7"/>
        <v>124887</v>
      </c>
      <c r="Q6" s="24">
        <f t="shared" si="7"/>
        <v>14250.76</v>
      </c>
      <c r="R6" s="25">
        <f t="shared" si="1"/>
        <v>0.11410923474821238</v>
      </c>
      <c r="S6" s="24">
        <f>S23+S156+S186+S213+S252+S453</f>
        <v>38449.32</v>
      </c>
      <c r="T6" s="25">
        <f t="shared" si="2"/>
        <v>0.30787287708088112</v>
      </c>
      <c r="U6" s="24">
        <f>U23+U156+U186+U213+U252+U453</f>
        <v>63518.67</v>
      </c>
      <c r="V6" s="25">
        <f t="shared" si="3"/>
        <v>0.50860914266496915</v>
      </c>
      <c r="W6" s="24">
        <f>W23+W156+W186+W213+W252+W453</f>
        <v>100034.51</v>
      </c>
      <c r="X6" s="25">
        <f t="shared" si="4"/>
        <v>0.80100018416648644</v>
      </c>
      <c r="Y6" s="24">
        <f>Y23+Y156+Y186+Y213+Y252+Y453</f>
        <v>100495</v>
      </c>
      <c r="Z6" s="24">
        <f>Z23+Z156+Z186+Z213+Z252+Z453</f>
        <v>100514</v>
      </c>
    </row>
    <row r="7" spans="1:26" ht="13.9" customHeight="1" x14ac:dyDescent="0.25">
      <c r="D7" s="10"/>
      <c r="E7" s="23"/>
      <c r="F7" s="26" t="s">
        <v>118</v>
      </c>
      <c r="G7" s="27">
        <f t="shared" ref="G7:Q7" si="8">SUM(G3:G6)</f>
        <v>1636834.1</v>
      </c>
      <c r="H7" s="27">
        <f t="shared" si="8"/>
        <v>1774735.1400000004</v>
      </c>
      <c r="I7" s="27">
        <f t="shared" si="8"/>
        <v>2004230</v>
      </c>
      <c r="J7" s="27">
        <f t="shared" si="8"/>
        <v>1951579</v>
      </c>
      <c r="K7" s="27">
        <f t="shared" si="8"/>
        <v>2085015</v>
      </c>
      <c r="L7" s="27">
        <f t="shared" si="8"/>
        <v>32930</v>
      </c>
      <c r="M7" s="27">
        <f t="shared" si="8"/>
        <v>208345</v>
      </c>
      <c r="N7" s="27">
        <f t="shared" si="8"/>
        <v>45154</v>
      </c>
      <c r="O7" s="27">
        <f t="shared" si="8"/>
        <v>36389</v>
      </c>
      <c r="P7" s="27">
        <f t="shared" si="8"/>
        <v>2407833</v>
      </c>
      <c r="Q7" s="27">
        <f t="shared" si="8"/>
        <v>481469.34</v>
      </c>
      <c r="R7" s="28">
        <f t="shared" si="1"/>
        <v>0.19995960683319816</v>
      </c>
      <c r="S7" s="27">
        <f>SUM(S3:S6)</f>
        <v>1032613.0999999999</v>
      </c>
      <c r="T7" s="28">
        <f t="shared" si="2"/>
        <v>0.42885578028044297</v>
      </c>
      <c r="U7" s="27">
        <f>SUM(U3:U6)</f>
        <v>1586686.87</v>
      </c>
      <c r="V7" s="28">
        <f t="shared" si="3"/>
        <v>0.65896881968143139</v>
      </c>
      <c r="W7" s="27">
        <f>SUM(W3:W6)</f>
        <v>2312820.7000000002</v>
      </c>
      <c r="X7" s="28">
        <f t="shared" si="4"/>
        <v>0.96054032817059998</v>
      </c>
      <c r="Y7" s="27">
        <f>SUM(Y3:Y6)</f>
        <v>2071667</v>
      </c>
      <c r="Z7" s="27">
        <f>SUM(Z3:Z6)</f>
        <v>2106485</v>
      </c>
    </row>
    <row r="8" spans="1:26" ht="13.9" customHeight="1" x14ac:dyDescent="0.25">
      <c r="D8" s="10"/>
      <c r="E8" s="23">
        <v>111</v>
      </c>
      <c r="F8" s="23" t="s">
        <v>22</v>
      </c>
      <c r="G8" s="24">
        <f t="shared" ref="G8:Q8" si="9">G507</f>
        <v>89115.6</v>
      </c>
      <c r="H8" s="24">
        <f t="shared" si="9"/>
        <v>190577.56</v>
      </c>
      <c r="I8" s="24">
        <f t="shared" si="9"/>
        <v>400935</v>
      </c>
      <c r="J8" s="24">
        <f t="shared" si="9"/>
        <v>197762</v>
      </c>
      <c r="K8" s="24">
        <f t="shared" si="9"/>
        <v>962500</v>
      </c>
      <c r="L8" s="24">
        <f t="shared" si="9"/>
        <v>0</v>
      </c>
      <c r="M8" s="24">
        <f t="shared" si="9"/>
        <v>-319293</v>
      </c>
      <c r="N8" s="24">
        <f t="shared" si="9"/>
        <v>0</v>
      </c>
      <c r="O8" s="24">
        <f t="shared" si="9"/>
        <v>0</v>
      </c>
      <c r="P8" s="24">
        <f t="shared" si="9"/>
        <v>643207</v>
      </c>
      <c r="Q8" s="24">
        <f t="shared" si="9"/>
        <v>0</v>
      </c>
      <c r="R8" s="25">
        <f t="shared" si="1"/>
        <v>0</v>
      </c>
      <c r="S8" s="24">
        <f>S507</f>
        <v>158793.26</v>
      </c>
      <c r="T8" s="25">
        <f t="shared" si="2"/>
        <v>0.24687738162053585</v>
      </c>
      <c r="U8" s="24">
        <f>U507</f>
        <v>199376</v>
      </c>
      <c r="V8" s="25">
        <f t="shared" si="3"/>
        <v>0.30997175092932755</v>
      </c>
      <c r="W8" s="24">
        <f>W507</f>
        <v>199376</v>
      </c>
      <c r="X8" s="25">
        <f t="shared" si="4"/>
        <v>0.30997175092932755</v>
      </c>
      <c r="Y8" s="24">
        <f>Y507</f>
        <v>0</v>
      </c>
      <c r="Z8" s="24">
        <f>Z507</f>
        <v>0</v>
      </c>
    </row>
    <row r="9" spans="1:26" ht="13.9" customHeight="1" x14ac:dyDescent="0.25">
      <c r="D9" s="10"/>
      <c r="E9" s="23">
        <v>41</v>
      </c>
      <c r="F9" s="23" t="s">
        <v>23</v>
      </c>
      <c r="G9" s="24">
        <f t="shared" ref="G9:Q9" si="10">G508</f>
        <v>885584.75</v>
      </c>
      <c r="H9" s="24">
        <f t="shared" si="10"/>
        <v>776952.59000000008</v>
      </c>
      <c r="I9" s="24">
        <f t="shared" si="10"/>
        <v>529835</v>
      </c>
      <c r="J9" s="24">
        <f t="shared" si="10"/>
        <v>572277</v>
      </c>
      <c r="K9" s="24">
        <f t="shared" si="10"/>
        <v>512000</v>
      </c>
      <c r="L9" s="24">
        <f t="shared" si="10"/>
        <v>0</v>
      </c>
      <c r="M9" s="24">
        <f t="shared" si="10"/>
        <v>30037</v>
      </c>
      <c r="N9" s="24">
        <f t="shared" si="10"/>
        <v>-1255</v>
      </c>
      <c r="O9" s="24">
        <f t="shared" si="10"/>
        <v>0</v>
      </c>
      <c r="P9" s="24">
        <f t="shared" si="10"/>
        <v>540782</v>
      </c>
      <c r="Q9" s="24">
        <f t="shared" si="10"/>
        <v>3548</v>
      </c>
      <c r="R9" s="25">
        <f t="shared" si="1"/>
        <v>6.5608692597016911E-3</v>
      </c>
      <c r="S9" s="24">
        <f>S508</f>
        <v>314849.09999999998</v>
      </c>
      <c r="T9" s="25">
        <f t="shared" si="2"/>
        <v>0.58221076145285899</v>
      </c>
      <c r="U9" s="24">
        <f>U508</f>
        <v>362985.20999999996</v>
      </c>
      <c r="V9" s="25">
        <f t="shared" si="3"/>
        <v>0.67122280327377748</v>
      </c>
      <c r="W9" s="24">
        <f>W508</f>
        <v>380343.20999999996</v>
      </c>
      <c r="X9" s="25">
        <f t="shared" si="4"/>
        <v>0.70332076511422337</v>
      </c>
      <c r="Y9" s="24">
        <f>Y508</f>
        <v>173529</v>
      </c>
      <c r="Z9" s="24">
        <f>Z508</f>
        <v>260299</v>
      </c>
    </row>
    <row r="10" spans="1:26" ht="13.9" customHeight="1" x14ac:dyDescent="0.25">
      <c r="D10" s="10"/>
      <c r="E10" s="23"/>
      <c r="F10" s="26" t="s">
        <v>119</v>
      </c>
      <c r="G10" s="27">
        <f t="shared" ref="G10:Q10" si="11">SUM(G8:G9)</f>
        <v>974700.35</v>
      </c>
      <c r="H10" s="27">
        <f t="shared" si="11"/>
        <v>967530.15000000014</v>
      </c>
      <c r="I10" s="27">
        <f t="shared" si="11"/>
        <v>930770</v>
      </c>
      <c r="J10" s="27">
        <f t="shared" si="11"/>
        <v>770039</v>
      </c>
      <c r="K10" s="27">
        <f t="shared" si="11"/>
        <v>1474500</v>
      </c>
      <c r="L10" s="27">
        <f t="shared" si="11"/>
        <v>0</v>
      </c>
      <c r="M10" s="27">
        <f t="shared" si="11"/>
        <v>-289256</v>
      </c>
      <c r="N10" s="27">
        <f t="shared" si="11"/>
        <v>-1255</v>
      </c>
      <c r="O10" s="27">
        <f t="shared" si="11"/>
        <v>0</v>
      </c>
      <c r="P10" s="27">
        <f t="shared" si="11"/>
        <v>1183989</v>
      </c>
      <c r="Q10" s="27">
        <f t="shared" si="11"/>
        <v>3548</v>
      </c>
      <c r="R10" s="28">
        <f t="shared" si="1"/>
        <v>2.9966494621149354E-3</v>
      </c>
      <c r="S10" s="27">
        <f>SUM(S8:S9)</f>
        <v>473642.36</v>
      </c>
      <c r="T10" s="28">
        <f t="shared" si="2"/>
        <v>0.40003949361016022</v>
      </c>
      <c r="U10" s="27">
        <f>SUM(U8:U9)</f>
        <v>562361.21</v>
      </c>
      <c r="V10" s="28">
        <f t="shared" si="3"/>
        <v>0.47497165091905413</v>
      </c>
      <c r="W10" s="27">
        <f>SUM(W8:W9)</f>
        <v>579719.21</v>
      </c>
      <c r="X10" s="28">
        <f t="shared" si="4"/>
        <v>0.489632260097011</v>
      </c>
      <c r="Y10" s="27">
        <f>SUM(Y8:Y9)</f>
        <v>173529</v>
      </c>
      <c r="Z10" s="27">
        <f>SUM(Z8:Z9)</f>
        <v>260299</v>
      </c>
    </row>
    <row r="11" spans="1:26" ht="13.9" customHeight="1" x14ac:dyDescent="0.25">
      <c r="D11" s="10"/>
      <c r="E11" s="23">
        <v>71</v>
      </c>
      <c r="F11" s="23" t="s">
        <v>24</v>
      </c>
      <c r="G11" s="24">
        <f t="shared" ref="G11:Q11" si="12">G612</f>
        <v>0</v>
      </c>
      <c r="H11" s="24">
        <f t="shared" si="12"/>
        <v>300</v>
      </c>
      <c r="I11" s="24">
        <f t="shared" si="12"/>
        <v>3000</v>
      </c>
      <c r="J11" s="24">
        <f t="shared" si="12"/>
        <v>29770</v>
      </c>
      <c r="K11" s="24">
        <f t="shared" si="12"/>
        <v>0</v>
      </c>
      <c r="L11" s="24">
        <f t="shared" si="12"/>
        <v>26300</v>
      </c>
      <c r="M11" s="24">
        <f t="shared" si="12"/>
        <v>23000</v>
      </c>
      <c r="N11" s="24">
        <f t="shared" si="12"/>
        <v>1000</v>
      </c>
      <c r="O11" s="24">
        <f t="shared" si="12"/>
        <v>0</v>
      </c>
      <c r="P11" s="24">
        <f t="shared" si="12"/>
        <v>50300</v>
      </c>
      <c r="Q11" s="24">
        <f t="shared" si="12"/>
        <v>26100</v>
      </c>
      <c r="R11" s="25">
        <f t="shared" si="1"/>
        <v>0.5188866799204771</v>
      </c>
      <c r="S11" s="24">
        <f>S612</f>
        <v>27100</v>
      </c>
      <c r="T11" s="25">
        <f t="shared" si="2"/>
        <v>0.53876739562624254</v>
      </c>
      <c r="U11" s="24">
        <f>U612</f>
        <v>45700</v>
      </c>
      <c r="V11" s="25">
        <f t="shared" si="3"/>
        <v>0.90854870775347918</v>
      </c>
      <c r="W11" s="24">
        <f>W612</f>
        <v>45900</v>
      </c>
      <c r="X11" s="25">
        <f t="shared" si="4"/>
        <v>0.9125248508946322</v>
      </c>
      <c r="Y11" s="24">
        <f>Y612</f>
        <v>0</v>
      </c>
      <c r="Z11" s="24">
        <f>Z612</f>
        <v>0</v>
      </c>
    </row>
    <row r="12" spans="1:26" ht="13.9" customHeight="1" x14ac:dyDescent="0.25">
      <c r="D12" s="10"/>
      <c r="E12" s="23"/>
      <c r="F12" s="26" t="s">
        <v>28</v>
      </c>
      <c r="G12" s="27">
        <f t="shared" ref="G12:Q12" si="13">SUM(G11:G11)</f>
        <v>0</v>
      </c>
      <c r="H12" s="27">
        <f t="shared" si="13"/>
        <v>300</v>
      </c>
      <c r="I12" s="27">
        <f t="shared" si="13"/>
        <v>3000</v>
      </c>
      <c r="J12" s="27">
        <f t="shared" si="13"/>
        <v>29770</v>
      </c>
      <c r="K12" s="27">
        <f t="shared" si="13"/>
        <v>0</v>
      </c>
      <c r="L12" s="27">
        <f t="shared" si="13"/>
        <v>26300</v>
      </c>
      <c r="M12" s="27">
        <f t="shared" si="13"/>
        <v>23000</v>
      </c>
      <c r="N12" s="27">
        <f t="shared" si="13"/>
        <v>1000</v>
      </c>
      <c r="O12" s="27">
        <f t="shared" si="13"/>
        <v>0</v>
      </c>
      <c r="P12" s="27">
        <f t="shared" si="13"/>
        <v>50300</v>
      </c>
      <c r="Q12" s="27">
        <f t="shared" si="13"/>
        <v>26100</v>
      </c>
      <c r="R12" s="28">
        <f t="shared" si="1"/>
        <v>0.5188866799204771</v>
      </c>
      <c r="S12" s="27">
        <f>SUM(S11:S11)</f>
        <v>27100</v>
      </c>
      <c r="T12" s="28">
        <f t="shared" si="2"/>
        <v>0.53876739562624254</v>
      </c>
      <c r="U12" s="27">
        <f>SUM(U11:U11)</f>
        <v>45700</v>
      </c>
      <c r="V12" s="28">
        <f t="shared" si="3"/>
        <v>0.90854870775347918</v>
      </c>
      <c r="W12" s="27">
        <f>SUM(W11:W11)</f>
        <v>45900</v>
      </c>
      <c r="X12" s="28">
        <f t="shared" si="4"/>
        <v>0.9125248508946322</v>
      </c>
      <c r="Y12" s="27">
        <f>SUM(Y11:Y11)</f>
        <v>0</v>
      </c>
      <c r="Z12" s="27">
        <f>SUM(Z11:Z11)</f>
        <v>0</v>
      </c>
    </row>
    <row r="13" spans="1:26" ht="13.9" customHeight="1" x14ac:dyDescent="0.25">
      <c r="D13" s="10"/>
      <c r="E13" s="23">
        <v>111</v>
      </c>
      <c r="F13" s="23" t="s">
        <v>22</v>
      </c>
      <c r="G13" s="24">
        <f t="shared" ref="G13:Q13" si="14">G3+G8</f>
        <v>811587.93</v>
      </c>
      <c r="H13" s="24">
        <f t="shared" si="14"/>
        <v>982263.54</v>
      </c>
      <c r="I13" s="24">
        <f t="shared" si="14"/>
        <v>1166168</v>
      </c>
      <c r="J13" s="24">
        <f t="shared" si="14"/>
        <v>1059969</v>
      </c>
      <c r="K13" s="24">
        <f t="shared" si="14"/>
        <v>1825251</v>
      </c>
      <c r="L13" s="24">
        <f t="shared" si="14"/>
        <v>34162</v>
      </c>
      <c r="M13" s="24">
        <f t="shared" si="14"/>
        <v>-106680</v>
      </c>
      <c r="N13" s="24">
        <f t="shared" si="14"/>
        <v>38033</v>
      </c>
      <c r="O13" s="24">
        <f t="shared" si="14"/>
        <v>44224</v>
      </c>
      <c r="P13" s="24">
        <f t="shared" si="14"/>
        <v>1834990</v>
      </c>
      <c r="Q13" s="24">
        <f t="shared" si="14"/>
        <v>239056.26</v>
      </c>
      <c r="R13" s="25">
        <f t="shared" si="1"/>
        <v>0.13027660096240307</v>
      </c>
      <c r="S13" s="24">
        <f>S3+S8</f>
        <v>663578.26</v>
      </c>
      <c r="T13" s="25">
        <f t="shared" si="2"/>
        <v>0.36162500068120262</v>
      </c>
      <c r="U13" s="24">
        <f>U3+U8</f>
        <v>982415.62</v>
      </c>
      <c r="V13" s="25">
        <f t="shared" si="3"/>
        <v>0.53537927727126577</v>
      </c>
      <c r="W13" s="24">
        <f>W3+W8</f>
        <v>1347237.77</v>
      </c>
      <c r="X13" s="25">
        <f t="shared" si="4"/>
        <v>0.73419352149058037</v>
      </c>
      <c r="Y13" s="24">
        <f>Y3+Y8</f>
        <v>818233</v>
      </c>
      <c r="Z13" s="24">
        <f>Z3+Z8</f>
        <v>818233</v>
      </c>
    </row>
    <row r="14" spans="1:26" ht="13.9" customHeight="1" x14ac:dyDescent="0.25">
      <c r="D14" s="10"/>
      <c r="E14" s="23">
        <v>41</v>
      </c>
      <c r="F14" s="23" t="s">
        <v>23</v>
      </c>
      <c r="G14" s="24">
        <f t="shared" ref="G14:Q14" si="15">G4+G9</f>
        <v>1750515.46</v>
      </c>
      <c r="H14" s="24">
        <f t="shared" si="15"/>
        <v>1682753.6400000001</v>
      </c>
      <c r="I14" s="24">
        <f t="shared" si="15"/>
        <v>1612445</v>
      </c>
      <c r="J14" s="24">
        <f t="shared" si="15"/>
        <v>1559025</v>
      </c>
      <c r="K14" s="24">
        <f t="shared" si="15"/>
        <v>1630736</v>
      </c>
      <c r="L14" s="24">
        <f t="shared" si="15"/>
        <v>-1232</v>
      </c>
      <c r="M14" s="24">
        <f t="shared" si="15"/>
        <v>5196</v>
      </c>
      <c r="N14" s="24">
        <f t="shared" si="15"/>
        <v>5866</v>
      </c>
      <c r="O14" s="24">
        <f t="shared" si="15"/>
        <v>-11621</v>
      </c>
      <c r="P14" s="24">
        <f t="shared" si="15"/>
        <v>1628945</v>
      </c>
      <c r="Q14" s="24">
        <f t="shared" si="15"/>
        <v>231710.32</v>
      </c>
      <c r="R14" s="25">
        <f t="shared" si="1"/>
        <v>0.142245637513851</v>
      </c>
      <c r="S14" s="24">
        <f>S4+S9</f>
        <v>803909.87999999989</v>
      </c>
      <c r="T14" s="25">
        <f t="shared" si="2"/>
        <v>0.49351566811648023</v>
      </c>
      <c r="U14" s="24">
        <f>U4+U9</f>
        <v>1100113.79</v>
      </c>
      <c r="V14" s="25">
        <f t="shared" si="3"/>
        <v>0.67535355091792548</v>
      </c>
      <c r="W14" s="24">
        <f>W4+W9</f>
        <v>1442267.6300000001</v>
      </c>
      <c r="X14" s="25">
        <f t="shared" si="4"/>
        <v>0.8853998324068646</v>
      </c>
      <c r="Y14" s="24">
        <f>Y4+Y9</f>
        <v>1323468</v>
      </c>
      <c r="Z14" s="24">
        <f>Z4+Z9</f>
        <v>1445037</v>
      </c>
    </row>
    <row r="15" spans="1:26" ht="13.9" customHeight="1" x14ac:dyDescent="0.25">
      <c r="D15" s="10"/>
      <c r="E15" s="23">
        <v>71</v>
      </c>
      <c r="F15" s="23" t="s">
        <v>24</v>
      </c>
      <c r="G15" s="24">
        <f t="shared" ref="G15:Q15" si="16">G5+G11</f>
        <v>3000</v>
      </c>
      <c r="H15" s="24">
        <f t="shared" si="16"/>
        <v>3300</v>
      </c>
      <c r="I15" s="24">
        <f t="shared" si="16"/>
        <v>6000</v>
      </c>
      <c r="J15" s="24">
        <f t="shared" si="16"/>
        <v>32770</v>
      </c>
      <c r="K15" s="24">
        <f t="shared" si="16"/>
        <v>3000</v>
      </c>
      <c r="L15" s="24">
        <f t="shared" si="16"/>
        <v>26300</v>
      </c>
      <c r="M15" s="24">
        <f t="shared" si="16"/>
        <v>23000</v>
      </c>
      <c r="N15" s="24">
        <f t="shared" si="16"/>
        <v>1000</v>
      </c>
      <c r="O15" s="24">
        <f t="shared" si="16"/>
        <v>0</v>
      </c>
      <c r="P15" s="24">
        <f t="shared" si="16"/>
        <v>53300</v>
      </c>
      <c r="Q15" s="24">
        <f t="shared" si="16"/>
        <v>26100</v>
      </c>
      <c r="R15" s="25">
        <f t="shared" si="1"/>
        <v>0.4896810506566604</v>
      </c>
      <c r="S15" s="24">
        <f>S5+S11</f>
        <v>27418</v>
      </c>
      <c r="T15" s="25">
        <f t="shared" si="2"/>
        <v>0.51440900562851777</v>
      </c>
      <c r="U15" s="24">
        <f>U5+U11</f>
        <v>48700</v>
      </c>
      <c r="V15" s="25">
        <f t="shared" si="3"/>
        <v>0.91369606003752346</v>
      </c>
      <c r="W15" s="24">
        <f>W5+W11</f>
        <v>48900</v>
      </c>
      <c r="X15" s="25">
        <f t="shared" si="4"/>
        <v>0.91744840525328331</v>
      </c>
      <c r="Y15" s="24">
        <f>Y5+Y11</f>
        <v>3000</v>
      </c>
      <c r="Z15" s="24">
        <f>Z5+Z11</f>
        <v>3000</v>
      </c>
    </row>
    <row r="16" spans="1:26" ht="13.9" customHeight="1" x14ac:dyDescent="0.25">
      <c r="D16" s="10"/>
      <c r="E16" s="23">
        <v>72</v>
      </c>
      <c r="F16" s="23" t="s">
        <v>25</v>
      </c>
      <c r="G16" s="24">
        <f t="shared" ref="G16:Q16" si="17">G6</f>
        <v>46431.06</v>
      </c>
      <c r="H16" s="24">
        <f t="shared" si="17"/>
        <v>74248.110000000015</v>
      </c>
      <c r="I16" s="24">
        <f t="shared" si="17"/>
        <v>153387</v>
      </c>
      <c r="J16" s="24">
        <f t="shared" si="17"/>
        <v>99624</v>
      </c>
      <c r="K16" s="24">
        <f t="shared" si="17"/>
        <v>100528</v>
      </c>
      <c r="L16" s="24">
        <f t="shared" si="17"/>
        <v>0</v>
      </c>
      <c r="M16" s="24">
        <f t="shared" si="17"/>
        <v>20573</v>
      </c>
      <c r="N16" s="24">
        <f t="shared" si="17"/>
        <v>0</v>
      </c>
      <c r="O16" s="24">
        <f t="shared" si="17"/>
        <v>3786</v>
      </c>
      <c r="P16" s="24">
        <f t="shared" si="17"/>
        <v>124887</v>
      </c>
      <c r="Q16" s="24">
        <f t="shared" si="17"/>
        <v>14250.76</v>
      </c>
      <c r="R16" s="25">
        <f t="shared" si="1"/>
        <v>0.11410923474821238</v>
      </c>
      <c r="S16" s="24">
        <f>S6</f>
        <v>38449.32</v>
      </c>
      <c r="T16" s="25">
        <f t="shared" si="2"/>
        <v>0.30787287708088112</v>
      </c>
      <c r="U16" s="24">
        <f>U6</f>
        <v>63518.67</v>
      </c>
      <c r="V16" s="25">
        <f t="shared" si="3"/>
        <v>0.50860914266496915</v>
      </c>
      <c r="W16" s="24">
        <f>W6</f>
        <v>100034.51</v>
      </c>
      <c r="X16" s="25">
        <f t="shared" si="4"/>
        <v>0.80100018416648644</v>
      </c>
      <c r="Y16" s="24">
        <f>Y6</f>
        <v>100495</v>
      </c>
      <c r="Z16" s="24">
        <f>Z6</f>
        <v>100514</v>
      </c>
    </row>
    <row r="17" spans="1:26" ht="13.9" customHeight="1" x14ac:dyDescent="0.25">
      <c r="D17" s="30"/>
      <c r="E17" s="31"/>
      <c r="F17" s="26" t="s">
        <v>120</v>
      </c>
      <c r="G17" s="27">
        <f t="shared" ref="G17:Q17" si="18">SUM(G13:G16)</f>
        <v>2611534.4500000002</v>
      </c>
      <c r="H17" s="27">
        <f t="shared" si="18"/>
        <v>2742565.29</v>
      </c>
      <c r="I17" s="27">
        <f t="shared" si="18"/>
        <v>2938000</v>
      </c>
      <c r="J17" s="27">
        <f t="shared" si="18"/>
        <v>2751388</v>
      </c>
      <c r="K17" s="27">
        <f t="shared" si="18"/>
        <v>3559515</v>
      </c>
      <c r="L17" s="27">
        <f t="shared" si="18"/>
        <v>59230</v>
      </c>
      <c r="M17" s="27">
        <f t="shared" si="18"/>
        <v>-57911</v>
      </c>
      <c r="N17" s="27">
        <f t="shared" si="18"/>
        <v>44899</v>
      </c>
      <c r="O17" s="27">
        <f t="shared" si="18"/>
        <v>36389</v>
      </c>
      <c r="P17" s="27">
        <f t="shared" si="18"/>
        <v>3642122</v>
      </c>
      <c r="Q17" s="27">
        <f t="shared" si="18"/>
        <v>511117.34</v>
      </c>
      <c r="R17" s="28">
        <f t="shared" si="1"/>
        <v>0.14033504094591012</v>
      </c>
      <c r="S17" s="27">
        <f>SUM(S13:S16)</f>
        <v>1533355.46</v>
      </c>
      <c r="T17" s="28">
        <f t="shared" si="2"/>
        <v>0.42100606734206047</v>
      </c>
      <c r="U17" s="27">
        <f>SUM(U13:U16)</f>
        <v>2194748.08</v>
      </c>
      <c r="V17" s="28">
        <f t="shared" si="3"/>
        <v>0.6026014724383203</v>
      </c>
      <c r="W17" s="27">
        <f>SUM(W13:W16)</f>
        <v>2938439.91</v>
      </c>
      <c r="X17" s="28">
        <f t="shared" si="4"/>
        <v>0.8067933775969065</v>
      </c>
      <c r="Y17" s="27">
        <f>SUM(Y13:Y16)</f>
        <v>2245196</v>
      </c>
      <c r="Z17" s="27">
        <f>SUM(Z13:Z16)</f>
        <v>2366784</v>
      </c>
    </row>
    <row r="19" spans="1:26" ht="13.9" customHeight="1" x14ac:dyDescent="0.25">
      <c r="D19" s="9" t="s">
        <v>121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9" customHeight="1" x14ac:dyDescent="0.25">
      <c r="D20" s="20"/>
      <c r="E20" s="20"/>
      <c r="F20" s="20"/>
      <c r="G20" s="21" t="s">
        <v>1</v>
      </c>
      <c r="H20" s="21" t="s">
        <v>2</v>
      </c>
      <c r="I20" s="21" t="s">
        <v>3</v>
      </c>
      <c r="J20" s="21" t="s">
        <v>4</v>
      </c>
      <c r="K20" s="21" t="s">
        <v>5</v>
      </c>
      <c r="L20" s="21" t="s">
        <v>6</v>
      </c>
      <c r="M20" s="21" t="s">
        <v>7</v>
      </c>
      <c r="N20" s="21" t="s">
        <v>8</v>
      </c>
      <c r="O20" s="21" t="s">
        <v>9</v>
      </c>
      <c r="P20" s="21" t="s">
        <v>10</v>
      </c>
      <c r="Q20" s="21" t="s">
        <v>11</v>
      </c>
      <c r="R20" s="22" t="s">
        <v>12</v>
      </c>
      <c r="S20" s="21" t="s">
        <v>13</v>
      </c>
      <c r="T20" s="22" t="s">
        <v>14</v>
      </c>
      <c r="U20" s="21" t="s">
        <v>15</v>
      </c>
      <c r="V20" s="22" t="s">
        <v>16</v>
      </c>
      <c r="W20" s="21" t="s">
        <v>17</v>
      </c>
      <c r="X20" s="22" t="s">
        <v>18</v>
      </c>
      <c r="Y20" s="21" t="s">
        <v>19</v>
      </c>
      <c r="Z20" s="21" t="s">
        <v>20</v>
      </c>
    </row>
    <row r="21" spans="1:26" ht="13.9" customHeight="1" x14ac:dyDescent="0.25">
      <c r="A21" s="15">
        <v>1</v>
      </c>
      <c r="D21" s="8" t="s">
        <v>21</v>
      </c>
      <c r="E21" s="35">
        <v>111</v>
      </c>
      <c r="F21" s="35" t="s">
        <v>45</v>
      </c>
      <c r="G21" s="36">
        <f t="shared" ref="G21:Q21" si="19">G28+G125+G134+G149</f>
        <v>19631.91</v>
      </c>
      <c r="H21" s="36">
        <f t="shared" si="19"/>
        <v>20286.989999999998</v>
      </c>
      <c r="I21" s="36">
        <f t="shared" si="19"/>
        <v>14638</v>
      </c>
      <c r="J21" s="36">
        <f t="shared" si="19"/>
        <v>19550</v>
      </c>
      <c r="K21" s="36">
        <f t="shared" si="19"/>
        <v>16858</v>
      </c>
      <c r="L21" s="36">
        <f t="shared" si="19"/>
        <v>0</v>
      </c>
      <c r="M21" s="36">
        <f t="shared" si="19"/>
        <v>3810</v>
      </c>
      <c r="N21" s="36">
        <f t="shared" si="19"/>
        <v>-4691</v>
      </c>
      <c r="O21" s="36">
        <f t="shared" si="19"/>
        <v>3751</v>
      </c>
      <c r="P21" s="36">
        <f t="shared" si="19"/>
        <v>19728</v>
      </c>
      <c r="Q21" s="36">
        <f t="shared" si="19"/>
        <v>3971.66</v>
      </c>
      <c r="R21" s="37">
        <f>IFERROR(Q21/$P21,0)</f>
        <v>0.20132096512570966</v>
      </c>
      <c r="S21" s="36">
        <f>S28+S125+S134+S149</f>
        <v>10859.470000000001</v>
      </c>
      <c r="T21" s="37">
        <f>IFERROR(S21/$P21,0)</f>
        <v>0.55045975263584757</v>
      </c>
      <c r="U21" s="36">
        <f>U28+U125+U134+U149</f>
        <v>13724.630000000001</v>
      </c>
      <c r="V21" s="37">
        <f>IFERROR(U21/$P21,0)</f>
        <v>0.69569292376317926</v>
      </c>
      <c r="W21" s="36">
        <f>W28+W125+W134+W149</f>
        <v>19722.7</v>
      </c>
      <c r="X21" s="37">
        <f>IFERROR(W21/$P21,0)</f>
        <v>0.99973134630981353</v>
      </c>
      <c r="Y21" s="36">
        <f>Y28+Y125+Y134+Y149</f>
        <v>12496</v>
      </c>
      <c r="Z21" s="36">
        <f>Z28+Z125+Z134+Z149</f>
        <v>12496</v>
      </c>
    </row>
    <row r="22" spans="1:26" ht="13.9" customHeight="1" x14ac:dyDescent="0.25">
      <c r="A22" s="15">
        <v>1</v>
      </c>
      <c r="D22" s="8"/>
      <c r="E22" s="35">
        <v>41</v>
      </c>
      <c r="F22" s="35" t="s">
        <v>23</v>
      </c>
      <c r="G22" s="36">
        <f t="shared" ref="G22:Q22" si="20">G29+G128+G137</f>
        <v>226132.58999999997</v>
      </c>
      <c r="H22" s="36">
        <f t="shared" si="20"/>
        <v>261912.26000000004</v>
      </c>
      <c r="I22" s="36">
        <f t="shared" si="20"/>
        <v>314997</v>
      </c>
      <c r="J22" s="36">
        <f t="shared" si="20"/>
        <v>291264</v>
      </c>
      <c r="K22" s="36">
        <f t="shared" si="20"/>
        <v>355120</v>
      </c>
      <c r="L22" s="36">
        <f t="shared" si="20"/>
        <v>-2537</v>
      </c>
      <c r="M22" s="36">
        <f t="shared" si="20"/>
        <v>4098</v>
      </c>
      <c r="N22" s="36">
        <f t="shared" si="20"/>
        <v>-1238</v>
      </c>
      <c r="O22" s="36">
        <f t="shared" si="20"/>
        <v>-9697</v>
      </c>
      <c r="P22" s="36">
        <f t="shared" si="20"/>
        <v>345746</v>
      </c>
      <c r="Q22" s="36">
        <f t="shared" si="20"/>
        <v>85317.410000000018</v>
      </c>
      <c r="R22" s="37">
        <f>IFERROR(Q22/$P22,0)</f>
        <v>0.24676325973402446</v>
      </c>
      <c r="S22" s="36">
        <f>S29+S128+S137</f>
        <v>175777.72</v>
      </c>
      <c r="T22" s="37">
        <f>IFERROR(S22/$P22,0)</f>
        <v>0.50840131194576366</v>
      </c>
      <c r="U22" s="36">
        <f>U29+U128+U137</f>
        <v>251101.59</v>
      </c>
      <c r="V22" s="37">
        <f>IFERROR(U22/$P22,0)</f>
        <v>0.72626028934535758</v>
      </c>
      <c r="W22" s="36">
        <f>W29+W128+W137</f>
        <v>333272.43000000005</v>
      </c>
      <c r="X22" s="37">
        <f>IFERROR(W22/$P22,0)</f>
        <v>0.96392273518710281</v>
      </c>
      <c r="Y22" s="36">
        <f>Y29+Y128+Y137</f>
        <v>377098</v>
      </c>
      <c r="Z22" s="36">
        <f>Z29+Z128+Z137</f>
        <v>401459</v>
      </c>
    </row>
    <row r="23" spans="1:26" ht="13.9" customHeight="1" x14ac:dyDescent="0.25">
      <c r="A23" s="15">
        <v>1</v>
      </c>
      <c r="D23" s="8"/>
      <c r="E23" s="35">
        <v>72</v>
      </c>
      <c r="F23" s="35" t="s">
        <v>25</v>
      </c>
      <c r="G23" s="36">
        <f t="shared" ref="G23:Q23" si="21">G30</f>
        <v>904.5</v>
      </c>
      <c r="H23" s="36">
        <f t="shared" si="21"/>
        <v>1134.96</v>
      </c>
      <c r="I23" s="36">
        <f t="shared" si="21"/>
        <v>1570</v>
      </c>
      <c r="J23" s="36">
        <f t="shared" si="21"/>
        <v>1185</v>
      </c>
      <c r="K23" s="36">
        <f t="shared" si="21"/>
        <v>1233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-35</v>
      </c>
      <c r="P23" s="36">
        <f t="shared" si="21"/>
        <v>1198</v>
      </c>
      <c r="Q23" s="36">
        <f t="shared" si="21"/>
        <v>0</v>
      </c>
      <c r="R23" s="37">
        <f>IFERROR(Q23/$P23,0)</f>
        <v>0</v>
      </c>
      <c r="S23" s="36">
        <f>S30</f>
        <v>0</v>
      </c>
      <c r="T23" s="37">
        <f>IFERROR(S23/$P23,0)</f>
        <v>0</v>
      </c>
      <c r="U23" s="36">
        <f>U30</f>
        <v>0</v>
      </c>
      <c r="V23" s="37">
        <f>IFERROR(U23/$P23,0)</f>
        <v>0</v>
      </c>
      <c r="W23" s="36">
        <f>W30</f>
        <v>1198.3699999999999</v>
      </c>
      <c r="X23" s="37">
        <f>IFERROR(W23/$P23,0)</f>
        <v>1.0003088480801334</v>
      </c>
      <c r="Y23" s="36">
        <f>Y30</f>
        <v>1218</v>
      </c>
      <c r="Z23" s="36">
        <f>Z30</f>
        <v>1228</v>
      </c>
    </row>
    <row r="24" spans="1:26" ht="13.9" customHeight="1" x14ac:dyDescent="0.25">
      <c r="A24" s="15">
        <v>1</v>
      </c>
      <c r="D24" s="30"/>
      <c r="E24" s="31"/>
      <c r="F24" s="38" t="s">
        <v>120</v>
      </c>
      <c r="G24" s="39">
        <f t="shared" ref="G24:Q24" si="22">SUM(G21:G23)</f>
        <v>246668.99999999997</v>
      </c>
      <c r="H24" s="39">
        <f t="shared" si="22"/>
        <v>283334.21000000008</v>
      </c>
      <c r="I24" s="39">
        <f t="shared" si="22"/>
        <v>331205</v>
      </c>
      <c r="J24" s="39">
        <f t="shared" si="22"/>
        <v>311999</v>
      </c>
      <c r="K24" s="39">
        <f t="shared" si="22"/>
        <v>373211</v>
      </c>
      <c r="L24" s="39">
        <f t="shared" si="22"/>
        <v>-2537</v>
      </c>
      <c r="M24" s="39">
        <f t="shared" si="22"/>
        <v>7908</v>
      </c>
      <c r="N24" s="39">
        <f t="shared" si="22"/>
        <v>-5929</v>
      </c>
      <c r="O24" s="39">
        <f t="shared" si="22"/>
        <v>-5981</v>
      </c>
      <c r="P24" s="39">
        <f t="shared" si="22"/>
        <v>366672</v>
      </c>
      <c r="Q24" s="39">
        <f t="shared" si="22"/>
        <v>89289.070000000022</v>
      </c>
      <c r="R24" s="40">
        <f>IFERROR(Q24/$P24,0)</f>
        <v>0.24351210346031335</v>
      </c>
      <c r="S24" s="39">
        <f>SUM(S21:S23)</f>
        <v>186637.19</v>
      </c>
      <c r="T24" s="40">
        <f>IFERROR(S24/$P24,0)</f>
        <v>0.50900311450015279</v>
      </c>
      <c r="U24" s="39">
        <f>SUM(U21:U23)</f>
        <v>264826.21999999997</v>
      </c>
      <c r="V24" s="40">
        <f>IFERROR(U24/$P24,0)</f>
        <v>0.72224282192259015</v>
      </c>
      <c r="W24" s="39">
        <f>SUM(W21:W23)</f>
        <v>354193.50000000006</v>
      </c>
      <c r="X24" s="40">
        <f>IFERROR(W24/$P24,0)</f>
        <v>0.96596822228040335</v>
      </c>
      <c r="Y24" s="39">
        <f>SUM(Y21:Y23)</f>
        <v>390812</v>
      </c>
      <c r="Z24" s="39">
        <f>SUM(Z21:Z23)</f>
        <v>415183</v>
      </c>
    </row>
    <row r="26" spans="1:26" ht="13.9" customHeight="1" x14ac:dyDescent="0.25"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9" customHeight="1" x14ac:dyDescent="0.25">
      <c r="D27" s="21"/>
      <c r="E27" s="21"/>
      <c r="F27" s="21"/>
      <c r="G27" s="21" t="s">
        <v>1</v>
      </c>
      <c r="H27" s="21" t="s">
        <v>2</v>
      </c>
      <c r="I27" s="21" t="s">
        <v>3</v>
      </c>
      <c r="J27" s="21" t="s">
        <v>4</v>
      </c>
      <c r="K27" s="21" t="s">
        <v>5</v>
      </c>
      <c r="L27" s="21" t="s">
        <v>6</v>
      </c>
      <c r="M27" s="21" t="s">
        <v>7</v>
      </c>
      <c r="N27" s="21" t="s">
        <v>8</v>
      </c>
      <c r="O27" s="21" t="s">
        <v>9</v>
      </c>
      <c r="P27" s="21" t="s">
        <v>10</v>
      </c>
      <c r="Q27" s="21" t="s">
        <v>11</v>
      </c>
      <c r="R27" s="22" t="s">
        <v>12</v>
      </c>
      <c r="S27" s="21" t="s">
        <v>13</v>
      </c>
      <c r="T27" s="22" t="s">
        <v>14</v>
      </c>
      <c r="U27" s="21" t="s">
        <v>15</v>
      </c>
      <c r="V27" s="22" t="s">
        <v>16</v>
      </c>
      <c r="W27" s="21" t="s">
        <v>17</v>
      </c>
      <c r="X27" s="22" t="s">
        <v>18</v>
      </c>
      <c r="Y27" s="21" t="s">
        <v>19</v>
      </c>
      <c r="Z27" s="21" t="s">
        <v>20</v>
      </c>
    </row>
    <row r="28" spans="1:26" ht="13.9" customHeight="1" x14ac:dyDescent="0.25">
      <c r="A28" s="15">
        <v>1</v>
      </c>
      <c r="B28" s="15">
        <v>1</v>
      </c>
      <c r="D28" s="13" t="s">
        <v>21</v>
      </c>
      <c r="E28" s="23">
        <v>111</v>
      </c>
      <c r="F28" s="23" t="s">
        <v>45</v>
      </c>
      <c r="G28" s="24">
        <f t="shared" ref="G28:Q28" si="23">G48+G85+G112</f>
        <v>7222.41</v>
      </c>
      <c r="H28" s="24">
        <f t="shared" si="23"/>
        <v>8543.7099999999991</v>
      </c>
      <c r="I28" s="24">
        <f t="shared" si="23"/>
        <v>7529</v>
      </c>
      <c r="J28" s="24">
        <f t="shared" si="23"/>
        <v>9841</v>
      </c>
      <c r="K28" s="24">
        <f t="shared" si="23"/>
        <v>7529</v>
      </c>
      <c r="L28" s="24">
        <f t="shared" si="23"/>
        <v>0</v>
      </c>
      <c r="M28" s="24">
        <f t="shared" si="23"/>
        <v>666</v>
      </c>
      <c r="N28" s="24">
        <f t="shared" si="23"/>
        <v>0</v>
      </c>
      <c r="O28" s="24">
        <f t="shared" si="23"/>
        <v>3751</v>
      </c>
      <c r="P28" s="24">
        <f t="shared" si="23"/>
        <v>11946</v>
      </c>
      <c r="Q28" s="24">
        <f t="shared" si="23"/>
        <v>1861.67</v>
      </c>
      <c r="R28" s="25">
        <f>IFERROR(Q28/$P28,0)</f>
        <v>0.15584044868575256</v>
      </c>
      <c r="S28" s="24">
        <f>S48+S85+S112</f>
        <v>3698.75</v>
      </c>
      <c r="T28" s="25">
        <f>IFERROR(S28/$P28,0)</f>
        <v>0.30962246777163904</v>
      </c>
      <c r="U28" s="24">
        <f>U48+U85+U112</f>
        <v>5942.45</v>
      </c>
      <c r="V28" s="25">
        <f>IFERROR(U28/$P28,0)</f>
        <v>0.49744265863050391</v>
      </c>
      <c r="W28" s="24">
        <f>W48+W85+W112</f>
        <v>11940.52</v>
      </c>
      <c r="X28" s="25">
        <f>IFERROR(W28/$P28,0)</f>
        <v>0.99954126904403151</v>
      </c>
      <c r="Y28" s="24">
        <f>Y48+Y85+Y112</f>
        <v>7529</v>
      </c>
      <c r="Z28" s="24">
        <f>Z48+Z85+Z112</f>
        <v>7529</v>
      </c>
    </row>
    <row r="29" spans="1:26" ht="13.9" customHeight="1" x14ac:dyDescent="0.25">
      <c r="A29" s="15">
        <v>1</v>
      </c>
      <c r="B29" s="15">
        <v>1</v>
      </c>
      <c r="D29" s="13"/>
      <c r="E29" s="23">
        <v>41</v>
      </c>
      <c r="F29" s="23" t="s">
        <v>23</v>
      </c>
      <c r="G29" s="24">
        <f t="shared" ref="G29:Q29" si="24">G39+G53+G63+G73+G89+G104+G117</f>
        <v>210165.06999999998</v>
      </c>
      <c r="H29" s="24">
        <f t="shared" si="24"/>
        <v>247481.76000000004</v>
      </c>
      <c r="I29" s="24">
        <f t="shared" si="24"/>
        <v>302448</v>
      </c>
      <c r="J29" s="24">
        <f t="shared" si="24"/>
        <v>279477</v>
      </c>
      <c r="K29" s="24">
        <f t="shared" si="24"/>
        <v>333427</v>
      </c>
      <c r="L29" s="24">
        <f t="shared" si="24"/>
        <v>-3425</v>
      </c>
      <c r="M29" s="24">
        <f t="shared" si="24"/>
        <v>752</v>
      </c>
      <c r="N29" s="24">
        <f t="shared" si="24"/>
        <v>-2460</v>
      </c>
      <c r="O29" s="24">
        <f t="shared" si="24"/>
        <v>-5938</v>
      </c>
      <c r="P29" s="24">
        <f t="shared" si="24"/>
        <v>322356</v>
      </c>
      <c r="Q29" s="24">
        <f t="shared" si="24"/>
        <v>80329.900000000009</v>
      </c>
      <c r="R29" s="25">
        <f>IFERROR(Q29/$P29,0)</f>
        <v>0.24919623025474943</v>
      </c>
      <c r="S29" s="24">
        <f>S39+S53+S63+S73+S89+S104+S117</f>
        <v>166849.50999999998</v>
      </c>
      <c r="T29" s="25">
        <f>IFERROR(S29/$P29,0)</f>
        <v>0.5175939334152303</v>
      </c>
      <c r="U29" s="24">
        <f>U39+U53+U63+U73+U89+U104+U117</f>
        <v>237462.62</v>
      </c>
      <c r="V29" s="25">
        <f>IFERROR(U29/$P29,0)</f>
        <v>0.73664712305649649</v>
      </c>
      <c r="W29" s="24">
        <f>W39+W53+W63+W73+W89+W104+W117</f>
        <v>314207.54000000004</v>
      </c>
      <c r="X29" s="25">
        <f>IFERROR(W29/$P29,0)</f>
        <v>0.9747221705195499</v>
      </c>
      <c r="Y29" s="24">
        <f>Y39+Y53+Y63+Y73+Y89+Y104+Y117</f>
        <v>355405</v>
      </c>
      <c r="Z29" s="24">
        <f>Z39+Z53+Z63+Z73+Z89+Z104+Z117</f>
        <v>379766</v>
      </c>
    </row>
    <row r="30" spans="1:26" ht="13.9" customHeight="1" x14ac:dyDescent="0.25">
      <c r="A30" s="15">
        <v>1</v>
      </c>
      <c r="B30" s="15">
        <v>1</v>
      </c>
      <c r="D30" s="13"/>
      <c r="E30" s="23">
        <v>72</v>
      </c>
      <c r="F30" s="23" t="s">
        <v>25</v>
      </c>
      <c r="G30" s="24">
        <f t="shared" ref="G30:Q30" si="25">G41+G55+G65+G91+G119</f>
        <v>904.5</v>
      </c>
      <c r="H30" s="24">
        <f t="shared" si="25"/>
        <v>1134.96</v>
      </c>
      <c r="I30" s="24">
        <f t="shared" si="25"/>
        <v>1570</v>
      </c>
      <c r="J30" s="24">
        <f t="shared" si="25"/>
        <v>1185</v>
      </c>
      <c r="K30" s="24">
        <f t="shared" si="25"/>
        <v>1233</v>
      </c>
      <c r="L30" s="24">
        <f t="shared" si="25"/>
        <v>0</v>
      </c>
      <c r="M30" s="24">
        <f t="shared" si="25"/>
        <v>0</v>
      </c>
      <c r="N30" s="24">
        <f t="shared" si="25"/>
        <v>0</v>
      </c>
      <c r="O30" s="24">
        <f t="shared" si="25"/>
        <v>-35</v>
      </c>
      <c r="P30" s="24">
        <f t="shared" si="25"/>
        <v>1198</v>
      </c>
      <c r="Q30" s="24">
        <f t="shared" si="25"/>
        <v>0</v>
      </c>
      <c r="R30" s="25">
        <f>IFERROR(Q30/$P30,0)</f>
        <v>0</v>
      </c>
      <c r="S30" s="24">
        <f>S41+S55+S65+S91+S119</f>
        <v>0</v>
      </c>
      <c r="T30" s="25">
        <f>IFERROR(S30/$P30,0)</f>
        <v>0</v>
      </c>
      <c r="U30" s="24">
        <f>U41+U55+U65+U91+U119</f>
        <v>0</v>
      </c>
      <c r="V30" s="25">
        <f>IFERROR(U30/$P30,0)</f>
        <v>0</v>
      </c>
      <c r="W30" s="24">
        <f>W41+W55+W65+W91+W119</f>
        <v>1198.3699999999999</v>
      </c>
      <c r="X30" s="25">
        <f>IFERROR(W30/$P30,0)</f>
        <v>1.0003088480801334</v>
      </c>
      <c r="Y30" s="24">
        <f>Y41+Y55+Y65+Y91+Y119</f>
        <v>1218</v>
      </c>
      <c r="Z30" s="24">
        <f>Z41+Z55+Z65+Z91+Z119</f>
        <v>1228</v>
      </c>
    </row>
    <row r="31" spans="1:26" ht="13.9" customHeight="1" x14ac:dyDescent="0.25">
      <c r="A31" s="15">
        <v>1</v>
      </c>
      <c r="B31" s="15">
        <v>1</v>
      </c>
      <c r="D31" s="30"/>
      <c r="E31" s="31"/>
      <c r="F31" s="26" t="s">
        <v>120</v>
      </c>
      <c r="G31" s="27">
        <f t="shared" ref="G31:Q31" si="26">SUM(G28:G30)</f>
        <v>218291.97999999998</v>
      </c>
      <c r="H31" s="27">
        <f t="shared" si="26"/>
        <v>257160.43000000002</v>
      </c>
      <c r="I31" s="27">
        <f t="shared" si="26"/>
        <v>311547</v>
      </c>
      <c r="J31" s="27">
        <f t="shared" si="26"/>
        <v>290503</v>
      </c>
      <c r="K31" s="27">
        <f t="shared" si="26"/>
        <v>342189</v>
      </c>
      <c r="L31" s="27">
        <f t="shared" si="26"/>
        <v>-3425</v>
      </c>
      <c r="M31" s="27">
        <f t="shared" si="26"/>
        <v>1418</v>
      </c>
      <c r="N31" s="27">
        <f t="shared" si="26"/>
        <v>-2460</v>
      </c>
      <c r="O31" s="27">
        <f t="shared" si="26"/>
        <v>-2222</v>
      </c>
      <c r="P31" s="27">
        <f t="shared" si="26"/>
        <v>335500</v>
      </c>
      <c r="Q31" s="27">
        <f t="shared" si="26"/>
        <v>82191.570000000007</v>
      </c>
      <c r="R31" s="28">
        <f>IFERROR(Q31/$P31,0)</f>
        <v>0.24498232488822655</v>
      </c>
      <c r="S31" s="27">
        <f>SUM(S28:S30)</f>
        <v>170548.25999999998</v>
      </c>
      <c r="T31" s="28">
        <f>IFERROR(S31/$P31,0)</f>
        <v>0.50834056631892688</v>
      </c>
      <c r="U31" s="27">
        <f>SUM(U28:U30)</f>
        <v>243405.07</v>
      </c>
      <c r="V31" s="28">
        <f>IFERROR(U31/$P31,0)</f>
        <v>0.72549946348733241</v>
      </c>
      <c r="W31" s="27">
        <f>SUM(W28:W30)</f>
        <v>327346.43000000005</v>
      </c>
      <c r="X31" s="28">
        <f>IFERROR(W31/$P31,0)</f>
        <v>0.97569725782414318</v>
      </c>
      <c r="Y31" s="27">
        <f>SUM(Y28:Y30)</f>
        <v>364152</v>
      </c>
      <c r="Z31" s="27">
        <f>SUM(Z28:Z30)</f>
        <v>388523</v>
      </c>
    </row>
    <row r="33" spans="1:26" ht="13.9" customHeight="1" x14ac:dyDescent="0.25">
      <c r="D33" s="6" t="s">
        <v>123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9" customHeight="1" x14ac:dyDescent="0.25">
      <c r="D34" s="21" t="s">
        <v>32</v>
      </c>
      <c r="E34" s="21" t="s">
        <v>33</v>
      </c>
      <c r="F34" s="21" t="s">
        <v>34</v>
      </c>
      <c r="G34" s="21" t="s">
        <v>1</v>
      </c>
      <c r="H34" s="21" t="s">
        <v>2</v>
      </c>
      <c r="I34" s="21" t="s">
        <v>3</v>
      </c>
      <c r="J34" s="21" t="s">
        <v>4</v>
      </c>
      <c r="K34" s="21" t="s">
        <v>5</v>
      </c>
      <c r="L34" s="21" t="s">
        <v>6</v>
      </c>
      <c r="M34" s="21" t="s">
        <v>7</v>
      </c>
      <c r="N34" s="21" t="s">
        <v>8</v>
      </c>
      <c r="O34" s="21" t="s">
        <v>9</v>
      </c>
      <c r="P34" s="21" t="s">
        <v>10</v>
      </c>
      <c r="Q34" s="21" t="s">
        <v>11</v>
      </c>
      <c r="R34" s="22" t="s">
        <v>12</v>
      </c>
      <c r="S34" s="21" t="s">
        <v>13</v>
      </c>
      <c r="T34" s="22" t="s">
        <v>14</v>
      </c>
      <c r="U34" s="21" t="s">
        <v>15</v>
      </c>
      <c r="V34" s="22" t="s">
        <v>16</v>
      </c>
      <c r="W34" s="21" t="s">
        <v>17</v>
      </c>
      <c r="X34" s="22" t="s">
        <v>18</v>
      </c>
      <c r="Y34" s="21" t="s">
        <v>19</v>
      </c>
      <c r="Z34" s="21" t="s">
        <v>20</v>
      </c>
    </row>
    <row r="35" spans="1:26" ht="13.9" customHeight="1" x14ac:dyDescent="0.25">
      <c r="A35" s="15">
        <v>1</v>
      </c>
      <c r="B35" s="15">
        <v>1</v>
      </c>
      <c r="C35" s="15">
        <v>1</v>
      </c>
      <c r="D35" s="5" t="s">
        <v>124</v>
      </c>
      <c r="E35" s="23">
        <v>610</v>
      </c>
      <c r="F35" s="23" t="s">
        <v>125</v>
      </c>
      <c r="G35" s="46">
        <v>47784.959999999999</v>
      </c>
      <c r="H35" s="46">
        <v>52112.15</v>
      </c>
      <c r="I35" s="46">
        <v>55881</v>
      </c>
      <c r="J35" s="46">
        <v>56107</v>
      </c>
      <c r="K35" s="46">
        <v>60738</v>
      </c>
      <c r="L35" s="46"/>
      <c r="M35" s="46"/>
      <c r="N35" s="46"/>
      <c r="O35" s="46">
        <v>742</v>
      </c>
      <c r="P35" s="46">
        <f>K35+SUM(L35:O35)</f>
        <v>61480</v>
      </c>
      <c r="Q35" s="46">
        <v>14145</v>
      </c>
      <c r="R35" s="47">
        <f t="shared" ref="R35:R42" si="27">IFERROR(Q35/$P35,0)</f>
        <v>0.23007482108002603</v>
      </c>
      <c r="S35" s="46">
        <v>30528.03</v>
      </c>
      <c r="T35" s="47">
        <f t="shared" ref="T35:T42" si="28">IFERROR(S35/$P35,0)</f>
        <v>0.49655221210149642</v>
      </c>
      <c r="U35" s="46">
        <v>45989.35</v>
      </c>
      <c r="V35" s="47">
        <f t="shared" ref="V35:V42" si="29">IFERROR(U35/$P35,0)</f>
        <v>0.74803757319453479</v>
      </c>
      <c r="W35" s="46">
        <v>61480.24</v>
      </c>
      <c r="X35" s="47">
        <f t="shared" ref="X35:X42" si="30">IFERROR(W35/$P35,0)</f>
        <v>1.0000039037085231</v>
      </c>
      <c r="Y35" s="24">
        <v>66812</v>
      </c>
      <c r="Z35" s="24">
        <v>73493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/>
      <c r="E36" s="23">
        <v>620</v>
      </c>
      <c r="F36" s="23" t="s">
        <v>126</v>
      </c>
      <c r="G36" s="24">
        <v>20218.939999999999</v>
      </c>
      <c r="H36" s="24">
        <v>21535.56</v>
      </c>
      <c r="I36" s="24">
        <v>23419</v>
      </c>
      <c r="J36" s="24">
        <v>23481</v>
      </c>
      <c r="K36" s="24">
        <v>28830</v>
      </c>
      <c r="L36" s="24"/>
      <c r="M36" s="24"/>
      <c r="N36" s="24"/>
      <c r="O36" s="24">
        <v>-313</v>
      </c>
      <c r="P36" s="24">
        <f>K36+SUM(L36:O36)</f>
        <v>28517</v>
      </c>
      <c r="Q36" s="24">
        <v>8225.76</v>
      </c>
      <c r="R36" s="25">
        <f t="shared" si="27"/>
        <v>0.28845109934425078</v>
      </c>
      <c r="S36" s="24">
        <v>15247.78</v>
      </c>
      <c r="T36" s="25">
        <f t="shared" si="28"/>
        <v>0.53469088613809312</v>
      </c>
      <c r="U36" s="24">
        <v>21875.79</v>
      </c>
      <c r="V36" s="25">
        <f t="shared" si="29"/>
        <v>0.76711400217414172</v>
      </c>
      <c r="W36" s="24">
        <v>28515.09</v>
      </c>
      <c r="X36" s="25">
        <f t="shared" si="30"/>
        <v>0.99993302240768667</v>
      </c>
      <c r="Y36" s="24">
        <v>31076</v>
      </c>
      <c r="Z36" s="24">
        <v>33544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3">
        <v>630</v>
      </c>
      <c r="F37" s="23" t="s">
        <v>127</v>
      </c>
      <c r="G37" s="46">
        <v>9718.6</v>
      </c>
      <c r="H37" s="46">
        <v>10452.84</v>
      </c>
      <c r="I37" s="46">
        <v>11844</v>
      </c>
      <c r="J37" s="46">
        <v>10815</v>
      </c>
      <c r="K37" s="46">
        <f>20208+1544</f>
        <v>21752</v>
      </c>
      <c r="L37" s="46">
        <v>185</v>
      </c>
      <c r="M37" s="46"/>
      <c r="N37" s="46">
        <v>-2484</v>
      </c>
      <c r="O37" s="46">
        <v>-435</v>
      </c>
      <c r="P37" s="46">
        <f>K37+SUM(L37:O37)</f>
        <v>19018</v>
      </c>
      <c r="Q37" s="46">
        <v>9778.2199999999993</v>
      </c>
      <c r="R37" s="47">
        <f t="shared" si="27"/>
        <v>0.51415606267746339</v>
      </c>
      <c r="S37" s="46">
        <v>13038.5</v>
      </c>
      <c r="T37" s="47">
        <f t="shared" si="28"/>
        <v>0.68558733831107377</v>
      </c>
      <c r="U37" s="46">
        <v>15769.95</v>
      </c>
      <c r="V37" s="47">
        <f t="shared" si="29"/>
        <v>0.82921179934798617</v>
      </c>
      <c r="W37" s="46">
        <v>18723.29</v>
      </c>
      <c r="X37" s="47">
        <f t="shared" si="30"/>
        <v>0.98450362814176051</v>
      </c>
      <c r="Y37" s="24">
        <f>20247+1544</f>
        <v>21791</v>
      </c>
      <c r="Z37" s="24">
        <f>20323+1544</f>
        <v>21867</v>
      </c>
    </row>
    <row r="38" spans="1:26" ht="13.9" hidden="1" customHeight="1" x14ac:dyDescent="0.25">
      <c r="A38" s="15">
        <v>1</v>
      </c>
      <c r="B38" s="15">
        <v>1</v>
      </c>
      <c r="C38" s="15">
        <v>1</v>
      </c>
      <c r="D38" s="5"/>
      <c r="E38" s="23">
        <v>640</v>
      </c>
      <c r="F38" s="23" t="s">
        <v>128</v>
      </c>
      <c r="G38" s="46">
        <v>0</v>
      </c>
      <c r="H38" s="46">
        <v>0</v>
      </c>
      <c r="I38" s="46">
        <v>0</v>
      </c>
      <c r="J38" s="46">
        <v>91</v>
      </c>
      <c r="K38" s="46">
        <v>0</v>
      </c>
      <c r="L38" s="46"/>
      <c r="M38" s="46"/>
      <c r="N38" s="46"/>
      <c r="O38" s="46"/>
      <c r="P38" s="46">
        <f>K38+SUM(L38:O38)</f>
        <v>0</v>
      </c>
      <c r="Q38" s="46"/>
      <c r="R38" s="47">
        <f t="shared" si="27"/>
        <v>0</v>
      </c>
      <c r="S38" s="46"/>
      <c r="T38" s="47">
        <f t="shared" si="28"/>
        <v>0</v>
      </c>
      <c r="U38" s="46"/>
      <c r="V38" s="47">
        <f t="shared" si="29"/>
        <v>0</v>
      </c>
      <c r="W38" s="46"/>
      <c r="X38" s="47">
        <f t="shared" si="30"/>
        <v>0</v>
      </c>
      <c r="Y38" s="24">
        <v>0</v>
      </c>
      <c r="Z38" s="24">
        <v>0</v>
      </c>
    </row>
    <row r="39" spans="1:26" ht="13.9" customHeight="1" x14ac:dyDescent="0.25">
      <c r="A39" s="15">
        <v>1</v>
      </c>
      <c r="B39" s="15">
        <v>1</v>
      </c>
      <c r="C39" s="15">
        <v>1</v>
      </c>
      <c r="D39" s="79" t="s">
        <v>21</v>
      </c>
      <c r="E39" s="48">
        <v>41</v>
      </c>
      <c r="F39" s="48" t="s">
        <v>23</v>
      </c>
      <c r="G39" s="49">
        <f t="shared" ref="G39:Q39" si="31">SUM(G35:G38)</f>
        <v>77722.5</v>
      </c>
      <c r="H39" s="49">
        <f t="shared" si="31"/>
        <v>84100.55</v>
      </c>
      <c r="I39" s="49">
        <f t="shared" si="31"/>
        <v>91144</v>
      </c>
      <c r="J39" s="49">
        <f t="shared" si="31"/>
        <v>90494</v>
      </c>
      <c r="K39" s="49">
        <f t="shared" si="31"/>
        <v>111320</v>
      </c>
      <c r="L39" s="49">
        <f t="shared" si="31"/>
        <v>185</v>
      </c>
      <c r="M39" s="49">
        <f t="shared" si="31"/>
        <v>0</v>
      </c>
      <c r="N39" s="49">
        <f t="shared" si="31"/>
        <v>-2484</v>
      </c>
      <c r="O39" s="49">
        <f t="shared" si="31"/>
        <v>-6</v>
      </c>
      <c r="P39" s="49">
        <f t="shared" si="31"/>
        <v>109015</v>
      </c>
      <c r="Q39" s="49">
        <f t="shared" si="31"/>
        <v>32148.980000000003</v>
      </c>
      <c r="R39" s="50">
        <f t="shared" si="27"/>
        <v>0.29490418749713343</v>
      </c>
      <c r="S39" s="49">
        <f>SUM(S35:S38)</f>
        <v>58814.31</v>
      </c>
      <c r="T39" s="50">
        <f t="shared" si="28"/>
        <v>0.53950658166307386</v>
      </c>
      <c r="U39" s="49">
        <f>SUM(U35:U38)</f>
        <v>83635.09</v>
      </c>
      <c r="V39" s="50">
        <f t="shared" si="29"/>
        <v>0.7671888272256111</v>
      </c>
      <c r="W39" s="49">
        <f>SUM(W35:W38)</f>
        <v>108718.62</v>
      </c>
      <c r="X39" s="50">
        <f t="shared" si="30"/>
        <v>0.99728129156538092</v>
      </c>
      <c r="Y39" s="49">
        <f>SUM(Y35:Y38)</f>
        <v>119679</v>
      </c>
      <c r="Z39" s="49">
        <f>SUM(Z35:Z38)</f>
        <v>128904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23" t="s">
        <v>124</v>
      </c>
      <c r="E40" s="23">
        <v>640</v>
      </c>
      <c r="F40" s="23" t="s">
        <v>128</v>
      </c>
      <c r="G40" s="24">
        <v>161.25</v>
      </c>
      <c r="H40" s="24">
        <v>180.3</v>
      </c>
      <c r="I40" s="24">
        <v>198</v>
      </c>
      <c r="J40" s="24">
        <v>172</v>
      </c>
      <c r="K40" s="24">
        <v>158</v>
      </c>
      <c r="L40" s="24"/>
      <c r="M40" s="24"/>
      <c r="N40" s="24"/>
      <c r="O40" s="24">
        <v>6</v>
      </c>
      <c r="P40" s="24">
        <f>K40+SUM(L40:O40)</f>
        <v>164</v>
      </c>
      <c r="Q40" s="24">
        <v>0</v>
      </c>
      <c r="R40" s="25">
        <f t="shared" si="27"/>
        <v>0</v>
      </c>
      <c r="S40" s="24">
        <v>0</v>
      </c>
      <c r="T40" s="25">
        <f t="shared" si="28"/>
        <v>0</v>
      </c>
      <c r="U40" s="24">
        <v>0</v>
      </c>
      <c r="V40" s="25">
        <f t="shared" si="29"/>
        <v>0</v>
      </c>
      <c r="W40" s="24">
        <v>163.76</v>
      </c>
      <c r="X40" s="25">
        <f t="shared" si="30"/>
        <v>0.99853658536585366</v>
      </c>
      <c r="Y40" s="24">
        <v>156</v>
      </c>
      <c r="Z40" s="24">
        <v>158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79" t="s">
        <v>21</v>
      </c>
      <c r="E41" s="85">
        <v>72</v>
      </c>
      <c r="F41" s="48" t="s">
        <v>25</v>
      </c>
      <c r="G41" s="49">
        <f t="shared" ref="G41:Q41" si="32">SUM(G40)</f>
        <v>161.25</v>
      </c>
      <c r="H41" s="49">
        <f t="shared" si="32"/>
        <v>180.3</v>
      </c>
      <c r="I41" s="49">
        <f t="shared" si="32"/>
        <v>198</v>
      </c>
      <c r="J41" s="49">
        <f t="shared" si="32"/>
        <v>172</v>
      </c>
      <c r="K41" s="49">
        <f t="shared" si="32"/>
        <v>158</v>
      </c>
      <c r="L41" s="49">
        <f t="shared" si="32"/>
        <v>0</v>
      </c>
      <c r="M41" s="49">
        <f t="shared" si="32"/>
        <v>0</v>
      </c>
      <c r="N41" s="49">
        <f t="shared" si="32"/>
        <v>0</v>
      </c>
      <c r="O41" s="49">
        <f t="shared" si="32"/>
        <v>6</v>
      </c>
      <c r="P41" s="49">
        <f t="shared" si="32"/>
        <v>164</v>
      </c>
      <c r="Q41" s="49">
        <f t="shared" si="32"/>
        <v>0</v>
      </c>
      <c r="R41" s="50">
        <f t="shared" si="27"/>
        <v>0</v>
      </c>
      <c r="S41" s="49">
        <f>SUM(S40)</f>
        <v>0</v>
      </c>
      <c r="T41" s="50">
        <f t="shared" si="28"/>
        <v>0</v>
      </c>
      <c r="U41" s="49">
        <f>SUM(U40)</f>
        <v>0</v>
      </c>
      <c r="V41" s="50">
        <f t="shared" si="29"/>
        <v>0</v>
      </c>
      <c r="W41" s="49">
        <f>SUM(W40)</f>
        <v>163.76</v>
      </c>
      <c r="X41" s="50">
        <f t="shared" si="30"/>
        <v>0.99853658536585366</v>
      </c>
      <c r="Y41" s="49">
        <f>SUM(Y40)</f>
        <v>156</v>
      </c>
      <c r="Z41" s="49">
        <f>SUM(Z40)</f>
        <v>158</v>
      </c>
    </row>
    <row r="42" spans="1:26" ht="13.9" customHeight="1" x14ac:dyDescent="0.25">
      <c r="A42" s="15">
        <v>1</v>
      </c>
      <c r="B42" s="15">
        <v>1</v>
      </c>
      <c r="C42" s="15">
        <v>1</v>
      </c>
      <c r="D42" s="86"/>
      <c r="E42" s="87"/>
      <c r="F42" s="26" t="s">
        <v>120</v>
      </c>
      <c r="G42" s="27">
        <f t="shared" ref="G42:Q42" si="33">G39+G41</f>
        <v>77883.75</v>
      </c>
      <c r="H42" s="27">
        <f t="shared" si="33"/>
        <v>84280.85</v>
      </c>
      <c r="I42" s="27">
        <f t="shared" si="33"/>
        <v>91342</v>
      </c>
      <c r="J42" s="27">
        <f t="shared" si="33"/>
        <v>90666</v>
      </c>
      <c r="K42" s="27">
        <f t="shared" si="33"/>
        <v>111478</v>
      </c>
      <c r="L42" s="27">
        <f t="shared" si="33"/>
        <v>185</v>
      </c>
      <c r="M42" s="27">
        <f t="shared" si="33"/>
        <v>0</v>
      </c>
      <c r="N42" s="27">
        <f t="shared" si="33"/>
        <v>-2484</v>
      </c>
      <c r="O42" s="27">
        <f t="shared" si="33"/>
        <v>0</v>
      </c>
      <c r="P42" s="27">
        <f t="shared" si="33"/>
        <v>109179</v>
      </c>
      <c r="Q42" s="27">
        <f t="shared" si="33"/>
        <v>32148.980000000003</v>
      </c>
      <c r="R42" s="28">
        <f t="shared" si="27"/>
        <v>0.29446120590956137</v>
      </c>
      <c r="S42" s="27">
        <f>S39+S41</f>
        <v>58814.31</v>
      </c>
      <c r="T42" s="28">
        <f t="shared" si="28"/>
        <v>0.53869617783639712</v>
      </c>
      <c r="U42" s="27">
        <f>U39+U41</f>
        <v>83635.09</v>
      </c>
      <c r="V42" s="28">
        <f t="shared" si="29"/>
        <v>0.76603641725972937</v>
      </c>
      <c r="W42" s="27">
        <f>W39+W41</f>
        <v>108882.37999999999</v>
      </c>
      <c r="X42" s="28">
        <f t="shared" si="30"/>
        <v>0.99728317716777026</v>
      </c>
      <c r="Y42" s="27">
        <f>Y39+Y41</f>
        <v>119835</v>
      </c>
      <c r="Z42" s="27">
        <f>Z39+Z41</f>
        <v>129062</v>
      </c>
    </row>
    <row r="43" spans="1:26" ht="13.9" customHeight="1" x14ac:dyDescent="0.25">
      <c r="D43" s="88"/>
      <c r="E43" s="44"/>
      <c r="F43" s="44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90"/>
      <c r="S43" s="89"/>
      <c r="T43" s="90"/>
      <c r="U43" s="89"/>
      <c r="V43" s="90"/>
      <c r="W43" s="89"/>
      <c r="X43" s="90"/>
      <c r="Y43" s="89"/>
      <c r="Z43" s="89"/>
    </row>
    <row r="44" spans="1:26" ht="13.9" customHeight="1" x14ac:dyDescent="0.25">
      <c r="D44" s="6" t="s">
        <v>129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9" customHeight="1" x14ac:dyDescent="0.25">
      <c r="D45" s="21" t="s">
        <v>32</v>
      </c>
      <c r="E45" s="21" t="s">
        <v>33</v>
      </c>
      <c r="F45" s="21" t="s">
        <v>34</v>
      </c>
      <c r="G45" s="21" t="s">
        <v>1</v>
      </c>
      <c r="H45" s="21" t="s">
        <v>2</v>
      </c>
      <c r="I45" s="21" t="s">
        <v>3</v>
      </c>
      <c r="J45" s="21" t="s">
        <v>4</v>
      </c>
      <c r="K45" s="21" t="s">
        <v>5</v>
      </c>
      <c r="L45" s="21" t="s">
        <v>6</v>
      </c>
      <c r="M45" s="21" t="s">
        <v>7</v>
      </c>
      <c r="N45" s="21" t="s">
        <v>8</v>
      </c>
      <c r="O45" s="21" t="s">
        <v>9</v>
      </c>
      <c r="P45" s="21" t="s">
        <v>10</v>
      </c>
      <c r="Q45" s="21" t="s">
        <v>11</v>
      </c>
      <c r="R45" s="22" t="s">
        <v>12</v>
      </c>
      <c r="S45" s="21" t="s">
        <v>13</v>
      </c>
      <c r="T45" s="22" t="s">
        <v>14</v>
      </c>
      <c r="U45" s="21" t="s">
        <v>15</v>
      </c>
      <c r="V45" s="22" t="s">
        <v>16</v>
      </c>
      <c r="W45" s="21" t="s">
        <v>17</v>
      </c>
      <c r="X45" s="22" t="s">
        <v>18</v>
      </c>
      <c r="Y45" s="21" t="s">
        <v>19</v>
      </c>
      <c r="Z45" s="21" t="s">
        <v>20</v>
      </c>
    </row>
    <row r="46" spans="1:26" ht="13.9" customHeight="1" x14ac:dyDescent="0.25">
      <c r="A46" s="15">
        <v>1</v>
      </c>
      <c r="B46" s="15">
        <v>1</v>
      </c>
      <c r="C46" s="15">
        <v>2</v>
      </c>
      <c r="D46" s="13" t="s">
        <v>124</v>
      </c>
      <c r="E46" s="23">
        <v>610</v>
      </c>
      <c r="F46" s="23" t="s">
        <v>125</v>
      </c>
      <c r="G46" s="24">
        <v>310.47000000000003</v>
      </c>
      <c r="H46" s="24">
        <v>1318.27</v>
      </c>
      <c r="I46" s="24">
        <f>príjmy!F104</f>
        <v>352</v>
      </c>
      <c r="J46" s="24">
        <v>352</v>
      </c>
      <c r="K46" s="24">
        <f>príjmy!H104</f>
        <v>352</v>
      </c>
      <c r="L46" s="24"/>
      <c r="M46" s="24">
        <v>38</v>
      </c>
      <c r="N46" s="24"/>
      <c r="O46" s="24"/>
      <c r="P46" s="24">
        <f>K46+SUM(L46:O46)</f>
        <v>390</v>
      </c>
      <c r="Q46" s="24">
        <v>0</v>
      </c>
      <c r="R46" s="25">
        <f t="shared" ref="R46:R56" si="34">IFERROR(Q46/$P46,0)</f>
        <v>0</v>
      </c>
      <c r="S46" s="24">
        <v>0</v>
      </c>
      <c r="T46" s="25">
        <f t="shared" ref="T46:T56" si="35">IFERROR(S46/$P46,0)</f>
        <v>0</v>
      </c>
      <c r="U46" s="24">
        <v>389.57</v>
      </c>
      <c r="V46" s="25">
        <f t="shared" ref="V46:V56" si="36">IFERROR(U46/$P46,0)</f>
        <v>0.99889743589743585</v>
      </c>
      <c r="W46" s="24">
        <v>389.57</v>
      </c>
      <c r="X46" s="25">
        <f t="shared" ref="X46:X56" si="37">IFERROR(W46/$P46,0)</f>
        <v>0.99889743589743585</v>
      </c>
      <c r="Y46" s="24">
        <f>príjmy!V104</f>
        <v>352</v>
      </c>
      <c r="Z46" s="24">
        <f>príjmy!W104</f>
        <v>352</v>
      </c>
    </row>
    <row r="47" spans="1:26" ht="13.9" hidden="1" customHeight="1" x14ac:dyDescent="0.25">
      <c r="A47" s="15">
        <v>1</v>
      </c>
      <c r="B47" s="15">
        <v>1</v>
      </c>
      <c r="C47" s="15">
        <v>2</v>
      </c>
      <c r="D47" s="13"/>
      <c r="E47" s="23">
        <v>620</v>
      </c>
      <c r="F47" s="23" t="s">
        <v>126</v>
      </c>
      <c r="G47" s="24">
        <v>0</v>
      </c>
      <c r="H47" s="24">
        <v>349.5</v>
      </c>
      <c r="I47" s="24">
        <v>0</v>
      </c>
      <c r="J47" s="24">
        <v>0</v>
      </c>
      <c r="K47" s="24">
        <v>0</v>
      </c>
      <c r="L47" s="24"/>
      <c r="M47" s="24"/>
      <c r="N47" s="24"/>
      <c r="O47" s="24"/>
      <c r="P47" s="24">
        <f>K47+SUM(L47:O47)</f>
        <v>0</v>
      </c>
      <c r="Q47" s="24"/>
      <c r="R47" s="25">
        <f t="shared" si="34"/>
        <v>0</v>
      </c>
      <c r="S47" s="24"/>
      <c r="T47" s="25">
        <f t="shared" si="35"/>
        <v>0</v>
      </c>
      <c r="U47" s="24"/>
      <c r="V47" s="25">
        <f t="shared" si="36"/>
        <v>0</v>
      </c>
      <c r="W47" s="24"/>
      <c r="X47" s="25">
        <f t="shared" si="37"/>
        <v>0</v>
      </c>
      <c r="Y47" s="24">
        <v>0</v>
      </c>
      <c r="Z47" s="24">
        <v>0</v>
      </c>
    </row>
    <row r="48" spans="1:26" ht="13.9" customHeight="1" x14ac:dyDescent="0.25">
      <c r="A48" s="15">
        <v>1</v>
      </c>
      <c r="B48" s="15">
        <v>1</v>
      </c>
      <c r="C48" s="15">
        <v>2</v>
      </c>
      <c r="D48" s="79" t="s">
        <v>21</v>
      </c>
      <c r="E48" s="48">
        <v>111</v>
      </c>
      <c r="F48" s="48" t="s">
        <v>130</v>
      </c>
      <c r="G48" s="49">
        <f t="shared" ref="G48:Q48" si="38">SUM(G46:G47)</f>
        <v>310.47000000000003</v>
      </c>
      <c r="H48" s="49">
        <f t="shared" si="38"/>
        <v>1667.77</v>
      </c>
      <c r="I48" s="49">
        <f t="shared" si="38"/>
        <v>352</v>
      </c>
      <c r="J48" s="49">
        <f t="shared" si="38"/>
        <v>352</v>
      </c>
      <c r="K48" s="49">
        <f t="shared" si="38"/>
        <v>352</v>
      </c>
      <c r="L48" s="49">
        <f t="shared" si="38"/>
        <v>0</v>
      </c>
      <c r="M48" s="49">
        <f t="shared" si="38"/>
        <v>38</v>
      </c>
      <c r="N48" s="49">
        <f t="shared" si="38"/>
        <v>0</v>
      </c>
      <c r="O48" s="49">
        <f t="shared" si="38"/>
        <v>0</v>
      </c>
      <c r="P48" s="49">
        <f t="shared" si="38"/>
        <v>390</v>
      </c>
      <c r="Q48" s="49">
        <f t="shared" si="38"/>
        <v>0</v>
      </c>
      <c r="R48" s="50">
        <f t="shared" si="34"/>
        <v>0</v>
      </c>
      <c r="S48" s="49">
        <f>SUM(S46:S47)</f>
        <v>0</v>
      </c>
      <c r="T48" s="50">
        <f t="shared" si="35"/>
        <v>0</v>
      </c>
      <c r="U48" s="49">
        <f>SUM(U46:U47)</f>
        <v>389.57</v>
      </c>
      <c r="V48" s="50">
        <f t="shared" si="36"/>
        <v>0.99889743589743585</v>
      </c>
      <c r="W48" s="49">
        <f>SUM(W46:W47)</f>
        <v>389.57</v>
      </c>
      <c r="X48" s="50">
        <f t="shared" si="37"/>
        <v>0.99889743589743585</v>
      </c>
      <c r="Y48" s="49">
        <f>SUM(Y46:Y47)</f>
        <v>352</v>
      </c>
      <c r="Z48" s="49">
        <f>SUM(Z46:Z47)</f>
        <v>352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5" t="s">
        <v>124</v>
      </c>
      <c r="E49" s="23">
        <v>610</v>
      </c>
      <c r="F49" s="23" t="s">
        <v>125</v>
      </c>
      <c r="G49" s="46">
        <v>57163.21</v>
      </c>
      <c r="H49" s="46">
        <v>63568.65</v>
      </c>
      <c r="I49" s="46">
        <v>65734</v>
      </c>
      <c r="J49" s="46">
        <v>69859</v>
      </c>
      <c r="K49" s="46">
        <f>81477-K46</f>
        <v>81125</v>
      </c>
      <c r="L49" s="46"/>
      <c r="M49" s="46"/>
      <c r="N49" s="46"/>
      <c r="O49" s="46"/>
      <c r="P49" s="46">
        <f>K49+SUM(L49:O49)</f>
        <v>81125</v>
      </c>
      <c r="Q49" s="46">
        <v>20653.439999999999</v>
      </c>
      <c r="R49" s="47">
        <f t="shared" si="34"/>
        <v>0.25458785824345143</v>
      </c>
      <c r="S49" s="46">
        <v>39763.769999999997</v>
      </c>
      <c r="T49" s="47">
        <f t="shared" si="35"/>
        <v>0.4901543297380585</v>
      </c>
      <c r="U49" s="46">
        <v>56848.55</v>
      </c>
      <c r="V49" s="47">
        <f t="shared" si="36"/>
        <v>0.70075254237288143</v>
      </c>
      <c r="W49" s="46">
        <v>79326.23</v>
      </c>
      <c r="X49" s="47">
        <f t="shared" si="37"/>
        <v>0.97782718027734972</v>
      </c>
      <c r="Y49" s="46">
        <f>89197-Y46</f>
        <v>88845</v>
      </c>
      <c r="Z49" s="46">
        <f>97689-Z46</f>
        <v>97337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/>
      <c r="E50" s="23">
        <v>620</v>
      </c>
      <c r="F50" s="23" t="s">
        <v>126</v>
      </c>
      <c r="G50" s="24">
        <v>21110.48</v>
      </c>
      <c r="H50" s="24">
        <v>23647.39</v>
      </c>
      <c r="I50" s="24">
        <v>24642</v>
      </c>
      <c r="J50" s="24">
        <v>26039</v>
      </c>
      <c r="K50" s="24">
        <v>30328</v>
      </c>
      <c r="L50" s="24"/>
      <c r="M50" s="24"/>
      <c r="N50" s="24"/>
      <c r="O50" s="24">
        <v>24</v>
      </c>
      <c r="P50" s="24">
        <f>K50+SUM(L50:O50)</f>
        <v>30352</v>
      </c>
      <c r="Q50" s="24">
        <v>7807.34</v>
      </c>
      <c r="R50" s="25">
        <f t="shared" si="34"/>
        <v>0.25722654190827621</v>
      </c>
      <c r="S50" s="24">
        <v>15186.59</v>
      </c>
      <c r="T50" s="25">
        <f t="shared" si="35"/>
        <v>0.50034890616763306</v>
      </c>
      <c r="U50" s="24">
        <v>21840.03</v>
      </c>
      <c r="V50" s="25">
        <f t="shared" si="36"/>
        <v>0.71955818397469684</v>
      </c>
      <c r="W50" s="24">
        <v>30353.07</v>
      </c>
      <c r="X50" s="25">
        <f t="shared" si="37"/>
        <v>1.0000352530311016</v>
      </c>
      <c r="Y50" s="24">
        <v>33180</v>
      </c>
      <c r="Z50" s="24">
        <v>36318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3">
        <v>630</v>
      </c>
      <c r="F51" s="23" t="s">
        <v>127</v>
      </c>
      <c r="G51" s="24">
        <v>4516.49</v>
      </c>
      <c r="H51" s="24">
        <v>5608.13</v>
      </c>
      <c r="I51" s="24">
        <v>6927</v>
      </c>
      <c r="J51" s="24">
        <v>7473</v>
      </c>
      <c r="K51" s="24">
        <f>7320+1900</f>
        <v>9220</v>
      </c>
      <c r="L51" s="24"/>
      <c r="M51" s="24"/>
      <c r="N51" s="24"/>
      <c r="O51" s="24">
        <v>-45</v>
      </c>
      <c r="P51" s="24">
        <f>K51+SUM(L51:O51)</f>
        <v>9175</v>
      </c>
      <c r="Q51" s="24">
        <v>2028.34</v>
      </c>
      <c r="R51" s="25">
        <f t="shared" si="34"/>
        <v>0.2210724795640327</v>
      </c>
      <c r="S51" s="24">
        <v>4916.75</v>
      </c>
      <c r="T51" s="25">
        <f t="shared" si="35"/>
        <v>0.53588555858310627</v>
      </c>
      <c r="U51" s="24">
        <v>6849.37</v>
      </c>
      <c r="V51" s="25">
        <f t="shared" si="36"/>
        <v>0.74652534059945508</v>
      </c>
      <c r="W51" s="24">
        <v>8660.19</v>
      </c>
      <c r="X51" s="25">
        <f t="shared" si="37"/>
        <v>0.94388991825613089</v>
      </c>
      <c r="Y51" s="24">
        <f>7309+1900</f>
        <v>9209</v>
      </c>
      <c r="Z51" s="24">
        <f>7443+1900</f>
        <v>9343</v>
      </c>
    </row>
    <row r="52" spans="1:26" ht="13.9" hidden="1" customHeight="1" x14ac:dyDescent="0.25">
      <c r="A52" s="15">
        <v>1</v>
      </c>
      <c r="B52" s="15">
        <v>1</v>
      </c>
      <c r="C52" s="15">
        <v>2</v>
      </c>
      <c r="D52" s="5"/>
      <c r="E52" s="23">
        <v>640</v>
      </c>
      <c r="F52" s="23" t="s">
        <v>128</v>
      </c>
      <c r="G52" s="24">
        <v>132.54</v>
      </c>
      <c r="H52" s="24">
        <v>134.83000000000001</v>
      </c>
      <c r="I52" s="24">
        <v>0</v>
      </c>
      <c r="J52" s="24">
        <v>135</v>
      </c>
      <c r="K52" s="24">
        <v>0</v>
      </c>
      <c r="L52" s="24"/>
      <c r="M52" s="24"/>
      <c r="N52" s="24"/>
      <c r="O52" s="24"/>
      <c r="P52" s="24">
        <f>K52+SUM(L52:O52)</f>
        <v>0</v>
      </c>
      <c r="Q52" s="24"/>
      <c r="R52" s="25">
        <f t="shared" si="34"/>
        <v>0</v>
      </c>
      <c r="S52" s="24"/>
      <c r="T52" s="25">
        <f t="shared" si="35"/>
        <v>0</v>
      </c>
      <c r="U52" s="24"/>
      <c r="V52" s="25">
        <f t="shared" si="36"/>
        <v>0</v>
      </c>
      <c r="W52" s="24"/>
      <c r="X52" s="25">
        <f t="shared" si="37"/>
        <v>0</v>
      </c>
      <c r="Y52" s="24">
        <v>0</v>
      </c>
      <c r="Z52" s="24">
        <v>0</v>
      </c>
    </row>
    <row r="53" spans="1:26" ht="13.9" customHeight="1" x14ac:dyDescent="0.25">
      <c r="A53" s="15">
        <v>1</v>
      </c>
      <c r="B53" s="15">
        <v>1</v>
      </c>
      <c r="C53" s="15">
        <v>2</v>
      </c>
      <c r="D53" s="79" t="s">
        <v>21</v>
      </c>
      <c r="E53" s="48">
        <v>41</v>
      </c>
      <c r="F53" s="48" t="s">
        <v>23</v>
      </c>
      <c r="G53" s="49">
        <f t="shared" ref="G53:Q53" si="39">SUM(G49:G52)</f>
        <v>82922.720000000001</v>
      </c>
      <c r="H53" s="49">
        <f t="shared" si="39"/>
        <v>92959.000000000015</v>
      </c>
      <c r="I53" s="49">
        <f t="shared" si="39"/>
        <v>97303</v>
      </c>
      <c r="J53" s="49">
        <f t="shared" si="39"/>
        <v>103506</v>
      </c>
      <c r="K53" s="49">
        <f t="shared" si="39"/>
        <v>120673</v>
      </c>
      <c r="L53" s="49">
        <f t="shared" si="39"/>
        <v>0</v>
      </c>
      <c r="M53" s="49">
        <f t="shared" si="39"/>
        <v>0</v>
      </c>
      <c r="N53" s="49">
        <f t="shared" si="39"/>
        <v>0</v>
      </c>
      <c r="O53" s="49">
        <f t="shared" si="39"/>
        <v>-21</v>
      </c>
      <c r="P53" s="49">
        <f t="shared" si="39"/>
        <v>120652</v>
      </c>
      <c r="Q53" s="49">
        <f t="shared" si="39"/>
        <v>30489.119999999999</v>
      </c>
      <c r="R53" s="50">
        <f t="shared" si="34"/>
        <v>0.25270298047276463</v>
      </c>
      <c r="S53" s="49">
        <f>SUM(S49:S52)</f>
        <v>59867.11</v>
      </c>
      <c r="T53" s="50">
        <f t="shared" si="35"/>
        <v>0.49619658190498295</v>
      </c>
      <c r="U53" s="49">
        <f>SUM(U49:U52)</f>
        <v>85537.95</v>
      </c>
      <c r="V53" s="50">
        <f t="shared" si="36"/>
        <v>0.70896421111958352</v>
      </c>
      <c r="W53" s="49">
        <f>SUM(W49:W52)</f>
        <v>118339.48999999999</v>
      </c>
      <c r="X53" s="50">
        <f t="shared" si="37"/>
        <v>0.9808332228226635</v>
      </c>
      <c r="Y53" s="49">
        <f>SUM(Y49:Y52)</f>
        <v>131234</v>
      </c>
      <c r="Z53" s="49">
        <f>SUM(Z49:Z52)</f>
        <v>142998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23" t="s">
        <v>124</v>
      </c>
      <c r="E54" s="23">
        <v>640</v>
      </c>
      <c r="F54" s="23" t="s">
        <v>128</v>
      </c>
      <c r="G54" s="24">
        <v>638.25</v>
      </c>
      <c r="H54" s="24">
        <v>688.32</v>
      </c>
      <c r="I54" s="24">
        <v>773</v>
      </c>
      <c r="J54" s="24">
        <v>688</v>
      </c>
      <c r="K54" s="24">
        <v>696</v>
      </c>
      <c r="L54" s="24"/>
      <c r="M54" s="24"/>
      <c r="N54" s="24"/>
      <c r="O54" s="24">
        <v>21</v>
      </c>
      <c r="P54" s="24">
        <f>K54+SUM(L54:O54)</f>
        <v>717</v>
      </c>
      <c r="Q54" s="24">
        <v>0</v>
      </c>
      <c r="R54" s="25">
        <f t="shared" si="34"/>
        <v>0</v>
      </c>
      <c r="S54" s="24">
        <v>0</v>
      </c>
      <c r="T54" s="25">
        <f t="shared" si="35"/>
        <v>0</v>
      </c>
      <c r="U54" s="24">
        <v>0</v>
      </c>
      <c r="V54" s="25">
        <f t="shared" si="36"/>
        <v>0</v>
      </c>
      <c r="W54" s="24">
        <v>717.43</v>
      </c>
      <c r="X54" s="25">
        <f t="shared" si="37"/>
        <v>1.000599721059972</v>
      </c>
      <c r="Y54" s="24">
        <v>687</v>
      </c>
      <c r="Z54" s="24">
        <v>693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79" t="s">
        <v>21</v>
      </c>
      <c r="E55" s="85">
        <v>72</v>
      </c>
      <c r="F55" s="48" t="s">
        <v>25</v>
      </c>
      <c r="G55" s="49">
        <f t="shared" ref="G55:Q55" si="40">SUM(G54)</f>
        <v>638.25</v>
      </c>
      <c r="H55" s="49">
        <f t="shared" si="40"/>
        <v>688.32</v>
      </c>
      <c r="I55" s="49">
        <f t="shared" si="40"/>
        <v>773</v>
      </c>
      <c r="J55" s="49">
        <f t="shared" si="40"/>
        <v>688</v>
      </c>
      <c r="K55" s="49">
        <f t="shared" si="40"/>
        <v>696</v>
      </c>
      <c r="L55" s="49">
        <f t="shared" si="40"/>
        <v>0</v>
      </c>
      <c r="M55" s="49">
        <f t="shared" si="40"/>
        <v>0</v>
      </c>
      <c r="N55" s="49">
        <f t="shared" si="40"/>
        <v>0</v>
      </c>
      <c r="O55" s="49">
        <f t="shared" si="40"/>
        <v>21</v>
      </c>
      <c r="P55" s="49">
        <f t="shared" si="40"/>
        <v>717</v>
      </c>
      <c r="Q55" s="49">
        <f t="shared" si="40"/>
        <v>0</v>
      </c>
      <c r="R55" s="50">
        <f t="shared" si="34"/>
        <v>0</v>
      </c>
      <c r="S55" s="49">
        <f>SUM(S54)</f>
        <v>0</v>
      </c>
      <c r="T55" s="50">
        <f t="shared" si="35"/>
        <v>0</v>
      </c>
      <c r="U55" s="49">
        <f>SUM(U54)</f>
        <v>0</v>
      </c>
      <c r="V55" s="50">
        <f t="shared" si="36"/>
        <v>0</v>
      </c>
      <c r="W55" s="49">
        <f>SUM(W54)</f>
        <v>717.43</v>
      </c>
      <c r="X55" s="50">
        <f t="shared" si="37"/>
        <v>1.000599721059972</v>
      </c>
      <c r="Y55" s="49">
        <f>SUM(Y54)</f>
        <v>687</v>
      </c>
      <c r="Z55" s="49">
        <f>SUM(Z54)</f>
        <v>693</v>
      </c>
    </row>
    <row r="56" spans="1:26" ht="13.9" customHeight="1" x14ac:dyDescent="0.25">
      <c r="A56" s="15">
        <v>1</v>
      </c>
      <c r="B56" s="15">
        <v>1</v>
      </c>
      <c r="C56" s="15">
        <v>2</v>
      </c>
      <c r="D56" s="86"/>
      <c r="E56" s="87"/>
      <c r="F56" s="26" t="s">
        <v>120</v>
      </c>
      <c r="G56" s="27">
        <f t="shared" ref="G56:Q56" si="41">G48+G53+G55</f>
        <v>83871.44</v>
      </c>
      <c r="H56" s="27">
        <f t="shared" si="41"/>
        <v>95315.090000000026</v>
      </c>
      <c r="I56" s="27">
        <f t="shared" si="41"/>
        <v>98428</v>
      </c>
      <c r="J56" s="27">
        <f t="shared" si="41"/>
        <v>104546</v>
      </c>
      <c r="K56" s="27">
        <f t="shared" si="41"/>
        <v>121721</v>
      </c>
      <c r="L56" s="27">
        <f t="shared" si="41"/>
        <v>0</v>
      </c>
      <c r="M56" s="27">
        <f t="shared" si="41"/>
        <v>38</v>
      </c>
      <c r="N56" s="27">
        <f t="shared" si="41"/>
        <v>0</v>
      </c>
      <c r="O56" s="27">
        <f t="shared" si="41"/>
        <v>0</v>
      </c>
      <c r="P56" s="27">
        <f t="shared" si="41"/>
        <v>121759</v>
      </c>
      <c r="Q56" s="27">
        <f t="shared" si="41"/>
        <v>30489.119999999999</v>
      </c>
      <c r="R56" s="28">
        <f t="shared" si="34"/>
        <v>0.2504054731067108</v>
      </c>
      <c r="S56" s="27">
        <f>S48+S53+S55</f>
        <v>59867.11</v>
      </c>
      <c r="T56" s="28">
        <f t="shared" si="35"/>
        <v>0.49168529636412917</v>
      </c>
      <c r="U56" s="27">
        <f>U48+U53+U55</f>
        <v>85927.52</v>
      </c>
      <c r="V56" s="28">
        <f t="shared" si="36"/>
        <v>0.7057180167379824</v>
      </c>
      <c r="W56" s="27">
        <f>W48+W53+W55</f>
        <v>119446.48999999999</v>
      </c>
      <c r="X56" s="28">
        <f t="shared" si="37"/>
        <v>0.98100748199311749</v>
      </c>
      <c r="Y56" s="27">
        <f>Y48+Y53+Y55</f>
        <v>132273</v>
      </c>
      <c r="Z56" s="27">
        <f>Z48+Z53+Z55</f>
        <v>144043</v>
      </c>
    </row>
    <row r="57" spans="1:26" ht="13.9" customHeight="1" x14ac:dyDescent="0.25">
      <c r="D57" s="88"/>
      <c r="E57" s="44"/>
      <c r="F57" s="44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90"/>
      <c r="S57" s="89"/>
      <c r="T57" s="90"/>
      <c r="U57" s="89"/>
      <c r="V57" s="90"/>
      <c r="W57" s="89"/>
      <c r="X57" s="90"/>
      <c r="Y57" s="89"/>
      <c r="Z57" s="89"/>
    </row>
    <row r="58" spans="1:26" ht="13.9" customHeight="1" x14ac:dyDescent="0.25">
      <c r="D58" s="6" t="s">
        <v>131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9" customHeight="1" x14ac:dyDescent="0.25">
      <c r="D59" s="21" t="s">
        <v>32</v>
      </c>
      <c r="E59" s="21" t="s">
        <v>33</v>
      </c>
      <c r="F59" s="21" t="s">
        <v>34</v>
      </c>
      <c r="G59" s="21" t="s">
        <v>1</v>
      </c>
      <c r="H59" s="21" t="s">
        <v>2</v>
      </c>
      <c r="I59" s="21" t="s">
        <v>3</v>
      </c>
      <c r="J59" s="21" t="s">
        <v>4</v>
      </c>
      <c r="K59" s="21" t="s">
        <v>5</v>
      </c>
      <c r="L59" s="21" t="s">
        <v>6</v>
      </c>
      <c r="M59" s="21" t="s">
        <v>7</v>
      </c>
      <c r="N59" s="21" t="s">
        <v>8</v>
      </c>
      <c r="O59" s="21" t="s">
        <v>9</v>
      </c>
      <c r="P59" s="21" t="s">
        <v>10</v>
      </c>
      <c r="Q59" s="21" t="s">
        <v>11</v>
      </c>
      <c r="R59" s="22" t="s">
        <v>12</v>
      </c>
      <c r="S59" s="21" t="s">
        <v>13</v>
      </c>
      <c r="T59" s="22" t="s">
        <v>14</v>
      </c>
      <c r="U59" s="21" t="s">
        <v>15</v>
      </c>
      <c r="V59" s="22" t="s">
        <v>16</v>
      </c>
      <c r="W59" s="21" t="s">
        <v>17</v>
      </c>
      <c r="X59" s="22" t="s">
        <v>18</v>
      </c>
      <c r="Y59" s="21" t="s">
        <v>19</v>
      </c>
      <c r="Z59" s="21" t="s">
        <v>20</v>
      </c>
    </row>
    <row r="60" spans="1:26" ht="13.9" customHeight="1" x14ac:dyDescent="0.25">
      <c r="A60" s="15">
        <v>1</v>
      </c>
      <c r="B60" s="15">
        <v>1</v>
      </c>
      <c r="C60" s="15">
        <v>3</v>
      </c>
      <c r="D60" s="5" t="s">
        <v>132</v>
      </c>
      <c r="E60" s="23">
        <v>610</v>
      </c>
      <c r="F60" s="23" t="s">
        <v>125</v>
      </c>
      <c r="G60" s="46">
        <v>4315.55</v>
      </c>
      <c r="H60" s="24">
        <v>8114</v>
      </c>
      <c r="I60" s="24">
        <v>10384</v>
      </c>
      <c r="J60" s="24">
        <v>10430</v>
      </c>
      <c r="K60" s="24">
        <v>11296</v>
      </c>
      <c r="L60" s="24"/>
      <c r="M60" s="24"/>
      <c r="N60" s="24"/>
      <c r="O60" s="24">
        <v>152</v>
      </c>
      <c r="P60" s="46">
        <f>K60+SUM(L60:O60)</f>
        <v>11448</v>
      </c>
      <c r="Q60" s="46">
        <v>2631</v>
      </c>
      <c r="R60" s="47">
        <f t="shared" ref="R60:R66" si="42">IFERROR(Q60/$P60,0)</f>
        <v>0.22982180293501048</v>
      </c>
      <c r="S60" s="46">
        <v>5682</v>
      </c>
      <c r="T60" s="47">
        <f t="shared" ref="T60:T66" si="43">IFERROR(S60/$P60,0)</f>
        <v>0.49633123689727465</v>
      </c>
      <c r="U60" s="46">
        <v>8565</v>
      </c>
      <c r="V60" s="47">
        <f t="shared" ref="V60:V66" si="44">IFERROR(U60/$P60,0)</f>
        <v>0.74816561844863727</v>
      </c>
      <c r="W60" s="46">
        <v>11448</v>
      </c>
      <c r="X60" s="47">
        <f t="shared" ref="X60:X66" si="45">IFERROR(W60/$P60,0)</f>
        <v>1</v>
      </c>
      <c r="Y60" s="24">
        <v>12426</v>
      </c>
      <c r="Z60" s="24">
        <v>13669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/>
      <c r="E61" s="23">
        <v>620</v>
      </c>
      <c r="F61" s="23" t="s">
        <v>126</v>
      </c>
      <c r="G61" s="46">
        <v>1335.44</v>
      </c>
      <c r="H61" s="24">
        <v>2545.6999999999998</v>
      </c>
      <c r="I61" s="24">
        <v>3265</v>
      </c>
      <c r="J61" s="24">
        <v>3290</v>
      </c>
      <c r="K61" s="24">
        <v>3552</v>
      </c>
      <c r="L61" s="24"/>
      <c r="M61" s="24"/>
      <c r="N61" s="24"/>
      <c r="O61" s="24">
        <v>155</v>
      </c>
      <c r="P61" s="46">
        <f>K61+SUM(L61:O61)</f>
        <v>3707</v>
      </c>
      <c r="Q61" s="46">
        <v>844.91</v>
      </c>
      <c r="R61" s="47">
        <f t="shared" si="42"/>
        <v>0.22792284866468843</v>
      </c>
      <c r="S61" s="46">
        <v>1834.89</v>
      </c>
      <c r="T61" s="47">
        <f t="shared" si="43"/>
        <v>0.49497976800647425</v>
      </c>
      <c r="U61" s="46">
        <v>2770.35</v>
      </c>
      <c r="V61" s="47">
        <f t="shared" si="44"/>
        <v>0.74732937685459944</v>
      </c>
      <c r="W61" s="46">
        <v>3705.81</v>
      </c>
      <c r="X61" s="47">
        <f t="shared" si="45"/>
        <v>0.99967898570272451</v>
      </c>
      <c r="Y61" s="24">
        <v>3908</v>
      </c>
      <c r="Z61" s="24">
        <v>4298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5"/>
      <c r="E62" s="23">
        <v>630</v>
      </c>
      <c r="F62" s="23" t="s">
        <v>127</v>
      </c>
      <c r="G62" s="46">
        <v>1756.65</v>
      </c>
      <c r="H62" s="24">
        <v>2407.87</v>
      </c>
      <c r="I62" s="24">
        <v>2631</v>
      </c>
      <c r="J62" s="24">
        <v>2066</v>
      </c>
      <c r="K62" s="24">
        <f>698+1750</f>
        <v>2448</v>
      </c>
      <c r="L62" s="24">
        <v>43</v>
      </c>
      <c r="M62" s="24"/>
      <c r="N62" s="24">
        <v>293</v>
      </c>
      <c r="O62" s="24">
        <v>277</v>
      </c>
      <c r="P62" s="46">
        <f>K62+SUM(L62:O62)</f>
        <v>3061</v>
      </c>
      <c r="Q62" s="46">
        <v>466.25</v>
      </c>
      <c r="R62" s="47">
        <f t="shared" si="42"/>
        <v>0.15231950343025155</v>
      </c>
      <c r="S62" s="46">
        <v>675.67</v>
      </c>
      <c r="T62" s="47">
        <f t="shared" si="43"/>
        <v>0.22073505390395295</v>
      </c>
      <c r="U62" s="46">
        <v>836.05</v>
      </c>
      <c r="V62" s="47">
        <f t="shared" si="44"/>
        <v>0.27312969617771971</v>
      </c>
      <c r="W62" s="46">
        <v>3060.54</v>
      </c>
      <c r="X62" s="47">
        <f t="shared" si="45"/>
        <v>0.99984972231296965</v>
      </c>
      <c r="Y62" s="24">
        <f>709+1750</f>
        <v>2459</v>
      </c>
      <c r="Z62" s="24">
        <f>720+1750</f>
        <v>2470</v>
      </c>
    </row>
    <row r="63" spans="1:26" ht="13.9" customHeight="1" x14ac:dyDescent="0.25">
      <c r="A63" s="15">
        <v>1</v>
      </c>
      <c r="B63" s="15">
        <v>1</v>
      </c>
      <c r="C63" s="15">
        <v>3</v>
      </c>
      <c r="D63" s="79" t="s">
        <v>21</v>
      </c>
      <c r="E63" s="48">
        <v>41</v>
      </c>
      <c r="F63" s="48" t="s">
        <v>23</v>
      </c>
      <c r="G63" s="49">
        <f t="shared" ref="G63:Q63" si="46">SUM(G60:G62)</f>
        <v>7407.6399999999994</v>
      </c>
      <c r="H63" s="49">
        <f t="shared" si="46"/>
        <v>13067.57</v>
      </c>
      <c r="I63" s="49">
        <f t="shared" si="46"/>
        <v>16280</v>
      </c>
      <c r="J63" s="49">
        <f t="shared" si="46"/>
        <v>15786</v>
      </c>
      <c r="K63" s="49">
        <f t="shared" si="46"/>
        <v>17296</v>
      </c>
      <c r="L63" s="49">
        <f t="shared" si="46"/>
        <v>43</v>
      </c>
      <c r="M63" s="49">
        <f t="shared" si="46"/>
        <v>0</v>
      </c>
      <c r="N63" s="49">
        <f t="shared" si="46"/>
        <v>293</v>
      </c>
      <c r="O63" s="49">
        <f t="shared" si="46"/>
        <v>584</v>
      </c>
      <c r="P63" s="49">
        <f t="shared" si="46"/>
        <v>18216</v>
      </c>
      <c r="Q63" s="49">
        <f t="shared" si="46"/>
        <v>3942.16</v>
      </c>
      <c r="R63" s="50">
        <f t="shared" si="42"/>
        <v>0.21641194554238033</v>
      </c>
      <c r="S63" s="49">
        <f>SUM(S60:S62)</f>
        <v>8192.56</v>
      </c>
      <c r="T63" s="50">
        <f t="shared" si="43"/>
        <v>0.44974527887571364</v>
      </c>
      <c r="U63" s="49">
        <f>SUM(U60:U62)</f>
        <v>12171.4</v>
      </c>
      <c r="V63" s="50">
        <f t="shared" si="44"/>
        <v>0.66817083882301276</v>
      </c>
      <c r="W63" s="49">
        <f>SUM(W60:W62)</f>
        <v>18214.349999999999</v>
      </c>
      <c r="X63" s="50">
        <f t="shared" si="45"/>
        <v>0.99990942028985497</v>
      </c>
      <c r="Y63" s="49">
        <f>SUM(Y60:Y62)</f>
        <v>18793</v>
      </c>
      <c r="Z63" s="49">
        <f>SUM(Z60:Z62)</f>
        <v>20437</v>
      </c>
    </row>
    <row r="64" spans="1:26" ht="13.9" customHeight="1" x14ac:dyDescent="0.25">
      <c r="A64" s="15">
        <v>2</v>
      </c>
      <c r="B64" s="15">
        <v>2</v>
      </c>
      <c r="C64" s="15">
        <v>4</v>
      </c>
      <c r="D64" s="80" t="s">
        <v>132</v>
      </c>
      <c r="E64" s="23">
        <v>640</v>
      </c>
      <c r="F64" s="23" t="s">
        <v>128</v>
      </c>
      <c r="G64" s="24">
        <v>33</v>
      </c>
      <c r="H64" s="24">
        <v>65.790000000000006</v>
      </c>
      <c r="I64" s="24">
        <v>85</v>
      </c>
      <c r="J64" s="24">
        <v>60</v>
      </c>
      <c r="K64" s="24">
        <v>69</v>
      </c>
      <c r="L64" s="24"/>
      <c r="M64" s="24"/>
      <c r="N64" s="24"/>
      <c r="O64" s="24"/>
      <c r="P64" s="24">
        <f>K64+SUM(L64:O64)</f>
        <v>69</v>
      </c>
      <c r="Q64" s="24">
        <v>0</v>
      </c>
      <c r="R64" s="25">
        <f t="shared" si="42"/>
        <v>0</v>
      </c>
      <c r="S64" s="24">
        <v>0</v>
      </c>
      <c r="T64" s="25">
        <f t="shared" si="43"/>
        <v>0</v>
      </c>
      <c r="U64" s="24">
        <v>0</v>
      </c>
      <c r="V64" s="25">
        <f t="shared" si="44"/>
        <v>0</v>
      </c>
      <c r="W64" s="24">
        <v>69.209999999999994</v>
      </c>
      <c r="X64" s="25">
        <f t="shared" si="45"/>
        <v>1.0030434782608695</v>
      </c>
      <c r="Y64" s="24">
        <f>K64</f>
        <v>69</v>
      </c>
      <c r="Z64" s="24">
        <f>Y64</f>
        <v>69</v>
      </c>
    </row>
    <row r="65" spans="1:26" ht="13.9" customHeight="1" x14ac:dyDescent="0.25">
      <c r="A65" s="15">
        <v>3</v>
      </c>
      <c r="B65" s="15">
        <v>3</v>
      </c>
      <c r="C65" s="15">
        <v>5</v>
      </c>
      <c r="D65" s="79" t="s">
        <v>21</v>
      </c>
      <c r="E65" s="48">
        <v>72</v>
      </c>
      <c r="F65" s="48" t="s">
        <v>25</v>
      </c>
      <c r="G65" s="49">
        <f t="shared" ref="G65:Q65" si="47">SUM(G64:G64)</f>
        <v>33</v>
      </c>
      <c r="H65" s="49">
        <f t="shared" si="47"/>
        <v>65.790000000000006</v>
      </c>
      <c r="I65" s="49">
        <f t="shared" si="47"/>
        <v>85</v>
      </c>
      <c r="J65" s="49">
        <f t="shared" si="47"/>
        <v>60</v>
      </c>
      <c r="K65" s="49">
        <f t="shared" si="47"/>
        <v>69</v>
      </c>
      <c r="L65" s="49">
        <f t="shared" si="47"/>
        <v>0</v>
      </c>
      <c r="M65" s="49">
        <f t="shared" si="47"/>
        <v>0</v>
      </c>
      <c r="N65" s="49">
        <f t="shared" si="47"/>
        <v>0</v>
      </c>
      <c r="O65" s="49">
        <f t="shared" si="47"/>
        <v>0</v>
      </c>
      <c r="P65" s="49">
        <f t="shared" si="47"/>
        <v>69</v>
      </c>
      <c r="Q65" s="49">
        <f t="shared" si="47"/>
        <v>0</v>
      </c>
      <c r="R65" s="50">
        <f t="shared" si="42"/>
        <v>0</v>
      </c>
      <c r="S65" s="49">
        <f>SUM(S64:S64)</f>
        <v>0</v>
      </c>
      <c r="T65" s="50">
        <f t="shared" si="43"/>
        <v>0</v>
      </c>
      <c r="U65" s="49">
        <f>SUM(U64:U64)</f>
        <v>0</v>
      </c>
      <c r="V65" s="50">
        <f t="shared" si="44"/>
        <v>0</v>
      </c>
      <c r="W65" s="49">
        <f>SUM(W64:W64)</f>
        <v>69.209999999999994</v>
      </c>
      <c r="X65" s="50">
        <f t="shared" si="45"/>
        <v>1.0030434782608695</v>
      </c>
      <c r="Y65" s="49">
        <f>SUM(Y64:Y64)</f>
        <v>69</v>
      </c>
      <c r="Z65" s="49">
        <f>SUM(Z64:Z64)</f>
        <v>69</v>
      </c>
    </row>
    <row r="66" spans="1:26" ht="13.9" customHeight="1" x14ac:dyDescent="0.25">
      <c r="A66" s="15">
        <v>4</v>
      </c>
      <c r="B66" s="15">
        <v>4</v>
      </c>
      <c r="C66" s="15">
        <v>6</v>
      </c>
      <c r="D66" s="86"/>
      <c r="E66" s="87"/>
      <c r="F66" s="26" t="s">
        <v>120</v>
      </c>
      <c r="G66" s="27">
        <f t="shared" ref="G66:Q66" si="48">G63+G65</f>
        <v>7440.6399999999994</v>
      </c>
      <c r="H66" s="27">
        <f t="shared" si="48"/>
        <v>13133.36</v>
      </c>
      <c r="I66" s="27">
        <f t="shared" si="48"/>
        <v>16365</v>
      </c>
      <c r="J66" s="27">
        <f t="shared" si="48"/>
        <v>15846</v>
      </c>
      <c r="K66" s="27">
        <f t="shared" si="48"/>
        <v>17365</v>
      </c>
      <c r="L66" s="27">
        <f t="shared" si="48"/>
        <v>43</v>
      </c>
      <c r="M66" s="27">
        <f t="shared" si="48"/>
        <v>0</v>
      </c>
      <c r="N66" s="27">
        <f t="shared" si="48"/>
        <v>293</v>
      </c>
      <c r="O66" s="27">
        <f t="shared" si="48"/>
        <v>584</v>
      </c>
      <c r="P66" s="27">
        <f t="shared" si="48"/>
        <v>18285</v>
      </c>
      <c r="Q66" s="27">
        <f t="shared" si="48"/>
        <v>3942.16</v>
      </c>
      <c r="R66" s="28">
        <f t="shared" si="42"/>
        <v>0.215595296691277</v>
      </c>
      <c r="S66" s="27">
        <f>S63+S65</f>
        <v>8192.56</v>
      </c>
      <c r="T66" s="28">
        <f t="shared" si="43"/>
        <v>0.44804812687995621</v>
      </c>
      <c r="U66" s="27">
        <f>U63+U65</f>
        <v>12171.4</v>
      </c>
      <c r="V66" s="28">
        <f t="shared" si="44"/>
        <v>0.66564943943122779</v>
      </c>
      <c r="W66" s="27">
        <f>W63+W65</f>
        <v>18283.559999999998</v>
      </c>
      <c r="X66" s="28">
        <f t="shared" si="45"/>
        <v>0.99992124692370787</v>
      </c>
      <c r="Y66" s="27">
        <f>Y63+Y65</f>
        <v>18862</v>
      </c>
      <c r="Z66" s="27">
        <f>Z63+Z65</f>
        <v>20506</v>
      </c>
    </row>
    <row r="67" spans="1:26" ht="13.9" customHeight="1" x14ac:dyDescent="0.25">
      <c r="D67" s="88"/>
      <c r="E67" s="44"/>
      <c r="F67" s="44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90"/>
      <c r="S67" s="89"/>
      <c r="T67" s="90"/>
      <c r="U67" s="89"/>
      <c r="V67" s="90"/>
      <c r="W67" s="89"/>
      <c r="X67" s="90"/>
      <c r="Y67" s="89"/>
      <c r="Z67" s="89"/>
    </row>
    <row r="68" spans="1:26" ht="13.9" customHeight="1" x14ac:dyDescent="0.25">
      <c r="D68" s="6" t="s">
        <v>133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9" customHeight="1" x14ac:dyDescent="0.25">
      <c r="D69" s="21" t="s">
        <v>32</v>
      </c>
      <c r="E69" s="21" t="s">
        <v>33</v>
      </c>
      <c r="F69" s="21" t="s">
        <v>34</v>
      </c>
      <c r="G69" s="21" t="s">
        <v>1</v>
      </c>
      <c r="H69" s="21" t="s">
        <v>2</v>
      </c>
      <c r="I69" s="21" t="s">
        <v>3</v>
      </c>
      <c r="J69" s="21" t="s">
        <v>4</v>
      </c>
      <c r="K69" s="21" t="s">
        <v>5</v>
      </c>
      <c r="L69" s="21" t="s">
        <v>6</v>
      </c>
      <c r="M69" s="21" t="s">
        <v>7</v>
      </c>
      <c r="N69" s="21" t="s">
        <v>8</v>
      </c>
      <c r="O69" s="21" t="s">
        <v>9</v>
      </c>
      <c r="P69" s="21" t="s">
        <v>10</v>
      </c>
      <c r="Q69" s="21" t="s">
        <v>11</v>
      </c>
      <c r="R69" s="22" t="s">
        <v>12</v>
      </c>
      <c r="S69" s="21" t="s">
        <v>13</v>
      </c>
      <c r="T69" s="22" t="s">
        <v>14</v>
      </c>
      <c r="U69" s="21" t="s">
        <v>15</v>
      </c>
      <c r="V69" s="22" t="s">
        <v>16</v>
      </c>
      <c r="W69" s="21" t="s">
        <v>17</v>
      </c>
      <c r="X69" s="22" t="s">
        <v>18</v>
      </c>
      <c r="Y69" s="21" t="s">
        <v>19</v>
      </c>
      <c r="Z69" s="21" t="s">
        <v>20</v>
      </c>
    </row>
    <row r="70" spans="1:26" ht="13.9" customHeight="1" x14ac:dyDescent="0.25">
      <c r="A70" s="15">
        <v>1</v>
      </c>
      <c r="B70" s="15">
        <v>1</v>
      </c>
      <c r="C70" s="15">
        <v>4</v>
      </c>
      <c r="D70" s="11" t="s">
        <v>124</v>
      </c>
      <c r="E70" s="23">
        <v>630</v>
      </c>
      <c r="F70" s="23" t="s">
        <v>127</v>
      </c>
      <c r="G70" s="24">
        <v>18200.669999999998</v>
      </c>
      <c r="H70" s="24">
        <v>14039.46</v>
      </c>
      <c r="I70" s="24">
        <v>19227</v>
      </c>
      <c r="J70" s="24">
        <v>25840</v>
      </c>
      <c r="K70" s="24">
        <v>30673</v>
      </c>
      <c r="L70" s="24">
        <v>-3531</v>
      </c>
      <c r="M70" s="24">
        <v>-1300</v>
      </c>
      <c r="N70" s="24">
        <f>-1000+731</f>
        <v>-269</v>
      </c>
      <c r="O70" s="24">
        <v>-4695</v>
      </c>
      <c r="P70" s="24">
        <f>K70+SUM(L70:O70)</f>
        <v>20878</v>
      </c>
      <c r="Q70" s="24">
        <v>4373.47</v>
      </c>
      <c r="R70" s="25">
        <f>IFERROR(Q70/$P70,0)</f>
        <v>0.20947744036785135</v>
      </c>
      <c r="S70" s="24">
        <v>8973.92</v>
      </c>
      <c r="T70" s="25">
        <f>IFERROR(S70/$P70,0)</f>
        <v>0.42982661174441994</v>
      </c>
      <c r="U70" s="24">
        <v>11710.7</v>
      </c>
      <c r="V70" s="25">
        <f>IFERROR(U70/$P70,0)</f>
        <v>0.56091100680141781</v>
      </c>
      <c r="W70" s="24">
        <v>17311.439999999999</v>
      </c>
      <c r="X70" s="25">
        <f>IFERROR(W70/$P70,0)</f>
        <v>0.82917137656863682</v>
      </c>
      <c r="Y70" s="24">
        <f>K70</f>
        <v>30673</v>
      </c>
      <c r="Z70" s="24">
        <f>Y70</f>
        <v>30673</v>
      </c>
    </row>
    <row r="71" spans="1:26" ht="13.9" customHeight="1" x14ac:dyDescent="0.25">
      <c r="A71" s="15">
        <v>1</v>
      </c>
      <c r="B71" s="15">
        <v>1</v>
      </c>
      <c r="C71" s="15">
        <v>4</v>
      </c>
      <c r="D71" s="11"/>
      <c r="E71" s="23">
        <v>640</v>
      </c>
      <c r="F71" s="23" t="s">
        <v>128</v>
      </c>
      <c r="G71" s="24">
        <v>0</v>
      </c>
      <c r="H71" s="24">
        <v>258.5</v>
      </c>
      <c r="I71" s="24">
        <v>259</v>
      </c>
      <c r="J71" s="24">
        <v>259</v>
      </c>
      <c r="K71" s="24">
        <v>259</v>
      </c>
      <c r="L71" s="24">
        <v>3531</v>
      </c>
      <c r="M71" s="24"/>
      <c r="N71" s="24"/>
      <c r="O71" s="24"/>
      <c r="P71" s="24">
        <f>K71+SUM(L71:O71)</f>
        <v>3790</v>
      </c>
      <c r="Q71" s="24">
        <v>260.55</v>
      </c>
      <c r="R71" s="25">
        <f>IFERROR(Q71/$P71,0)</f>
        <v>6.8746701846965699E-2</v>
      </c>
      <c r="S71" s="24">
        <v>3791.55</v>
      </c>
      <c r="T71" s="25">
        <f>IFERROR(S71/$P71,0)</f>
        <v>1.0004089709762534</v>
      </c>
      <c r="U71" s="24">
        <v>3791.55</v>
      </c>
      <c r="V71" s="25">
        <f>IFERROR(U71/$P71,0)</f>
        <v>1.0004089709762534</v>
      </c>
      <c r="W71" s="24">
        <v>3791.55</v>
      </c>
      <c r="X71" s="25">
        <f>IFERROR(W71/$P71,0)</f>
        <v>1.0004089709762534</v>
      </c>
      <c r="Y71" s="24">
        <f>K71</f>
        <v>259</v>
      </c>
      <c r="Z71" s="24">
        <f>Y71</f>
        <v>259</v>
      </c>
    </row>
    <row r="72" spans="1:26" ht="13.9" customHeight="1" x14ac:dyDescent="0.25">
      <c r="A72" s="15">
        <v>1</v>
      </c>
      <c r="B72" s="15">
        <v>1</v>
      </c>
      <c r="C72" s="15">
        <v>4</v>
      </c>
      <c r="D72" s="51" t="s">
        <v>132</v>
      </c>
      <c r="E72" s="23">
        <v>630</v>
      </c>
      <c r="F72" s="23" t="s">
        <v>134</v>
      </c>
      <c r="G72" s="24">
        <v>234.69</v>
      </c>
      <c r="H72" s="24">
        <v>251.79</v>
      </c>
      <c r="I72" s="24">
        <v>250</v>
      </c>
      <c r="J72" s="24">
        <v>153</v>
      </c>
      <c r="K72" s="24">
        <v>202</v>
      </c>
      <c r="L72" s="24"/>
      <c r="M72" s="24"/>
      <c r="N72" s="24"/>
      <c r="O72" s="24">
        <v>111</v>
      </c>
      <c r="P72" s="24">
        <f>K72+SUM(L72:O72)</f>
        <v>313</v>
      </c>
      <c r="Q72" s="24">
        <v>52.42</v>
      </c>
      <c r="R72" s="25">
        <f>IFERROR(Q72/$P72,0)</f>
        <v>0.16747603833865815</v>
      </c>
      <c r="S72" s="24">
        <v>98.39</v>
      </c>
      <c r="T72" s="25">
        <f>IFERROR(S72/$P72,0)</f>
        <v>0.31434504792332268</v>
      </c>
      <c r="U72" s="24">
        <v>138.99</v>
      </c>
      <c r="V72" s="25">
        <f>IFERROR(U72/$P72,0)</f>
        <v>0.44405750798722049</v>
      </c>
      <c r="W72" s="24">
        <v>312.93</v>
      </c>
      <c r="X72" s="25">
        <f>IFERROR(W72/$P72,0)</f>
        <v>0.99977635782747609</v>
      </c>
      <c r="Y72" s="24">
        <f>K72</f>
        <v>202</v>
      </c>
      <c r="Z72" s="24">
        <f>Y72</f>
        <v>202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79" t="s">
        <v>21</v>
      </c>
      <c r="E73" s="48">
        <v>41</v>
      </c>
      <c r="F73" s="48" t="s">
        <v>23</v>
      </c>
      <c r="G73" s="49">
        <f t="shared" ref="G73:Q73" si="49">SUM(G70:G72)</f>
        <v>18435.359999999997</v>
      </c>
      <c r="H73" s="49">
        <f t="shared" si="49"/>
        <v>14549.75</v>
      </c>
      <c r="I73" s="49">
        <f t="shared" si="49"/>
        <v>19736</v>
      </c>
      <c r="J73" s="49">
        <f t="shared" si="49"/>
        <v>26252</v>
      </c>
      <c r="K73" s="49">
        <f t="shared" si="49"/>
        <v>31134</v>
      </c>
      <c r="L73" s="49">
        <f t="shared" si="49"/>
        <v>0</v>
      </c>
      <c r="M73" s="49">
        <f t="shared" si="49"/>
        <v>-1300</v>
      </c>
      <c r="N73" s="49">
        <f t="shared" si="49"/>
        <v>-269</v>
      </c>
      <c r="O73" s="49">
        <f t="shared" si="49"/>
        <v>-4584</v>
      </c>
      <c r="P73" s="49">
        <f t="shared" si="49"/>
        <v>24981</v>
      </c>
      <c r="Q73" s="49">
        <f t="shared" si="49"/>
        <v>4686.4400000000005</v>
      </c>
      <c r="R73" s="50">
        <f>IFERROR(Q73/$P73,0)</f>
        <v>0.18760017613386176</v>
      </c>
      <c r="S73" s="49">
        <f>SUM(S70:S72)</f>
        <v>12863.86</v>
      </c>
      <c r="T73" s="50">
        <f>IFERROR(S73/$P73,0)</f>
        <v>0.51494575877667026</v>
      </c>
      <c r="U73" s="49">
        <f>SUM(U70:U72)</f>
        <v>15641.24</v>
      </c>
      <c r="V73" s="50">
        <f>IFERROR(U73/$P73,0)</f>
        <v>0.62612545534606301</v>
      </c>
      <c r="W73" s="49">
        <f>SUM(W70:W72)</f>
        <v>21415.919999999998</v>
      </c>
      <c r="X73" s="50">
        <f>IFERROR(W73/$P73,0)</f>
        <v>0.8572883391377446</v>
      </c>
      <c r="Y73" s="49">
        <f>SUM(Y70:Y72)</f>
        <v>31134</v>
      </c>
      <c r="Z73" s="49">
        <f>SUM(Z70:Z72)</f>
        <v>31134</v>
      </c>
    </row>
    <row r="74" spans="1:26" ht="13.9" customHeight="1" x14ac:dyDescent="0.25">
      <c r="A74" s="15">
        <v>1</v>
      </c>
      <c r="B74" s="15">
        <v>1</v>
      </c>
      <c r="C74" s="15">
        <v>4</v>
      </c>
      <c r="D74" s="86"/>
      <c r="E74" s="87"/>
      <c r="F74" s="26" t="s">
        <v>120</v>
      </c>
      <c r="G74" s="27">
        <f t="shared" ref="G74:Q74" si="50">G73</f>
        <v>18435.359999999997</v>
      </c>
      <c r="H74" s="27">
        <f t="shared" si="50"/>
        <v>14549.75</v>
      </c>
      <c r="I74" s="27">
        <f t="shared" si="50"/>
        <v>19736</v>
      </c>
      <c r="J74" s="27">
        <f t="shared" si="50"/>
        <v>26252</v>
      </c>
      <c r="K74" s="27">
        <f t="shared" si="50"/>
        <v>31134</v>
      </c>
      <c r="L74" s="27">
        <f t="shared" si="50"/>
        <v>0</v>
      </c>
      <c r="M74" s="27">
        <f t="shared" si="50"/>
        <v>-1300</v>
      </c>
      <c r="N74" s="27">
        <f t="shared" si="50"/>
        <v>-269</v>
      </c>
      <c r="O74" s="27">
        <f t="shared" si="50"/>
        <v>-4584</v>
      </c>
      <c r="P74" s="27">
        <f t="shared" si="50"/>
        <v>24981</v>
      </c>
      <c r="Q74" s="27">
        <f t="shared" si="50"/>
        <v>4686.4400000000005</v>
      </c>
      <c r="R74" s="28">
        <f>IFERROR(Q74/$P74,0)</f>
        <v>0.18760017613386176</v>
      </c>
      <c r="S74" s="27">
        <f>S73</f>
        <v>12863.86</v>
      </c>
      <c r="T74" s="28">
        <f>IFERROR(S74/$P74,0)</f>
        <v>0.51494575877667026</v>
      </c>
      <c r="U74" s="27">
        <f>U73</f>
        <v>15641.24</v>
      </c>
      <c r="V74" s="28">
        <f>IFERROR(U74/$P74,0)</f>
        <v>0.62612545534606301</v>
      </c>
      <c r="W74" s="27">
        <f>W73</f>
        <v>21415.919999999998</v>
      </c>
      <c r="X74" s="28">
        <f>IFERROR(W74/$P74,0)</f>
        <v>0.8572883391377446</v>
      </c>
      <c r="Y74" s="27">
        <f>Y73</f>
        <v>31134</v>
      </c>
      <c r="Z74" s="27">
        <f>Z73</f>
        <v>31134</v>
      </c>
    </row>
    <row r="75" spans="1:26" ht="13.9" customHeight="1" x14ac:dyDescent="0.25">
      <c r="D75" s="88"/>
      <c r="E75" s="44"/>
      <c r="F75" s="44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90"/>
      <c r="S75" s="89"/>
      <c r="T75" s="90"/>
      <c r="U75" s="89"/>
      <c r="V75" s="90"/>
      <c r="W75" s="89"/>
      <c r="X75" s="90"/>
      <c r="Y75" s="89"/>
      <c r="Z75" s="89"/>
    </row>
    <row r="76" spans="1:26" ht="13.9" customHeight="1" x14ac:dyDescent="0.25">
      <c r="D76" s="88"/>
      <c r="E76" s="52" t="s">
        <v>55</v>
      </c>
      <c r="F76" s="30" t="s">
        <v>135</v>
      </c>
      <c r="G76" s="53">
        <v>2681.3</v>
      </c>
      <c r="H76" s="53">
        <v>2615.9499999999998</v>
      </c>
      <c r="I76" s="53">
        <v>2890</v>
      </c>
      <c r="J76" s="53">
        <v>2444</v>
      </c>
      <c r="K76" s="53">
        <v>2450</v>
      </c>
      <c r="L76" s="53"/>
      <c r="M76" s="53">
        <v>-100</v>
      </c>
      <c r="N76" s="53">
        <v>550</v>
      </c>
      <c r="O76" s="53"/>
      <c r="P76" s="53">
        <f>K76+SUM(L76:O76)</f>
        <v>2900</v>
      </c>
      <c r="Q76" s="53">
        <v>683.9</v>
      </c>
      <c r="R76" s="54">
        <f>IFERROR(Q76/$P76,0)</f>
        <v>0.23582758620689653</v>
      </c>
      <c r="S76" s="53">
        <v>1196</v>
      </c>
      <c r="T76" s="54">
        <f>IFERROR(S76/$P76,0)</f>
        <v>0.41241379310344828</v>
      </c>
      <c r="U76" s="53">
        <v>2112.6</v>
      </c>
      <c r="V76" s="54">
        <f>IFERROR(U76/$P76,0)</f>
        <v>0.72848275862068967</v>
      </c>
      <c r="W76" s="53">
        <v>2870.5</v>
      </c>
      <c r="X76" s="55">
        <f>IFERROR(W76/$P76,0)</f>
        <v>0.98982758620689659</v>
      </c>
      <c r="Y76" s="53">
        <f>K76</f>
        <v>2450</v>
      </c>
      <c r="Z76" s="56">
        <f>Y76</f>
        <v>2450</v>
      </c>
    </row>
    <row r="77" spans="1:26" ht="13.9" customHeight="1" x14ac:dyDescent="0.25">
      <c r="D77" s="88"/>
      <c r="E77" s="57"/>
      <c r="F77" s="91" t="s">
        <v>136</v>
      </c>
      <c r="G77" s="92">
        <v>7331.48</v>
      </c>
      <c r="H77" s="92">
        <v>913.96</v>
      </c>
      <c r="I77" s="92">
        <v>10000</v>
      </c>
      <c r="J77" s="92">
        <v>7285</v>
      </c>
      <c r="K77" s="92">
        <v>5000</v>
      </c>
      <c r="L77" s="92"/>
      <c r="M77" s="92"/>
      <c r="N77" s="92">
        <v>-34</v>
      </c>
      <c r="O77" s="92"/>
      <c r="P77" s="92">
        <f>K77+SUM(L77:O77)</f>
        <v>4966</v>
      </c>
      <c r="Q77" s="92">
        <v>532.48</v>
      </c>
      <c r="R77" s="93">
        <f>IFERROR(Q77/$P77,0)</f>
        <v>0.10722513089005235</v>
      </c>
      <c r="S77" s="92">
        <v>2052.96</v>
      </c>
      <c r="T77" s="93">
        <f>IFERROR(S77/$P77,0)</f>
        <v>0.41340314136125655</v>
      </c>
      <c r="U77" s="92">
        <v>2052.96</v>
      </c>
      <c r="V77" s="93">
        <f>IFERROR(U77/$P77,0)</f>
        <v>0.41340314136125655</v>
      </c>
      <c r="W77" s="92">
        <v>2763.98</v>
      </c>
      <c r="X77" s="64">
        <f>IFERROR(W77/$P77,0)</f>
        <v>0.55658074909383815</v>
      </c>
      <c r="Y77" s="59">
        <f>K77</f>
        <v>5000</v>
      </c>
      <c r="Z77" s="61">
        <f>Y77</f>
        <v>5000</v>
      </c>
    </row>
    <row r="78" spans="1:26" ht="13.9" customHeight="1" x14ac:dyDescent="0.25">
      <c r="D78" s="88"/>
      <c r="E78" s="57"/>
      <c r="F78" s="15" t="s">
        <v>137</v>
      </c>
      <c r="G78" s="59">
        <v>1284</v>
      </c>
      <c r="H78" s="59">
        <v>2178</v>
      </c>
      <c r="I78" s="59">
        <v>2178</v>
      </c>
      <c r="J78" s="59">
        <v>2380</v>
      </c>
      <c r="K78" s="59">
        <v>2380</v>
      </c>
      <c r="L78" s="59"/>
      <c r="M78" s="59"/>
      <c r="N78" s="59">
        <v>253</v>
      </c>
      <c r="O78" s="59"/>
      <c r="P78" s="59">
        <f>K78+SUM(L78:O78)</f>
        <v>2633</v>
      </c>
      <c r="Q78" s="59">
        <v>592.20000000000005</v>
      </c>
      <c r="R78" s="16">
        <f>IFERROR(Q78/$P78,0)</f>
        <v>0.22491454614508166</v>
      </c>
      <c r="S78" s="59">
        <v>1246.58</v>
      </c>
      <c r="T78" s="16">
        <f>IFERROR(S78/$P78,0)</f>
        <v>0.47344473984048613</v>
      </c>
      <c r="U78" s="59">
        <v>1900.96</v>
      </c>
      <c r="V78" s="16">
        <f>IFERROR(U78/$P78,0)</f>
        <v>0.7219749335358906</v>
      </c>
      <c r="W78" s="59">
        <v>2633.34</v>
      </c>
      <c r="X78" s="60">
        <f>IFERROR(W78/$P78,0)</f>
        <v>1.0001291302696544</v>
      </c>
      <c r="Y78" s="59">
        <f>K78</f>
        <v>2380</v>
      </c>
      <c r="Z78" s="61">
        <f>Y78</f>
        <v>2380</v>
      </c>
    </row>
    <row r="79" spans="1:26" ht="13.9" customHeight="1" x14ac:dyDescent="0.25">
      <c r="D79" s="88"/>
      <c r="E79" s="57"/>
      <c r="F79" s="91" t="s">
        <v>138</v>
      </c>
      <c r="G79" s="82">
        <v>661.26</v>
      </c>
      <c r="H79" s="82">
        <v>3249.6</v>
      </c>
      <c r="I79" s="82">
        <v>2141</v>
      </c>
      <c r="J79" s="82">
        <v>2141</v>
      </c>
      <c r="K79" s="82">
        <f>2141+3500</f>
        <v>5641</v>
      </c>
      <c r="L79" s="82"/>
      <c r="M79" s="82">
        <v>-2</v>
      </c>
      <c r="N79" s="82"/>
      <c r="O79" s="82"/>
      <c r="P79" s="82">
        <f>K79+SUM(L79:O79)</f>
        <v>5639</v>
      </c>
      <c r="Q79" s="82">
        <f>475.2</f>
        <v>475.2</v>
      </c>
      <c r="R79" s="83">
        <f>IFERROR(Q79/$P79,0)</f>
        <v>8.4270260684518525E-2</v>
      </c>
      <c r="S79" s="82">
        <v>4481.3999999999996</v>
      </c>
      <c r="T79" s="83">
        <f>IFERROR(S79/$P79,0)</f>
        <v>0.79471537506650114</v>
      </c>
      <c r="U79" s="82">
        <v>4956.6000000000004</v>
      </c>
      <c r="V79" s="83">
        <f>IFERROR(U79/$P79,0)</f>
        <v>0.87898563575101973</v>
      </c>
      <c r="W79" s="82">
        <v>5431.8</v>
      </c>
      <c r="X79" s="60">
        <f>IFERROR(W79/$P79,0)</f>
        <v>0.96325589643553822</v>
      </c>
      <c r="Y79" s="82">
        <v>3500</v>
      </c>
      <c r="Z79" s="61">
        <f>Y79</f>
        <v>3500</v>
      </c>
    </row>
    <row r="80" spans="1:26" ht="13.9" customHeight="1" x14ac:dyDescent="0.25">
      <c r="D80" s="88"/>
      <c r="E80" s="65"/>
      <c r="F80" s="94" t="s">
        <v>139</v>
      </c>
      <c r="G80" s="67"/>
      <c r="H80" s="67"/>
      <c r="I80" s="67"/>
      <c r="J80" s="67"/>
      <c r="K80" s="67">
        <v>10000</v>
      </c>
      <c r="L80" s="67"/>
      <c r="M80" s="67">
        <v>-1300</v>
      </c>
      <c r="N80" s="67">
        <v>-1000</v>
      </c>
      <c r="O80" s="67">
        <v>-5258</v>
      </c>
      <c r="P80" s="67">
        <f>K80+SUM(L80:O80)</f>
        <v>2442</v>
      </c>
      <c r="Q80" s="67">
        <v>0</v>
      </c>
      <c r="R80" s="68">
        <f>IFERROR(Q80/$P80,0)</f>
        <v>0</v>
      </c>
      <c r="S80" s="67">
        <v>250</v>
      </c>
      <c r="T80" s="68">
        <f>IFERROR(S80/$P80,0)</f>
        <v>0.10237510237510238</v>
      </c>
      <c r="U80" s="67">
        <v>250</v>
      </c>
      <c r="V80" s="68">
        <f>IFERROR(U80/$P80,0)</f>
        <v>0.10237510237510238</v>
      </c>
      <c r="W80" s="67">
        <v>1330</v>
      </c>
      <c r="X80" s="69">
        <f>IFERROR(W80/$P80,0)</f>
        <v>0.54463554463554464</v>
      </c>
      <c r="Y80" s="67">
        <f>K80</f>
        <v>10000</v>
      </c>
      <c r="Z80" s="70">
        <f>Y80</f>
        <v>10000</v>
      </c>
    </row>
    <row r="81" spans="1:26" ht="13.9" customHeight="1" x14ac:dyDescent="0.25">
      <c r="D81" s="88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S81" s="59"/>
      <c r="U81" s="59"/>
      <c r="W81" s="59"/>
      <c r="Y81" s="59"/>
      <c r="Z81" s="59"/>
    </row>
    <row r="82" spans="1:26" ht="13.9" customHeight="1" x14ac:dyDescent="0.25">
      <c r="D82" s="6" t="s">
        <v>140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9" customHeight="1" x14ac:dyDescent="0.25">
      <c r="D83" s="21" t="s">
        <v>32</v>
      </c>
      <c r="E83" s="21" t="s">
        <v>33</v>
      </c>
      <c r="F83" s="21" t="s">
        <v>34</v>
      </c>
      <c r="G83" s="21" t="s">
        <v>1</v>
      </c>
      <c r="H83" s="21" t="s">
        <v>2</v>
      </c>
      <c r="I83" s="21" t="s">
        <v>3</v>
      </c>
      <c r="J83" s="21" t="s">
        <v>4</v>
      </c>
      <c r="K83" s="21" t="s">
        <v>5</v>
      </c>
      <c r="L83" s="21" t="s">
        <v>6</v>
      </c>
      <c r="M83" s="21" t="s">
        <v>7</v>
      </c>
      <c r="N83" s="21" t="s">
        <v>8</v>
      </c>
      <c r="O83" s="21" t="s">
        <v>9</v>
      </c>
      <c r="P83" s="21" t="s">
        <v>10</v>
      </c>
      <c r="Q83" s="21" t="s">
        <v>11</v>
      </c>
      <c r="R83" s="22" t="s">
        <v>12</v>
      </c>
      <c r="S83" s="21" t="s">
        <v>13</v>
      </c>
      <c r="T83" s="22" t="s">
        <v>14</v>
      </c>
      <c r="U83" s="21" t="s">
        <v>15</v>
      </c>
      <c r="V83" s="22" t="s">
        <v>16</v>
      </c>
      <c r="W83" s="21" t="s">
        <v>17</v>
      </c>
      <c r="X83" s="22" t="s">
        <v>18</v>
      </c>
      <c r="Y83" s="21" t="s">
        <v>19</v>
      </c>
      <c r="Z83" s="21" t="s">
        <v>20</v>
      </c>
    </row>
    <row r="84" spans="1:26" ht="13.9" customHeight="1" x14ac:dyDescent="0.25">
      <c r="A84" s="15">
        <v>1</v>
      </c>
      <c r="B84" s="15">
        <v>1</v>
      </c>
      <c r="C84" s="15">
        <v>5</v>
      </c>
      <c r="D84" s="51" t="s">
        <v>124</v>
      </c>
      <c r="E84" s="23">
        <v>630</v>
      </c>
      <c r="F84" s="23" t="s">
        <v>127</v>
      </c>
      <c r="G84" s="24">
        <v>0</v>
      </c>
      <c r="H84" s="46">
        <v>0</v>
      </c>
      <c r="I84" s="24">
        <v>0</v>
      </c>
      <c r="J84" s="24">
        <v>2312</v>
      </c>
      <c r="K84" s="24">
        <v>0</v>
      </c>
      <c r="L84" s="24"/>
      <c r="M84" s="24"/>
      <c r="N84" s="24"/>
      <c r="O84" s="24">
        <v>3751</v>
      </c>
      <c r="P84" s="46">
        <f>K84+SUM(L84:O84)</f>
        <v>3751</v>
      </c>
      <c r="Q84" s="46">
        <v>0</v>
      </c>
      <c r="R84" s="47">
        <f t="shared" ref="R84:R92" si="51">IFERROR(Q84/$P84,0)</f>
        <v>0</v>
      </c>
      <c r="S84" s="46">
        <v>0</v>
      </c>
      <c r="T84" s="47">
        <f t="shared" ref="T84:T92" si="52">IFERROR(S84/$P84,0)</f>
        <v>0</v>
      </c>
      <c r="U84" s="46">
        <v>0</v>
      </c>
      <c r="V84" s="47">
        <f t="shared" ref="V84:V92" si="53">IFERROR(U84/$P84,0)</f>
        <v>0</v>
      </c>
      <c r="W84" s="46">
        <v>3751</v>
      </c>
      <c r="X84" s="47">
        <f t="shared" ref="X84:X92" si="54">IFERROR(W84/$P84,0)</f>
        <v>1</v>
      </c>
      <c r="Y84" s="24">
        <v>0</v>
      </c>
      <c r="Z84" s="24">
        <v>0</v>
      </c>
    </row>
    <row r="85" spans="1:26" ht="13.9" customHeight="1" x14ac:dyDescent="0.25">
      <c r="A85" s="15">
        <v>1</v>
      </c>
      <c r="B85" s="15">
        <v>1</v>
      </c>
      <c r="C85" s="15">
        <v>5</v>
      </c>
      <c r="D85" s="79" t="s">
        <v>21</v>
      </c>
      <c r="E85" s="48">
        <v>111</v>
      </c>
      <c r="F85" s="48" t="s">
        <v>23</v>
      </c>
      <c r="G85" s="49">
        <f t="shared" ref="G85:Q85" si="55">SUM(G84:G84)</f>
        <v>0</v>
      </c>
      <c r="H85" s="49">
        <f t="shared" si="55"/>
        <v>0</v>
      </c>
      <c r="I85" s="49">
        <f t="shared" si="55"/>
        <v>0</v>
      </c>
      <c r="J85" s="49">
        <f t="shared" si="55"/>
        <v>2312</v>
      </c>
      <c r="K85" s="49">
        <f t="shared" si="55"/>
        <v>0</v>
      </c>
      <c r="L85" s="49">
        <f t="shared" si="55"/>
        <v>0</v>
      </c>
      <c r="M85" s="49">
        <f t="shared" si="55"/>
        <v>0</v>
      </c>
      <c r="N85" s="49">
        <f t="shared" si="55"/>
        <v>0</v>
      </c>
      <c r="O85" s="49">
        <f t="shared" si="55"/>
        <v>3751</v>
      </c>
      <c r="P85" s="49">
        <f t="shared" si="55"/>
        <v>3751</v>
      </c>
      <c r="Q85" s="49">
        <f t="shared" si="55"/>
        <v>0</v>
      </c>
      <c r="R85" s="50">
        <f t="shared" si="51"/>
        <v>0</v>
      </c>
      <c r="S85" s="49">
        <f>SUM(S84:S84)</f>
        <v>0</v>
      </c>
      <c r="T85" s="50">
        <f t="shared" si="52"/>
        <v>0</v>
      </c>
      <c r="U85" s="49">
        <f>SUM(U84:U84)</f>
        <v>0</v>
      </c>
      <c r="V85" s="50">
        <f t="shared" si="53"/>
        <v>0</v>
      </c>
      <c r="W85" s="49">
        <f>SUM(W84:W84)</f>
        <v>3751</v>
      </c>
      <c r="X85" s="50">
        <f t="shared" si="54"/>
        <v>1</v>
      </c>
      <c r="Y85" s="49">
        <f>SUM(Y84:Y84)</f>
        <v>0</v>
      </c>
      <c r="Z85" s="49">
        <f>SUM(Z84:Z84)</f>
        <v>0</v>
      </c>
    </row>
    <row r="86" spans="1:26" ht="13.9" customHeight="1" x14ac:dyDescent="0.25">
      <c r="A86" s="15">
        <v>1</v>
      </c>
      <c r="B86" s="15">
        <v>1</v>
      </c>
      <c r="C86" s="15">
        <v>5</v>
      </c>
      <c r="D86" s="11" t="s">
        <v>124</v>
      </c>
      <c r="E86" s="23">
        <v>610</v>
      </c>
      <c r="F86" s="23" t="s">
        <v>125</v>
      </c>
      <c r="G86" s="46">
        <v>660.66</v>
      </c>
      <c r="H86" s="24">
        <v>6153.5</v>
      </c>
      <c r="I86" s="24">
        <v>20861</v>
      </c>
      <c r="J86" s="24">
        <v>9303</v>
      </c>
      <c r="K86" s="24">
        <v>10050</v>
      </c>
      <c r="L86" s="24"/>
      <c r="M86" s="24"/>
      <c r="N86" s="24"/>
      <c r="O86" s="24">
        <v>-31</v>
      </c>
      <c r="P86" s="46">
        <f>K86+SUM(L86:O86)</f>
        <v>10019</v>
      </c>
      <c r="Q86" s="46">
        <v>2334</v>
      </c>
      <c r="R86" s="47">
        <f t="shared" si="51"/>
        <v>0.23295738097614532</v>
      </c>
      <c r="S86" s="46">
        <v>4668</v>
      </c>
      <c r="T86" s="47">
        <f t="shared" si="52"/>
        <v>0.46591476195229065</v>
      </c>
      <c r="U86" s="46">
        <v>7002</v>
      </c>
      <c r="V86" s="47">
        <f t="shared" si="53"/>
        <v>0.69887214292843602</v>
      </c>
      <c r="W86" s="46">
        <v>10019.26</v>
      </c>
      <c r="X86" s="47">
        <f t="shared" si="54"/>
        <v>1.0000259506936819</v>
      </c>
      <c r="Y86" s="24">
        <v>10984</v>
      </c>
      <c r="Z86" s="24">
        <v>12011</v>
      </c>
    </row>
    <row r="87" spans="1:26" ht="13.9" customHeight="1" x14ac:dyDescent="0.25">
      <c r="A87" s="15">
        <v>1</v>
      </c>
      <c r="B87" s="15">
        <v>1</v>
      </c>
      <c r="C87" s="15">
        <v>5</v>
      </c>
      <c r="D87" s="11" t="s">
        <v>141</v>
      </c>
      <c r="E87" s="23">
        <v>620</v>
      </c>
      <c r="F87" s="23" t="s">
        <v>126</v>
      </c>
      <c r="G87" s="46">
        <v>234.16</v>
      </c>
      <c r="H87" s="24">
        <v>2601.7600000000002</v>
      </c>
      <c r="I87" s="24">
        <v>7743</v>
      </c>
      <c r="J87" s="24">
        <v>3273</v>
      </c>
      <c r="K87" s="24">
        <v>4164</v>
      </c>
      <c r="L87" s="24"/>
      <c r="M87" s="24"/>
      <c r="N87" s="24"/>
      <c r="O87" s="24">
        <v>-636</v>
      </c>
      <c r="P87" s="46">
        <f>K87+SUM(L87:O87)</f>
        <v>3528</v>
      </c>
      <c r="Q87" s="46">
        <v>831.26</v>
      </c>
      <c r="R87" s="47">
        <f t="shared" si="51"/>
        <v>0.23561791383219954</v>
      </c>
      <c r="S87" s="46">
        <v>1670.3</v>
      </c>
      <c r="T87" s="47">
        <f t="shared" si="52"/>
        <v>0.47344104308390023</v>
      </c>
      <c r="U87" s="46">
        <v>2509.34</v>
      </c>
      <c r="V87" s="47">
        <f t="shared" si="53"/>
        <v>0.71126417233560091</v>
      </c>
      <c r="W87" s="46">
        <v>3526.65</v>
      </c>
      <c r="X87" s="47">
        <f t="shared" si="54"/>
        <v>0.99961734693877558</v>
      </c>
      <c r="Y87" s="24">
        <v>4539</v>
      </c>
      <c r="Z87" s="24">
        <v>4897</v>
      </c>
    </row>
    <row r="88" spans="1:26" ht="13.9" customHeight="1" x14ac:dyDescent="0.25">
      <c r="A88" s="15">
        <v>1</v>
      </c>
      <c r="B88" s="15">
        <v>1</v>
      </c>
      <c r="C88" s="15">
        <v>5</v>
      </c>
      <c r="D88" s="11" t="s">
        <v>142</v>
      </c>
      <c r="E88" s="23">
        <v>630</v>
      </c>
      <c r="F88" s="23" t="s">
        <v>127</v>
      </c>
      <c r="G88" s="46">
        <v>18617.55</v>
      </c>
      <c r="H88" s="24">
        <v>29350.68</v>
      </c>
      <c r="I88" s="24">
        <v>44595</v>
      </c>
      <c r="J88" s="24">
        <v>26845</v>
      </c>
      <c r="K88" s="24">
        <f>3419+29111</f>
        <v>32530</v>
      </c>
      <c r="L88" s="24">
        <v>-3653</v>
      </c>
      <c r="M88" s="24">
        <v>1417</v>
      </c>
      <c r="N88" s="24"/>
      <c r="O88" s="24">
        <v>-1244</v>
      </c>
      <c r="P88" s="46">
        <f>K88+SUM(L88:O88)</f>
        <v>29050</v>
      </c>
      <c r="Q88" s="46">
        <v>5357.28</v>
      </c>
      <c r="R88" s="47">
        <f t="shared" si="51"/>
        <v>0.18441583476764198</v>
      </c>
      <c r="S88" s="46">
        <v>18769.59</v>
      </c>
      <c r="T88" s="47">
        <f t="shared" si="52"/>
        <v>0.64611325301204825</v>
      </c>
      <c r="U88" s="46">
        <v>27529.77</v>
      </c>
      <c r="V88" s="47">
        <f t="shared" si="53"/>
        <v>0.94766850258175561</v>
      </c>
      <c r="W88" s="46">
        <v>29029.040000000001</v>
      </c>
      <c r="X88" s="47">
        <f t="shared" si="54"/>
        <v>0.99927848537005171</v>
      </c>
      <c r="Y88" s="24">
        <f>3409+29111</f>
        <v>32520</v>
      </c>
      <c r="Z88" s="24">
        <f>3431+29111</f>
        <v>32542</v>
      </c>
    </row>
    <row r="89" spans="1:26" ht="13.9" customHeight="1" x14ac:dyDescent="0.25">
      <c r="A89" s="15">
        <v>1</v>
      </c>
      <c r="B89" s="15">
        <v>1</v>
      </c>
      <c r="C89" s="15">
        <v>5</v>
      </c>
      <c r="D89" s="79" t="s">
        <v>21</v>
      </c>
      <c r="E89" s="48">
        <v>41</v>
      </c>
      <c r="F89" s="48" t="s">
        <v>23</v>
      </c>
      <c r="G89" s="49">
        <f t="shared" ref="G89:Q89" si="56">SUM(G86:G88)</f>
        <v>19512.37</v>
      </c>
      <c r="H89" s="49">
        <f t="shared" si="56"/>
        <v>38105.94</v>
      </c>
      <c r="I89" s="49">
        <f t="shared" si="56"/>
        <v>73199</v>
      </c>
      <c r="J89" s="49">
        <f t="shared" si="56"/>
        <v>39421</v>
      </c>
      <c r="K89" s="49">
        <f t="shared" si="56"/>
        <v>46744</v>
      </c>
      <c r="L89" s="49">
        <f t="shared" si="56"/>
        <v>-3653</v>
      </c>
      <c r="M89" s="49">
        <f t="shared" si="56"/>
        <v>1417</v>
      </c>
      <c r="N89" s="49">
        <f t="shared" si="56"/>
        <v>0</v>
      </c>
      <c r="O89" s="49">
        <f t="shared" si="56"/>
        <v>-1911</v>
      </c>
      <c r="P89" s="49">
        <f t="shared" si="56"/>
        <v>42597</v>
      </c>
      <c r="Q89" s="49">
        <f t="shared" si="56"/>
        <v>8522.5400000000009</v>
      </c>
      <c r="R89" s="50">
        <f t="shared" si="51"/>
        <v>0.20007371411132241</v>
      </c>
      <c r="S89" s="49">
        <f>SUM(S86:S88)</f>
        <v>25107.89</v>
      </c>
      <c r="T89" s="50">
        <f t="shared" si="52"/>
        <v>0.58942859825809324</v>
      </c>
      <c r="U89" s="49">
        <f>SUM(U86:U88)</f>
        <v>37041.11</v>
      </c>
      <c r="V89" s="50">
        <f t="shared" si="53"/>
        <v>0.8695708617977792</v>
      </c>
      <c r="W89" s="49">
        <f>SUM(W86:W88)</f>
        <v>42574.95</v>
      </c>
      <c r="X89" s="50">
        <f t="shared" si="54"/>
        <v>0.99948235791252893</v>
      </c>
      <c r="Y89" s="49">
        <f>SUM(Y86:Y88)</f>
        <v>48043</v>
      </c>
      <c r="Z89" s="49">
        <f>SUM(Z86:Z88)</f>
        <v>49450</v>
      </c>
    </row>
    <row r="90" spans="1:26" ht="13.9" customHeight="1" x14ac:dyDescent="0.25">
      <c r="A90" s="15">
        <v>1</v>
      </c>
      <c r="B90" s="15">
        <v>1</v>
      </c>
      <c r="C90" s="15">
        <v>5</v>
      </c>
      <c r="D90" s="80" t="s">
        <v>124</v>
      </c>
      <c r="E90" s="23">
        <v>640</v>
      </c>
      <c r="F90" s="23" t="s">
        <v>128</v>
      </c>
      <c r="G90" s="24">
        <v>6</v>
      </c>
      <c r="H90" s="24">
        <v>132.69</v>
      </c>
      <c r="I90" s="24">
        <v>386</v>
      </c>
      <c r="J90" s="24">
        <v>154</v>
      </c>
      <c r="K90" s="24">
        <v>155</v>
      </c>
      <c r="L90" s="24"/>
      <c r="M90" s="24"/>
      <c r="N90" s="24"/>
      <c r="O90" s="24">
        <v>-6</v>
      </c>
      <c r="P90" s="24">
        <f>K90+SUM(L90:O90)</f>
        <v>149</v>
      </c>
      <c r="Q90" s="24">
        <v>0</v>
      </c>
      <c r="R90" s="25">
        <f t="shared" si="51"/>
        <v>0</v>
      </c>
      <c r="S90" s="24">
        <v>0</v>
      </c>
      <c r="T90" s="25">
        <f t="shared" si="52"/>
        <v>0</v>
      </c>
      <c r="U90" s="24">
        <v>0</v>
      </c>
      <c r="V90" s="25">
        <f t="shared" si="53"/>
        <v>0</v>
      </c>
      <c r="W90" s="24">
        <v>149.47</v>
      </c>
      <c r="X90" s="25">
        <f t="shared" si="54"/>
        <v>1.0031543624161074</v>
      </c>
      <c r="Y90" s="24">
        <v>153</v>
      </c>
      <c r="Z90" s="24">
        <v>154</v>
      </c>
    </row>
    <row r="91" spans="1:26" ht="13.9" customHeight="1" x14ac:dyDescent="0.25">
      <c r="A91" s="15">
        <v>1</v>
      </c>
      <c r="B91" s="15">
        <v>1</v>
      </c>
      <c r="C91" s="15">
        <v>5</v>
      </c>
      <c r="D91" s="79" t="s">
        <v>21</v>
      </c>
      <c r="E91" s="48">
        <v>72</v>
      </c>
      <c r="F91" s="48" t="s">
        <v>25</v>
      </c>
      <c r="G91" s="49">
        <f t="shared" ref="G91:Q91" si="57">SUM(G90:G90)</f>
        <v>6</v>
      </c>
      <c r="H91" s="49">
        <f t="shared" si="57"/>
        <v>132.69</v>
      </c>
      <c r="I91" s="49">
        <f t="shared" si="57"/>
        <v>386</v>
      </c>
      <c r="J91" s="49">
        <f t="shared" si="57"/>
        <v>154</v>
      </c>
      <c r="K91" s="49">
        <f t="shared" si="57"/>
        <v>155</v>
      </c>
      <c r="L91" s="49">
        <f t="shared" si="57"/>
        <v>0</v>
      </c>
      <c r="M91" s="49">
        <f t="shared" si="57"/>
        <v>0</v>
      </c>
      <c r="N91" s="49">
        <f t="shared" si="57"/>
        <v>0</v>
      </c>
      <c r="O91" s="49">
        <f t="shared" si="57"/>
        <v>-6</v>
      </c>
      <c r="P91" s="49">
        <f t="shared" si="57"/>
        <v>149</v>
      </c>
      <c r="Q91" s="49">
        <f t="shared" si="57"/>
        <v>0</v>
      </c>
      <c r="R91" s="50">
        <f t="shared" si="51"/>
        <v>0</v>
      </c>
      <c r="S91" s="49">
        <f>SUM(S90:S90)</f>
        <v>0</v>
      </c>
      <c r="T91" s="50">
        <f t="shared" si="52"/>
        <v>0</v>
      </c>
      <c r="U91" s="49">
        <f>SUM(U90:U90)</f>
        <v>0</v>
      </c>
      <c r="V91" s="50">
        <f t="shared" si="53"/>
        <v>0</v>
      </c>
      <c r="W91" s="49">
        <f>SUM(W90:W90)</f>
        <v>149.47</v>
      </c>
      <c r="X91" s="50">
        <f t="shared" si="54"/>
        <v>1.0031543624161074</v>
      </c>
      <c r="Y91" s="49">
        <f>SUM(Y90:Y90)</f>
        <v>153</v>
      </c>
      <c r="Z91" s="49">
        <f>SUM(Z90:Z90)</f>
        <v>154</v>
      </c>
    </row>
    <row r="92" spans="1:26" ht="13.9" customHeight="1" x14ac:dyDescent="0.25">
      <c r="A92" s="15">
        <v>1</v>
      </c>
      <c r="B92" s="15">
        <v>1</v>
      </c>
      <c r="C92" s="15">
        <v>5</v>
      </c>
      <c r="D92" s="86"/>
      <c r="E92" s="87"/>
      <c r="F92" s="26" t="s">
        <v>120</v>
      </c>
      <c r="G92" s="27">
        <f t="shared" ref="G92:Q92" si="58">G85+G89+G91</f>
        <v>19518.37</v>
      </c>
      <c r="H92" s="27">
        <f t="shared" si="58"/>
        <v>38238.630000000005</v>
      </c>
      <c r="I92" s="27">
        <f t="shared" si="58"/>
        <v>73585</v>
      </c>
      <c r="J92" s="27">
        <f t="shared" si="58"/>
        <v>41887</v>
      </c>
      <c r="K92" s="27">
        <f t="shared" si="58"/>
        <v>46899</v>
      </c>
      <c r="L92" s="27">
        <f t="shared" si="58"/>
        <v>-3653</v>
      </c>
      <c r="M92" s="27">
        <f t="shared" si="58"/>
        <v>1417</v>
      </c>
      <c r="N92" s="27">
        <f t="shared" si="58"/>
        <v>0</v>
      </c>
      <c r="O92" s="27">
        <f t="shared" si="58"/>
        <v>1834</v>
      </c>
      <c r="P92" s="27">
        <f t="shared" si="58"/>
        <v>46497</v>
      </c>
      <c r="Q92" s="27">
        <f t="shared" si="58"/>
        <v>8522.5400000000009</v>
      </c>
      <c r="R92" s="28">
        <f t="shared" si="51"/>
        <v>0.18329225541432784</v>
      </c>
      <c r="S92" s="27">
        <f>S85+S89+S91</f>
        <v>25107.89</v>
      </c>
      <c r="T92" s="28">
        <f t="shared" si="52"/>
        <v>0.53998946168570017</v>
      </c>
      <c r="U92" s="27">
        <f>U85+U89+U91</f>
        <v>37041.11</v>
      </c>
      <c r="V92" s="28">
        <f t="shared" si="53"/>
        <v>0.79663440652085082</v>
      </c>
      <c r="W92" s="27">
        <f>W85+W89+W91</f>
        <v>46475.42</v>
      </c>
      <c r="X92" s="28">
        <f t="shared" si="54"/>
        <v>0.99953588403552918</v>
      </c>
      <c r="Y92" s="27">
        <f>Y85+Y89+Y91</f>
        <v>48196</v>
      </c>
      <c r="Z92" s="27">
        <f>Z85+Z89+Z91</f>
        <v>49604</v>
      </c>
    </row>
    <row r="93" spans="1:26" ht="13.9" customHeight="1" x14ac:dyDescent="0.25">
      <c r="D93" s="88"/>
      <c r="E93" s="44"/>
      <c r="F93" s="44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90"/>
      <c r="S93" s="89"/>
      <c r="T93" s="90"/>
      <c r="U93" s="89"/>
      <c r="V93" s="90"/>
      <c r="W93" s="89"/>
      <c r="X93" s="90"/>
      <c r="Y93" s="89"/>
      <c r="Z93" s="89"/>
    </row>
    <row r="94" spans="1:26" ht="13.9" customHeight="1" x14ac:dyDescent="0.25">
      <c r="D94" s="88"/>
      <c r="E94" s="52" t="s">
        <v>55</v>
      </c>
      <c r="F94" s="30" t="s">
        <v>143</v>
      </c>
      <c r="G94" s="53">
        <v>981.75</v>
      </c>
      <c r="H94" s="53">
        <v>1361.02</v>
      </c>
      <c r="I94" s="53">
        <v>3609</v>
      </c>
      <c r="J94" s="53">
        <v>3137</v>
      </c>
      <c r="K94" s="53">
        <v>3137</v>
      </c>
      <c r="L94" s="53"/>
      <c r="M94" s="53">
        <v>-1883</v>
      </c>
      <c r="N94" s="53"/>
      <c r="O94" s="53">
        <v>26</v>
      </c>
      <c r="P94" s="53">
        <f t="shared" ref="P94:P99" si="59">K94+SUM(L94:O94)</f>
        <v>1280</v>
      </c>
      <c r="Q94" s="53">
        <v>359.3</v>
      </c>
      <c r="R94" s="54">
        <f t="shared" ref="R94:R99" si="60">IFERROR(Q94/$P94,0)</f>
        <v>0.280703125</v>
      </c>
      <c r="S94" s="53">
        <v>622.35</v>
      </c>
      <c r="T94" s="54">
        <f t="shared" ref="T94:T99" si="61">IFERROR(S94/$P94,0)</f>
        <v>0.4862109375</v>
      </c>
      <c r="U94" s="53">
        <v>902.59</v>
      </c>
      <c r="V94" s="54">
        <f t="shared" ref="V94:V99" si="62">IFERROR(U94/$P94,0)</f>
        <v>0.7051484375</v>
      </c>
      <c r="W94" s="53">
        <v>1279.6099999999999</v>
      </c>
      <c r="X94" s="55">
        <f t="shared" ref="X94:X99" si="63">IFERROR(W94/$P94,0)</f>
        <v>0.99969531249999988</v>
      </c>
      <c r="Y94" s="53">
        <f t="shared" ref="Y94:Y99" si="64">K94</f>
        <v>3137</v>
      </c>
      <c r="Z94" s="56">
        <f t="shared" ref="Z94:Z99" si="65">Y94</f>
        <v>3137</v>
      </c>
    </row>
    <row r="95" spans="1:26" ht="13.9" customHeight="1" x14ac:dyDescent="0.25">
      <c r="D95" s="88"/>
      <c r="E95" s="57"/>
      <c r="F95" s="15" t="s">
        <v>144</v>
      </c>
      <c r="G95" s="59">
        <v>1522.8</v>
      </c>
      <c r="H95" s="59">
        <v>4493.5</v>
      </c>
      <c r="I95" s="59">
        <v>12403</v>
      </c>
      <c r="J95" s="59">
        <v>12404</v>
      </c>
      <c r="K95" s="59">
        <v>12404</v>
      </c>
      <c r="L95" s="59">
        <v>-8653</v>
      </c>
      <c r="M95" s="59"/>
      <c r="N95" s="59"/>
      <c r="O95" s="59"/>
      <c r="P95" s="59">
        <f t="shared" si="59"/>
        <v>3751</v>
      </c>
      <c r="Q95" s="59">
        <v>682</v>
      </c>
      <c r="R95" s="16">
        <f t="shared" si="60"/>
        <v>0.18181818181818182</v>
      </c>
      <c r="S95" s="59">
        <v>1705</v>
      </c>
      <c r="T95" s="16">
        <f t="shared" si="61"/>
        <v>0.45454545454545453</v>
      </c>
      <c r="U95" s="59">
        <v>2728</v>
      </c>
      <c r="V95" s="16">
        <f t="shared" si="62"/>
        <v>0.72727272727272729</v>
      </c>
      <c r="W95" s="59">
        <v>3751</v>
      </c>
      <c r="X95" s="60">
        <f t="shared" si="63"/>
        <v>1</v>
      </c>
      <c r="Y95" s="59">
        <f t="shared" si="64"/>
        <v>12404</v>
      </c>
      <c r="Z95" s="61">
        <f t="shared" si="65"/>
        <v>12404</v>
      </c>
    </row>
    <row r="96" spans="1:26" ht="13.9" customHeight="1" x14ac:dyDescent="0.25">
      <c r="D96" s="88"/>
      <c r="E96" s="57"/>
      <c r="F96" s="15" t="s">
        <v>145</v>
      </c>
      <c r="G96" s="59">
        <v>1845.31</v>
      </c>
      <c r="H96" s="59">
        <v>1923.15</v>
      </c>
      <c r="I96" s="59">
        <v>1950</v>
      </c>
      <c r="J96" s="59">
        <v>2001</v>
      </c>
      <c r="K96" s="59">
        <v>2001</v>
      </c>
      <c r="L96" s="59"/>
      <c r="M96" s="59"/>
      <c r="N96" s="59"/>
      <c r="O96" s="59">
        <v>90</v>
      </c>
      <c r="P96" s="59">
        <f t="shared" si="59"/>
        <v>2091</v>
      </c>
      <c r="Q96" s="59">
        <v>249.03</v>
      </c>
      <c r="R96" s="16">
        <f t="shared" si="60"/>
        <v>0.1190961262553802</v>
      </c>
      <c r="S96" s="59">
        <v>293.42</v>
      </c>
      <c r="T96" s="16">
        <f t="shared" si="61"/>
        <v>0.14032520325203252</v>
      </c>
      <c r="U96" s="59">
        <v>1538.52</v>
      </c>
      <c r="V96" s="16">
        <f t="shared" si="62"/>
        <v>0.73578192252510755</v>
      </c>
      <c r="W96" s="59">
        <v>2090.5</v>
      </c>
      <c r="X96" s="60">
        <f t="shared" si="63"/>
        <v>0.99976087996174079</v>
      </c>
      <c r="Y96" s="59">
        <f t="shared" si="64"/>
        <v>2001</v>
      </c>
      <c r="Z96" s="61">
        <f t="shared" si="65"/>
        <v>2001</v>
      </c>
    </row>
    <row r="97" spans="1:26" ht="13.9" customHeight="1" x14ac:dyDescent="0.25">
      <c r="D97" s="88"/>
      <c r="E97" s="57"/>
      <c r="F97" s="15" t="s">
        <v>146</v>
      </c>
      <c r="G97" s="59">
        <v>4552.34</v>
      </c>
      <c r="H97" s="59">
        <v>6812.17</v>
      </c>
      <c r="I97" s="59">
        <v>6800</v>
      </c>
      <c r="J97" s="59">
        <v>3897</v>
      </c>
      <c r="K97" s="59">
        <v>4000</v>
      </c>
      <c r="L97" s="59">
        <v>5000</v>
      </c>
      <c r="M97" s="59">
        <v>3300</v>
      </c>
      <c r="N97" s="59">
        <v>233</v>
      </c>
      <c r="O97" s="59">
        <v>2341</v>
      </c>
      <c r="P97" s="59">
        <f t="shared" si="59"/>
        <v>14874</v>
      </c>
      <c r="Q97" s="59">
        <v>1565.67</v>
      </c>
      <c r="R97" s="16">
        <f t="shared" si="60"/>
        <v>0.10526220250100847</v>
      </c>
      <c r="S97" s="59">
        <v>9768.98</v>
      </c>
      <c r="T97" s="16">
        <f t="shared" si="61"/>
        <v>0.65678230469275245</v>
      </c>
      <c r="U97" s="59">
        <v>12111.98</v>
      </c>
      <c r="V97" s="16">
        <f t="shared" si="62"/>
        <v>0.81430549952938014</v>
      </c>
      <c r="W97" s="59">
        <v>14873.7</v>
      </c>
      <c r="X97" s="60">
        <f t="shared" si="63"/>
        <v>0.99997983057684559</v>
      </c>
      <c r="Y97" s="59">
        <f t="shared" si="64"/>
        <v>4000</v>
      </c>
      <c r="Z97" s="61">
        <f t="shared" si="65"/>
        <v>4000</v>
      </c>
    </row>
    <row r="98" spans="1:26" ht="13.9" customHeight="1" x14ac:dyDescent="0.25">
      <c r="D98" s="88"/>
      <c r="E98" s="65"/>
      <c r="F98" s="94" t="s">
        <v>147</v>
      </c>
      <c r="G98" s="67">
        <v>5534.03</v>
      </c>
      <c r="H98" s="67">
        <v>7632.27</v>
      </c>
      <c r="I98" s="67">
        <v>7650</v>
      </c>
      <c r="J98" s="67">
        <v>4211</v>
      </c>
      <c r="K98" s="67">
        <v>4200</v>
      </c>
      <c r="L98" s="67"/>
      <c r="M98" s="67"/>
      <c r="N98" s="67"/>
      <c r="O98" s="67">
        <v>1540</v>
      </c>
      <c r="P98" s="67">
        <f t="shared" si="59"/>
        <v>5740</v>
      </c>
      <c r="Q98" s="67">
        <v>1650.02</v>
      </c>
      <c r="R98" s="68">
        <f t="shared" si="60"/>
        <v>0.28745993031358885</v>
      </c>
      <c r="S98" s="67">
        <v>4750.05</v>
      </c>
      <c r="T98" s="68">
        <f t="shared" si="61"/>
        <v>0.82753484320557491</v>
      </c>
      <c r="U98" s="67">
        <v>6250.06</v>
      </c>
      <c r="V98" s="68">
        <f t="shared" si="62"/>
        <v>1.0888606271777004</v>
      </c>
      <c r="W98" s="67">
        <v>5544.13</v>
      </c>
      <c r="X98" s="69">
        <f t="shared" si="63"/>
        <v>0.96587630662020907</v>
      </c>
      <c r="Y98" s="67">
        <f t="shared" si="64"/>
        <v>4200</v>
      </c>
      <c r="Z98" s="70">
        <f t="shared" si="65"/>
        <v>4200</v>
      </c>
    </row>
    <row r="99" spans="1:26" ht="13.9" hidden="1" customHeight="1" x14ac:dyDescent="0.25">
      <c r="D99" s="88"/>
      <c r="E99" s="65"/>
      <c r="F99" s="94" t="s">
        <v>148</v>
      </c>
      <c r="G99" s="95"/>
      <c r="H99" s="95"/>
      <c r="I99" s="95">
        <v>3000</v>
      </c>
      <c r="J99" s="95">
        <v>0</v>
      </c>
      <c r="K99" s="95">
        <v>0</v>
      </c>
      <c r="L99" s="95"/>
      <c r="M99" s="95"/>
      <c r="N99" s="95"/>
      <c r="O99" s="95"/>
      <c r="P99" s="95">
        <f t="shared" si="59"/>
        <v>0</v>
      </c>
      <c r="Q99" s="95"/>
      <c r="R99" s="96">
        <f t="shared" si="60"/>
        <v>0</v>
      </c>
      <c r="S99" s="95"/>
      <c r="T99" s="96">
        <f t="shared" si="61"/>
        <v>0</v>
      </c>
      <c r="U99" s="95"/>
      <c r="V99" s="96">
        <f t="shared" si="62"/>
        <v>0</v>
      </c>
      <c r="W99" s="95"/>
      <c r="X99" s="97">
        <f t="shared" si="63"/>
        <v>0</v>
      </c>
      <c r="Y99" s="67">
        <f t="shared" si="64"/>
        <v>0</v>
      </c>
      <c r="Z99" s="70">
        <f t="shared" si="65"/>
        <v>0</v>
      </c>
    </row>
    <row r="100" spans="1:26" ht="13.9" customHeight="1" x14ac:dyDescent="0.25">
      <c r="D100" s="88"/>
      <c r="E100" s="44"/>
      <c r="F100" s="44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90"/>
      <c r="S100" s="89"/>
      <c r="T100" s="90"/>
      <c r="U100" s="89"/>
      <c r="V100" s="90"/>
      <c r="W100" s="89"/>
      <c r="X100" s="90"/>
      <c r="Y100" s="89"/>
      <c r="Z100" s="89"/>
    </row>
    <row r="101" spans="1:26" ht="13.9" customHeight="1" x14ac:dyDescent="0.25">
      <c r="D101" s="6" t="s">
        <v>149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9" customHeight="1" x14ac:dyDescent="0.25">
      <c r="D102" s="21" t="s">
        <v>32</v>
      </c>
      <c r="E102" s="21" t="s">
        <v>33</v>
      </c>
      <c r="F102" s="21" t="s">
        <v>34</v>
      </c>
      <c r="G102" s="21" t="s">
        <v>1</v>
      </c>
      <c r="H102" s="21" t="s">
        <v>2</v>
      </c>
      <c r="I102" s="21" t="s">
        <v>3</v>
      </c>
      <c r="J102" s="21" t="s">
        <v>4</v>
      </c>
      <c r="K102" s="21" t="s">
        <v>5</v>
      </c>
      <c r="L102" s="21" t="s">
        <v>6</v>
      </c>
      <c r="M102" s="21" t="s">
        <v>7</v>
      </c>
      <c r="N102" s="21" t="s">
        <v>8</v>
      </c>
      <c r="O102" s="21" t="s">
        <v>9</v>
      </c>
      <c r="P102" s="21" t="s">
        <v>10</v>
      </c>
      <c r="Q102" s="21" t="s">
        <v>11</v>
      </c>
      <c r="R102" s="22" t="s">
        <v>12</v>
      </c>
      <c r="S102" s="21" t="s">
        <v>13</v>
      </c>
      <c r="T102" s="22" t="s">
        <v>14</v>
      </c>
      <c r="U102" s="21" t="s">
        <v>15</v>
      </c>
      <c r="V102" s="22" t="s">
        <v>16</v>
      </c>
      <c r="W102" s="21" t="s">
        <v>17</v>
      </c>
      <c r="X102" s="22" t="s">
        <v>18</v>
      </c>
      <c r="Y102" s="21" t="s">
        <v>19</v>
      </c>
      <c r="Z102" s="21" t="s">
        <v>20</v>
      </c>
    </row>
    <row r="103" spans="1:26" ht="13.9" customHeight="1" x14ac:dyDescent="0.25">
      <c r="A103" s="15">
        <v>1</v>
      </c>
      <c r="B103" s="15">
        <v>1</v>
      </c>
      <c r="C103" s="15">
        <v>6</v>
      </c>
      <c r="D103" s="84" t="s">
        <v>150</v>
      </c>
      <c r="E103" s="23">
        <v>630</v>
      </c>
      <c r="F103" s="23" t="s">
        <v>127</v>
      </c>
      <c r="G103" s="24">
        <v>390.89</v>
      </c>
      <c r="H103" s="24">
        <v>968.47</v>
      </c>
      <c r="I103" s="24">
        <v>977</v>
      </c>
      <c r="J103" s="24">
        <v>329</v>
      </c>
      <c r="K103" s="24">
        <v>713</v>
      </c>
      <c r="L103" s="24"/>
      <c r="M103" s="24">
        <v>635</v>
      </c>
      <c r="N103" s="24"/>
      <c r="O103" s="24"/>
      <c r="P103" s="24">
        <f>K103+SUM(L103:O103)</f>
        <v>1348</v>
      </c>
      <c r="Q103" s="24">
        <v>146.4</v>
      </c>
      <c r="R103" s="25">
        <f>IFERROR(Q103/$P103,0)</f>
        <v>0.1086053412462908</v>
      </c>
      <c r="S103" s="24">
        <v>796.79</v>
      </c>
      <c r="T103" s="25">
        <f>IFERROR(S103/$P103,0)</f>
        <v>0.5910905044510385</v>
      </c>
      <c r="U103" s="24">
        <v>796.79</v>
      </c>
      <c r="V103" s="25">
        <f>IFERROR(U103/$P103,0)</f>
        <v>0.5910905044510385</v>
      </c>
      <c r="W103" s="24">
        <v>889.25</v>
      </c>
      <c r="X103" s="25">
        <f>IFERROR(W103/$P103,0)</f>
        <v>0.65968100890207715</v>
      </c>
      <c r="Y103" s="24">
        <f>K103</f>
        <v>713</v>
      </c>
      <c r="Z103" s="24">
        <f>Y103</f>
        <v>713</v>
      </c>
    </row>
    <row r="104" spans="1:26" ht="13.9" customHeight="1" x14ac:dyDescent="0.25">
      <c r="A104" s="15">
        <v>1</v>
      </c>
      <c r="B104" s="15">
        <v>1</v>
      </c>
      <c r="C104" s="15">
        <v>6</v>
      </c>
      <c r="D104" s="79" t="s">
        <v>21</v>
      </c>
      <c r="E104" s="48">
        <v>41</v>
      </c>
      <c r="F104" s="48" t="s">
        <v>23</v>
      </c>
      <c r="G104" s="49">
        <f t="shared" ref="G104:Q104" si="66">SUM(G103)</f>
        <v>390.89</v>
      </c>
      <c r="H104" s="49">
        <f t="shared" si="66"/>
        <v>968.47</v>
      </c>
      <c r="I104" s="49">
        <f t="shared" si="66"/>
        <v>977</v>
      </c>
      <c r="J104" s="49">
        <f t="shared" si="66"/>
        <v>329</v>
      </c>
      <c r="K104" s="49">
        <f t="shared" si="66"/>
        <v>713</v>
      </c>
      <c r="L104" s="49">
        <f t="shared" si="66"/>
        <v>0</v>
      </c>
      <c r="M104" s="49">
        <f t="shared" si="66"/>
        <v>635</v>
      </c>
      <c r="N104" s="49">
        <f t="shared" si="66"/>
        <v>0</v>
      </c>
      <c r="O104" s="49">
        <f t="shared" si="66"/>
        <v>0</v>
      </c>
      <c r="P104" s="49">
        <f t="shared" si="66"/>
        <v>1348</v>
      </c>
      <c r="Q104" s="49">
        <f t="shared" si="66"/>
        <v>146.4</v>
      </c>
      <c r="R104" s="50">
        <f>IFERROR(Q104/$P104,0)</f>
        <v>0.1086053412462908</v>
      </c>
      <c r="S104" s="49">
        <f>SUM(S103)</f>
        <v>796.79</v>
      </c>
      <c r="T104" s="50">
        <f>IFERROR(S104/$P104,0)</f>
        <v>0.5910905044510385</v>
      </c>
      <c r="U104" s="49">
        <f>SUM(U103)</f>
        <v>796.79</v>
      </c>
      <c r="V104" s="50">
        <f>IFERROR(U104/$P104,0)</f>
        <v>0.5910905044510385</v>
      </c>
      <c r="W104" s="49">
        <f>SUM(W103)</f>
        <v>889.25</v>
      </c>
      <c r="X104" s="50">
        <f>IFERROR(W104/$P104,0)</f>
        <v>0.65968100890207715</v>
      </c>
      <c r="Y104" s="49">
        <f>SUM(Y103)</f>
        <v>713</v>
      </c>
      <c r="Z104" s="49">
        <f>SUM(Z103)</f>
        <v>713</v>
      </c>
    </row>
    <row r="105" spans="1:26" ht="13.9" customHeight="1" x14ac:dyDescent="0.25">
      <c r="A105" s="15">
        <v>1</v>
      </c>
      <c r="B105" s="15">
        <v>1</v>
      </c>
      <c r="C105" s="15">
        <v>6</v>
      </c>
      <c r="D105" s="86"/>
      <c r="E105" s="87"/>
      <c r="F105" s="26" t="s">
        <v>120</v>
      </c>
      <c r="G105" s="27">
        <f t="shared" ref="G105:Q105" si="67">G104</f>
        <v>390.89</v>
      </c>
      <c r="H105" s="27">
        <f t="shared" si="67"/>
        <v>968.47</v>
      </c>
      <c r="I105" s="27">
        <f t="shared" si="67"/>
        <v>977</v>
      </c>
      <c r="J105" s="27">
        <f t="shared" si="67"/>
        <v>329</v>
      </c>
      <c r="K105" s="27">
        <f t="shared" si="67"/>
        <v>713</v>
      </c>
      <c r="L105" s="27">
        <f t="shared" si="67"/>
        <v>0</v>
      </c>
      <c r="M105" s="27">
        <f t="shared" si="67"/>
        <v>635</v>
      </c>
      <c r="N105" s="27">
        <f t="shared" si="67"/>
        <v>0</v>
      </c>
      <c r="O105" s="27">
        <f t="shared" si="67"/>
        <v>0</v>
      </c>
      <c r="P105" s="27">
        <f t="shared" si="67"/>
        <v>1348</v>
      </c>
      <c r="Q105" s="27">
        <f t="shared" si="67"/>
        <v>146.4</v>
      </c>
      <c r="R105" s="28">
        <f>IFERROR(Q105/$P105,0)</f>
        <v>0.1086053412462908</v>
      </c>
      <c r="S105" s="27">
        <f>S104</f>
        <v>796.79</v>
      </c>
      <c r="T105" s="28">
        <f>IFERROR(S105/$P105,0)</f>
        <v>0.5910905044510385</v>
      </c>
      <c r="U105" s="27">
        <f>U104</f>
        <v>796.79</v>
      </c>
      <c r="V105" s="28">
        <f>IFERROR(U105/$P105,0)</f>
        <v>0.5910905044510385</v>
      </c>
      <c r="W105" s="27">
        <f>W104</f>
        <v>889.25</v>
      </c>
      <c r="X105" s="28">
        <f>IFERROR(W105/$P105,0)</f>
        <v>0.65968100890207715</v>
      </c>
      <c r="Y105" s="27">
        <f>Y104</f>
        <v>713</v>
      </c>
      <c r="Z105" s="27">
        <f>Z104</f>
        <v>713</v>
      </c>
    </row>
    <row r="106" spans="1:26" ht="13.9" customHeight="1" x14ac:dyDescent="0.25">
      <c r="D106" s="88"/>
      <c r="E106" s="44"/>
      <c r="F106" s="44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/>
      <c r="S106" s="89"/>
      <c r="T106" s="90"/>
      <c r="U106" s="89"/>
      <c r="V106" s="90"/>
      <c r="W106" s="89"/>
      <c r="X106" s="90"/>
      <c r="Y106" s="89"/>
      <c r="Z106" s="89"/>
    </row>
    <row r="107" spans="1:26" ht="13.9" customHeight="1" x14ac:dyDescent="0.25">
      <c r="D107" s="6" t="s">
        <v>151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9" customHeight="1" x14ac:dyDescent="0.25">
      <c r="D108" s="21" t="s">
        <v>32</v>
      </c>
      <c r="E108" s="21" t="s">
        <v>33</v>
      </c>
      <c r="F108" s="21" t="s">
        <v>34</v>
      </c>
      <c r="G108" s="21" t="s">
        <v>1</v>
      </c>
      <c r="H108" s="21" t="s">
        <v>2</v>
      </c>
      <c r="I108" s="21" t="s">
        <v>3</v>
      </c>
      <c r="J108" s="21" t="s">
        <v>4</v>
      </c>
      <c r="K108" s="21" t="s">
        <v>5</v>
      </c>
      <c r="L108" s="21" t="s">
        <v>6</v>
      </c>
      <c r="M108" s="21" t="s">
        <v>7</v>
      </c>
      <c r="N108" s="21" t="s">
        <v>8</v>
      </c>
      <c r="O108" s="21" t="s">
        <v>9</v>
      </c>
      <c r="P108" s="21" t="s">
        <v>10</v>
      </c>
      <c r="Q108" s="21" t="s">
        <v>11</v>
      </c>
      <c r="R108" s="22" t="s">
        <v>12</v>
      </c>
      <c r="S108" s="21" t="s">
        <v>13</v>
      </c>
      <c r="T108" s="22" t="s">
        <v>14</v>
      </c>
      <c r="U108" s="21" t="s">
        <v>15</v>
      </c>
      <c r="V108" s="22" t="s">
        <v>16</v>
      </c>
      <c r="W108" s="21" t="s">
        <v>17</v>
      </c>
      <c r="X108" s="22" t="s">
        <v>18</v>
      </c>
      <c r="Y108" s="21" t="s">
        <v>19</v>
      </c>
      <c r="Z108" s="21" t="s">
        <v>20</v>
      </c>
    </row>
    <row r="109" spans="1:26" ht="13.9" customHeight="1" x14ac:dyDescent="0.25">
      <c r="A109" s="15">
        <v>1</v>
      </c>
      <c r="B109" s="15">
        <v>1</v>
      </c>
      <c r="C109" s="15">
        <v>7</v>
      </c>
      <c r="D109" s="5" t="s">
        <v>152</v>
      </c>
      <c r="E109" s="23">
        <v>610</v>
      </c>
      <c r="F109" s="23" t="s">
        <v>125</v>
      </c>
      <c r="G109" s="46">
        <v>4266.1499999999996</v>
      </c>
      <c r="H109" s="24">
        <v>4560.1499999999996</v>
      </c>
      <c r="I109" s="24">
        <v>4728</v>
      </c>
      <c r="J109" s="24">
        <v>4723</v>
      </c>
      <c r="K109" s="24">
        <v>4728</v>
      </c>
      <c r="L109" s="24"/>
      <c r="M109" s="24">
        <v>458</v>
      </c>
      <c r="N109" s="24"/>
      <c r="O109" s="24"/>
      <c r="P109" s="46">
        <f>K109+SUM(L109:O109)</f>
        <v>5186</v>
      </c>
      <c r="Q109" s="46">
        <v>1296.46</v>
      </c>
      <c r="R109" s="47">
        <f t="shared" ref="R109:R120" si="68">IFERROR(Q109/$P109,0)</f>
        <v>0.24999228692634015</v>
      </c>
      <c r="S109" s="46">
        <v>2593.17</v>
      </c>
      <c r="T109" s="47">
        <f t="shared" ref="T109:T120" si="69">IFERROR(S109/$P109,0)</f>
        <v>0.50003278056305445</v>
      </c>
      <c r="U109" s="46">
        <v>3889.63</v>
      </c>
      <c r="V109" s="47">
        <f t="shared" ref="V109:V120" si="70">IFERROR(U109/$P109,0)</f>
        <v>0.75002506748939457</v>
      </c>
      <c r="W109" s="46">
        <v>5181.41</v>
      </c>
      <c r="X109" s="47">
        <f t="shared" ref="X109:X120" si="71">IFERROR(W109/$P109,0)</f>
        <v>0.99911492479753183</v>
      </c>
      <c r="Y109" s="24">
        <f>K109</f>
        <v>4728</v>
      </c>
      <c r="Z109" s="24">
        <f>Y109</f>
        <v>4728</v>
      </c>
    </row>
    <row r="110" spans="1:26" ht="13.9" customHeight="1" x14ac:dyDescent="0.25">
      <c r="A110" s="15">
        <v>1</v>
      </c>
      <c r="B110" s="15">
        <v>1</v>
      </c>
      <c r="C110" s="15">
        <v>7</v>
      </c>
      <c r="D110" s="5"/>
      <c r="E110" s="23">
        <v>620</v>
      </c>
      <c r="F110" s="23" t="s">
        <v>126</v>
      </c>
      <c r="G110" s="46">
        <v>1517.13</v>
      </c>
      <c r="H110" s="24">
        <v>1516.21</v>
      </c>
      <c r="I110" s="24">
        <v>1652</v>
      </c>
      <c r="J110" s="24">
        <v>1652</v>
      </c>
      <c r="K110" s="24">
        <v>1652</v>
      </c>
      <c r="L110" s="24"/>
      <c r="M110" s="24">
        <v>170</v>
      </c>
      <c r="N110" s="24"/>
      <c r="O110" s="24"/>
      <c r="P110" s="46">
        <f>K110+SUM(L110:O110)</f>
        <v>1822</v>
      </c>
      <c r="Q110" s="46">
        <v>455.57</v>
      </c>
      <c r="R110" s="47">
        <f t="shared" si="68"/>
        <v>0.25003841931942922</v>
      </c>
      <c r="S110" s="46">
        <v>910.89</v>
      </c>
      <c r="T110" s="47">
        <f t="shared" si="69"/>
        <v>0.49993962678375409</v>
      </c>
      <c r="U110" s="46">
        <v>1366.46</v>
      </c>
      <c r="V110" s="47">
        <f t="shared" si="70"/>
        <v>0.7499780461031833</v>
      </c>
      <c r="W110" s="46">
        <v>1820.53</v>
      </c>
      <c r="X110" s="47">
        <f t="shared" si="71"/>
        <v>0.99919319429198683</v>
      </c>
      <c r="Y110" s="24">
        <f>K110</f>
        <v>1652</v>
      </c>
      <c r="Z110" s="24">
        <f>Y110</f>
        <v>1652</v>
      </c>
    </row>
    <row r="111" spans="1:26" ht="13.9" customHeight="1" x14ac:dyDescent="0.25">
      <c r="A111" s="15">
        <v>1</v>
      </c>
      <c r="B111" s="15">
        <v>1</v>
      </c>
      <c r="C111" s="15">
        <v>7</v>
      </c>
      <c r="D111" s="5"/>
      <c r="E111" s="23">
        <v>630</v>
      </c>
      <c r="F111" s="23" t="s">
        <v>127</v>
      </c>
      <c r="G111" s="46">
        <v>1128.6600000000001</v>
      </c>
      <c r="H111" s="46">
        <v>799.58</v>
      </c>
      <c r="I111" s="46">
        <v>797</v>
      </c>
      <c r="J111" s="46">
        <v>802</v>
      </c>
      <c r="K111" s="46">
        <f>príjmy!H105+príjmy!H106-K109-K110</f>
        <v>797</v>
      </c>
      <c r="L111" s="46"/>
      <c r="M111" s="46"/>
      <c r="N111" s="46"/>
      <c r="O111" s="46"/>
      <c r="P111" s="46">
        <f>K111+SUM(L111:O111)</f>
        <v>797</v>
      </c>
      <c r="Q111" s="46">
        <v>109.64</v>
      </c>
      <c r="R111" s="47">
        <f t="shared" si="68"/>
        <v>0.13756587202007528</v>
      </c>
      <c r="S111" s="46">
        <v>194.69</v>
      </c>
      <c r="T111" s="47">
        <f t="shared" si="69"/>
        <v>0.24427854454203263</v>
      </c>
      <c r="U111" s="46">
        <v>296.79000000000002</v>
      </c>
      <c r="V111" s="47">
        <f t="shared" si="70"/>
        <v>0.37238393977415307</v>
      </c>
      <c r="W111" s="46">
        <v>798.01</v>
      </c>
      <c r="X111" s="47">
        <f t="shared" si="71"/>
        <v>1.001267252195734</v>
      </c>
      <c r="Y111" s="24">
        <f>K111</f>
        <v>797</v>
      </c>
      <c r="Z111" s="24">
        <f>Y111</f>
        <v>797</v>
      </c>
    </row>
    <row r="112" spans="1:26" ht="13.9" customHeight="1" x14ac:dyDescent="0.25">
      <c r="A112" s="15">
        <v>1</v>
      </c>
      <c r="B112" s="15">
        <v>1</v>
      </c>
      <c r="C112" s="15">
        <v>7</v>
      </c>
      <c r="D112" s="79" t="s">
        <v>21</v>
      </c>
      <c r="E112" s="48">
        <v>111</v>
      </c>
      <c r="F112" s="48" t="s">
        <v>130</v>
      </c>
      <c r="G112" s="98">
        <f t="shared" ref="G112:Q112" si="72">SUM(G109:G111)</f>
        <v>6911.94</v>
      </c>
      <c r="H112" s="98">
        <f t="shared" si="72"/>
        <v>6875.94</v>
      </c>
      <c r="I112" s="98">
        <f t="shared" si="72"/>
        <v>7177</v>
      </c>
      <c r="J112" s="98">
        <f t="shared" si="72"/>
        <v>7177</v>
      </c>
      <c r="K112" s="98">
        <f t="shared" si="72"/>
        <v>7177</v>
      </c>
      <c r="L112" s="98">
        <f t="shared" si="72"/>
        <v>0</v>
      </c>
      <c r="M112" s="98">
        <f t="shared" si="72"/>
        <v>628</v>
      </c>
      <c r="N112" s="98">
        <f t="shared" si="72"/>
        <v>0</v>
      </c>
      <c r="O112" s="98">
        <f t="shared" si="72"/>
        <v>0</v>
      </c>
      <c r="P112" s="98">
        <f t="shared" si="72"/>
        <v>7805</v>
      </c>
      <c r="Q112" s="98">
        <f t="shared" si="72"/>
        <v>1861.67</v>
      </c>
      <c r="R112" s="99">
        <f t="shared" si="68"/>
        <v>0.23852274183215888</v>
      </c>
      <c r="S112" s="98">
        <f>SUM(S109:S111)</f>
        <v>3698.75</v>
      </c>
      <c r="T112" s="99">
        <f t="shared" si="69"/>
        <v>0.47389493914157593</v>
      </c>
      <c r="U112" s="98">
        <f>SUM(U109:U111)</f>
        <v>5552.88</v>
      </c>
      <c r="V112" s="99">
        <f t="shared" si="70"/>
        <v>0.71145163356822549</v>
      </c>
      <c r="W112" s="98">
        <f>SUM(W109:W111)</f>
        <v>7799.95</v>
      </c>
      <c r="X112" s="99">
        <f t="shared" si="71"/>
        <v>0.99935297885970531</v>
      </c>
      <c r="Y112" s="49">
        <f>SUM(Y109:Y111)</f>
        <v>7177</v>
      </c>
      <c r="Z112" s="49">
        <f>SUM(Z109:Z111)</f>
        <v>7177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5" t="s">
        <v>152</v>
      </c>
      <c r="E113" s="23">
        <v>610</v>
      </c>
      <c r="F113" s="23" t="s">
        <v>125</v>
      </c>
      <c r="G113" s="46">
        <v>1902.26</v>
      </c>
      <c r="H113" s="24">
        <v>1733.62</v>
      </c>
      <c r="I113" s="24">
        <v>1848</v>
      </c>
      <c r="J113" s="24">
        <v>1544</v>
      </c>
      <c r="K113" s="24">
        <v>2382</v>
      </c>
      <c r="L113" s="24"/>
      <c r="M113" s="24"/>
      <c r="N113" s="24"/>
      <c r="O113" s="24"/>
      <c r="P113" s="46">
        <f>K113+SUM(L113:O113)</f>
        <v>2382</v>
      </c>
      <c r="Q113" s="46">
        <v>8.1300000000000008</v>
      </c>
      <c r="R113" s="47">
        <f t="shared" si="68"/>
        <v>3.4130982367758188E-3</v>
      </c>
      <c r="S113" s="46">
        <v>92.44</v>
      </c>
      <c r="T113" s="47">
        <f t="shared" si="69"/>
        <v>3.8807724601175479E-2</v>
      </c>
      <c r="U113" s="46">
        <v>814.52</v>
      </c>
      <c r="V113" s="47">
        <f t="shared" si="70"/>
        <v>0.34194794290512176</v>
      </c>
      <c r="W113" s="46">
        <v>1740.52</v>
      </c>
      <c r="X113" s="47">
        <f t="shared" si="71"/>
        <v>0.73069689336691857</v>
      </c>
      <c r="Y113" s="24">
        <v>2585</v>
      </c>
      <c r="Z113" s="24">
        <v>2808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5"/>
      <c r="E114" s="23">
        <v>620</v>
      </c>
      <c r="F114" s="23" t="s">
        <v>126</v>
      </c>
      <c r="G114" s="46">
        <v>716.96</v>
      </c>
      <c r="H114" s="24">
        <v>730.48</v>
      </c>
      <c r="I114" s="24">
        <v>860</v>
      </c>
      <c r="J114" s="24">
        <v>671</v>
      </c>
      <c r="K114" s="24">
        <v>1121</v>
      </c>
      <c r="L114" s="24"/>
      <c r="M114" s="24"/>
      <c r="N114" s="24"/>
      <c r="O114" s="24"/>
      <c r="P114" s="46">
        <f>K114+SUM(L114:O114)</f>
        <v>1121</v>
      </c>
      <c r="Q114" s="46">
        <v>66.209999999999994</v>
      </c>
      <c r="R114" s="47">
        <f t="shared" si="68"/>
        <v>5.9063336306868865E-2</v>
      </c>
      <c r="S114" s="46">
        <v>256.01</v>
      </c>
      <c r="T114" s="47">
        <f t="shared" si="69"/>
        <v>0.2283764495985727</v>
      </c>
      <c r="U114" s="46">
        <v>447.74</v>
      </c>
      <c r="V114" s="47">
        <f t="shared" si="70"/>
        <v>0.3994112399643176</v>
      </c>
      <c r="W114" s="46">
        <v>826.82</v>
      </c>
      <c r="X114" s="47">
        <f t="shared" si="71"/>
        <v>0.7375735950044604</v>
      </c>
      <c r="Y114" s="24">
        <v>1196</v>
      </c>
      <c r="Z114" s="24">
        <v>1279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5"/>
      <c r="E115" s="23">
        <v>630</v>
      </c>
      <c r="F115" s="23" t="s">
        <v>127</v>
      </c>
      <c r="G115" s="46">
        <v>1154.3699999999999</v>
      </c>
      <c r="H115" s="24">
        <v>1184.9000000000001</v>
      </c>
      <c r="I115" s="24">
        <v>1101</v>
      </c>
      <c r="J115" s="24">
        <v>1474</v>
      </c>
      <c r="K115" s="24">
        <f>1854+190</f>
        <v>2044</v>
      </c>
      <c r="L115" s="24"/>
      <c r="M115" s="24"/>
      <c r="N115" s="24"/>
      <c r="O115" s="24"/>
      <c r="P115" s="46">
        <f>K115+SUM(L115:O115)</f>
        <v>2044</v>
      </c>
      <c r="Q115" s="46">
        <v>319.92</v>
      </c>
      <c r="R115" s="47">
        <f t="shared" si="68"/>
        <v>0.15651663405088062</v>
      </c>
      <c r="S115" s="46">
        <v>858.54</v>
      </c>
      <c r="T115" s="47">
        <f t="shared" si="69"/>
        <v>0.42002935420743637</v>
      </c>
      <c r="U115" s="46">
        <v>1376.78</v>
      </c>
      <c r="V115" s="47">
        <f t="shared" si="70"/>
        <v>0.6735714285714286</v>
      </c>
      <c r="W115" s="46">
        <v>1487.62</v>
      </c>
      <c r="X115" s="47">
        <f t="shared" si="71"/>
        <v>0.72779843444226999</v>
      </c>
      <c r="Y115" s="24">
        <f>1838+190</f>
        <v>2028</v>
      </c>
      <c r="Z115" s="24">
        <f>1853+190</f>
        <v>2043</v>
      </c>
    </row>
    <row r="116" spans="1:26" ht="13.9" hidden="1" customHeight="1" x14ac:dyDescent="0.25">
      <c r="A116" s="15">
        <v>1</v>
      </c>
      <c r="B116" s="15">
        <v>1</v>
      </c>
      <c r="C116" s="15">
        <v>7</v>
      </c>
      <c r="D116" s="5"/>
      <c r="E116" s="23">
        <v>640</v>
      </c>
      <c r="F116" s="23" t="s">
        <v>128</v>
      </c>
      <c r="G116" s="24">
        <v>0</v>
      </c>
      <c r="H116" s="24">
        <v>81.48</v>
      </c>
      <c r="I116" s="24">
        <v>0</v>
      </c>
      <c r="J116" s="24">
        <v>0</v>
      </c>
      <c r="K116" s="24">
        <v>0</v>
      </c>
      <c r="L116" s="24"/>
      <c r="M116" s="24"/>
      <c r="N116" s="24"/>
      <c r="O116" s="24"/>
      <c r="P116" s="24">
        <f>K116+SUM(L116:O116)</f>
        <v>0</v>
      </c>
      <c r="Q116" s="24">
        <v>0</v>
      </c>
      <c r="R116" s="25">
        <f t="shared" si="68"/>
        <v>0</v>
      </c>
      <c r="S116" s="24"/>
      <c r="T116" s="25">
        <f t="shared" si="69"/>
        <v>0</v>
      </c>
      <c r="U116" s="24"/>
      <c r="V116" s="25">
        <f t="shared" si="70"/>
        <v>0</v>
      </c>
      <c r="W116" s="24"/>
      <c r="X116" s="25">
        <f t="shared" si="71"/>
        <v>0</v>
      </c>
      <c r="Y116" s="24">
        <f>K116</f>
        <v>0</v>
      </c>
      <c r="Z116" s="24">
        <f>Y116</f>
        <v>0</v>
      </c>
    </row>
    <row r="117" spans="1:26" ht="13.9" customHeight="1" x14ac:dyDescent="0.25">
      <c r="A117" s="15">
        <v>1</v>
      </c>
      <c r="B117" s="15">
        <v>1</v>
      </c>
      <c r="C117" s="15">
        <v>7</v>
      </c>
      <c r="D117" s="79" t="s">
        <v>21</v>
      </c>
      <c r="E117" s="48">
        <v>41</v>
      </c>
      <c r="F117" s="48" t="s">
        <v>23</v>
      </c>
      <c r="G117" s="49">
        <f t="shared" ref="G117:Q117" si="73">SUM(G113:G116)</f>
        <v>3773.59</v>
      </c>
      <c r="H117" s="49">
        <f t="shared" si="73"/>
        <v>3730.48</v>
      </c>
      <c r="I117" s="49">
        <f t="shared" si="73"/>
        <v>3809</v>
      </c>
      <c r="J117" s="49">
        <f t="shared" si="73"/>
        <v>3689</v>
      </c>
      <c r="K117" s="49">
        <f t="shared" si="73"/>
        <v>5547</v>
      </c>
      <c r="L117" s="49">
        <f t="shared" si="73"/>
        <v>0</v>
      </c>
      <c r="M117" s="49">
        <f t="shared" si="73"/>
        <v>0</v>
      </c>
      <c r="N117" s="49">
        <f t="shared" si="73"/>
        <v>0</v>
      </c>
      <c r="O117" s="49">
        <f t="shared" si="73"/>
        <v>0</v>
      </c>
      <c r="P117" s="49">
        <f t="shared" si="73"/>
        <v>5547</v>
      </c>
      <c r="Q117" s="49">
        <f t="shared" si="73"/>
        <v>394.26</v>
      </c>
      <c r="R117" s="50">
        <f t="shared" si="68"/>
        <v>7.1076257436452128E-2</v>
      </c>
      <c r="S117" s="49">
        <f>SUM(S113:S116)</f>
        <v>1206.99</v>
      </c>
      <c r="T117" s="50">
        <f t="shared" si="69"/>
        <v>0.21759329367225527</v>
      </c>
      <c r="U117" s="49">
        <f>SUM(U113:U116)</f>
        <v>2639.04</v>
      </c>
      <c r="V117" s="50">
        <f t="shared" si="70"/>
        <v>0.47575987020010818</v>
      </c>
      <c r="W117" s="49">
        <f>SUM(W113:W116)</f>
        <v>4054.96</v>
      </c>
      <c r="X117" s="50">
        <f t="shared" si="71"/>
        <v>0.7310185685956373</v>
      </c>
      <c r="Y117" s="49">
        <f>SUM(Y113:Y116)</f>
        <v>5809</v>
      </c>
      <c r="Z117" s="49">
        <f>SUM(Z113:Z116)</f>
        <v>6130</v>
      </c>
    </row>
    <row r="118" spans="1:26" ht="13.9" customHeight="1" x14ac:dyDescent="0.25">
      <c r="A118" s="15">
        <v>1</v>
      </c>
      <c r="B118" s="15">
        <v>1</v>
      </c>
      <c r="C118" s="15">
        <v>7</v>
      </c>
      <c r="D118" s="80" t="s">
        <v>152</v>
      </c>
      <c r="E118" s="23">
        <v>640</v>
      </c>
      <c r="F118" s="23" t="s">
        <v>128</v>
      </c>
      <c r="G118" s="24">
        <v>66</v>
      </c>
      <c r="H118" s="24">
        <v>67.86</v>
      </c>
      <c r="I118" s="24">
        <v>128</v>
      </c>
      <c r="J118" s="24">
        <v>111</v>
      </c>
      <c r="K118" s="24">
        <v>155</v>
      </c>
      <c r="L118" s="24"/>
      <c r="M118" s="24"/>
      <c r="N118" s="24"/>
      <c r="O118" s="24">
        <v>-56</v>
      </c>
      <c r="P118" s="24">
        <f>K118+SUM(L118:O118)</f>
        <v>99</v>
      </c>
      <c r="Q118" s="24">
        <v>0</v>
      </c>
      <c r="R118" s="25">
        <f t="shared" si="68"/>
        <v>0</v>
      </c>
      <c r="S118" s="24">
        <v>0</v>
      </c>
      <c r="T118" s="25">
        <f t="shared" si="69"/>
        <v>0</v>
      </c>
      <c r="U118" s="24">
        <v>0</v>
      </c>
      <c r="V118" s="25">
        <f t="shared" si="70"/>
        <v>0</v>
      </c>
      <c r="W118" s="24">
        <v>98.5</v>
      </c>
      <c r="X118" s="25">
        <f t="shared" si="71"/>
        <v>0.99494949494949492</v>
      </c>
      <c r="Y118" s="24">
        <v>153</v>
      </c>
      <c r="Z118" s="24">
        <v>154</v>
      </c>
    </row>
    <row r="119" spans="1:26" ht="13.9" customHeight="1" x14ac:dyDescent="0.25">
      <c r="A119" s="15">
        <v>1</v>
      </c>
      <c r="B119" s="15">
        <v>1</v>
      </c>
      <c r="C119" s="15">
        <v>7</v>
      </c>
      <c r="D119" s="79" t="s">
        <v>21</v>
      </c>
      <c r="E119" s="48">
        <v>72</v>
      </c>
      <c r="F119" s="48" t="s">
        <v>25</v>
      </c>
      <c r="G119" s="49">
        <f t="shared" ref="G119:Q119" si="74">SUM(G118:G118)</f>
        <v>66</v>
      </c>
      <c r="H119" s="49">
        <f t="shared" si="74"/>
        <v>67.86</v>
      </c>
      <c r="I119" s="49">
        <f t="shared" si="74"/>
        <v>128</v>
      </c>
      <c r="J119" s="49">
        <f t="shared" si="74"/>
        <v>111</v>
      </c>
      <c r="K119" s="49">
        <f t="shared" si="74"/>
        <v>155</v>
      </c>
      <c r="L119" s="49">
        <f t="shared" si="74"/>
        <v>0</v>
      </c>
      <c r="M119" s="49">
        <f t="shared" si="74"/>
        <v>0</v>
      </c>
      <c r="N119" s="49">
        <f t="shared" si="74"/>
        <v>0</v>
      </c>
      <c r="O119" s="49">
        <f t="shared" si="74"/>
        <v>-56</v>
      </c>
      <c r="P119" s="49">
        <f t="shared" si="74"/>
        <v>99</v>
      </c>
      <c r="Q119" s="49">
        <f t="shared" si="74"/>
        <v>0</v>
      </c>
      <c r="R119" s="50">
        <f t="shared" si="68"/>
        <v>0</v>
      </c>
      <c r="S119" s="49">
        <f>SUM(S118:S118)</f>
        <v>0</v>
      </c>
      <c r="T119" s="50">
        <f t="shared" si="69"/>
        <v>0</v>
      </c>
      <c r="U119" s="49">
        <f>SUM(U118:U118)</f>
        <v>0</v>
      </c>
      <c r="V119" s="50">
        <f t="shared" si="70"/>
        <v>0</v>
      </c>
      <c r="W119" s="49">
        <f>SUM(W118:W118)</f>
        <v>98.5</v>
      </c>
      <c r="X119" s="50">
        <f t="shared" si="71"/>
        <v>0.99494949494949492</v>
      </c>
      <c r="Y119" s="49">
        <f>SUM(Y118:Y118)</f>
        <v>153</v>
      </c>
      <c r="Z119" s="49">
        <f>SUM(Z118:Z118)</f>
        <v>154</v>
      </c>
    </row>
    <row r="120" spans="1:26" ht="13.9" customHeight="1" x14ac:dyDescent="0.25">
      <c r="A120" s="15">
        <v>1</v>
      </c>
      <c r="B120" s="15">
        <v>1</v>
      </c>
      <c r="C120" s="15">
        <v>7</v>
      </c>
      <c r="D120" s="30"/>
      <c r="E120" s="31"/>
      <c r="F120" s="26" t="s">
        <v>120</v>
      </c>
      <c r="G120" s="27">
        <f t="shared" ref="G120:Q120" si="75">G112+G117+G119</f>
        <v>10751.529999999999</v>
      </c>
      <c r="H120" s="27">
        <f t="shared" si="75"/>
        <v>10674.28</v>
      </c>
      <c r="I120" s="27">
        <f t="shared" si="75"/>
        <v>11114</v>
      </c>
      <c r="J120" s="27">
        <f t="shared" si="75"/>
        <v>10977</v>
      </c>
      <c r="K120" s="27">
        <f t="shared" si="75"/>
        <v>12879</v>
      </c>
      <c r="L120" s="27">
        <f t="shared" si="75"/>
        <v>0</v>
      </c>
      <c r="M120" s="27">
        <f t="shared" si="75"/>
        <v>628</v>
      </c>
      <c r="N120" s="27">
        <f t="shared" si="75"/>
        <v>0</v>
      </c>
      <c r="O120" s="27">
        <f t="shared" si="75"/>
        <v>-56</v>
      </c>
      <c r="P120" s="27">
        <f t="shared" si="75"/>
        <v>13451</v>
      </c>
      <c r="Q120" s="27">
        <f t="shared" si="75"/>
        <v>2255.9300000000003</v>
      </c>
      <c r="R120" s="28">
        <f t="shared" si="68"/>
        <v>0.16771466805441976</v>
      </c>
      <c r="S120" s="27">
        <f>S112+S117+S119</f>
        <v>4905.74</v>
      </c>
      <c r="T120" s="28">
        <f t="shared" si="69"/>
        <v>0.36471191732956654</v>
      </c>
      <c r="U120" s="27">
        <f>U112+U117+U119</f>
        <v>8191.92</v>
      </c>
      <c r="V120" s="28">
        <f t="shared" si="70"/>
        <v>0.60901940376180208</v>
      </c>
      <c r="W120" s="27">
        <f>W112+W117+W119</f>
        <v>11953.41</v>
      </c>
      <c r="X120" s="28">
        <f t="shared" si="71"/>
        <v>0.88866329640918895</v>
      </c>
      <c r="Y120" s="27">
        <f>Y112+Y117+Y119</f>
        <v>13139</v>
      </c>
      <c r="Z120" s="27">
        <f>Z112+Z117+Z119</f>
        <v>13461</v>
      </c>
    </row>
    <row r="122" spans="1:26" ht="13.9" customHeight="1" x14ac:dyDescent="0.25">
      <c r="D122" s="7" t="s">
        <v>153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9" customHeight="1" x14ac:dyDescent="0.25">
      <c r="D123" s="21" t="s">
        <v>32</v>
      </c>
      <c r="E123" s="21" t="s">
        <v>33</v>
      </c>
      <c r="F123" s="21" t="s">
        <v>34</v>
      </c>
      <c r="G123" s="21" t="s">
        <v>1</v>
      </c>
      <c r="H123" s="21" t="s">
        <v>2</v>
      </c>
      <c r="I123" s="21" t="s">
        <v>3</v>
      </c>
      <c r="J123" s="21" t="s">
        <v>4</v>
      </c>
      <c r="K123" s="21" t="s">
        <v>5</v>
      </c>
      <c r="L123" s="21" t="s">
        <v>6</v>
      </c>
      <c r="M123" s="21" t="s">
        <v>7</v>
      </c>
      <c r="N123" s="21" t="s">
        <v>8</v>
      </c>
      <c r="O123" s="21" t="s">
        <v>9</v>
      </c>
      <c r="P123" s="21" t="s">
        <v>10</v>
      </c>
      <c r="Q123" s="21" t="s">
        <v>11</v>
      </c>
      <c r="R123" s="22" t="s">
        <v>12</v>
      </c>
      <c r="S123" s="21" t="s">
        <v>13</v>
      </c>
      <c r="T123" s="22" t="s">
        <v>14</v>
      </c>
      <c r="U123" s="21" t="s">
        <v>15</v>
      </c>
      <c r="V123" s="22" t="s">
        <v>16</v>
      </c>
      <c r="W123" s="21" t="s">
        <v>17</v>
      </c>
      <c r="X123" s="22" t="s">
        <v>18</v>
      </c>
      <c r="Y123" s="21" t="s">
        <v>19</v>
      </c>
      <c r="Z123" s="21" t="s">
        <v>20</v>
      </c>
    </row>
    <row r="124" spans="1:26" ht="13.9" customHeight="1" x14ac:dyDescent="0.25">
      <c r="A124" s="15">
        <v>1</v>
      </c>
      <c r="B124" s="15">
        <v>2</v>
      </c>
      <c r="D124" s="23" t="s">
        <v>124</v>
      </c>
      <c r="E124" s="23">
        <v>640</v>
      </c>
      <c r="F124" s="23" t="s">
        <v>89</v>
      </c>
      <c r="G124" s="24">
        <v>4241.95</v>
      </c>
      <c r="H124" s="24">
        <v>4253.4399999999996</v>
      </c>
      <c r="I124" s="24">
        <v>4254</v>
      </c>
      <c r="J124" s="24">
        <v>4967</v>
      </c>
      <c r="K124" s="24">
        <f>príjmy!V102</f>
        <v>4829</v>
      </c>
      <c r="L124" s="24"/>
      <c r="M124" s="24">
        <v>1</v>
      </c>
      <c r="N124" s="24">
        <v>-4691</v>
      </c>
      <c r="O124" s="24"/>
      <c r="P124" s="24">
        <f>K124+SUM(L124:O124)</f>
        <v>139</v>
      </c>
      <c r="Q124" s="24">
        <v>0</v>
      </c>
      <c r="R124" s="25">
        <f t="shared" ref="R124:R129" si="76">IFERROR(Q124/$P124,0)</f>
        <v>0</v>
      </c>
      <c r="S124" s="24">
        <v>0</v>
      </c>
      <c r="T124" s="25">
        <f t="shared" ref="T124:T129" si="77">IFERROR(S124/$P124,0)</f>
        <v>0</v>
      </c>
      <c r="U124" s="24">
        <v>139.06</v>
      </c>
      <c r="V124" s="25">
        <f t="shared" ref="V124:V129" si="78">IFERROR(U124/$P124,0)</f>
        <v>1.0004316546762591</v>
      </c>
      <c r="W124" s="24">
        <v>139.06</v>
      </c>
      <c r="X124" s="25">
        <f t="shared" ref="X124:X129" si="79">IFERROR(W124/$P124,0)</f>
        <v>1.0004316546762591</v>
      </c>
      <c r="Y124" s="24">
        <f>príjmy!V102+príjmy!V103</f>
        <v>4967</v>
      </c>
      <c r="Z124" s="24">
        <f>príjmy!W102+príjmy!W103</f>
        <v>4967</v>
      </c>
    </row>
    <row r="125" spans="1:26" ht="13.9" customHeight="1" x14ac:dyDescent="0.25">
      <c r="A125" s="15">
        <v>1</v>
      </c>
      <c r="B125" s="15">
        <v>2</v>
      </c>
      <c r="D125" s="79" t="s">
        <v>21</v>
      </c>
      <c r="E125" s="48">
        <v>111</v>
      </c>
      <c r="F125" s="48" t="s">
        <v>130</v>
      </c>
      <c r="G125" s="49">
        <f t="shared" ref="G125:Q125" si="80">SUM(G124)</f>
        <v>4241.95</v>
      </c>
      <c r="H125" s="49">
        <f t="shared" si="80"/>
        <v>4253.4399999999996</v>
      </c>
      <c r="I125" s="49">
        <f t="shared" si="80"/>
        <v>4254</v>
      </c>
      <c r="J125" s="49">
        <f t="shared" si="80"/>
        <v>4967</v>
      </c>
      <c r="K125" s="49">
        <f t="shared" si="80"/>
        <v>4829</v>
      </c>
      <c r="L125" s="49">
        <f t="shared" si="80"/>
        <v>0</v>
      </c>
      <c r="M125" s="49">
        <f t="shared" si="80"/>
        <v>1</v>
      </c>
      <c r="N125" s="49">
        <f t="shared" si="80"/>
        <v>-4691</v>
      </c>
      <c r="O125" s="49">
        <f t="shared" si="80"/>
        <v>0</v>
      </c>
      <c r="P125" s="49">
        <f t="shared" si="80"/>
        <v>139</v>
      </c>
      <c r="Q125" s="49">
        <f t="shared" si="80"/>
        <v>0</v>
      </c>
      <c r="R125" s="50">
        <f t="shared" si="76"/>
        <v>0</v>
      </c>
      <c r="S125" s="49">
        <f>SUM(S124)</f>
        <v>0</v>
      </c>
      <c r="T125" s="50">
        <f t="shared" si="77"/>
        <v>0</v>
      </c>
      <c r="U125" s="49">
        <f>SUM(U124)</f>
        <v>139.06</v>
      </c>
      <c r="V125" s="50">
        <f t="shared" si="78"/>
        <v>1.0004316546762591</v>
      </c>
      <c r="W125" s="49">
        <f>SUM(W124)</f>
        <v>139.06</v>
      </c>
      <c r="X125" s="50">
        <f t="shared" si="79"/>
        <v>1.0004316546762591</v>
      </c>
      <c r="Y125" s="49">
        <f>SUM(Y124)</f>
        <v>4967</v>
      </c>
      <c r="Z125" s="49">
        <f>SUM(Z124)</f>
        <v>4967</v>
      </c>
    </row>
    <row r="126" spans="1:26" ht="13.9" customHeight="1" x14ac:dyDescent="0.25">
      <c r="A126" s="15">
        <v>1</v>
      </c>
      <c r="B126" s="15">
        <v>2</v>
      </c>
      <c r="D126" s="43" t="s">
        <v>154</v>
      </c>
      <c r="E126" s="23">
        <v>640</v>
      </c>
      <c r="F126" s="23" t="s">
        <v>155</v>
      </c>
      <c r="G126" s="24">
        <v>196.32</v>
      </c>
      <c r="H126" s="24">
        <v>230.99</v>
      </c>
      <c r="I126" s="24">
        <v>250</v>
      </c>
      <c r="J126" s="24">
        <v>250</v>
      </c>
      <c r="K126" s="24">
        <v>178</v>
      </c>
      <c r="L126" s="24"/>
      <c r="M126" s="24"/>
      <c r="N126" s="24"/>
      <c r="O126" s="24"/>
      <c r="P126" s="24">
        <f>K126+SUM(L126:O126)</f>
        <v>178</v>
      </c>
      <c r="Q126" s="24">
        <v>89.13</v>
      </c>
      <c r="R126" s="25">
        <f t="shared" si="76"/>
        <v>0.50073033707865167</v>
      </c>
      <c r="S126" s="24">
        <v>89.13</v>
      </c>
      <c r="T126" s="25">
        <f t="shared" si="77"/>
        <v>0.50073033707865167</v>
      </c>
      <c r="U126" s="24">
        <v>178.25</v>
      </c>
      <c r="V126" s="25">
        <f t="shared" si="78"/>
        <v>1.0014044943820224</v>
      </c>
      <c r="W126" s="24">
        <v>178.25</v>
      </c>
      <c r="X126" s="25">
        <f t="shared" si="79"/>
        <v>1.0014044943820224</v>
      </c>
      <c r="Y126" s="24">
        <f>K126</f>
        <v>178</v>
      </c>
      <c r="Z126" s="24">
        <f>Y126</f>
        <v>178</v>
      </c>
    </row>
    <row r="127" spans="1:26" ht="13.9" customHeight="1" x14ac:dyDescent="0.25">
      <c r="A127" s="15">
        <v>1</v>
      </c>
      <c r="B127" s="15">
        <v>2</v>
      </c>
      <c r="D127" s="23" t="s">
        <v>124</v>
      </c>
      <c r="E127" s="23">
        <v>640</v>
      </c>
      <c r="F127" s="23" t="s">
        <v>89</v>
      </c>
      <c r="G127" s="24">
        <v>10885.05</v>
      </c>
      <c r="H127" s="24">
        <v>11755.13</v>
      </c>
      <c r="I127" s="24">
        <v>9538</v>
      </c>
      <c r="J127" s="24">
        <v>8825</v>
      </c>
      <c r="K127" s="24">
        <f>13871-K124</f>
        <v>9042</v>
      </c>
      <c r="L127" s="24"/>
      <c r="M127" s="24"/>
      <c r="N127" s="24">
        <v>1222</v>
      </c>
      <c r="O127" s="24"/>
      <c r="P127" s="24">
        <f>K127+SUM(L127:O127)</f>
        <v>10264</v>
      </c>
      <c r="Q127" s="24">
        <v>3467.69</v>
      </c>
      <c r="R127" s="25">
        <f t="shared" si="76"/>
        <v>0.33784976617303197</v>
      </c>
      <c r="S127" s="24">
        <v>6935.38</v>
      </c>
      <c r="T127" s="25">
        <f t="shared" si="77"/>
        <v>0.67569953234606395</v>
      </c>
      <c r="U127" s="24">
        <v>10264.01</v>
      </c>
      <c r="V127" s="25">
        <f t="shared" si="78"/>
        <v>1.0000009742790334</v>
      </c>
      <c r="W127" s="24">
        <v>10264.01</v>
      </c>
      <c r="X127" s="25">
        <f t="shared" si="79"/>
        <v>1.0000009742790334</v>
      </c>
      <c r="Y127" s="24">
        <f>K127</f>
        <v>9042</v>
      </c>
      <c r="Z127" s="24">
        <f>Y127</f>
        <v>9042</v>
      </c>
    </row>
    <row r="128" spans="1:26" ht="13.9" customHeight="1" x14ac:dyDescent="0.25">
      <c r="A128" s="15">
        <v>1</v>
      </c>
      <c r="B128" s="15">
        <v>2</v>
      </c>
      <c r="D128" s="79" t="s">
        <v>21</v>
      </c>
      <c r="E128" s="48">
        <v>41</v>
      </c>
      <c r="F128" s="48" t="s">
        <v>23</v>
      </c>
      <c r="G128" s="49">
        <f t="shared" ref="G128:Q128" si="81">SUM(G126:G127)</f>
        <v>11081.369999999999</v>
      </c>
      <c r="H128" s="49">
        <f t="shared" si="81"/>
        <v>11986.119999999999</v>
      </c>
      <c r="I128" s="49">
        <f t="shared" si="81"/>
        <v>9788</v>
      </c>
      <c r="J128" s="49">
        <f t="shared" si="81"/>
        <v>9075</v>
      </c>
      <c r="K128" s="49">
        <f t="shared" si="81"/>
        <v>9220</v>
      </c>
      <c r="L128" s="49">
        <f t="shared" si="81"/>
        <v>0</v>
      </c>
      <c r="M128" s="49">
        <f t="shared" si="81"/>
        <v>0</v>
      </c>
      <c r="N128" s="49">
        <f t="shared" si="81"/>
        <v>1222</v>
      </c>
      <c r="O128" s="49">
        <f t="shared" si="81"/>
        <v>0</v>
      </c>
      <c r="P128" s="49">
        <f t="shared" si="81"/>
        <v>10442</v>
      </c>
      <c r="Q128" s="49">
        <f t="shared" si="81"/>
        <v>3556.82</v>
      </c>
      <c r="R128" s="50">
        <f t="shared" si="76"/>
        <v>0.3406263167975484</v>
      </c>
      <c r="S128" s="49">
        <f>SUM(S126:S127)</f>
        <v>7024.51</v>
      </c>
      <c r="T128" s="50">
        <f t="shared" si="77"/>
        <v>0.67271691246887566</v>
      </c>
      <c r="U128" s="49">
        <f>SUM(U126:U127)</f>
        <v>10442.26</v>
      </c>
      <c r="V128" s="50">
        <f t="shared" si="78"/>
        <v>1.0000248994445509</v>
      </c>
      <c r="W128" s="49">
        <f>SUM(W126:W127)</f>
        <v>10442.26</v>
      </c>
      <c r="X128" s="50">
        <f t="shared" si="79"/>
        <v>1.0000248994445509</v>
      </c>
      <c r="Y128" s="49">
        <f>SUM(Y126:Y127)</f>
        <v>9220</v>
      </c>
      <c r="Z128" s="49">
        <f>SUM(Z126:Z127)</f>
        <v>9220</v>
      </c>
    </row>
    <row r="129" spans="1:26" ht="13.9" customHeight="1" x14ac:dyDescent="0.25">
      <c r="A129" s="15">
        <v>1</v>
      </c>
      <c r="B129" s="15">
        <v>2</v>
      </c>
      <c r="D129" s="30"/>
      <c r="E129" s="31"/>
      <c r="F129" s="26" t="s">
        <v>120</v>
      </c>
      <c r="G129" s="27">
        <f t="shared" ref="G129:Q129" si="82">G125+G128</f>
        <v>15323.32</v>
      </c>
      <c r="H129" s="27">
        <f t="shared" si="82"/>
        <v>16239.559999999998</v>
      </c>
      <c r="I129" s="27">
        <f t="shared" si="82"/>
        <v>14042</v>
      </c>
      <c r="J129" s="27">
        <f t="shared" si="82"/>
        <v>14042</v>
      </c>
      <c r="K129" s="27">
        <f t="shared" si="82"/>
        <v>14049</v>
      </c>
      <c r="L129" s="27">
        <f t="shared" si="82"/>
        <v>0</v>
      </c>
      <c r="M129" s="27">
        <f t="shared" si="82"/>
        <v>1</v>
      </c>
      <c r="N129" s="27">
        <f t="shared" si="82"/>
        <v>-3469</v>
      </c>
      <c r="O129" s="27">
        <f t="shared" si="82"/>
        <v>0</v>
      </c>
      <c r="P129" s="27">
        <f t="shared" si="82"/>
        <v>10581</v>
      </c>
      <c r="Q129" s="27">
        <f t="shared" si="82"/>
        <v>3556.82</v>
      </c>
      <c r="R129" s="28">
        <f t="shared" si="76"/>
        <v>0.3361515924770816</v>
      </c>
      <c r="S129" s="27">
        <f>S125+S128</f>
        <v>7024.51</v>
      </c>
      <c r="T129" s="28">
        <f t="shared" si="77"/>
        <v>0.66387959550137043</v>
      </c>
      <c r="U129" s="27">
        <f>U125+U128</f>
        <v>10581.32</v>
      </c>
      <c r="V129" s="28">
        <f t="shared" si="78"/>
        <v>1.0000302428881958</v>
      </c>
      <c r="W129" s="27">
        <f>W125+W128</f>
        <v>10581.32</v>
      </c>
      <c r="X129" s="28">
        <f t="shared" si="79"/>
        <v>1.0000302428881958</v>
      </c>
      <c r="Y129" s="27">
        <f>Y125+Y128</f>
        <v>14187</v>
      </c>
      <c r="Z129" s="27">
        <f>Z125+Z128</f>
        <v>14187</v>
      </c>
    </row>
    <row r="131" spans="1:26" ht="13.9" customHeight="1" x14ac:dyDescent="0.25">
      <c r="D131" s="7" t="s">
        <v>156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9" customHeight="1" x14ac:dyDescent="0.25">
      <c r="D132" s="21" t="s">
        <v>32</v>
      </c>
      <c r="E132" s="21" t="s">
        <v>33</v>
      </c>
      <c r="F132" s="21" t="s">
        <v>34</v>
      </c>
      <c r="G132" s="21" t="s">
        <v>1</v>
      </c>
      <c r="H132" s="21" t="s">
        <v>2</v>
      </c>
      <c r="I132" s="21" t="s">
        <v>3</v>
      </c>
      <c r="J132" s="21" t="s">
        <v>4</v>
      </c>
      <c r="K132" s="21" t="s">
        <v>5</v>
      </c>
      <c r="L132" s="21" t="s">
        <v>6</v>
      </c>
      <c r="M132" s="21" t="s">
        <v>7</v>
      </c>
      <c r="N132" s="21" t="s">
        <v>8</v>
      </c>
      <c r="O132" s="21" t="s">
        <v>9</v>
      </c>
      <c r="P132" s="21" t="s">
        <v>10</v>
      </c>
      <c r="Q132" s="21" t="s">
        <v>11</v>
      </c>
      <c r="R132" s="22" t="s">
        <v>12</v>
      </c>
      <c r="S132" s="21" t="s">
        <v>13</v>
      </c>
      <c r="T132" s="22" t="s">
        <v>14</v>
      </c>
      <c r="U132" s="21" t="s">
        <v>15</v>
      </c>
      <c r="V132" s="22" t="s">
        <v>16</v>
      </c>
      <c r="W132" s="21" t="s">
        <v>17</v>
      </c>
      <c r="X132" s="22" t="s">
        <v>18</v>
      </c>
      <c r="Y132" s="21" t="s">
        <v>19</v>
      </c>
      <c r="Z132" s="21" t="s">
        <v>20</v>
      </c>
    </row>
    <row r="133" spans="1:26" ht="13.9" hidden="1" customHeight="1" x14ac:dyDescent="0.25">
      <c r="A133" s="15">
        <v>1</v>
      </c>
      <c r="B133" s="15">
        <v>3</v>
      </c>
      <c r="D133" s="51" t="s">
        <v>124</v>
      </c>
      <c r="E133" s="23">
        <v>630</v>
      </c>
      <c r="F133" s="23" t="s">
        <v>127</v>
      </c>
      <c r="G133" s="24">
        <v>0</v>
      </c>
      <c r="H133" s="46">
        <v>0</v>
      </c>
      <c r="I133" s="24">
        <v>0</v>
      </c>
      <c r="J133" s="24">
        <v>160</v>
      </c>
      <c r="K133" s="24">
        <v>0</v>
      </c>
      <c r="L133" s="24"/>
      <c r="M133" s="24"/>
      <c r="N133" s="24"/>
      <c r="O133" s="24"/>
      <c r="P133" s="46">
        <f>K133+SUM(L133:O133)</f>
        <v>0</v>
      </c>
      <c r="Q133" s="46"/>
      <c r="R133" s="47">
        <f t="shared" ref="R133:R138" si="83">IFERROR(Q133/$P133,0)</f>
        <v>0</v>
      </c>
      <c r="S133" s="46"/>
      <c r="T133" s="47">
        <f t="shared" ref="T133:T138" si="84">IFERROR(S133/$P133,0)</f>
        <v>0</v>
      </c>
      <c r="U133" s="46"/>
      <c r="V133" s="47">
        <f t="shared" ref="V133:V138" si="85">IFERROR(U133/$P133,0)</f>
        <v>0</v>
      </c>
      <c r="W133" s="46"/>
      <c r="X133" s="47">
        <f t="shared" ref="X133:X138" si="86">IFERROR(W133/$P133,0)</f>
        <v>0</v>
      </c>
      <c r="Y133" s="24">
        <v>0</v>
      </c>
      <c r="Z133" s="24">
        <v>0</v>
      </c>
    </row>
    <row r="134" spans="1:26" ht="13.9" hidden="1" customHeight="1" x14ac:dyDescent="0.25">
      <c r="A134" s="15">
        <v>1</v>
      </c>
      <c r="B134" s="15">
        <v>3</v>
      </c>
      <c r="D134" s="79" t="s">
        <v>21</v>
      </c>
      <c r="E134" s="48">
        <v>111</v>
      </c>
      <c r="F134" s="48" t="s">
        <v>23</v>
      </c>
      <c r="G134" s="49">
        <f t="shared" ref="G134:Q134" si="87">SUM(G133:G133)</f>
        <v>0</v>
      </c>
      <c r="H134" s="49">
        <f t="shared" si="87"/>
        <v>0</v>
      </c>
      <c r="I134" s="49">
        <f t="shared" si="87"/>
        <v>0</v>
      </c>
      <c r="J134" s="49">
        <f t="shared" si="87"/>
        <v>160</v>
      </c>
      <c r="K134" s="49">
        <f t="shared" si="87"/>
        <v>0</v>
      </c>
      <c r="L134" s="49">
        <f t="shared" si="87"/>
        <v>0</v>
      </c>
      <c r="M134" s="49">
        <f t="shared" si="87"/>
        <v>0</v>
      </c>
      <c r="N134" s="49">
        <f t="shared" si="87"/>
        <v>0</v>
      </c>
      <c r="O134" s="49">
        <f t="shared" si="87"/>
        <v>0</v>
      </c>
      <c r="P134" s="49">
        <f t="shared" si="87"/>
        <v>0</v>
      </c>
      <c r="Q134" s="49">
        <f t="shared" si="87"/>
        <v>0</v>
      </c>
      <c r="R134" s="50">
        <f t="shared" si="83"/>
        <v>0</v>
      </c>
      <c r="S134" s="49">
        <f>SUM(S133:S133)</f>
        <v>0</v>
      </c>
      <c r="T134" s="50">
        <f t="shared" si="84"/>
        <v>0</v>
      </c>
      <c r="U134" s="49">
        <f>SUM(U133:U133)</f>
        <v>0</v>
      </c>
      <c r="V134" s="50">
        <f t="shared" si="85"/>
        <v>0</v>
      </c>
      <c r="W134" s="49">
        <f>SUM(W133:W133)</f>
        <v>0</v>
      </c>
      <c r="X134" s="50">
        <f t="shared" si="86"/>
        <v>0</v>
      </c>
      <c r="Y134" s="49">
        <f>SUM(Y133:Y133)</f>
        <v>0</v>
      </c>
      <c r="Z134" s="49">
        <f>SUM(Z133:Z133)</f>
        <v>0</v>
      </c>
    </row>
    <row r="135" spans="1:26" ht="13.9" customHeight="1" x14ac:dyDescent="0.25">
      <c r="A135" s="15">
        <v>1</v>
      </c>
      <c r="B135" s="15">
        <v>3</v>
      </c>
      <c r="D135" s="23" t="s">
        <v>157</v>
      </c>
      <c r="E135" s="23">
        <v>630</v>
      </c>
      <c r="F135" s="23" t="s">
        <v>158</v>
      </c>
      <c r="G135" s="24">
        <v>2730.72</v>
      </c>
      <c r="H135" s="24">
        <v>480</v>
      </c>
      <c r="I135" s="24">
        <v>480</v>
      </c>
      <c r="J135" s="24">
        <v>349</v>
      </c>
      <c r="K135" s="24">
        <v>10466</v>
      </c>
      <c r="L135" s="24"/>
      <c r="M135" s="24"/>
      <c r="N135" s="24"/>
      <c r="O135" s="24">
        <v>-3759</v>
      </c>
      <c r="P135" s="24">
        <f>K135+SUM(L135:O135)</f>
        <v>6707</v>
      </c>
      <c r="Q135" s="24">
        <v>116.28</v>
      </c>
      <c r="R135" s="25">
        <f t="shared" si="83"/>
        <v>1.7337110481586402E-2</v>
      </c>
      <c r="S135" s="24">
        <v>232.56</v>
      </c>
      <c r="T135" s="25">
        <f t="shared" si="84"/>
        <v>3.4674220963172804E-2</v>
      </c>
      <c r="U135" s="24">
        <v>348.84</v>
      </c>
      <c r="V135" s="25">
        <f t="shared" si="85"/>
        <v>5.2011331444759203E-2</v>
      </c>
      <c r="W135" s="24">
        <v>4375.12</v>
      </c>
      <c r="X135" s="25">
        <f t="shared" si="86"/>
        <v>0.65232145519606377</v>
      </c>
      <c r="Y135" s="24">
        <f>K135</f>
        <v>10466</v>
      </c>
      <c r="Z135" s="24">
        <f>Y135</f>
        <v>10466</v>
      </c>
    </row>
    <row r="136" spans="1:26" ht="13.9" customHeight="1" x14ac:dyDescent="0.25">
      <c r="A136" s="15">
        <v>1</v>
      </c>
      <c r="B136" s="15">
        <v>3</v>
      </c>
      <c r="D136" s="43" t="s">
        <v>124</v>
      </c>
      <c r="E136" s="23">
        <v>630</v>
      </c>
      <c r="F136" s="23" t="s">
        <v>127</v>
      </c>
      <c r="G136" s="24">
        <v>2155.4299999999998</v>
      </c>
      <c r="H136" s="24">
        <v>1964.38</v>
      </c>
      <c r="I136" s="24">
        <v>2281</v>
      </c>
      <c r="J136" s="24">
        <v>2363</v>
      </c>
      <c r="K136" s="24">
        <v>2007</v>
      </c>
      <c r="L136" s="24">
        <v>888</v>
      </c>
      <c r="M136" s="24">
        <v>3346</v>
      </c>
      <c r="N136" s="24"/>
      <c r="O136" s="24"/>
      <c r="P136" s="24">
        <f>K136+SUM(L136:O136)</f>
        <v>6241</v>
      </c>
      <c r="Q136" s="24">
        <v>1314.41</v>
      </c>
      <c r="R136" s="25">
        <f t="shared" si="83"/>
        <v>0.2106088767825669</v>
      </c>
      <c r="S136" s="24">
        <v>1671.14</v>
      </c>
      <c r="T136" s="25">
        <f t="shared" si="84"/>
        <v>0.26776798589969558</v>
      </c>
      <c r="U136" s="24">
        <v>2847.87</v>
      </c>
      <c r="V136" s="25">
        <f t="shared" si="85"/>
        <v>0.45631629546547026</v>
      </c>
      <c r="W136" s="24">
        <v>4247.51</v>
      </c>
      <c r="X136" s="25">
        <f t="shared" si="86"/>
        <v>0.68058163755808365</v>
      </c>
      <c r="Y136" s="24">
        <f>K136</f>
        <v>2007</v>
      </c>
      <c r="Z136" s="24">
        <f>Y136</f>
        <v>2007</v>
      </c>
    </row>
    <row r="137" spans="1:26" ht="13.9" customHeight="1" x14ac:dyDescent="0.25">
      <c r="A137" s="15">
        <v>1</v>
      </c>
      <c r="B137" s="15">
        <v>3</v>
      </c>
      <c r="D137" s="79" t="s">
        <v>21</v>
      </c>
      <c r="E137" s="48">
        <v>41</v>
      </c>
      <c r="F137" s="48" t="s">
        <v>23</v>
      </c>
      <c r="G137" s="49">
        <f t="shared" ref="G137:Q137" si="88">SUM(G135:G136)</f>
        <v>4886.1499999999996</v>
      </c>
      <c r="H137" s="49">
        <f t="shared" si="88"/>
        <v>2444.38</v>
      </c>
      <c r="I137" s="49">
        <f t="shared" si="88"/>
        <v>2761</v>
      </c>
      <c r="J137" s="49">
        <f t="shared" si="88"/>
        <v>2712</v>
      </c>
      <c r="K137" s="49">
        <f t="shared" si="88"/>
        <v>12473</v>
      </c>
      <c r="L137" s="49">
        <f t="shared" si="88"/>
        <v>888</v>
      </c>
      <c r="M137" s="49">
        <f t="shared" si="88"/>
        <v>3346</v>
      </c>
      <c r="N137" s="49">
        <f t="shared" si="88"/>
        <v>0</v>
      </c>
      <c r="O137" s="49">
        <f t="shared" si="88"/>
        <v>-3759</v>
      </c>
      <c r="P137" s="49">
        <f t="shared" si="88"/>
        <v>12948</v>
      </c>
      <c r="Q137" s="49">
        <f t="shared" si="88"/>
        <v>1430.69</v>
      </c>
      <c r="R137" s="50">
        <f t="shared" si="83"/>
        <v>0.11049505715168366</v>
      </c>
      <c r="S137" s="49">
        <f>SUM(S135:S136)</f>
        <v>1903.7</v>
      </c>
      <c r="T137" s="50">
        <f t="shared" si="84"/>
        <v>0.14702656780970033</v>
      </c>
      <c r="U137" s="49">
        <f>SUM(U135:U136)</f>
        <v>3196.71</v>
      </c>
      <c r="V137" s="50">
        <f t="shared" si="85"/>
        <v>0.24688832252085263</v>
      </c>
      <c r="W137" s="49">
        <f>SUM(W135:W136)</f>
        <v>8622.630000000001</v>
      </c>
      <c r="X137" s="50">
        <f t="shared" si="86"/>
        <v>0.66594300278035223</v>
      </c>
      <c r="Y137" s="49">
        <f>SUM(Y135:Y136)</f>
        <v>12473</v>
      </c>
      <c r="Z137" s="49">
        <f>SUM(Z135:Z136)</f>
        <v>12473</v>
      </c>
    </row>
    <row r="138" spans="1:26" ht="13.9" customHeight="1" x14ac:dyDescent="0.25">
      <c r="A138" s="15">
        <v>1</v>
      </c>
      <c r="B138" s="15">
        <v>3</v>
      </c>
      <c r="D138" s="86"/>
      <c r="E138" s="87"/>
      <c r="F138" s="26" t="s">
        <v>120</v>
      </c>
      <c r="G138" s="27">
        <f t="shared" ref="G138:Q138" si="89">G134+G137</f>
        <v>4886.1499999999996</v>
      </c>
      <c r="H138" s="27">
        <f t="shared" si="89"/>
        <v>2444.38</v>
      </c>
      <c r="I138" s="27">
        <f t="shared" si="89"/>
        <v>2761</v>
      </c>
      <c r="J138" s="27">
        <f t="shared" si="89"/>
        <v>2872</v>
      </c>
      <c r="K138" s="27">
        <f t="shared" si="89"/>
        <v>12473</v>
      </c>
      <c r="L138" s="27">
        <f t="shared" si="89"/>
        <v>888</v>
      </c>
      <c r="M138" s="27">
        <f t="shared" si="89"/>
        <v>3346</v>
      </c>
      <c r="N138" s="27">
        <f t="shared" si="89"/>
        <v>0</v>
      </c>
      <c r="O138" s="27">
        <f t="shared" si="89"/>
        <v>-3759</v>
      </c>
      <c r="P138" s="27">
        <f t="shared" si="89"/>
        <v>12948</v>
      </c>
      <c r="Q138" s="27">
        <f t="shared" si="89"/>
        <v>1430.69</v>
      </c>
      <c r="R138" s="28">
        <f t="shared" si="83"/>
        <v>0.11049505715168366</v>
      </c>
      <c r="S138" s="27">
        <f>S134+S137</f>
        <v>1903.7</v>
      </c>
      <c r="T138" s="28">
        <f t="shared" si="84"/>
        <v>0.14702656780970033</v>
      </c>
      <c r="U138" s="27">
        <f>U134+U137</f>
        <v>3196.71</v>
      </c>
      <c r="V138" s="28">
        <f t="shared" si="85"/>
        <v>0.24688832252085263</v>
      </c>
      <c r="W138" s="27">
        <f>W134+W137</f>
        <v>8622.630000000001</v>
      </c>
      <c r="X138" s="28">
        <f t="shared" si="86"/>
        <v>0.66594300278035223</v>
      </c>
      <c r="Y138" s="27">
        <f>Y134+Y137</f>
        <v>12473</v>
      </c>
      <c r="Z138" s="27">
        <f>Z134+Z137</f>
        <v>12473</v>
      </c>
    </row>
    <row r="140" spans="1:26" ht="13.9" customHeight="1" x14ac:dyDescent="0.25">
      <c r="E140" s="52" t="s">
        <v>55</v>
      </c>
      <c r="F140" s="30" t="s">
        <v>143</v>
      </c>
      <c r="G140" s="53">
        <v>440</v>
      </c>
      <c r="H140" s="53">
        <v>407</v>
      </c>
      <c r="I140" s="53">
        <v>923</v>
      </c>
      <c r="J140" s="53">
        <v>803</v>
      </c>
      <c r="K140" s="53">
        <v>803</v>
      </c>
      <c r="L140" s="53"/>
      <c r="M140" s="53">
        <v>-384</v>
      </c>
      <c r="N140" s="53"/>
      <c r="O140" s="53"/>
      <c r="P140" s="53">
        <f>K140+SUM(L140:O140)</f>
        <v>419</v>
      </c>
      <c r="Q140" s="53">
        <v>104.73</v>
      </c>
      <c r="R140" s="54">
        <f>IFERROR(Q140/$P140,0)</f>
        <v>0.24995226730310263</v>
      </c>
      <c r="S140" s="53">
        <v>209.46</v>
      </c>
      <c r="T140" s="54">
        <f>IFERROR(S140/$P140,0)</f>
        <v>0.49990453460620526</v>
      </c>
      <c r="U140" s="53">
        <v>314.19</v>
      </c>
      <c r="V140" s="54">
        <f>IFERROR(U140/$P140,0)</f>
        <v>0.74985680190930792</v>
      </c>
      <c r="W140" s="53">
        <v>416</v>
      </c>
      <c r="X140" s="55">
        <f>IFERROR(W140/$P140,0)</f>
        <v>0.99284009546539376</v>
      </c>
      <c r="Y140" s="53">
        <f>K140</f>
        <v>803</v>
      </c>
      <c r="Z140" s="56">
        <f>Y140</f>
        <v>803</v>
      </c>
    </row>
    <row r="141" spans="1:26" ht="13.9" customHeight="1" x14ac:dyDescent="0.25">
      <c r="E141" s="57"/>
      <c r="F141" s="15" t="s">
        <v>144</v>
      </c>
      <c r="G141" s="59">
        <v>72</v>
      </c>
      <c r="H141" s="59">
        <v>242</v>
      </c>
      <c r="I141" s="59">
        <v>88</v>
      </c>
      <c r="J141" s="59">
        <v>88</v>
      </c>
      <c r="K141" s="59">
        <v>88</v>
      </c>
      <c r="L141" s="59">
        <v>-44</v>
      </c>
      <c r="M141" s="59"/>
      <c r="N141" s="59"/>
      <c r="O141" s="59"/>
      <c r="P141" s="59">
        <f>K141+SUM(L141:O141)</f>
        <v>44</v>
      </c>
      <c r="Q141" s="59">
        <v>8</v>
      </c>
      <c r="R141" s="16">
        <f>IFERROR(Q141/$P141,0)</f>
        <v>0.18181818181818182</v>
      </c>
      <c r="S141" s="59">
        <v>20</v>
      </c>
      <c r="T141" s="16">
        <f>IFERROR(S141/$P141,0)</f>
        <v>0.45454545454545453</v>
      </c>
      <c r="U141" s="59">
        <v>32</v>
      </c>
      <c r="V141" s="16">
        <f>IFERROR(U141/$P141,0)</f>
        <v>0.72727272727272729</v>
      </c>
      <c r="W141" s="59">
        <v>44</v>
      </c>
      <c r="X141" s="60">
        <f>IFERROR(W141/$P141,0)</f>
        <v>1</v>
      </c>
      <c r="Y141" s="59">
        <f>K141</f>
        <v>88</v>
      </c>
      <c r="Z141" s="61">
        <f>Y141</f>
        <v>88</v>
      </c>
    </row>
    <row r="142" spans="1:26" ht="13.9" customHeight="1" x14ac:dyDescent="0.25">
      <c r="E142" s="100"/>
      <c r="F142" s="101" t="s">
        <v>159</v>
      </c>
      <c r="G142" s="102">
        <v>2730.72</v>
      </c>
      <c r="H142" s="102">
        <v>0</v>
      </c>
      <c r="I142" s="102">
        <v>10000</v>
      </c>
      <c r="J142" s="102">
        <v>0</v>
      </c>
      <c r="K142" s="102">
        <v>10000</v>
      </c>
      <c r="L142" s="102"/>
      <c r="M142" s="102"/>
      <c r="N142" s="102"/>
      <c r="O142" s="102">
        <v>-3759</v>
      </c>
      <c r="P142" s="102">
        <f>K142+SUM(L142:O142)</f>
        <v>6241</v>
      </c>
      <c r="Q142" s="102">
        <v>0</v>
      </c>
      <c r="R142" s="103">
        <f>IFERROR(Q142/$P142,0)</f>
        <v>0</v>
      </c>
      <c r="S142" s="102">
        <v>0</v>
      </c>
      <c r="T142" s="103">
        <f>IFERROR(S142/$P142,0)</f>
        <v>0</v>
      </c>
      <c r="U142" s="102">
        <v>0</v>
      </c>
      <c r="V142" s="103">
        <f>IFERROR(U142/$P142,0)</f>
        <v>0</v>
      </c>
      <c r="W142" s="102">
        <v>3910</v>
      </c>
      <c r="X142" s="104">
        <f>IFERROR(W142/$P142,0)</f>
        <v>0.62650216311488538</v>
      </c>
      <c r="Y142" s="105">
        <f>K142</f>
        <v>10000</v>
      </c>
      <c r="Z142" s="106">
        <f>Y142</f>
        <v>10000</v>
      </c>
    </row>
    <row r="143" spans="1:26" ht="13.9" customHeight="1" x14ac:dyDescent="0.25"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S143" s="59"/>
      <c r="U143" s="59"/>
      <c r="W143" s="59"/>
      <c r="Y143" s="59"/>
      <c r="Z143" s="59"/>
    </row>
    <row r="144" spans="1:26" ht="13.9" customHeight="1" x14ac:dyDescent="0.25">
      <c r="D144" s="7" t="s">
        <v>160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9" customHeight="1" x14ac:dyDescent="0.25">
      <c r="D145" s="21" t="s">
        <v>32</v>
      </c>
      <c r="E145" s="21" t="s">
        <v>33</v>
      </c>
      <c r="F145" s="21" t="s">
        <v>34</v>
      </c>
      <c r="G145" s="21" t="s">
        <v>1</v>
      </c>
      <c r="H145" s="21" t="s">
        <v>2</v>
      </c>
      <c r="I145" s="21" t="s">
        <v>3</v>
      </c>
      <c r="J145" s="21" t="s">
        <v>4</v>
      </c>
      <c r="K145" s="21" t="s">
        <v>5</v>
      </c>
      <c r="L145" s="21" t="s">
        <v>6</v>
      </c>
      <c r="M145" s="21" t="s">
        <v>7</v>
      </c>
      <c r="N145" s="21" t="s">
        <v>8</v>
      </c>
      <c r="O145" s="21" t="s">
        <v>9</v>
      </c>
      <c r="P145" s="21" t="s">
        <v>10</v>
      </c>
      <c r="Q145" s="21" t="s">
        <v>11</v>
      </c>
      <c r="R145" s="22" t="s">
        <v>12</v>
      </c>
      <c r="S145" s="21" t="s">
        <v>13</v>
      </c>
      <c r="T145" s="22" t="s">
        <v>14</v>
      </c>
      <c r="U145" s="21" t="s">
        <v>15</v>
      </c>
      <c r="V145" s="22" t="s">
        <v>16</v>
      </c>
      <c r="W145" s="21" t="s">
        <v>17</v>
      </c>
      <c r="X145" s="22" t="s">
        <v>18</v>
      </c>
      <c r="Y145" s="21" t="s">
        <v>19</v>
      </c>
      <c r="Z145" s="21" t="s">
        <v>20</v>
      </c>
    </row>
    <row r="146" spans="1:26" ht="13.9" customHeight="1" x14ac:dyDescent="0.25">
      <c r="A146" s="15">
        <v>1</v>
      </c>
      <c r="B146" s="15">
        <v>4</v>
      </c>
      <c r="D146" s="13" t="s">
        <v>161</v>
      </c>
      <c r="E146" s="107">
        <v>610</v>
      </c>
      <c r="F146" s="107" t="s">
        <v>125</v>
      </c>
      <c r="G146" s="46">
        <v>1500</v>
      </c>
      <c r="H146" s="46">
        <v>315.83999999999997</v>
      </c>
      <c r="I146" s="46">
        <v>105</v>
      </c>
      <c r="J146" s="46">
        <v>240</v>
      </c>
      <c r="K146" s="46">
        <v>240</v>
      </c>
      <c r="L146" s="46"/>
      <c r="M146" s="46">
        <v>240</v>
      </c>
      <c r="N146" s="46"/>
      <c r="O146" s="46"/>
      <c r="P146" s="46">
        <f>K146+SUM(L146:O146)</f>
        <v>480</v>
      </c>
      <c r="Q146" s="46">
        <v>0</v>
      </c>
      <c r="R146" s="47">
        <f>IFERROR(Q146/$P146,0)</f>
        <v>0</v>
      </c>
      <c r="S146" s="46">
        <v>320</v>
      </c>
      <c r="T146" s="47">
        <f>IFERROR(S146/$P146,0)</f>
        <v>0.66666666666666663</v>
      </c>
      <c r="U146" s="46">
        <v>480</v>
      </c>
      <c r="V146" s="47">
        <f>IFERROR(U146/$P146,0)</f>
        <v>1</v>
      </c>
      <c r="W146" s="46">
        <v>480</v>
      </c>
      <c r="X146" s="47">
        <f>IFERROR(W146/$P146,0)</f>
        <v>1</v>
      </c>
      <c r="Y146" s="24">
        <v>0</v>
      </c>
      <c r="Z146" s="24">
        <v>0</v>
      </c>
    </row>
    <row r="147" spans="1:26" ht="13.9" customHeight="1" x14ac:dyDescent="0.25">
      <c r="A147" s="15">
        <v>1</v>
      </c>
      <c r="B147" s="15">
        <v>4</v>
      </c>
      <c r="D147" s="13"/>
      <c r="E147" s="107">
        <v>620</v>
      </c>
      <c r="F147" s="107" t="s">
        <v>126</v>
      </c>
      <c r="G147" s="46">
        <v>1622.09</v>
      </c>
      <c r="H147" s="46">
        <v>110.33</v>
      </c>
      <c r="I147" s="46">
        <v>85</v>
      </c>
      <c r="J147" s="46">
        <v>118</v>
      </c>
      <c r="K147" s="46">
        <v>118</v>
      </c>
      <c r="L147" s="46"/>
      <c r="M147" s="46">
        <v>57</v>
      </c>
      <c r="N147" s="46"/>
      <c r="O147" s="46"/>
      <c r="P147" s="46">
        <f>K147+SUM(L147:O147)</f>
        <v>175</v>
      </c>
      <c r="Q147" s="46">
        <v>0.68</v>
      </c>
      <c r="R147" s="47">
        <f>IFERROR(Q147/$P147,0)</f>
        <v>3.8857142857142862E-3</v>
      </c>
      <c r="S147" s="46">
        <v>117.09</v>
      </c>
      <c r="T147" s="47">
        <f>IFERROR(S147/$P147,0)</f>
        <v>0.66908571428571428</v>
      </c>
      <c r="U147" s="46">
        <v>174.61</v>
      </c>
      <c r="V147" s="47">
        <f>IFERROR(U147/$P147,0)</f>
        <v>0.99777142857142864</v>
      </c>
      <c r="W147" s="46">
        <v>174.61</v>
      </c>
      <c r="X147" s="47">
        <f>IFERROR(W147/$P147,0)</f>
        <v>0.99777142857142864</v>
      </c>
      <c r="Y147" s="24">
        <v>0</v>
      </c>
      <c r="Z147" s="24">
        <v>0</v>
      </c>
    </row>
    <row r="148" spans="1:26" ht="13.9" customHeight="1" x14ac:dyDescent="0.25">
      <c r="A148" s="15">
        <v>1</v>
      </c>
      <c r="B148" s="15">
        <v>4</v>
      </c>
      <c r="D148" s="13"/>
      <c r="E148" s="107">
        <v>630</v>
      </c>
      <c r="F148" s="107" t="s">
        <v>127</v>
      </c>
      <c r="G148" s="46">
        <v>5045.46</v>
      </c>
      <c r="H148" s="46">
        <v>7063.67</v>
      </c>
      <c r="I148" s="46">
        <v>2665</v>
      </c>
      <c r="J148" s="46">
        <v>4224</v>
      </c>
      <c r="K148" s="46">
        <v>4142</v>
      </c>
      <c r="L148" s="46"/>
      <c r="M148" s="46">
        <v>2846</v>
      </c>
      <c r="N148" s="46"/>
      <c r="O148" s="46"/>
      <c r="P148" s="46">
        <f>K148+SUM(L148:O148)</f>
        <v>6988</v>
      </c>
      <c r="Q148" s="46">
        <v>2109.31</v>
      </c>
      <c r="R148" s="47">
        <f>IFERROR(Q148/$P148,0)</f>
        <v>0.30184745277618774</v>
      </c>
      <c r="S148" s="46">
        <v>6723.63</v>
      </c>
      <c r="T148" s="47">
        <f>IFERROR(S148/$P148,0)</f>
        <v>0.96216800228963939</v>
      </c>
      <c r="U148" s="46">
        <v>6988.51</v>
      </c>
      <c r="V148" s="47">
        <f>IFERROR(U148/$P148,0)</f>
        <v>1.0000729822552947</v>
      </c>
      <c r="W148" s="46">
        <v>6988.51</v>
      </c>
      <c r="X148" s="47">
        <f>IFERROR(W148/$P148,0)</f>
        <v>1.0000729822552947</v>
      </c>
      <c r="Y148" s="46">
        <v>0</v>
      </c>
      <c r="Z148" s="46">
        <v>0</v>
      </c>
    </row>
    <row r="149" spans="1:26" ht="13.9" customHeight="1" x14ac:dyDescent="0.25">
      <c r="A149" s="15">
        <v>1</v>
      </c>
      <c r="B149" s="15">
        <v>4</v>
      </c>
      <c r="D149" s="108" t="s">
        <v>21</v>
      </c>
      <c r="E149" s="109">
        <v>111</v>
      </c>
      <c r="F149" s="109" t="s">
        <v>130</v>
      </c>
      <c r="G149" s="98">
        <f t="shared" ref="G149:Q149" si="90">SUM(G146:G148)</f>
        <v>8167.55</v>
      </c>
      <c r="H149" s="98">
        <f t="shared" si="90"/>
        <v>7489.84</v>
      </c>
      <c r="I149" s="98">
        <f t="shared" si="90"/>
        <v>2855</v>
      </c>
      <c r="J149" s="98">
        <f t="shared" si="90"/>
        <v>4582</v>
      </c>
      <c r="K149" s="98">
        <f t="shared" si="90"/>
        <v>4500</v>
      </c>
      <c r="L149" s="98">
        <f t="shared" si="90"/>
        <v>0</v>
      </c>
      <c r="M149" s="98">
        <f t="shared" si="90"/>
        <v>3143</v>
      </c>
      <c r="N149" s="98">
        <f t="shared" si="90"/>
        <v>0</v>
      </c>
      <c r="O149" s="98">
        <f t="shared" si="90"/>
        <v>0</v>
      </c>
      <c r="P149" s="98">
        <f t="shared" si="90"/>
        <v>7643</v>
      </c>
      <c r="Q149" s="98">
        <f t="shared" si="90"/>
        <v>2109.9899999999998</v>
      </c>
      <c r="R149" s="99">
        <f>IFERROR(Q149/$P149,0)</f>
        <v>0.27606829778882636</v>
      </c>
      <c r="S149" s="98">
        <f>SUM(S146:S148)</f>
        <v>7160.72</v>
      </c>
      <c r="T149" s="99">
        <f>IFERROR(S149/$P149,0)</f>
        <v>0.93689912338087145</v>
      </c>
      <c r="U149" s="98">
        <f>SUM(U146:U148)</f>
        <v>7643.12</v>
      </c>
      <c r="V149" s="99">
        <f>IFERROR(U149/$P149,0)</f>
        <v>1.0000157006411095</v>
      </c>
      <c r="W149" s="98">
        <f>SUM(W146:W148)</f>
        <v>7643.12</v>
      </c>
      <c r="X149" s="99">
        <f>IFERROR(W149/$P149,0)</f>
        <v>1.0000157006411095</v>
      </c>
      <c r="Y149" s="98">
        <f>SUM(Y146:Y148)</f>
        <v>0</v>
      </c>
      <c r="Z149" s="98">
        <f>SUM(Z146:Z148)</f>
        <v>0</v>
      </c>
    </row>
    <row r="150" spans="1:26" ht="13.9" customHeight="1" x14ac:dyDescent="0.25">
      <c r="A150" s="15">
        <v>1</v>
      </c>
      <c r="B150" s="15">
        <v>4</v>
      </c>
      <c r="D150" s="110"/>
      <c r="E150" s="111"/>
      <c r="F150" s="112" t="s">
        <v>120</v>
      </c>
      <c r="G150" s="113">
        <f t="shared" ref="G150:Q150" si="91">G149</f>
        <v>8167.55</v>
      </c>
      <c r="H150" s="113">
        <f t="shared" si="91"/>
        <v>7489.84</v>
      </c>
      <c r="I150" s="113">
        <f t="shared" si="91"/>
        <v>2855</v>
      </c>
      <c r="J150" s="113">
        <f t="shared" si="91"/>
        <v>4582</v>
      </c>
      <c r="K150" s="113">
        <f t="shared" si="91"/>
        <v>4500</v>
      </c>
      <c r="L150" s="113">
        <f t="shared" si="91"/>
        <v>0</v>
      </c>
      <c r="M150" s="113">
        <f t="shared" si="91"/>
        <v>3143</v>
      </c>
      <c r="N150" s="113">
        <f t="shared" si="91"/>
        <v>0</v>
      </c>
      <c r="O150" s="113">
        <f t="shared" si="91"/>
        <v>0</v>
      </c>
      <c r="P150" s="113">
        <f t="shared" si="91"/>
        <v>7643</v>
      </c>
      <c r="Q150" s="113">
        <f t="shared" si="91"/>
        <v>2109.9899999999998</v>
      </c>
      <c r="R150" s="114">
        <f>IFERROR(Q150/$P150,0)</f>
        <v>0.27606829778882636</v>
      </c>
      <c r="S150" s="113">
        <f>S149</f>
        <v>7160.72</v>
      </c>
      <c r="T150" s="114">
        <f>IFERROR(S150/$P150,0)</f>
        <v>0.93689912338087145</v>
      </c>
      <c r="U150" s="113">
        <f>U149</f>
        <v>7643.12</v>
      </c>
      <c r="V150" s="114">
        <f>IFERROR(U150/$P150,0)</f>
        <v>1.0000157006411095</v>
      </c>
      <c r="W150" s="113">
        <f>W149</f>
        <v>7643.12</v>
      </c>
      <c r="X150" s="114">
        <f>IFERROR(W150/$P150,0)</f>
        <v>1.0000157006411095</v>
      </c>
      <c r="Y150" s="113">
        <f>Y149</f>
        <v>0</v>
      </c>
      <c r="Z150" s="113">
        <f>Z149</f>
        <v>0</v>
      </c>
    </row>
    <row r="152" spans="1:26" ht="13.9" customHeight="1" x14ac:dyDescent="0.25">
      <c r="D152" s="9" t="s">
        <v>162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9" customHeight="1" x14ac:dyDescent="0.25">
      <c r="D153" s="20"/>
      <c r="E153" s="20"/>
      <c r="F153" s="20"/>
      <c r="G153" s="21" t="s">
        <v>1</v>
      </c>
      <c r="H153" s="21" t="s">
        <v>2</v>
      </c>
      <c r="I153" s="21" t="s">
        <v>3</v>
      </c>
      <c r="J153" s="21" t="s">
        <v>4</v>
      </c>
      <c r="K153" s="21" t="s">
        <v>5</v>
      </c>
      <c r="L153" s="21" t="s">
        <v>6</v>
      </c>
      <c r="M153" s="21" t="s">
        <v>7</v>
      </c>
      <c r="N153" s="21" t="s">
        <v>8</v>
      </c>
      <c r="O153" s="21" t="s">
        <v>9</v>
      </c>
      <c r="P153" s="21" t="s">
        <v>10</v>
      </c>
      <c r="Q153" s="21" t="s">
        <v>11</v>
      </c>
      <c r="R153" s="22" t="s">
        <v>12</v>
      </c>
      <c r="S153" s="21" t="s">
        <v>13</v>
      </c>
      <c r="T153" s="22" t="s">
        <v>14</v>
      </c>
      <c r="U153" s="21" t="s">
        <v>15</v>
      </c>
      <c r="V153" s="22" t="s">
        <v>16</v>
      </c>
      <c r="W153" s="21" t="s">
        <v>17</v>
      </c>
      <c r="X153" s="22" t="s">
        <v>18</v>
      </c>
      <c r="Y153" s="21" t="s">
        <v>19</v>
      </c>
      <c r="Z153" s="21" t="s">
        <v>20</v>
      </c>
    </row>
    <row r="154" spans="1:26" ht="13.9" customHeight="1" x14ac:dyDescent="0.25">
      <c r="A154" s="15">
        <v>2</v>
      </c>
      <c r="D154" s="12" t="s">
        <v>21</v>
      </c>
      <c r="E154" s="35">
        <v>111</v>
      </c>
      <c r="F154" s="35" t="s">
        <v>45</v>
      </c>
      <c r="G154" s="36">
        <f t="shared" ref="G154:Q154" si="92">G163</f>
        <v>609340.98</v>
      </c>
      <c r="H154" s="36">
        <f t="shared" si="92"/>
        <v>647334.14</v>
      </c>
      <c r="I154" s="36">
        <f t="shared" si="92"/>
        <v>693983</v>
      </c>
      <c r="J154" s="36">
        <f t="shared" si="92"/>
        <v>712453</v>
      </c>
      <c r="K154" s="36">
        <f t="shared" si="92"/>
        <v>780000</v>
      </c>
      <c r="L154" s="36">
        <f t="shared" si="92"/>
        <v>1232</v>
      </c>
      <c r="M154" s="36">
        <f t="shared" si="92"/>
        <v>185626</v>
      </c>
      <c r="N154" s="36">
        <f t="shared" si="92"/>
        <v>35155</v>
      </c>
      <c r="O154" s="36">
        <f t="shared" si="92"/>
        <v>26999</v>
      </c>
      <c r="P154" s="36">
        <f t="shared" si="92"/>
        <v>1029012</v>
      </c>
      <c r="Q154" s="36">
        <f t="shared" si="92"/>
        <v>182293.38</v>
      </c>
      <c r="R154" s="37">
        <f>IFERROR(Q154/$P154,0)</f>
        <v>0.17715379412484986</v>
      </c>
      <c r="S154" s="36">
        <f>S163</f>
        <v>404241.52</v>
      </c>
      <c r="T154" s="37">
        <f>IFERROR(S154/$P154,0)</f>
        <v>0.39284432057157742</v>
      </c>
      <c r="U154" s="36">
        <f>U163</f>
        <v>659667.38</v>
      </c>
      <c r="V154" s="37">
        <f>IFERROR(U154/$P154,0)</f>
        <v>0.64106869502007746</v>
      </c>
      <c r="W154" s="36">
        <f>W163</f>
        <v>987073.67</v>
      </c>
      <c r="X154" s="37">
        <f>IFERROR(W154/$P154,0)</f>
        <v>0.95924408072986522</v>
      </c>
      <c r="Y154" s="36">
        <f>Y163</f>
        <v>745425</v>
      </c>
      <c r="Z154" s="36">
        <f>Z163</f>
        <v>745425</v>
      </c>
    </row>
    <row r="155" spans="1:26" ht="13.9" customHeight="1" x14ac:dyDescent="0.25">
      <c r="A155" s="15">
        <v>2</v>
      </c>
      <c r="D155" s="12"/>
      <c r="E155" s="35">
        <v>41</v>
      </c>
      <c r="F155" s="35" t="s">
        <v>23</v>
      </c>
      <c r="G155" s="36">
        <f t="shared" ref="G155:Q155" si="93">G170</f>
        <v>291580.33</v>
      </c>
      <c r="H155" s="36">
        <f t="shared" si="93"/>
        <v>336431.55</v>
      </c>
      <c r="I155" s="36">
        <f t="shared" si="93"/>
        <v>396340</v>
      </c>
      <c r="J155" s="36">
        <f t="shared" si="93"/>
        <v>370586</v>
      </c>
      <c r="K155" s="36">
        <f t="shared" si="93"/>
        <v>398893</v>
      </c>
      <c r="L155" s="36">
        <f t="shared" si="93"/>
        <v>1965</v>
      </c>
      <c r="M155" s="36">
        <f t="shared" si="93"/>
        <v>-8720</v>
      </c>
      <c r="N155" s="36">
        <f t="shared" si="93"/>
        <v>0</v>
      </c>
      <c r="O155" s="36">
        <f t="shared" si="93"/>
        <v>7220</v>
      </c>
      <c r="P155" s="36">
        <f t="shared" si="93"/>
        <v>399358</v>
      </c>
      <c r="Q155" s="36">
        <f t="shared" si="93"/>
        <v>60930.299999999996</v>
      </c>
      <c r="R155" s="37">
        <f>IFERROR(Q155/$P155,0)</f>
        <v>0.15257062585449646</v>
      </c>
      <c r="S155" s="36">
        <f>S170</f>
        <v>149143.09999999998</v>
      </c>
      <c r="T155" s="37">
        <f>IFERROR(S155/$P155,0)</f>
        <v>0.3734571487237015</v>
      </c>
      <c r="U155" s="36">
        <f>U170</f>
        <v>241616.98</v>
      </c>
      <c r="V155" s="37">
        <f>IFERROR(U155/$P155,0)</f>
        <v>0.60501349666214277</v>
      </c>
      <c r="W155" s="36">
        <f>W170</f>
        <v>370947.98</v>
      </c>
      <c r="X155" s="37">
        <f>IFERROR(W155/$P155,0)</f>
        <v>0.92886077153831892</v>
      </c>
      <c r="Y155" s="36">
        <f>Y170</f>
        <v>398893</v>
      </c>
      <c r="Z155" s="36">
        <f>Z170</f>
        <v>398893</v>
      </c>
    </row>
    <row r="156" spans="1:26" ht="13.9" customHeight="1" x14ac:dyDescent="0.25">
      <c r="A156" s="15">
        <v>2</v>
      </c>
      <c r="D156" s="12"/>
      <c r="E156" s="35">
        <v>72</v>
      </c>
      <c r="F156" s="35" t="s">
        <v>25</v>
      </c>
      <c r="G156" s="36">
        <f t="shared" ref="G156:Q156" si="94">G172</f>
        <v>44043.81</v>
      </c>
      <c r="H156" s="36">
        <f t="shared" si="94"/>
        <v>71545.320000000007</v>
      </c>
      <c r="I156" s="36">
        <f t="shared" si="94"/>
        <v>150267</v>
      </c>
      <c r="J156" s="36">
        <f t="shared" si="94"/>
        <v>97050</v>
      </c>
      <c r="K156" s="36">
        <f t="shared" si="94"/>
        <v>97900</v>
      </c>
      <c r="L156" s="36">
        <f t="shared" si="94"/>
        <v>0</v>
      </c>
      <c r="M156" s="36">
        <f t="shared" si="94"/>
        <v>20573</v>
      </c>
      <c r="N156" s="36">
        <f t="shared" si="94"/>
        <v>0</v>
      </c>
      <c r="O156" s="36">
        <f t="shared" si="94"/>
        <v>3933</v>
      </c>
      <c r="P156" s="36">
        <f t="shared" si="94"/>
        <v>122406</v>
      </c>
      <c r="Q156" s="36">
        <f t="shared" si="94"/>
        <v>14250.76</v>
      </c>
      <c r="R156" s="37">
        <f>IFERROR(Q156/$P156,0)</f>
        <v>0.11642207081352221</v>
      </c>
      <c r="S156" s="36">
        <f>S172</f>
        <v>38449.32</v>
      </c>
      <c r="T156" s="37">
        <f>IFERROR(S156/$P156,0)</f>
        <v>0.31411303367481985</v>
      </c>
      <c r="U156" s="36">
        <f>U172</f>
        <v>63518.67</v>
      </c>
      <c r="V156" s="37">
        <f>IFERROR(U156/$P156,0)</f>
        <v>0.51891794519876477</v>
      </c>
      <c r="W156" s="36">
        <f>W172</f>
        <v>97553.55</v>
      </c>
      <c r="X156" s="37">
        <f>IFERROR(W156/$P156,0)</f>
        <v>0.79696706043821386</v>
      </c>
      <c r="Y156" s="36">
        <f>Y172</f>
        <v>97900</v>
      </c>
      <c r="Z156" s="36">
        <f>Z172</f>
        <v>97900</v>
      </c>
    </row>
    <row r="157" spans="1:26" ht="13.9" customHeight="1" x14ac:dyDescent="0.25">
      <c r="A157" s="15">
        <v>2</v>
      </c>
      <c r="D157" s="30"/>
      <c r="E157" s="31"/>
      <c r="F157" s="38" t="s">
        <v>120</v>
      </c>
      <c r="G157" s="39">
        <f t="shared" ref="G157:Q157" si="95">SUM(G154:G156)</f>
        <v>944965.12000000011</v>
      </c>
      <c r="H157" s="39">
        <f t="shared" si="95"/>
        <v>1055311.01</v>
      </c>
      <c r="I157" s="39">
        <f t="shared" si="95"/>
        <v>1240590</v>
      </c>
      <c r="J157" s="39">
        <f t="shared" si="95"/>
        <v>1180089</v>
      </c>
      <c r="K157" s="39">
        <f t="shared" si="95"/>
        <v>1276793</v>
      </c>
      <c r="L157" s="39">
        <f t="shared" si="95"/>
        <v>3197</v>
      </c>
      <c r="M157" s="39">
        <f t="shared" si="95"/>
        <v>197479</v>
      </c>
      <c r="N157" s="39">
        <f t="shared" si="95"/>
        <v>35155</v>
      </c>
      <c r="O157" s="39">
        <f t="shared" si="95"/>
        <v>38152</v>
      </c>
      <c r="P157" s="39">
        <f t="shared" si="95"/>
        <v>1550776</v>
      </c>
      <c r="Q157" s="39">
        <f t="shared" si="95"/>
        <v>257474.44</v>
      </c>
      <c r="R157" s="40">
        <f>IFERROR(Q157/$P157,0)</f>
        <v>0.16602942010967411</v>
      </c>
      <c r="S157" s="39">
        <f>SUM(S154:S156)</f>
        <v>591833.93999999994</v>
      </c>
      <c r="T157" s="40">
        <f>IFERROR(S157/$P157,0)</f>
        <v>0.38163728352773058</v>
      </c>
      <c r="U157" s="39">
        <f>SUM(U154:U156)</f>
        <v>964803.03</v>
      </c>
      <c r="V157" s="40">
        <f>IFERROR(U157/$P157,0)</f>
        <v>0.62214209531228237</v>
      </c>
      <c r="W157" s="39">
        <f>SUM(W154:W156)</f>
        <v>1455575.2</v>
      </c>
      <c r="X157" s="40">
        <f>IFERROR(W157/$P157,0)</f>
        <v>0.93861086320654952</v>
      </c>
      <c r="Y157" s="39">
        <f>SUM(Y154:Y156)</f>
        <v>1242218</v>
      </c>
      <c r="Z157" s="39">
        <f>SUM(Z154:Z156)</f>
        <v>1242218</v>
      </c>
    </row>
    <row r="159" spans="1:26" ht="13.9" customHeight="1" x14ac:dyDescent="0.25">
      <c r="D159" s="41" t="s">
        <v>163</v>
      </c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2"/>
      <c r="S159" s="41"/>
      <c r="T159" s="42"/>
      <c r="U159" s="41"/>
      <c r="V159" s="42"/>
      <c r="W159" s="41"/>
      <c r="X159" s="42"/>
      <c r="Y159" s="41"/>
      <c r="Z159" s="41"/>
    </row>
    <row r="160" spans="1:26" ht="13.9" customHeight="1" x14ac:dyDescent="0.25">
      <c r="D160" s="21" t="s">
        <v>32</v>
      </c>
      <c r="E160" s="21" t="s">
        <v>33</v>
      </c>
      <c r="F160" s="21" t="s">
        <v>34</v>
      </c>
      <c r="G160" s="21" t="s">
        <v>1</v>
      </c>
      <c r="H160" s="21" t="s">
        <v>2</v>
      </c>
      <c r="I160" s="21" t="s">
        <v>3</v>
      </c>
      <c r="J160" s="21" t="s">
        <v>4</v>
      </c>
      <c r="K160" s="21" t="s">
        <v>5</v>
      </c>
      <c r="L160" s="21" t="s">
        <v>6</v>
      </c>
      <c r="M160" s="21" t="s">
        <v>7</v>
      </c>
      <c r="N160" s="21" t="s">
        <v>8</v>
      </c>
      <c r="O160" s="21" t="s">
        <v>9</v>
      </c>
      <c r="P160" s="21" t="s">
        <v>10</v>
      </c>
      <c r="Q160" s="21" t="s">
        <v>11</v>
      </c>
      <c r="R160" s="22" t="s">
        <v>12</v>
      </c>
      <c r="S160" s="21" t="s">
        <v>13</v>
      </c>
      <c r="T160" s="22" t="s">
        <v>14</v>
      </c>
      <c r="U160" s="21" t="s">
        <v>15</v>
      </c>
      <c r="V160" s="22" t="s">
        <v>16</v>
      </c>
      <c r="W160" s="21" t="s">
        <v>17</v>
      </c>
      <c r="X160" s="22" t="s">
        <v>18</v>
      </c>
      <c r="Y160" s="21" t="s">
        <v>19</v>
      </c>
      <c r="Z160" s="21" t="s">
        <v>20</v>
      </c>
    </row>
    <row r="161" spans="1:26" ht="13.9" customHeight="1" x14ac:dyDescent="0.25">
      <c r="A161" s="15">
        <v>2</v>
      </c>
      <c r="B161" s="15">
        <v>1</v>
      </c>
      <c r="D161" s="51" t="s">
        <v>164</v>
      </c>
      <c r="E161" s="23">
        <v>630</v>
      </c>
      <c r="F161" s="23" t="s">
        <v>165</v>
      </c>
      <c r="G161" s="46">
        <v>0</v>
      </c>
      <c r="H161" s="46">
        <v>4581.01</v>
      </c>
      <c r="I161" s="46">
        <v>0</v>
      </c>
      <c r="J161" s="46">
        <v>12425</v>
      </c>
      <c r="K161" s="46">
        <v>0</v>
      </c>
      <c r="L161" s="46">
        <v>1232</v>
      </c>
      <c r="M161" s="46">
        <v>47794</v>
      </c>
      <c r="N161" s="46">
        <v>1000</v>
      </c>
      <c r="O161" s="46">
        <v>9683</v>
      </c>
      <c r="P161" s="24">
        <f>K161+SUM(L161:O161)</f>
        <v>59709</v>
      </c>
      <c r="Q161" s="46">
        <v>0</v>
      </c>
      <c r="R161" s="47">
        <f t="shared" ref="R161:R173" si="96">IFERROR(Q161/$P161,0)</f>
        <v>0</v>
      </c>
      <c r="S161" s="46">
        <v>2231.83</v>
      </c>
      <c r="T161" s="47">
        <f t="shared" ref="T161:T173" si="97">IFERROR(S161/$P161,0)</f>
        <v>3.7378452159640925E-2</v>
      </c>
      <c r="U161" s="46">
        <v>50026.26</v>
      </c>
      <c r="V161" s="47">
        <f t="shared" ref="V161:V173" si="98">IFERROR(U161/$P161,0)</f>
        <v>0.83783449731196302</v>
      </c>
      <c r="W161" s="46">
        <v>64959.13</v>
      </c>
      <c r="X161" s="47">
        <f t="shared" ref="X161:X173" si="99">IFERROR(W161/$P161,0)</f>
        <v>1.0879286204759751</v>
      </c>
      <c r="Y161" s="24">
        <f>K161</f>
        <v>0</v>
      </c>
      <c r="Z161" s="24">
        <f>Y161</f>
        <v>0</v>
      </c>
    </row>
    <row r="162" spans="1:26" ht="13.9" customHeight="1" x14ac:dyDescent="0.25">
      <c r="A162" s="15">
        <v>2</v>
      </c>
      <c r="B162" s="15">
        <v>1</v>
      </c>
      <c r="D162" s="51" t="s">
        <v>164</v>
      </c>
      <c r="E162" s="23" t="s">
        <v>49</v>
      </c>
      <c r="F162" s="23" t="s">
        <v>22</v>
      </c>
      <c r="G162" s="46">
        <f>4578.98+604762</f>
        <v>609340.98</v>
      </c>
      <c r="H162" s="46">
        <v>642753.13</v>
      </c>
      <c r="I162" s="46">
        <v>693983</v>
      </c>
      <c r="J162" s="46">
        <v>700028</v>
      </c>
      <c r="K162" s="46">
        <v>780000</v>
      </c>
      <c r="L162" s="46"/>
      <c r="M162" s="46">
        <f>125249+4241+8342</f>
        <v>137832</v>
      </c>
      <c r="N162" s="46">
        <v>34155</v>
      </c>
      <c r="O162" s="46">
        <v>17316</v>
      </c>
      <c r="P162" s="24">
        <f>K162+SUM(L162:O162)</f>
        <v>969303</v>
      </c>
      <c r="Q162" s="46">
        <v>182293.38</v>
      </c>
      <c r="R162" s="47">
        <f t="shared" si="96"/>
        <v>0.18806645599982669</v>
      </c>
      <c r="S162" s="46">
        <v>402009.69</v>
      </c>
      <c r="T162" s="47">
        <f t="shared" si="97"/>
        <v>0.41474099430209133</v>
      </c>
      <c r="U162" s="46">
        <v>609641.12</v>
      </c>
      <c r="V162" s="47">
        <f t="shared" si="98"/>
        <v>0.62894793475311639</v>
      </c>
      <c r="W162" s="46">
        <v>922114.54</v>
      </c>
      <c r="X162" s="47">
        <f t="shared" si="99"/>
        <v>0.95131712168434435</v>
      </c>
      <c r="Y162" s="24">
        <v>745425</v>
      </c>
      <c r="Z162" s="24">
        <f>Y162</f>
        <v>745425</v>
      </c>
    </row>
    <row r="163" spans="1:26" ht="13.9" customHeight="1" x14ac:dyDescent="0.25">
      <c r="A163" s="15">
        <v>2</v>
      </c>
      <c r="B163" s="15">
        <v>1</v>
      </c>
      <c r="D163" s="79" t="s">
        <v>21</v>
      </c>
      <c r="E163" s="48" t="s">
        <v>166</v>
      </c>
      <c r="F163" s="48" t="s">
        <v>130</v>
      </c>
      <c r="G163" s="49">
        <f t="shared" ref="G163:Q163" si="100">SUM(G161:G162)</f>
        <v>609340.98</v>
      </c>
      <c r="H163" s="49">
        <f t="shared" si="100"/>
        <v>647334.14</v>
      </c>
      <c r="I163" s="49">
        <f t="shared" si="100"/>
        <v>693983</v>
      </c>
      <c r="J163" s="49">
        <f t="shared" si="100"/>
        <v>712453</v>
      </c>
      <c r="K163" s="49">
        <f t="shared" si="100"/>
        <v>780000</v>
      </c>
      <c r="L163" s="49">
        <f t="shared" si="100"/>
        <v>1232</v>
      </c>
      <c r="M163" s="49">
        <f t="shared" si="100"/>
        <v>185626</v>
      </c>
      <c r="N163" s="49">
        <f t="shared" si="100"/>
        <v>35155</v>
      </c>
      <c r="O163" s="49">
        <f t="shared" si="100"/>
        <v>26999</v>
      </c>
      <c r="P163" s="49">
        <f t="shared" si="100"/>
        <v>1029012</v>
      </c>
      <c r="Q163" s="49">
        <f t="shared" si="100"/>
        <v>182293.38</v>
      </c>
      <c r="R163" s="50">
        <f t="shared" si="96"/>
        <v>0.17715379412484986</v>
      </c>
      <c r="S163" s="49">
        <f>SUM(S161:S162)</f>
        <v>404241.52</v>
      </c>
      <c r="T163" s="50">
        <f t="shared" si="97"/>
        <v>0.39284432057157742</v>
      </c>
      <c r="U163" s="49">
        <f>SUM(U161:U162)</f>
        <v>659667.38</v>
      </c>
      <c r="V163" s="50">
        <f t="shared" si="98"/>
        <v>0.64106869502007746</v>
      </c>
      <c r="W163" s="49">
        <f>SUM(W161:W162)</f>
        <v>987073.67</v>
      </c>
      <c r="X163" s="50">
        <f t="shared" si="99"/>
        <v>0.95924408072986522</v>
      </c>
      <c r="Y163" s="49">
        <f>SUM(Y161:Y162)</f>
        <v>745425</v>
      </c>
      <c r="Z163" s="49">
        <f>SUM(Z161:Z162)</f>
        <v>745425</v>
      </c>
    </row>
    <row r="164" spans="1:26" ht="13.9" customHeight="1" x14ac:dyDescent="0.25">
      <c r="A164" s="15">
        <v>2</v>
      </c>
      <c r="B164" s="15">
        <v>1</v>
      </c>
      <c r="D164" s="80" t="s">
        <v>167</v>
      </c>
      <c r="E164" s="48">
        <v>630</v>
      </c>
      <c r="F164" s="48" t="s">
        <v>127</v>
      </c>
      <c r="G164" s="49">
        <v>16591.310000000001</v>
      </c>
      <c r="H164" s="49">
        <v>17602.3</v>
      </c>
      <c r="I164" s="49">
        <v>20184</v>
      </c>
      <c r="J164" s="49">
        <v>21879</v>
      </c>
      <c r="K164" s="49">
        <v>22894</v>
      </c>
      <c r="L164" s="49">
        <v>1000</v>
      </c>
      <c r="M164" s="49">
        <v>-12304</v>
      </c>
      <c r="N164" s="49">
        <v>-1413</v>
      </c>
      <c r="O164" s="49">
        <v>-687</v>
      </c>
      <c r="P164" s="24">
        <f t="shared" ref="P164:P169" si="101">K164+SUM(L164:O164)</f>
        <v>9490</v>
      </c>
      <c r="Q164" s="49">
        <v>2715.91</v>
      </c>
      <c r="R164" s="47">
        <f t="shared" si="96"/>
        <v>0.28618651211801893</v>
      </c>
      <c r="S164" s="49">
        <v>4932.5600000000004</v>
      </c>
      <c r="T164" s="47">
        <f t="shared" si="97"/>
        <v>0.51976396206533193</v>
      </c>
      <c r="U164" s="49">
        <v>6909.53</v>
      </c>
      <c r="V164" s="47">
        <f t="shared" si="98"/>
        <v>0.72808535300316124</v>
      </c>
      <c r="W164" s="49">
        <v>9078.31</v>
      </c>
      <c r="X164" s="47">
        <f t="shared" si="99"/>
        <v>0.95661854583772388</v>
      </c>
      <c r="Y164" s="24">
        <f t="shared" ref="Y164:Y169" si="102">K164</f>
        <v>22894</v>
      </c>
      <c r="Z164" s="24">
        <f t="shared" ref="Z164:Z169" si="103">Y164</f>
        <v>22894</v>
      </c>
    </row>
    <row r="165" spans="1:26" ht="13.9" customHeight="1" x14ac:dyDescent="0.25">
      <c r="A165" s="15">
        <v>2</v>
      </c>
      <c r="B165" s="15">
        <v>1</v>
      </c>
      <c r="D165" s="51" t="s">
        <v>168</v>
      </c>
      <c r="E165" s="23">
        <v>630</v>
      </c>
      <c r="F165" s="23" t="s">
        <v>127</v>
      </c>
      <c r="G165" s="24">
        <v>19656.91</v>
      </c>
      <c r="H165" s="24">
        <v>7682.49</v>
      </c>
      <c r="I165" s="24">
        <v>5140</v>
      </c>
      <c r="J165" s="24">
        <v>2559</v>
      </c>
      <c r="K165" s="24">
        <v>1982</v>
      </c>
      <c r="L165" s="24">
        <v>965</v>
      </c>
      <c r="M165" s="24"/>
      <c r="N165" s="24">
        <v>500</v>
      </c>
      <c r="O165" s="24"/>
      <c r="P165" s="24">
        <f t="shared" si="101"/>
        <v>3447</v>
      </c>
      <c r="Q165" s="24">
        <v>2074.63</v>
      </c>
      <c r="R165" s="25">
        <f t="shared" si="96"/>
        <v>0.60186539019437191</v>
      </c>
      <c r="S165" s="24">
        <v>2074.63</v>
      </c>
      <c r="T165" s="25">
        <f t="shared" si="97"/>
        <v>0.60186539019437191</v>
      </c>
      <c r="U165" s="24">
        <v>2074.63</v>
      </c>
      <c r="V165" s="25">
        <f t="shared" si="98"/>
        <v>0.60186539019437191</v>
      </c>
      <c r="W165" s="24">
        <v>3406.87</v>
      </c>
      <c r="X165" s="25">
        <f t="shared" si="99"/>
        <v>0.98835799245720912</v>
      </c>
      <c r="Y165" s="24">
        <f t="shared" si="102"/>
        <v>1982</v>
      </c>
      <c r="Z165" s="24">
        <f t="shared" si="103"/>
        <v>1982</v>
      </c>
    </row>
    <row r="166" spans="1:26" ht="13.9" hidden="1" customHeight="1" x14ac:dyDescent="0.25">
      <c r="A166" s="15">
        <v>2</v>
      </c>
      <c r="B166" s="15">
        <v>1</v>
      </c>
      <c r="D166" s="4" t="s">
        <v>169</v>
      </c>
      <c r="E166" s="23">
        <v>630</v>
      </c>
      <c r="F166" s="23" t="s">
        <v>127</v>
      </c>
      <c r="G166" s="24">
        <v>328.03</v>
      </c>
      <c r="H166" s="24">
        <v>0</v>
      </c>
      <c r="I166" s="24">
        <v>0</v>
      </c>
      <c r="J166" s="24">
        <v>0</v>
      </c>
      <c r="K166" s="24">
        <v>0</v>
      </c>
      <c r="L166" s="24"/>
      <c r="M166" s="24"/>
      <c r="N166" s="24"/>
      <c r="O166" s="24"/>
      <c r="P166" s="24">
        <f t="shared" si="101"/>
        <v>0</v>
      </c>
      <c r="Q166" s="24"/>
      <c r="R166" s="25">
        <f t="shared" si="96"/>
        <v>0</v>
      </c>
      <c r="S166" s="24"/>
      <c r="T166" s="25">
        <f t="shared" si="97"/>
        <v>0</v>
      </c>
      <c r="U166" s="24"/>
      <c r="V166" s="25">
        <f t="shared" si="98"/>
        <v>0</v>
      </c>
      <c r="W166" s="24"/>
      <c r="X166" s="25">
        <f t="shared" si="99"/>
        <v>0</v>
      </c>
      <c r="Y166" s="24">
        <f t="shared" si="102"/>
        <v>0</v>
      </c>
      <c r="Z166" s="24">
        <f t="shared" si="103"/>
        <v>0</v>
      </c>
    </row>
    <row r="167" spans="1:26" ht="13.9" hidden="1" customHeight="1" x14ac:dyDescent="0.25">
      <c r="A167" s="15">
        <v>2</v>
      </c>
      <c r="B167" s="15">
        <v>1</v>
      </c>
      <c r="D167" s="4"/>
      <c r="E167" s="23">
        <v>640</v>
      </c>
      <c r="F167" s="23" t="s">
        <v>128</v>
      </c>
      <c r="G167" s="24">
        <v>974.05</v>
      </c>
      <c r="H167" s="24">
        <v>1624.18</v>
      </c>
      <c r="I167" s="24">
        <v>0</v>
      </c>
      <c r="J167" s="24">
        <v>0</v>
      </c>
      <c r="K167" s="24">
        <v>0</v>
      </c>
      <c r="L167" s="24"/>
      <c r="M167" s="24"/>
      <c r="N167" s="24"/>
      <c r="O167" s="24"/>
      <c r="P167" s="24">
        <f t="shared" si="101"/>
        <v>0</v>
      </c>
      <c r="Q167" s="24"/>
      <c r="R167" s="25">
        <f t="shared" si="96"/>
        <v>0</v>
      </c>
      <c r="S167" s="24"/>
      <c r="T167" s="25">
        <f t="shared" si="97"/>
        <v>0</v>
      </c>
      <c r="U167" s="24"/>
      <c r="V167" s="25">
        <f t="shared" si="98"/>
        <v>0</v>
      </c>
      <c r="W167" s="24"/>
      <c r="X167" s="25">
        <f t="shared" si="99"/>
        <v>0</v>
      </c>
      <c r="Y167" s="24">
        <f t="shared" si="102"/>
        <v>0</v>
      </c>
      <c r="Z167" s="24">
        <f t="shared" si="103"/>
        <v>0</v>
      </c>
    </row>
    <row r="168" spans="1:26" ht="13.9" customHeight="1" x14ac:dyDescent="0.25">
      <c r="A168" s="15">
        <v>2</v>
      </c>
      <c r="B168" s="15">
        <v>1</v>
      </c>
      <c r="D168" s="115" t="s">
        <v>170</v>
      </c>
      <c r="E168" s="23">
        <v>630</v>
      </c>
      <c r="F168" s="23" t="s">
        <v>127</v>
      </c>
      <c r="G168" s="24">
        <v>5342.45</v>
      </c>
      <c r="H168" s="24">
        <v>8909.4</v>
      </c>
      <c r="I168" s="24">
        <v>18995</v>
      </c>
      <c r="J168" s="24">
        <v>15713</v>
      </c>
      <c r="K168" s="24">
        <v>20286</v>
      </c>
      <c r="L168" s="24"/>
      <c r="M168" s="24">
        <v>-14718</v>
      </c>
      <c r="N168" s="24"/>
      <c r="O168" s="24">
        <v>-4819</v>
      </c>
      <c r="P168" s="24">
        <f t="shared" si="101"/>
        <v>749</v>
      </c>
      <c r="Q168" s="24">
        <v>1103.0899999999999</v>
      </c>
      <c r="R168" s="25">
        <f t="shared" si="96"/>
        <v>1.4727503337783709</v>
      </c>
      <c r="S168" s="24">
        <v>2674.42</v>
      </c>
      <c r="T168" s="25">
        <f t="shared" si="97"/>
        <v>3.5706542056074766</v>
      </c>
      <c r="U168" s="24">
        <v>3722.37</v>
      </c>
      <c r="V168" s="25">
        <f t="shared" si="98"/>
        <v>4.9697863818424564</v>
      </c>
      <c r="W168" s="24">
        <v>748.88</v>
      </c>
      <c r="X168" s="25">
        <f t="shared" si="99"/>
        <v>0.99983978638184245</v>
      </c>
      <c r="Y168" s="24">
        <f t="shared" si="102"/>
        <v>20286</v>
      </c>
      <c r="Z168" s="24">
        <f t="shared" si="103"/>
        <v>20286</v>
      </c>
    </row>
    <row r="169" spans="1:26" ht="13.9" customHeight="1" x14ac:dyDescent="0.25">
      <c r="A169" s="15">
        <v>2</v>
      </c>
      <c r="B169" s="15">
        <v>1</v>
      </c>
      <c r="D169" s="116" t="s">
        <v>164</v>
      </c>
      <c r="E169" s="23" t="s">
        <v>49</v>
      </c>
      <c r="F169" s="23" t="s">
        <v>171</v>
      </c>
      <c r="G169" s="46">
        <f>138588.76+107980.44+2118.38</f>
        <v>248687.58000000002</v>
      </c>
      <c r="H169" s="46">
        <v>300613.18</v>
      </c>
      <c r="I169" s="46">
        <v>352021</v>
      </c>
      <c r="J169" s="46">
        <v>330435</v>
      </c>
      <c r="K169" s="46">
        <v>353731</v>
      </c>
      <c r="L169" s="46"/>
      <c r="M169" s="46">
        <v>18302</v>
      </c>
      <c r="N169" s="46">
        <v>913</v>
      </c>
      <c r="O169" s="46">
        <v>12726</v>
      </c>
      <c r="P169" s="24">
        <f t="shared" si="101"/>
        <v>385672</v>
      </c>
      <c r="Q169" s="46">
        <v>55036.67</v>
      </c>
      <c r="R169" s="47">
        <f t="shared" si="96"/>
        <v>0.14270330747370821</v>
      </c>
      <c r="S169" s="46">
        <v>139461.49</v>
      </c>
      <c r="T169" s="47">
        <f t="shared" si="97"/>
        <v>0.36160646870916219</v>
      </c>
      <c r="U169" s="46">
        <v>228910.45</v>
      </c>
      <c r="V169" s="47">
        <f t="shared" si="98"/>
        <v>0.59353660623535032</v>
      </c>
      <c r="W169" s="46">
        <v>357713.91999999998</v>
      </c>
      <c r="X169" s="47">
        <f t="shared" si="99"/>
        <v>0.92750814163330497</v>
      </c>
      <c r="Y169" s="24">
        <f t="shared" si="102"/>
        <v>353731</v>
      </c>
      <c r="Z169" s="24">
        <f t="shared" si="103"/>
        <v>353731</v>
      </c>
    </row>
    <row r="170" spans="1:26" ht="13.9" customHeight="1" x14ac:dyDescent="0.25">
      <c r="A170" s="15">
        <v>2</v>
      </c>
      <c r="B170" s="15">
        <v>1</v>
      </c>
      <c r="D170" s="79" t="s">
        <v>21</v>
      </c>
      <c r="E170" s="48">
        <v>41</v>
      </c>
      <c r="F170" s="48" t="s">
        <v>23</v>
      </c>
      <c r="G170" s="49">
        <f t="shared" ref="G170:Q170" si="104">SUM(G164:G169)</f>
        <v>291580.33</v>
      </c>
      <c r="H170" s="49">
        <f t="shared" si="104"/>
        <v>336431.55</v>
      </c>
      <c r="I170" s="49">
        <f t="shared" si="104"/>
        <v>396340</v>
      </c>
      <c r="J170" s="49">
        <f t="shared" si="104"/>
        <v>370586</v>
      </c>
      <c r="K170" s="49">
        <f t="shared" si="104"/>
        <v>398893</v>
      </c>
      <c r="L170" s="49">
        <f t="shared" si="104"/>
        <v>1965</v>
      </c>
      <c r="M170" s="49">
        <f t="shared" si="104"/>
        <v>-8720</v>
      </c>
      <c r="N170" s="49">
        <f t="shared" si="104"/>
        <v>0</v>
      </c>
      <c r="O170" s="49">
        <f t="shared" si="104"/>
        <v>7220</v>
      </c>
      <c r="P170" s="49">
        <f t="shared" si="104"/>
        <v>399358</v>
      </c>
      <c r="Q170" s="49">
        <f t="shared" si="104"/>
        <v>60930.299999999996</v>
      </c>
      <c r="R170" s="50">
        <f t="shared" si="96"/>
        <v>0.15257062585449646</v>
      </c>
      <c r="S170" s="49">
        <f>SUM(S164:S169)</f>
        <v>149143.09999999998</v>
      </c>
      <c r="T170" s="50">
        <f t="shared" si="97"/>
        <v>0.3734571487237015</v>
      </c>
      <c r="U170" s="49">
        <f>SUM(U164:U169)</f>
        <v>241616.98</v>
      </c>
      <c r="V170" s="50">
        <f t="shared" si="98"/>
        <v>0.60501349666214277</v>
      </c>
      <c r="W170" s="49">
        <f>SUM(W164:W169)</f>
        <v>370947.98</v>
      </c>
      <c r="X170" s="50">
        <f t="shared" si="99"/>
        <v>0.92886077153831892</v>
      </c>
      <c r="Y170" s="49">
        <f>SUM(Y164:Y169)</f>
        <v>398893</v>
      </c>
      <c r="Z170" s="49">
        <f>SUM(Z164:Z169)</f>
        <v>398893</v>
      </c>
    </row>
    <row r="171" spans="1:26" ht="13.9" customHeight="1" x14ac:dyDescent="0.25">
      <c r="A171" s="15">
        <v>2</v>
      </c>
      <c r="B171" s="15">
        <v>1</v>
      </c>
      <c r="D171" s="51" t="s">
        <v>164</v>
      </c>
      <c r="E171" s="23" t="s">
        <v>49</v>
      </c>
      <c r="F171" s="23" t="s">
        <v>25</v>
      </c>
      <c r="G171" s="46">
        <f>43278.39+765.42</f>
        <v>44043.81</v>
      </c>
      <c r="H171" s="46">
        <v>71545.320000000007</v>
      </c>
      <c r="I171" s="46">
        <v>150267</v>
      </c>
      <c r="J171" s="46">
        <v>97050</v>
      </c>
      <c r="K171" s="46">
        <v>97900</v>
      </c>
      <c r="L171" s="46"/>
      <c r="M171" s="46">
        <f>15587+4986</f>
        <v>20573</v>
      </c>
      <c r="N171" s="46"/>
      <c r="O171" s="46">
        <v>3933</v>
      </c>
      <c r="P171" s="24">
        <f>K171+SUM(L171:O171)</f>
        <v>122406</v>
      </c>
      <c r="Q171" s="46">
        <v>14250.76</v>
      </c>
      <c r="R171" s="47">
        <f t="shared" si="96"/>
        <v>0.11642207081352221</v>
      </c>
      <c r="S171" s="46">
        <v>38449.32</v>
      </c>
      <c r="T171" s="47">
        <f t="shared" si="97"/>
        <v>0.31411303367481985</v>
      </c>
      <c r="U171" s="46">
        <v>63518.67</v>
      </c>
      <c r="V171" s="47">
        <f t="shared" si="98"/>
        <v>0.51891794519876477</v>
      </c>
      <c r="W171" s="46">
        <v>97553.55</v>
      </c>
      <c r="X171" s="47">
        <f t="shared" si="99"/>
        <v>0.79696706043821386</v>
      </c>
      <c r="Y171" s="24">
        <f>K171</f>
        <v>97900</v>
      </c>
      <c r="Z171" s="24">
        <f>Y171</f>
        <v>97900</v>
      </c>
    </row>
    <row r="172" spans="1:26" ht="13.9" customHeight="1" x14ac:dyDescent="0.25">
      <c r="A172" s="15">
        <v>2</v>
      </c>
      <c r="B172" s="15">
        <v>1</v>
      </c>
      <c r="D172" s="79" t="s">
        <v>21</v>
      </c>
      <c r="E172" s="48">
        <v>72</v>
      </c>
      <c r="F172" s="48" t="s">
        <v>25</v>
      </c>
      <c r="G172" s="49">
        <f t="shared" ref="G172:Q172" si="105">SUM(G171:G171)</f>
        <v>44043.81</v>
      </c>
      <c r="H172" s="49">
        <f t="shared" si="105"/>
        <v>71545.320000000007</v>
      </c>
      <c r="I172" s="98">
        <f t="shared" si="105"/>
        <v>150267</v>
      </c>
      <c r="J172" s="49">
        <f t="shared" si="105"/>
        <v>97050</v>
      </c>
      <c r="K172" s="98">
        <f t="shared" si="105"/>
        <v>97900</v>
      </c>
      <c r="L172" s="49">
        <f t="shared" si="105"/>
        <v>0</v>
      </c>
      <c r="M172" s="49">
        <f t="shared" si="105"/>
        <v>20573</v>
      </c>
      <c r="N172" s="49">
        <f t="shared" si="105"/>
        <v>0</v>
      </c>
      <c r="O172" s="49">
        <f t="shared" si="105"/>
        <v>3933</v>
      </c>
      <c r="P172" s="49">
        <f t="shared" si="105"/>
        <v>122406</v>
      </c>
      <c r="Q172" s="49">
        <f t="shared" si="105"/>
        <v>14250.76</v>
      </c>
      <c r="R172" s="50">
        <f t="shared" si="96"/>
        <v>0.11642207081352221</v>
      </c>
      <c r="S172" s="49">
        <f>SUM(S171:S171)</f>
        <v>38449.32</v>
      </c>
      <c r="T172" s="50">
        <f t="shared" si="97"/>
        <v>0.31411303367481985</v>
      </c>
      <c r="U172" s="49">
        <f>SUM(U171:U171)</f>
        <v>63518.67</v>
      </c>
      <c r="V172" s="50">
        <f t="shared" si="98"/>
        <v>0.51891794519876477</v>
      </c>
      <c r="W172" s="49">
        <f>SUM(W171:W171)</f>
        <v>97553.55</v>
      </c>
      <c r="X172" s="50">
        <f t="shared" si="99"/>
        <v>0.79696706043821386</v>
      </c>
      <c r="Y172" s="49">
        <f>SUM(Y171:Y171)</f>
        <v>97900</v>
      </c>
      <c r="Z172" s="49">
        <f>SUM(Z171:Z171)</f>
        <v>97900</v>
      </c>
    </row>
    <row r="173" spans="1:26" ht="13.9" customHeight="1" x14ac:dyDescent="0.25">
      <c r="A173" s="15">
        <v>2</v>
      </c>
      <c r="B173" s="15">
        <v>1</v>
      </c>
      <c r="D173" s="30"/>
      <c r="E173" s="31"/>
      <c r="F173" s="26" t="s">
        <v>120</v>
      </c>
      <c r="G173" s="27">
        <f t="shared" ref="G173:Q173" si="106">G163+G170+G172</f>
        <v>944965.12000000011</v>
      </c>
      <c r="H173" s="27">
        <f t="shared" si="106"/>
        <v>1055311.01</v>
      </c>
      <c r="I173" s="27">
        <f t="shared" si="106"/>
        <v>1240590</v>
      </c>
      <c r="J173" s="27">
        <f t="shared" si="106"/>
        <v>1180089</v>
      </c>
      <c r="K173" s="27">
        <f t="shared" si="106"/>
        <v>1276793</v>
      </c>
      <c r="L173" s="27">
        <f t="shared" si="106"/>
        <v>3197</v>
      </c>
      <c r="M173" s="27">
        <f t="shared" si="106"/>
        <v>197479</v>
      </c>
      <c r="N173" s="27">
        <f t="shared" si="106"/>
        <v>35155</v>
      </c>
      <c r="O173" s="27">
        <f t="shared" si="106"/>
        <v>38152</v>
      </c>
      <c r="P173" s="27">
        <f t="shared" si="106"/>
        <v>1550776</v>
      </c>
      <c r="Q173" s="27">
        <f t="shared" si="106"/>
        <v>257474.44</v>
      </c>
      <c r="R173" s="28">
        <f t="shared" si="96"/>
        <v>0.16602942010967411</v>
      </c>
      <c r="S173" s="27">
        <f>S163+S170+S172</f>
        <v>591833.93999999994</v>
      </c>
      <c r="T173" s="28">
        <f t="shared" si="97"/>
        <v>0.38163728352773058</v>
      </c>
      <c r="U173" s="27">
        <f>U163+U170+U172</f>
        <v>964803.03</v>
      </c>
      <c r="V173" s="28">
        <f t="shared" si="98"/>
        <v>0.62214209531228237</v>
      </c>
      <c r="W173" s="27">
        <f>W163+W170+W172</f>
        <v>1455575.2</v>
      </c>
      <c r="X173" s="28">
        <f t="shared" si="99"/>
        <v>0.93861086320654952</v>
      </c>
      <c r="Y173" s="27">
        <f>Y163+Y170+Y172</f>
        <v>1242218</v>
      </c>
      <c r="Z173" s="27">
        <f>Z163+Z170+Z172</f>
        <v>1242218</v>
      </c>
    </row>
    <row r="175" spans="1:26" ht="13.9" customHeight="1" x14ac:dyDescent="0.25">
      <c r="E175" s="52" t="s">
        <v>55</v>
      </c>
      <c r="F175" s="30" t="s">
        <v>172</v>
      </c>
      <c r="G175" s="53">
        <v>881.57</v>
      </c>
      <c r="H175" s="53">
        <v>1228.8599999999999</v>
      </c>
      <c r="I175" s="117">
        <v>2445</v>
      </c>
      <c r="J175" s="53">
        <v>2671</v>
      </c>
      <c r="K175" s="117">
        <v>2671</v>
      </c>
      <c r="L175" s="53"/>
      <c r="M175" s="53">
        <v>-1943</v>
      </c>
      <c r="N175" s="53"/>
      <c r="O175" s="53"/>
      <c r="P175" s="53">
        <f t="shared" ref="P175:P180" si="107">K175+SUM(L175:O175)</f>
        <v>728</v>
      </c>
      <c r="Q175" s="53">
        <v>142.44</v>
      </c>
      <c r="R175" s="54">
        <f t="shared" ref="R175:R180" si="108">IFERROR(Q175/$P175,0)</f>
        <v>0.19565934065934065</v>
      </c>
      <c r="S175" s="53">
        <v>341.48</v>
      </c>
      <c r="T175" s="54">
        <f t="shared" ref="T175:T180" si="109">IFERROR(S175/$P175,0)</f>
        <v>0.46906593406593411</v>
      </c>
      <c r="U175" s="53">
        <v>448.79</v>
      </c>
      <c r="V175" s="54">
        <f t="shared" ref="V175:V180" si="110">IFERROR(U175/$P175,0)</f>
        <v>0.61646978021978027</v>
      </c>
      <c r="W175" s="53">
        <v>728.67</v>
      </c>
      <c r="X175" s="55">
        <f t="shared" ref="X175:X180" si="111">IFERROR(W175/$P175,0)</f>
        <v>1.0009203296703295</v>
      </c>
      <c r="Y175" s="53">
        <f t="shared" ref="Y175:Y180" si="112">K175</f>
        <v>2671</v>
      </c>
      <c r="Z175" s="56">
        <f t="shared" ref="Z175:Z180" si="113">Y175</f>
        <v>2671</v>
      </c>
    </row>
    <row r="176" spans="1:26" ht="13.9" customHeight="1" x14ac:dyDescent="0.25">
      <c r="E176" s="57"/>
      <c r="F176" s="91" t="s">
        <v>173</v>
      </c>
      <c r="G176" s="82">
        <v>2628</v>
      </c>
      <c r="H176" s="82">
        <v>5873.63</v>
      </c>
      <c r="I176" s="92">
        <v>15154</v>
      </c>
      <c r="J176" s="82">
        <v>15154</v>
      </c>
      <c r="K176" s="92">
        <v>15154</v>
      </c>
      <c r="L176" s="82"/>
      <c r="M176" s="82">
        <v>-10361</v>
      </c>
      <c r="N176" s="82"/>
      <c r="O176" s="82"/>
      <c r="P176" s="82">
        <f t="shared" si="107"/>
        <v>4793</v>
      </c>
      <c r="Q176" s="82">
        <v>871.5</v>
      </c>
      <c r="R176" s="83">
        <f t="shared" si="108"/>
        <v>0.18182766534529521</v>
      </c>
      <c r="S176" s="82">
        <v>2178.75</v>
      </c>
      <c r="T176" s="83">
        <f t="shared" si="109"/>
        <v>0.45456916336323805</v>
      </c>
      <c r="U176" s="82">
        <v>3486</v>
      </c>
      <c r="V176" s="83">
        <f t="shared" si="110"/>
        <v>0.72731066138118083</v>
      </c>
      <c r="W176" s="82">
        <v>4793.25</v>
      </c>
      <c r="X176" s="60">
        <f t="shared" si="111"/>
        <v>1.0000521593991236</v>
      </c>
      <c r="Y176" s="82">
        <f t="shared" si="112"/>
        <v>15154</v>
      </c>
      <c r="Z176" s="61">
        <f t="shared" si="113"/>
        <v>15154</v>
      </c>
    </row>
    <row r="177" spans="1:26" ht="13.9" customHeight="1" x14ac:dyDescent="0.25">
      <c r="E177" s="57"/>
      <c r="F177" s="91" t="s">
        <v>174</v>
      </c>
      <c r="G177" s="82">
        <v>4466.45</v>
      </c>
      <c r="H177" s="82">
        <v>6951.59</v>
      </c>
      <c r="I177" s="92">
        <v>13943</v>
      </c>
      <c r="J177" s="82">
        <v>15235</v>
      </c>
      <c r="K177" s="92">
        <v>15235</v>
      </c>
      <c r="L177" s="82"/>
      <c r="M177" s="82">
        <v>-11265</v>
      </c>
      <c r="N177" s="82"/>
      <c r="O177" s="82">
        <v>71</v>
      </c>
      <c r="P177" s="82">
        <f t="shared" si="107"/>
        <v>4041</v>
      </c>
      <c r="Q177" s="82">
        <v>812.59</v>
      </c>
      <c r="R177" s="83">
        <f t="shared" si="108"/>
        <v>0.20108636476119773</v>
      </c>
      <c r="S177" s="82">
        <v>1948.17</v>
      </c>
      <c r="T177" s="83">
        <f t="shared" si="109"/>
        <v>0.48210096510764666</v>
      </c>
      <c r="U177" s="82">
        <v>2560.37</v>
      </c>
      <c r="V177" s="83">
        <f t="shared" si="110"/>
        <v>0.6335981192774065</v>
      </c>
      <c r="W177" s="82">
        <v>4040.75</v>
      </c>
      <c r="X177" s="60">
        <f t="shared" si="111"/>
        <v>0.99993813412521648</v>
      </c>
      <c r="Y177" s="82">
        <f t="shared" si="112"/>
        <v>15235</v>
      </c>
      <c r="Z177" s="61">
        <f t="shared" si="113"/>
        <v>15235</v>
      </c>
    </row>
    <row r="178" spans="1:26" ht="13.9" customHeight="1" x14ac:dyDescent="0.25">
      <c r="E178" s="57"/>
      <c r="F178" s="91" t="s">
        <v>175</v>
      </c>
      <c r="G178" s="92">
        <v>876</v>
      </c>
      <c r="H178" s="92">
        <v>1957.81</v>
      </c>
      <c r="I178" s="92">
        <v>5052</v>
      </c>
      <c r="J178" s="92">
        <v>5051</v>
      </c>
      <c r="K178" s="92">
        <v>5051</v>
      </c>
      <c r="L178" s="92"/>
      <c r="M178" s="92">
        <v>-3453</v>
      </c>
      <c r="N178" s="92"/>
      <c r="O178" s="92"/>
      <c r="P178" s="92">
        <f t="shared" si="107"/>
        <v>1598</v>
      </c>
      <c r="Q178" s="92">
        <v>290.5</v>
      </c>
      <c r="R178" s="93">
        <f t="shared" si="108"/>
        <v>0.18178973717146432</v>
      </c>
      <c r="S178" s="92">
        <v>726.25</v>
      </c>
      <c r="T178" s="93">
        <f t="shared" si="109"/>
        <v>0.45447434292866085</v>
      </c>
      <c r="U178" s="92">
        <v>1162</v>
      </c>
      <c r="V178" s="93">
        <f t="shared" si="110"/>
        <v>0.72715894868585729</v>
      </c>
      <c r="W178" s="92">
        <v>1597.75</v>
      </c>
      <c r="X178" s="64">
        <f t="shared" si="111"/>
        <v>0.99984355444305384</v>
      </c>
      <c r="Y178" s="82">
        <f t="shared" si="112"/>
        <v>5051</v>
      </c>
      <c r="Z178" s="61">
        <f t="shared" si="113"/>
        <v>5051</v>
      </c>
    </row>
    <row r="179" spans="1:26" ht="13.9" customHeight="1" x14ac:dyDescent="0.25">
      <c r="E179" s="65"/>
      <c r="F179" s="94" t="s">
        <v>176</v>
      </c>
      <c r="G179" s="95"/>
      <c r="H179" s="95">
        <v>5180</v>
      </c>
      <c r="I179" s="95">
        <v>3250</v>
      </c>
      <c r="J179" s="95">
        <v>1330</v>
      </c>
      <c r="K179" s="95">
        <v>750</v>
      </c>
      <c r="L179" s="95"/>
      <c r="M179" s="95">
        <v>47794</v>
      </c>
      <c r="N179" s="95">
        <v>830</v>
      </c>
      <c r="O179" s="95"/>
      <c r="P179" s="95">
        <f t="shared" si="107"/>
        <v>49374</v>
      </c>
      <c r="Q179" s="95">
        <v>0</v>
      </c>
      <c r="R179" s="96">
        <f t="shared" si="108"/>
        <v>0</v>
      </c>
      <c r="S179" s="95">
        <v>0</v>
      </c>
      <c r="T179" s="96">
        <f t="shared" si="109"/>
        <v>0</v>
      </c>
      <c r="U179" s="95">
        <v>50026.26</v>
      </c>
      <c r="V179" s="96">
        <f t="shared" si="110"/>
        <v>1.0132105966703124</v>
      </c>
      <c r="W179" s="95">
        <v>55276.26</v>
      </c>
      <c r="X179" s="97">
        <f t="shared" si="111"/>
        <v>1.1195418641390207</v>
      </c>
      <c r="Y179" s="67">
        <f t="shared" si="112"/>
        <v>750</v>
      </c>
      <c r="Z179" s="70">
        <f t="shared" si="113"/>
        <v>750</v>
      </c>
    </row>
    <row r="180" spans="1:26" ht="13.9" hidden="1" customHeight="1" x14ac:dyDescent="0.25">
      <c r="E180" s="65"/>
      <c r="F180" s="94" t="s">
        <v>177</v>
      </c>
      <c r="G180" s="95">
        <v>974.05</v>
      </c>
      <c r="H180" s="95">
        <v>1624.18</v>
      </c>
      <c r="I180" s="95">
        <v>0</v>
      </c>
      <c r="J180" s="95">
        <v>0</v>
      </c>
      <c r="K180" s="95">
        <v>0</v>
      </c>
      <c r="L180" s="95"/>
      <c r="M180" s="95"/>
      <c r="N180" s="95"/>
      <c r="O180" s="95"/>
      <c r="P180" s="95">
        <f t="shared" si="107"/>
        <v>0</v>
      </c>
      <c r="Q180" s="95"/>
      <c r="R180" s="96">
        <f t="shared" si="108"/>
        <v>0</v>
      </c>
      <c r="S180" s="95"/>
      <c r="T180" s="96">
        <f t="shared" si="109"/>
        <v>0</v>
      </c>
      <c r="U180" s="95"/>
      <c r="V180" s="96">
        <f t="shared" si="110"/>
        <v>0</v>
      </c>
      <c r="W180" s="95"/>
      <c r="X180" s="97">
        <f t="shared" si="111"/>
        <v>0</v>
      </c>
      <c r="Y180" s="67">
        <f t="shared" si="112"/>
        <v>0</v>
      </c>
      <c r="Z180" s="70">
        <f t="shared" si="113"/>
        <v>0</v>
      </c>
    </row>
    <row r="182" spans="1:26" ht="13.9" customHeight="1" x14ac:dyDescent="0.25">
      <c r="D182" s="32" t="s">
        <v>178</v>
      </c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3"/>
      <c r="S182" s="32"/>
      <c r="T182" s="33"/>
      <c r="U182" s="32"/>
      <c r="V182" s="33"/>
      <c r="W182" s="32"/>
      <c r="X182" s="33"/>
      <c r="Y182" s="32"/>
      <c r="Z182" s="32"/>
    </row>
    <row r="183" spans="1:26" ht="13.9" customHeight="1" x14ac:dyDescent="0.25">
      <c r="D183" s="20"/>
      <c r="E183" s="20"/>
      <c r="F183" s="20"/>
      <c r="G183" s="21" t="s">
        <v>1</v>
      </c>
      <c r="H183" s="21" t="s">
        <v>2</v>
      </c>
      <c r="I183" s="21" t="s">
        <v>3</v>
      </c>
      <c r="J183" s="21" t="s">
        <v>4</v>
      </c>
      <c r="K183" s="21" t="s">
        <v>5</v>
      </c>
      <c r="L183" s="21" t="s">
        <v>6</v>
      </c>
      <c r="M183" s="21" t="s">
        <v>7</v>
      </c>
      <c r="N183" s="21" t="s">
        <v>8</v>
      </c>
      <c r="O183" s="21" t="s">
        <v>9</v>
      </c>
      <c r="P183" s="21" t="s">
        <v>10</v>
      </c>
      <c r="Q183" s="21" t="s">
        <v>11</v>
      </c>
      <c r="R183" s="22" t="s">
        <v>12</v>
      </c>
      <c r="S183" s="21" t="s">
        <v>13</v>
      </c>
      <c r="T183" s="22" t="s">
        <v>14</v>
      </c>
      <c r="U183" s="21" t="s">
        <v>15</v>
      </c>
      <c r="V183" s="22" t="s">
        <v>16</v>
      </c>
      <c r="W183" s="21" t="s">
        <v>17</v>
      </c>
      <c r="X183" s="22" t="s">
        <v>18</v>
      </c>
      <c r="Y183" s="21" t="s">
        <v>19</v>
      </c>
      <c r="Z183" s="21" t="s">
        <v>20</v>
      </c>
    </row>
    <row r="184" spans="1:26" ht="13.9" hidden="1" customHeight="1" x14ac:dyDescent="0.25">
      <c r="A184" s="15">
        <v>3</v>
      </c>
      <c r="D184" s="12" t="s">
        <v>21</v>
      </c>
      <c r="E184" s="35">
        <v>111</v>
      </c>
      <c r="F184" s="35" t="s">
        <v>45</v>
      </c>
      <c r="G184" s="36">
        <f t="shared" ref="G184:Q184" si="114">G192</f>
        <v>0</v>
      </c>
      <c r="H184" s="36">
        <f t="shared" si="114"/>
        <v>0</v>
      </c>
      <c r="I184" s="36">
        <f t="shared" si="114"/>
        <v>0</v>
      </c>
      <c r="J184" s="36">
        <f t="shared" si="114"/>
        <v>660</v>
      </c>
      <c r="K184" s="36">
        <f t="shared" si="114"/>
        <v>0</v>
      </c>
      <c r="L184" s="36">
        <f t="shared" si="114"/>
        <v>0</v>
      </c>
      <c r="M184" s="36">
        <f t="shared" si="114"/>
        <v>0</v>
      </c>
      <c r="N184" s="36">
        <f t="shared" si="114"/>
        <v>0</v>
      </c>
      <c r="O184" s="36">
        <f t="shared" si="114"/>
        <v>0</v>
      </c>
      <c r="P184" s="36">
        <f t="shared" si="114"/>
        <v>0</v>
      </c>
      <c r="Q184" s="36">
        <f t="shared" si="114"/>
        <v>0</v>
      </c>
      <c r="R184" s="37">
        <f>IFERROR(Q184/$P184,0)</f>
        <v>0</v>
      </c>
      <c r="S184" s="36">
        <f>S192</f>
        <v>0</v>
      </c>
      <c r="T184" s="37">
        <f>IFERROR(S184/$P184,0)</f>
        <v>0</v>
      </c>
      <c r="U184" s="36">
        <f>U192</f>
        <v>0</v>
      </c>
      <c r="V184" s="37">
        <f>IFERROR(U184/$P184,0)</f>
        <v>0</v>
      </c>
      <c r="W184" s="36">
        <f>W192</f>
        <v>0</v>
      </c>
      <c r="X184" s="37">
        <f>IFERROR(W184/$P184,0)</f>
        <v>0</v>
      </c>
      <c r="Y184" s="36">
        <f>Y192</f>
        <v>0</v>
      </c>
      <c r="Z184" s="36">
        <f>Z192</f>
        <v>0</v>
      </c>
    </row>
    <row r="185" spans="1:26" ht="13.9" customHeight="1" x14ac:dyDescent="0.25">
      <c r="A185" s="15">
        <v>3</v>
      </c>
      <c r="D185" s="12" t="s">
        <v>21</v>
      </c>
      <c r="E185" s="35">
        <v>41</v>
      </c>
      <c r="F185" s="35" t="s">
        <v>23</v>
      </c>
      <c r="G185" s="36">
        <f t="shared" ref="G185:Q185" si="115">G197</f>
        <v>38483.79</v>
      </c>
      <c r="H185" s="36">
        <f t="shared" si="115"/>
        <v>38948.019999999997</v>
      </c>
      <c r="I185" s="36">
        <f t="shared" si="115"/>
        <v>53508</v>
      </c>
      <c r="J185" s="36">
        <f t="shared" si="115"/>
        <v>36909</v>
      </c>
      <c r="K185" s="36">
        <f t="shared" si="115"/>
        <v>40946</v>
      </c>
      <c r="L185" s="36">
        <f t="shared" si="115"/>
        <v>0</v>
      </c>
      <c r="M185" s="36">
        <f t="shared" si="115"/>
        <v>-2139</v>
      </c>
      <c r="N185" s="36">
        <f t="shared" si="115"/>
        <v>0</v>
      </c>
      <c r="O185" s="36">
        <f t="shared" si="115"/>
        <v>2466</v>
      </c>
      <c r="P185" s="36">
        <f t="shared" si="115"/>
        <v>41273</v>
      </c>
      <c r="Q185" s="36">
        <f t="shared" si="115"/>
        <v>10909.5</v>
      </c>
      <c r="R185" s="37">
        <f>IFERROR(Q185/$P185,0)</f>
        <v>0.26432534586775858</v>
      </c>
      <c r="S185" s="36">
        <f>S197</f>
        <v>16723.63</v>
      </c>
      <c r="T185" s="37">
        <f>IFERROR(S185/$P185,0)</f>
        <v>0.4051954061977564</v>
      </c>
      <c r="U185" s="36">
        <f>U197</f>
        <v>24746.35</v>
      </c>
      <c r="V185" s="37">
        <f>IFERROR(U185/$P185,0)</f>
        <v>0.59957720543696846</v>
      </c>
      <c r="W185" s="36">
        <f>W197</f>
        <v>41268.28</v>
      </c>
      <c r="X185" s="37">
        <f>IFERROR(W185/$P185,0)</f>
        <v>0.99988563952220577</v>
      </c>
      <c r="Y185" s="36">
        <f>Y197</f>
        <v>42827</v>
      </c>
      <c r="Z185" s="36">
        <f>Z197</f>
        <v>44925</v>
      </c>
    </row>
    <row r="186" spans="1:26" ht="13.9" customHeight="1" x14ac:dyDescent="0.25">
      <c r="A186" s="15">
        <v>3</v>
      </c>
      <c r="D186" s="12" t="s">
        <v>21</v>
      </c>
      <c r="E186" s="35">
        <v>72</v>
      </c>
      <c r="F186" s="35" t="s">
        <v>25</v>
      </c>
      <c r="G186" s="36">
        <f t="shared" ref="G186:Q186" si="116">G199</f>
        <v>165.75</v>
      </c>
      <c r="H186" s="36">
        <f t="shared" si="116"/>
        <v>174.69</v>
      </c>
      <c r="I186" s="36">
        <f t="shared" si="116"/>
        <v>198</v>
      </c>
      <c r="J186" s="36">
        <f t="shared" si="116"/>
        <v>172</v>
      </c>
      <c r="K186" s="36">
        <f t="shared" si="116"/>
        <v>155</v>
      </c>
      <c r="L186" s="36">
        <f t="shared" si="116"/>
        <v>0</v>
      </c>
      <c r="M186" s="36">
        <f t="shared" si="116"/>
        <v>0</v>
      </c>
      <c r="N186" s="36">
        <f t="shared" si="116"/>
        <v>0</v>
      </c>
      <c r="O186" s="36">
        <f t="shared" si="116"/>
        <v>9</v>
      </c>
      <c r="P186" s="36">
        <f t="shared" si="116"/>
        <v>164</v>
      </c>
      <c r="Q186" s="36">
        <f t="shared" si="116"/>
        <v>0</v>
      </c>
      <c r="R186" s="37">
        <f>IFERROR(Q186/$P186,0)</f>
        <v>0</v>
      </c>
      <c r="S186" s="36">
        <f>S199</f>
        <v>0</v>
      </c>
      <c r="T186" s="37">
        <f>IFERROR(S186/$P186,0)</f>
        <v>0</v>
      </c>
      <c r="U186" s="36">
        <f>U199</f>
        <v>0</v>
      </c>
      <c r="V186" s="37">
        <f>IFERROR(U186/$P186,0)</f>
        <v>0</v>
      </c>
      <c r="W186" s="36">
        <f>W199</f>
        <v>163.91</v>
      </c>
      <c r="X186" s="37">
        <f>IFERROR(W186/$P186,0)</f>
        <v>0.99945121951219507</v>
      </c>
      <c r="Y186" s="36">
        <f>Y199</f>
        <v>153</v>
      </c>
      <c r="Z186" s="36">
        <f>Z199</f>
        <v>154</v>
      </c>
    </row>
    <row r="187" spans="1:26" ht="13.9" customHeight="1" x14ac:dyDescent="0.25">
      <c r="A187" s="15">
        <v>3</v>
      </c>
      <c r="D187" s="30"/>
      <c r="E187" s="31"/>
      <c r="F187" s="38" t="s">
        <v>120</v>
      </c>
      <c r="G187" s="39">
        <f t="shared" ref="G187:Q187" si="117">SUM(G184:G186)</f>
        <v>38649.54</v>
      </c>
      <c r="H187" s="39">
        <f t="shared" si="117"/>
        <v>39122.71</v>
      </c>
      <c r="I187" s="39">
        <f t="shared" si="117"/>
        <v>53706</v>
      </c>
      <c r="J187" s="39">
        <f t="shared" si="117"/>
        <v>37741</v>
      </c>
      <c r="K187" s="39">
        <f t="shared" si="117"/>
        <v>41101</v>
      </c>
      <c r="L187" s="39">
        <f t="shared" si="117"/>
        <v>0</v>
      </c>
      <c r="M187" s="39">
        <f t="shared" si="117"/>
        <v>-2139</v>
      </c>
      <c r="N187" s="39">
        <f t="shared" si="117"/>
        <v>0</v>
      </c>
      <c r="O187" s="39">
        <f t="shared" si="117"/>
        <v>2475</v>
      </c>
      <c r="P187" s="39">
        <f t="shared" si="117"/>
        <v>41437</v>
      </c>
      <c r="Q187" s="39">
        <f t="shared" si="117"/>
        <v>10909.5</v>
      </c>
      <c r="R187" s="40">
        <f>IFERROR(Q187/$P187,0)</f>
        <v>0.26327919492241236</v>
      </c>
      <c r="S187" s="39">
        <f>SUM(S184:S186)</f>
        <v>16723.63</v>
      </c>
      <c r="T187" s="40">
        <f>IFERROR(S187/$P187,0)</f>
        <v>0.40359171754711975</v>
      </c>
      <c r="U187" s="39">
        <f>SUM(U184:U186)</f>
        <v>24746.35</v>
      </c>
      <c r="V187" s="40">
        <f>IFERROR(U187/$P187,0)</f>
        <v>0.59720418949248255</v>
      </c>
      <c r="W187" s="39">
        <f>SUM(W184:W186)</f>
        <v>41432.19</v>
      </c>
      <c r="X187" s="40">
        <f>IFERROR(W187/$P187,0)</f>
        <v>0.9998839201679659</v>
      </c>
      <c r="Y187" s="39">
        <f>SUM(Y184:Y186)</f>
        <v>42980</v>
      </c>
      <c r="Z187" s="39">
        <f>SUM(Z184:Z186)</f>
        <v>45079</v>
      </c>
    </row>
    <row r="189" spans="1:26" ht="13.9" customHeight="1" x14ac:dyDescent="0.25">
      <c r="D189" s="73" t="s">
        <v>179</v>
      </c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4"/>
      <c r="S189" s="73"/>
      <c r="T189" s="74"/>
      <c r="U189" s="73"/>
      <c r="V189" s="74"/>
      <c r="W189" s="73"/>
      <c r="X189" s="74"/>
      <c r="Y189" s="73"/>
      <c r="Z189" s="73"/>
    </row>
    <row r="190" spans="1:26" ht="13.9" customHeight="1" x14ac:dyDescent="0.25">
      <c r="D190" s="21" t="s">
        <v>32</v>
      </c>
      <c r="E190" s="21" t="s">
        <v>33</v>
      </c>
      <c r="F190" s="21" t="s">
        <v>34</v>
      </c>
      <c r="G190" s="21" t="s">
        <v>1</v>
      </c>
      <c r="H190" s="21" t="s">
        <v>2</v>
      </c>
      <c r="I190" s="21" t="s">
        <v>3</v>
      </c>
      <c r="J190" s="21" t="s">
        <v>4</v>
      </c>
      <c r="K190" s="21" t="s">
        <v>5</v>
      </c>
      <c r="L190" s="21" t="s">
        <v>6</v>
      </c>
      <c r="M190" s="21" t="s">
        <v>7</v>
      </c>
      <c r="N190" s="21" t="s">
        <v>8</v>
      </c>
      <c r="O190" s="21" t="s">
        <v>9</v>
      </c>
      <c r="P190" s="21" t="s">
        <v>10</v>
      </c>
      <c r="Q190" s="21" t="s">
        <v>11</v>
      </c>
      <c r="R190" s="22" t="s">
        <v>12</v>
      </c>
      <c r="S190" s="21" t="s">
        <v>13</v>
      </c>
      <c r="T190" s="22" t="s">
        <v>14</v>
      </c>
      <c r="U190" s="21" t="s">
        <v>15</v>
      </c>
      <c r="V190" s="22" t="s">
        <v>16</v>
      </c>
      <c r="W190" s="21" t="s">
        <v>17</v>
      </c>
      <c r="X190" s="22" t="s">
        <v>18</v>
      </c>
      <c r="Y190" s="21" t="s">
        <v>19</v>
      </c>
      <c r="Z190" s="21" t="s">
        <v>20</v>
      </c>
    </row>
    <row r="191" spans="1:26" ht="13.9" hidden="1" customHeight="1" x14ac:dyDescent="0.25">
      <c r="A191" s="15">
        <v>3</v>
      </c>
      <c r="B191" s="15">
        <v>1</v>
      </c>
      <c r="D191" s="51" t="s">
        <v>180</v>
      </c>
      <c r="E191" s="23">
        <v>630</v>
      </c>
      <c r="F191" s="23" t="s">
        <v>127</v>
      </c>
      <c r="G191" s="24">
        <v>0</v>
      </c>
      <c r="H191" s="46">
        <v>0</v>
      </c>
      <c r="I191" s="24">
        <v>0</v>
      </c>
      <c r="J191" s="24">
        <v>660</v>
      </c>
      <c r="K191" s="24">
        <v>0</v>
      </c>
      <c r="L191" s="24"/>
      <c r="M191" s="24"/>
      <c r="N191" s="24"/>
      <c r="O191" s="24"/>
      <c r="P191" s="46">
        <f>K191+SUM(L191:O191)</f>
        <v>0</v>
      </c>
      <c r="Q191" s="46"/>
      <c r="R191" s="47">
        <f t="shared" ref="R191:R200" si="118">IFERROR(Q191/$P191,0)</f>
        <v>0</v>
      </c>
      <c r="S191" s="46"/>
      <c r="T191" s="47">
        <f t="shared" ref="T191:T200" si="119">IFERROR(S191/$P191,0)</f>
        <v>0</v>
      </c>
      <c r="U191" s="46"/>
      <c r="V191" s="47">
        <f t="shared" ref="V191:V200" si="120">IFERROR(U191/$P191,0)</f>
        <v>0</v>
      </c>
      <c r="W191" s="46"/>
      <c r="X191" s="47">
        <f t="shared" ref="X191:X200" si="121">IFERROR(W191/$P191,0)</f>
        <v>0</v>
      </c>
      <c r="Y191" s="24">
        <f>K191</f>
        <v>0</v>
      </c>
      <c r="Z191" s="24">
        <f>Y191</f>
        <v>0</v>
      </c>
    </row>
    <row r="192" spans="1:26" ht="13.9" hidden="1" customHeight="1" x14ac:dyDescent="0.25">
      <c r="A192" s="15">
        <v>3</v>
      </c>
      <c r="B192" s="15">
        <v>1</v>
      </c>
      <c r="D192" s="79" t="s">
        <v>21</v>
      </c>
      <c r="E192" s="48">
        <v>111</v>
      </c>
      <c r="F192" s="48" t="s">
        <v>23</v>
      </c>
      <c r="G192" s="49">
        <f t="shared" ref="G192:Q192" si="122">SUM(G191:G191)</f>
        <v>0</v>
      </c>
      <c r="H192" s="49">
        <f t="shared" si="122"/>
        <v>0</v>
      </c>
      <c r="I192" s="49">
        <f t="shared" si="122"/>
        <v>0</v>
      </c>
      <c r="J192" s="49">
        <f t="shared" si="122"/>
        <v>660</v>
      </c>
      <c r="K192" s="49">
        <f t="shared" si="122"/>
        <v>0</v>
      </c>
      <c r="L192" s="49">
        <f t="shared" si="122"/>
        <v>0</v>
      </c>
      <c r="M192" s="49">
        <f t="shared" si="122"/>
        <v>0</v>
      </c>
      <c r="N192" s="49">
        <f t="shared" si="122"/>
        <v>0</v>
      </c>
      <c r="O192" s="49">
        <f t="shared" si="122"/>
        <v>0</v>
      </c>
      <c r="P192" s="49">
        <f t="shared" si="122"/>
        <v>0</v>
      </c>
      <c r="Q192" s="49">
        <f t="shared" si="122"/>
        <v>0</v>
      </c>
      <c r="R192" s="50">
        <f t="shared" si="118"/>
        <v>0</v>
      </c>
      <c r="S192" s="49">
        <f>SUM(S191:S191)</f>
        <v>0</v>
      </c>
      <c r="T192" s="50">
        <f t="shared" si="119"/>
        <v>0</v>
      </c>
      <c r="U192" s="49">
        <f>SUM(U191:U191)</f>
        <v>0</v>
      </c>
      <c r="V192" s="50">
        <f t="shared" si="120"/>
        <v>0</v>
      </c>
      <c r="W192" s="49">
        <f>SUM(W191:W191)</f>
        <v>0</v>
      </c>
      <c r="X192" s="50">
        <f t="shared" si="121"/>
        <v>0</v>
      </c>
      <c r="Y192" s="49">
        <f>SUM(Y191:Y191)</f>
        <v>0</v>
      </c>
      <c r="Z192" s="49">
        <f>SUM(Z191:Z191)</f>
        <v>0</v>
      </c>
    </row>
    <row r="193" spans="1:26" ht="13.9" customHeight="1" x14ac:dyDescent="0.25">
      <c r="A193" s="15">
        <v>3</v>
      </c>
      <c r="B193" s="15">
        <v>1</v>
      </c>
      <c r="D193" s="11" t="s">
        <v>180</v>
      </c>
      <c r="E193" s="23">
        <v>610</v>
      </c>
      <c r="F193" s="23" t="s">
        <v>125</v>
      </c>
      <c r="G193" s="24">
        <v>12067.2</v>
      </c>
      <c r="H193" s="24">
        <v>15333.22</v>
      </c>
      <c r="I193" s="24">
        <v>14511</v>
      </c>
      <c r="J193" s="24">
        <v>14840</v>
      </c>
      <c r="K193" s="24">
        <v>15388</v>
      </c>
      <c r="L193" s="24"/>
      <c r="M193" s="24"/>
      <c r="N193" s="24"/>
      <c r="O193" s="24">
        <v>419</v>
      </c>
      <c r="P193" s="24">
        <f>K193+SUM(L193:O193)</f>
        <v>15807</v>
      </c>
      <c r="Q193" s="24">
        <v>5101.57</v>
      </c>
      <c r="R193" s="25">
        <f t="shared" si="118"/>
        <v>0.32274119061175427</v>
      </c>
      <c r="S193" s="24">
        <v>7398.87</v>
      </c>
      <c r="T193" s="25">
        <f t="shared" si="119"/>
        <v>0.46807553615486808</v>
      </c>
      <c r="U193" s="24">
        <v>10889.37</v>
      </c>
      <c r="V193" s="25">
        <f t="shared" si="120"/>
        <v>0.68889542607705456</v>
      </c>
      <c r="W193" s="24">
        <v>15805.87</v>
      </c>
      <c r="X193" s="25">
        <f t="shared" si="121"/>
        <v>0.99992851268425387</v>
      </c>
      <c r="Y193" s="24">
        <v>16785</v>
      </c>
      <c r="Z193" s="24">
        <v>18321</v>
      </c>
    </row>
    <row r="194" spans="1:26" ht="13.9" customHeight="1" x14ac:dyDescent="0.25">
      <c r="A194" s="15">
        <v>3</v>
      </c>
      <c r="B194" s="15">
        <v>1</v>
      </c>
      <c r="D194" s="11"/>
      <c r="E194" s="23">
        <v>620</v>
      </c>
      <c r="F194" s="23" t="s">
        <v>126</v>
      </c>
      <c r="G194" s="24">
        <v>4217.28</v>
      </c>
      <c r="H194" s="24">
        <v>5358.63</v>
      </c>
      <c r="I194" s="24">
        <v>5071</v>
      </c>
      <c r="J194" s="24">
        <v>5208</v>
      </c>
      <c r="K194" s="24">
        <v>5378</v>
      </c>
      <c r="L194" s="24"/>
      <c r="M194" s="24"/>
      <c r="N194" s="24"/>
      <c r="O194" s="24">
        <v>288</v>
      </c>
      <c r="P194" s="24">
        <f>K194+SUM(L194:O194)</f>
        <v>5666</v>
      </c>
      <c r="Q194" s="24">
        <v>1389.11</v>
      </c>
      <c r="R194" s="25">
        <f t="shared" si="118"/>
        <v>0.24516590187080831</v>
      </c>
      <c r="S194" s="24">
        <v>2643.8</v>
      </c>
      <c r="T194" s="25">
        <f t="shared" si="119"/>
        <v>0.46660783621602547</v>
      </c>
      <c r="U194" s="24">
        <v>3898.49</v>
      </c>
      <c r="V194" s="25">
        <f t="shared" si="120"/>
        <v>0.6880497705612425</v>
      </c>
      <c r="W194" s="24">
        <v>5665.84</v>
      </c>
      <c r="X194" s="25">
        <f t="shared" si="121"/>
        <v>0.99997176138369226</v>
      </c>
      <c r="Y194" s="24">
        <v>5867</v>
      </c>
      <c r="Z194" s="24">
        <v>6403</v>
      </c>
    </row>
    <row r="195" spans="1:26" ht="13.9" customHeight="1" x14ac:dyDescent="0.25">
      <c r="A195" s="15">
        <v>3</v>
      </c>
      <c r="B195" s="15">
        <v>1</v>
      </c>
      <c r="D195" s="11"/>
      <c r="E195" s="23">
        <v>630</v>
      </c>
      <c r="F195" s="23" t="s">
        <v>127</v>
      </c>
      <c r="G195" s="24">
        <v>21899.31</v>
      </c>
      <c r="H195" s="24">
        <v>18256.169999999998</v>
      </c>
      <c r="I195" s="24">
        <v>33926</v>
      </c>
      <c r="J195" s="24">
        <v>16861</v>
      </c>
      <c r="K195" s="24">
        <f>1468+18712</f>
        <v>20180</v>
      </c>
      <c r="L195" s="24"/>
      <c r="M195" s="24">
        <v>-2139</v>
      </c>
      <c r="N195" s="24"/>
      <c r="O195" s="24">
        <v>1759</v>
      </c>
      <c r="P195" s="24">
        <f>K195+SUM(L195:O195)</f>
        <v>19800</v>
      </c>
      <c r="Q195" s="24">
        <v>4418.82</v>
      </c>
      <c r="R195" s="25">
        <f t="shared" si="118"/>
        <v>0.22317272727272724</v>
      </c>
      <c r="S195" s="24">
        <v>6680.96</v>
      </c>
      <c r="T195" s="25">
        <f t="shared" si="119"/>
        <v>0.33742222222222223</v>
      </c>
      <c r="U195" s="24">
        <v>9958.49</v>
      </c>
      <c r="V195" s="25">
        <f t="shared" si="120"/>
        <v>0.50295404040404035</v>
      </c>
      <c r="W195" s="24">
        <v>19796.57</v>
      </c>
      <c r="X195" s="25">
        <f t="shared" si="121"/>
        <v>0.9998267676767677</v>
      </c>
      <c r="Y195" s="24">
        <f>1463+18712</f>
        <v>20175</v>
      </c>
      <c r="Z195" s="24">
        <f>1489+18712</f>
        <v>20201</v>
      </c>
    </row>
    <row r="196" spans="1:26" ht="13.9" hidden="1" customHeight="1" x14ac:dyDescent="0.25">
      <c r="D196" s="11"/>
      <c r="E196" s="23">
        <v>640</v>
      </c>
      <c r="F196" s="23" t="s">
        <v>128</v>
      </c>
      <c r="G196" s="24">
        <v>300</v>
      </c>
      <c r="H196" s="24">
        <v>0</v>
      </c>
      <c r="I196" s="24">
        <v>0</v>
      </c>
      <c r="J196" s="24">
        <v>0</v>
      </c>
      <c r="K196" s="24">
        <v>0</v>
      </c>
      <c r="L196" s="24"/>
      <c r="M196" s="24"/>
      <c r="N196" s="24"/>
      <c r="O196" s="24"/>
      <c r="P196" s="24">
        <f>K196+SUM(L196:O196)</f>
        <v>0</v>
      </c>
      <c r="Q196" s="24"/>
      <c r="R196" s="25">
        <f t="shared" si="118"/>
        <v>0</v>
      </c>
      <c r="S196" s="24"/>
      <c r="T196" s="25">
        <f t="shared" si="119"/>
        <v>0</v>
      </c>
      <c r="U196" s="24"/>
      <c r="V196" s="25">
        <f t="shared" si="120"/>
        <v>0</v>
      </c>
      <c r="W196" s="24"/>
      <c r="X196" s="25">
        <f t="shared" si="121"/>
        <v>0</v>
      </c>
      <c r="Y196" s="24">
        <v>0</v>
      </c>
      <c r="Z196" s="24">
        <v>0</v>
      </c>
    </row>
    <row r="197" spans="1:26" ht="13.9" customHeight="1" x14ac:dyDescent="0.25">
      <c r="A197" s="15">
        <v>3</v>
      </c>
      <c r="B197" s="15">
        <v>1</v>
      </c>
      <c r="D197" s="79" t="s">
        <v>21</v>
      </c>
      <c r="E197" s="48">
        <v>41</v>
      </c>
      <c r="F197" s="48" t="s">
        <v>23</v>
      </c>
      <c r="G197" s="49">
        <f t="shared" ref="G197:Q197" si="123">SUM(G193:G196)</f>
        <v>38483.79</v>
      </c>
      <c r="H197" s="49">
        <f t="shared" si="123"/>
        <v>38948.019999999997</v>
      </c>
      <c r="I197" s="49">
        <f t="shared" si="123"/>
        <v>53508</v>
      </c>
      <c r="J197" s="49">
        <f t="shared" si="123"/>
        <v>36909</v>
      </c>
      <c r="K197" s="49">
        <f t="shared" si="123"/>
        <v>40946</v>
      </c>
      <c r="L197" s="49">
        <f t="shared" si="123"/>
        <v>0</v>
      </c>
      <c r="M197" s="49">
        <f t="shared" si="123"/>
        <v>-2139</v>
      </c>
      <c r="N197" s="49">
        <f t="shared" si="123"/>
        <v>0</v>
      </c>
      <c r="O197" s="49">
        <f t="shared" si="123"/>
        <v>2466</v>
      </c>
      <c r="P197" s="49">
        <f t="shared" si="123"/>
        <v>41273</v>
      </c>
      <c r="Q197" s="49">
        <f t="shared" si="123"/>
        <v>10909.5</v>
      </c>
      <c r="R197" s="50">
        <f t="shared" si="118"/>
        <v>0.26432534586775858</v>
      </c>
      <c r="S197" s="49">
        <f>SUM(S193:S196)</f>
        <v>16723.63</v>
      </c>
      <c r="T197" s="50">
        <f t="shared" si="119"/>
        <v>0.4051954061977564</v>
      </c>
      <c r="U197" s="49">
        <f>SUM(U193:U196)</f>
        <v>24746.35</v>
      </c>
      <c r="V197" s="50">
        <f t="shared" si="120"/>
        <v>0.59957720543696846</v>
      </c>
      <c r="W197" s="49">
        <f>SUM(W193:W196)</f>
        <v>41268.28</v>
      </c>
      <c r="X197" s="50">
        <f t="shared" si="121"/>
        <v>0.99988563952220577</v>
      </c>
      <c r="Y197" s="49">
        <f>SUM(Y193:Y196)</f>
        <v>42827</v>
      </c>
      <c r="Z197" s="49">
        <f>SUM(Z193:Z196)</f>
        <v>44925</v>
      </c>
    </row>
    <row r="198" spans="1:26" ht="13.9" customHeight="1" x14ac:dyDescent="0.25">
      <c r="A198" s="15">
        <v>3</v>
      </c>
      <c r="B198" s="15">
        <v>1</v>
      </c>
      <c r="D198" s="80" t="s">
        <v>180</v>
      </c>
      <c r="E198" s="23">
        <v>640</v>
      </c>
      <c r="F198" s="23" t="s">
        <v>128</v>
      </c>
      <c r="G198" s="24">
        <v>165.75</v>
      </c>
      <c r="H198" s="24">
        <v>174.69</v>
      </c>
      <c r="I198" s="24">
        <v>198</v>
      </c>
      <c r="J198" s="24">
        <v>172</v>
      </c>
      <c r="K198" s="24">
        <v>155</v>
      </c>
      <c r="L198" s="24"/>
      <c r="M198" s="24"/>
      <c r="N198" s="24"/>
      <c r="O198" s="24">
        <v>9</v>
      </c>
      <c r="P198" s="24">
        <f>K198+SUM(L198:O198)</f>
        <v>164</v>
      </c>
      <c r="Q198" s="24">
        <v>0</v>
      </c>
      <c r="R198" s="25">
        <f t="shared" si="118"/>
        <v>0</v>
      </c>
      <c r="S198" s="24">
        <v>0</v>
      </c>
      <c r="T198" s="25">
        <f t="shared" si="119"/>
        <v>0</v>
      </c>
      <c r="U198" s="24">
        <v>0</v>
      </c>
      <c r="V198" s="25">
        <f t="shared" si="120"/>
        <v>0</v>
      </c>
      <c r="W198" s="24">
        <v>163.91</v>
      </c>
      <c r="X198" s="25">
        <f t="shared" si="121"/>
        <v>0.99945121951219507</v>
      </c>
      <c r="Y198" s="24">
        <v>153</v>
      </c>
      <c r="Z198" s="24">
        <v>154</v>
      </c>
    </row>
    <row r="199" spans="1:26" ht="13.9" customHeight="1" x14ac:dyDescent="0.25">
      <c r="A199" s="15">
        <v>3</v>
      </c>
      <c r="B199" s="15">
        <v>1</v>
      </c>
      <c r="D199" s="79" t="s">
        <v>21</v>
      </c>
      <c r="E199" s="48">
        <v>72</v>
      </c>
      <c r="F199" s="48" t="s">
        <v>25</v>
      </c>
      <c r="G199" s="49">
        <f t="shared" ref="G199:Q199" si="124">SUM(G198:G198)</f>
        <v>165.75</v>
      </c>
      <c r="H199" s="49">
        <f t="shared" si="124"/>
        <v>174.69</v>
      </c>
      <c r="I199" s="49">
        <f t="shared" si="124"/>
        <v>198</v>
      </c>
      <c r="J199" s="49">
        <f t="shared" si="124"/>
        <v>172</v>
      </c>
      <c r="K199" s="49">
        <f t="shared" si="124"/>
        <v>155</v>
      </c>
      <c r="L199" s="49">
        <f t="shared" si="124"/>
        <v>0</v>
      </c>
      <c r="M199" s="49">
        <f t="shared" si="124"/>
        <v>0</v>
      </c>
      <c r="N199" s="49">
        <f t="shared" si="124"/>
        <v>0</v>
      </c>
      <c r="O199" s="49">
        <f t="shared" si="124"/>
        <v>9</v>
      </c>
      <c r="P199" s="49">
        <f t="shared" si="124"/>
        <v>164</v>
      </c>
      <c r="Q199" s="49">
        <f t="shared" si="124"/>
        <v>0</v>
      </c>
      <c r="R199" s="50">
        <f t="shared" si="118"/>
        <v>0</v>
      </c>
      <c r="S199" s="49">
        <f>SUM(S198:S198)</f>
        <v>0</v>
      </c>
      <c r="T199" s="50">
        <f t="shared" si="119"/>
        <v>0</v>
      </c>
      <c r="U199" s="49">
        <f>SUM(U198:U198)</f>
        <v>0</v>
      </c>
      <c r="V199" s="50">
        <f t="shared" si="120"/>
        <v>0</v>
      </c>
      <c r="W199" s="49">
        <f>SUM(W198:W198)</f>
        <v>163.91</v>
      </c>
      <c r="X199" s="50">
        <f t="shared" si="121"/>
        <v>0.99945121951219507</v>
      </c>
      <c r="Y199" s="49">
        <f>SUM(Y198:Y198)</f>
        <v>153</v>
      </c>
      <c r="Z199" s="49">
        <f>SUM(Z198:Z198)</f>
        <v>154</v>
      </c>
    </row>
    <row r="200" spans="1:26" ht="13.9" customHeight="1" x14ac:dyDescent="0.25">
      <c r="A200" s="15">
        <v>3</v>
      </c>
      <c r="B200" s="15">
        <v>1</v>
      </c>
      <c r="D200" s="118"/>
      <c r="E200" s="31"/>
      <c r="F200" s="26" t="s">
        <v>120</v>
      </c>
      <c r="G200" s="27">
        <f t="shared" ref="G200:Q200" si="125">G192+G197+G199</f>
        <v>38649.54</v>
      </c>
      <c r="H200" s="27">
        <f t="shared" si="125"/>
        <v>39122.71</v>
      </c>
      <c r="I200" s="27">
        <f t="shared" si="125"/>
        <v>53706</v>
      </c>
      <c r="J200" s="27">
        <f t="shared" si="125"/>
        <v>37741</v>
      </c>
      <c r="K200" s="27">
        <f t="shared" si="125"/>
        <v>41101</v>
      </c>
      <c r="L200" s="27">
        <f t="shared" si="125"/>
        <v>0</v>
      </c>
      <c r="M200" s="27">
        <f t="shared" si="125"/>
        <v>-2139</v>
      </c>
      <c r="N200" s="27">
        <f t="shared" si="125"/>
        <v>0</v>
      </c>
      <c r="O200" s="27">
        <f t="shared" si="125"/>
        <v>2475</v>
      </c>
      <c r="P200" s="27">
        <f t="shared" si="125"/>
        <v>41437</v>
      </c>
      <c r="Q200" s="27">
        <f t="shared" si="125"/>
        <v>10909.5</v>
      </c>
      <c r="R200" s="28">
        <f t="shared" si="118"/>
        <v>0.26327919492241236</v>
      </c>
      <c r="S200" s="27">
        <f>S192+S197+S199</f>
        <v>16723.63</v>
      </c>
      <c r="T200" s="28">
        <f t="shared" si="119"/>
        <v>0.40359171754711975</v>
      </c>
      <c r="U200" s="27">
        <f>U192+U197+U199</f>
        <v>24746.35</v>
      </c>
      <c r="V200" s="28">
        <f t="shared" si="120"/>
        <v>0.59720418949248255</v>
      </c>
      <c r="W200" s="27">
        <f>W192+W197+W199</f>
        <v>41432.19</v>
      </c>
      <c r="X200" s="28">
        <f t="shared" si="121"/>
        <v>0.9998839201679659</v>
      </c>
      <c r="Y200" s="27">
        <f>Y192+Y197+Y199</f>
        <v>42980</v>
      </c>
      <c r="Z200" s="27">
        <f>Z192+Z197+Z199</f>
        <v>45079</v>
      </c>
    </row>
    <row r="202" spans="1:26" ht="13.9" customHeight="1" x14ac:dyDescent="0.25">
      <c r="E202" s="52" t="s">
        <v>55</v>
      </c>
      <c r="F202" s="30" t="s">
        <v>58</v>
      </c>
      <c r="G202" s="117">
        <v>9000.09</v>
      </c>
      <c r="H202" s="117">
        <v>8007.06</v>
      </c>
      <c r="I202" s="117">
        <v>8000</v>
      </c>
      <c r="J202" s="117">
        <v>2926</v>
      </c>
      <c r="K202" s="117">
        <v>3000</v>
      </c>
      <c r="L202" s="117"/>
      <c r="M202" s="117">
        <v>-71</v>
      </c>
      <c r="N202" s="117"/>
      <c r="O202" s="117">
        <v>-1348</v>
      </c>
      <c r="P202" s="117">
        <f t="shared" ref="P202:P207" si="126">K202+SUM(L202:O202)</f>
        <v>1581</v>
      </c>
      <c r="Q202" s="117">
        <v>211.1</v>
      </c>
      <c r="R202" s="119">
        <f t="shared" ref="R202:R207" si="127">IFERROR(Q202/$P202,0)</f>
        <v>0.13352308665401644</v>
      </c>
      <c r="S202" s="117">
        <v>384.49</v>
      </c>
      <c r="T202" s="119">
        <f t="shared" ref="T202:T207" si="128">IFERROR(S202/$P202,0)</f>
        <v>0.24319418089816572</v>
      </c>
      <c r="U202" s="117">
        <v>910.37</v>
      </c>
      <c r="V202" s="119">
        <f t="shared" ref="V202:V207" si="129">IFERROR(U202/$P202,0)</f>
        <v>0.57581910183428209</v>
      </c>
      <c r="W202" s="117">
        <v>1580.51</v>
      </c>
      <c r="X202" s="120">
        <f t="shared" ref="X202:X207" si="130">IFERROR(W202/$P202,0)</f>
        <v>0.99969006957621753</v>
      </c>
      <c r="Y202" s="53">
        <f>K202</f>
        <v>3000</v>
      </c>
      <c r="Z202" s="56">
        <f>Y202</f>
        <v>3000</v>
      </c>
    </row>
    <row r="203" spans="1:26" ht="13.9" customHeight="1" x14ac:dyDescent="0.25">
      <c r="E203" s="57"/>
      <c r="F203" s="91" t="s">
        <v>143</v>
      </c>
      <c r="G203" s="92">
        <v>1539.43</v>
      </c>
      <c r="H203" s="92">
        <v>1045</v>
      </c>
      <c r="I203" s="92">
        <v>4145</v>
      </c>
      <c r="J203" s="92">
        <v>3650</v>
      </c>
      <c r="K203" s="92">
        <v>3650</v>
      </c>
      <c r="L203" s="92"/>
      <c r="M203" s="92">
        <v>-2139</v>
      </c>
      <c r="N203" s="92"/>
      <c r="O203" s="92">
        <v>4</v>
      </c>
      <c r="P203" s="92">
        <f t="shared" si="126"/>
        <v>1515</v>
      </c>
      <c r="Q203" s="92">
        <v>377.76</v>
      </c>
      <c r="R203" s="93">
        <f t="shared" si="127"/>
        <v>0.24934653465346535</v>
      </c>
      <c r="S203" s="92">
        <v>755.52</v>
      </c>
      <c r="T203" s="93">
        <f t="shared" si="128"/>
        <v>0.49869306930693069</v>
      </c>
      <c r="U203" s="92">
        <v>1133.28</v>
      </c>
      <c r="V203" s="93">
        <f t="shared" si="129"/>
        <v>0.74803960396039604</v>
      </c>
      <c r="W203" s="92">
        <v>1514.55</v>
      </c>
      <c r="X203" s="64">
        <f t="shared" si="130"/>
        <v>0.9997029702970297</v>
      </c>
      <c r="Y203" s="59">
        <f>K203</f>
        <v>3650</v>
      </c>
      <c r="Z203" s="61">
        <f>Y203</f>
        <v>3650</v>
      </c>
    </row>
    <row r="204" spans="1:26" ht="13.9" customHeight="1" x14ac:dyDescent="0.25">
      <c r="E204" s="57"/>
      <c r="F204" s="58" t="s">
        <v>181</v>
      </c>
      <c r="G204" s="62">
        <v>2870.42</v>
      </c>
      <c r="H204" s="62">
        <v>1526.26</v>
      </c>
      <c r="I204" s="62">
        <v>11500</v>
      </c>
      <c r="J204" s="62">
        <v>5292</v>
      </c>
      <c r="K204" s="62">
        <v>5000</v>
      </c>
      <c r="L204" s="62"/>
      <c r="M204" s="62"/>
      <c r="N204" s="62">
        <v>-749</v>
      </c>
      <c r="O204" s="62">
        <v>1439</v>
      </c>
      <c r="P204" s="62">
        <f t="shared" si="126"/>
        <v>5690</v>
      </c>
      <c r="Q204" s="62">
        <v>1699.2</v>
      </c>
      <c r="R204" s="63">
        <f t="shared" si="127"/>
        <v>0.29862917398945521</v>
      </c>
      <c r="S204" s="62">
        <v>1723.2</v>
      </c>
      <c r="T204" s="63">
        <f t="shared" si="128"/>
        <v>0.30284710017574695</v>
      </c>
      <c r="U204" s="62">
        <v>1723.2</v>
      </c>
      <c r="V204" s="63">
        <f t="shared" si="129"/>
        <v>0.30284710017574695</v>
      </c>
      <c r="W204" s="62">
        <v>5690.21</v>
      </c>
      <c r="X204" s="64">
        <f t="shared" si="130"/>
        <v>1.0000369068541302</v>
      </c>
      <c r="Y204" s="59">
        <f>K204</f>
        <v>5000</v>
      </c>
      <c r="Z204" s="61">
        <f>Y204</f>
        <v>5000</v>
      </c>
    </row>
    <row r="205" spans="1:26" ht="13.9" customHeight="1" x14ac:dyDescent="0.25">
      <c r="E205" s="57"/>
      <c r="F205" s="15" t="s">
        <v>182</v>
      </c>
      <c r="G205" s="59">
        <v>2160</v>
      </c>
      <c r="H205" s="59">
        <v>2700</v>
      </c>
      <c r="I205" s="59">
        <v>2160</v>
      </c>
      <c r="J205" s="59">
        <v>2160</v>
      </c>
      <c r="K205" s="59">
        <v>2160</v>
      </c>
      <c r="L205" s="59"/>
      <c r="M205" s="59"/>
      <c r="N205" s="59"/>
      <c r="O205" s="59"/>
      <c r="P205" s="59">
        <f t="shared" si="126"/>
        <v>2160</v>
      </c>
      <c r="Q205" s="59">
        <v>540</v>
      </c>
      <c r="R205" s="16">
        <f t="shared" si="127"/>
        <v>0.25</v>
      </c>
      <c r="S205" s="59">
        <v>1080</v>
      </c>
      <c r="T205" s="16">
        <f t="shared" si="128"/>
        <v>0.5</v>
      </c>
      <c r="U205" s="59">
        <v>1620</v>
      </c>
      <c r="V205" s="16">
        <f t="shared" si="129"/>
        <v>0.75</v>
      </c>
      <c r="W205" s="59">
        <v>2160</v>
      </c>
      <c r="X205" s="60">
        <f t="shared" si="130"/>
        <v>1</v>
      </c>
      <c r="Y205" s="59">
        <f>K205</f>
        <v>2160</v>
      </c>
      <c r="Z205" s="61">
        <f>Y205</f>
        <v>2160</v>
      </c>
    </row>
    <row r="206" spans="1:26" ht="13.9" customHeight="1" x14ac:dyDescent="0.25">
      <c r="E206" s="57"/>
      <c r="F206" s="15" t="s">
        <v>183</v>
      </c>
      <c r="G206" s="59"/>
      <c r="H206" s="59"/>
      <c r="I206" s="59"/>
      <c r="J206" s="59"/>
      <c r="K206" s="59">
        <v>0</v>
      </c>
      <c r="L206" s="59"/>
      <c r="M206" s="59"/>
      <c r="N206" s="59"/>
      <c r="O206" s="59">
        <v>3000</v>
      </c>
      <c r="P206" s="59">
        <f t="shared" si="126"/>
        <v>3000</v>
      </c>
      <c r="Q206" s="59">
        <v>0</v>
      </c>
      <c r="R206" s="16">
        <f t="shared" si="127"/>
        <v>0</v>
      </c>
      <c r="S206" s="59">
        <v>0</v>
      </c>
      <c r="T206" s="16">
        <f t="shared" si="128"/>
        <v>0</v>
      </c>
      <c r="U206" s="59">
        <v>0</v>
      </c>
      <c r="V206" s="16">
        <f t="shared" si="129"/>
        <v>0</v>
      </c>
      <c r="W206" s="59">
        <v>3000</v>
      </c>
      <c r="X206" s="60">
        <f t="shared" si="130"/>
        <v>1</v>
      </c>
      <c r="Y206" s="59"/>
      <c r="Z206" s="61"/>
    </row>
    <row r="207" spans="1:26" ht="13.9" customHeight="1" x14ac:dyDescent="0.25">
      <c r="E207" s="65"/>
      <c r="F207" s="94" t="s">
        <v>184</v>
      </c>
      <c r="G207" s="67">
        <v>3329.83</v>
      </c>
      <c r="H207" s="67">
        <v>2201.12</v>
      </c>
      <c r="I207" s="67">
        <v>2200</v>
      </c>
      <c r="J207" s="67">
        <v>453</v>
      </c>
      <c r="K207" s="67">
        <v>2200</v>
      </c>
      <c r="L207" s="67"/>
      <c r="M207" s="67">
        <v>-682</v>
      </c>
      <c r="N207" s="67"/>
      <c r="O207" s="67"/>
      <c r="P207" s="67">
        <f t="shared" si="126"/>
        <v>1518</v>
      </c>
      <c r="Q207" s="67">
        <v>492.2</v>
      </c>
      <c r="R207" s="68">
        <f t="shared" si="127"/>
        <v>0.32424242424242422</v>
      </c>
      <c r="S207" s="67">
        <v>835.2</v>
      </c>
      <c r="T207" s="68">
        <f t="shared" si="128"/>
        <v>0.55019762845849807</v>
      </c>
      <c r="U207" s="67">
        <v>1178.2</v>
      </c>
      <c r="V207" s="68">
        <f t="shared" si="129"/>
        <v>0.7761528326745718</v>
      </c>
      <c r="W207" s="67">
        <v>1517.8</v>
      </c>
      <c r="X207" s="69">
        <f t="shared" si="130"/>
        <v>0.99986824769433458</v>
      </c>
      <c r="Y207" s="67">
        <f>K207</f>
        <v>2200</v>
      </c>
      <c r="Z207" s="70">
        <f>Y207</f>
        <v>2200</v>
      </c>
    </row>
    <row r="209" spans="1:26" ht="13.9" customHeight="1" x14ac:dyDescent="0.25">
      <c r="D209" s="32" t="s">
        <v>185</v>
      </c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3"/>
      <c r="S209" s="32"/>
      <c r="T209" s="33"/>
      <c r="U209" s="32"/>
      <c r="V209" s="33"/>
      <c r="W209" s="32"/>
      <c r="X209" s="33"/>
      <c r="Y209" s="32"/>
      <c r="Z209" s="32"/>
    </row>
    <row r="210" spans="1:26" ht="13.9" customHeight="1" x14ac:dyDescent="0.25">
      <c r="D210" s="20"/>
      <c r="E210" s="20"/>
      <c r="F210" s="20"/>
      <c r="G210" s="21" t="s">
        <v>1</v>
      </c>
      <c r="H210" s="21" t="s">
        <v>2</v>
      </c>
      <c r="I210" s="21" t="s">
        <v>3</v>
      </c>
      <c r="J210" s="21" t="s">
        <v>4</v>
      </c>
      <c r="K210" s="21" t="s">
        <v>5</v>
      </c>
      <c r="L210" s="21" t="s">
        <v>6</v>
      </c>
      <c r="M210" s="21" t="s">
        <v>7</v>
      </c>
      <c r="N210" s="21" t="s">
        <v>8</v>
      </c>
      <c r="O210" s="21" t="s">
        <v>9</v>
      </c>
      <c r="P210" s="21" t="s">
        <v>10</v>
      </c>
      <c r="Q210" s="21" t="s">
        <v>11</v>
      </c>
      <c r="R210" s="22" t="s">
        <v>12</v>
      </c>
      <c r="S210" s="21" t="s">
        <v>13</v>
      </c>
      <c r="T210" s="22" t="s">
        <v>14</v>
      </c>
      <c r="U210" s="21" t="s">
        <v>15</v>
      </c>
      <c r="V210" s="22" t="s">
        <v>16</v>
      </c>
      <c r="W210" s="21" t="s">
        <v>17</v>
      </c>
      <c r="X210" s="22" t="s">
        <v>18</v>
      </c>
      <c r="Y210" s="21" t="s">
        <v>19</v>
      </c>
      <c r="Z210" s="21" t="s">
        <v>20</v>
      </c>
    </row>
    <row r="211" spans="1:26" ht="13.9" hidden="1" customHeight="1" x14ac:dyDescent="0.25">
      <c r="A211" s="15">
        <v>4</v>
      </c>
      <c r="D211" s="3" t="s">
        <v>21</v>
      </c>
      <c r="E211" s="35">
        <v>111</v>
      </c>
      <c r="F211" s="35" t="s">
        <v>45</v>
      </c>
      <c r="G211" s="36">
        <f t="shared" ref="G211:Q211" si="131">G231</f>
        <v>0</v>
      </c>
      <c r="H211" s="36">
        <f t="shared" si="131"/>
        <v>0</v>
      </c>
      <c r="I211" s="36">
        <f t="shared" si="131"/>
        <v>0</v>
      </c>
      <c r="J211" s="36">
        <f t="shared" si="131"/>
        <v>731</v>
      </c>
      <c r="K211" s="36">
        <f t="shared" si="131"/>
        <v>0</v>
      </c>
      <c r="L211" s="36">
        <f t="shared" si="131"/>
        <v>0</v>
      </c>
      <c r="M211" s="36">
        <f t="shared" si="131"/>
        <v>0</v>
      </c>
      <c r="N211" s="36">
        <f t="shared" si="131"/>
        <v>0</v>
      </c>
      <c r="O211" s="36">
        <f t="shared" si="131"/>
        <v>0</v>
      </c>
      <c r="P211" s="36">
        <f t="shared" si="131"/>
        <v>0</v>
      </c>
      <c r="Q211" s="36">
        <f t="shared" si="131"/>
        <v>0</v>
      </c>
      <c r="R211" s="37">
        <f>IFERROR(Q211/$P211,0)</f>
        <v>0</v>
      </c>
      <c r="S211" s="36">
        <f>S231</f>
        <v>0</v>
      </c>
      <c r="T211" s="37">
        <f>IFERROR(S211/$P211,0)</f>
        <v>0</v>
      </c>
      <c r="U211" s="36">
        <f>U231</f>
        <v>0</v>
      </c>
      <c r="V211" s="37">
        <f>IFERROR(U211/$P211,0)</f>
        <v>0</v>
      </c>
      <c r="W211" s="36">
        <f>W231</f>
        <v>0</v>
      </c>
      <c r="X211" s="37">
        <f>IFERROR(W211/$P211,0)</f>
        <v>0</v>
      </c>
      <c r="Y211" s="36">
        <f>Y231</f>
        <v>0</v>
      </c>
      <c r="Z211" s="36">
        <f>Z231</f>
        <v>0</v>
      </c>
    </row>
    <row r="212" spans="1:26" ht="13.9" customHeight="1" x14ac:dyDescent="0.25">
      <c r="A212" s="15">
        <v>4</v>
      </c>
      <c r="D212" s="3" t="s">
        <v>21</v>
      </c>
      <c r="E212" s="35">
        <v>41</v>
      </c>
      <c r="F212" s="35" t="s">
        <v>23</v>
      </c>
      <c r="G212" s="36">
        <f t="shared" ref="G212:Q212" si="132">G220+G226+G236</f>
        <v>135671.96000000002</v>
      </c>
      <c r="H212" s="36">
        <f t="shared" si="132"/>
        <v>78101.989999999991</v>
      </c>
      <c r="I212" s="36">
        <f t="shared" si="132"/>
        <v>80420</v>
      </c>
      <c r="J212" s="36">
        <f t="shared" si="132"/>
        <v>83346</v>
      </c>
      <c r="K212" s="36">
        <f t="shared" si="132"/>
        <v>100520</v>
      </c>
      <c r="L212" s="36">
        <f t="shared" si="132"/>
        <v>0</v>
      </c>
      <c r="M212" s="36">
        <f t="shared" si="132"/>
        <v>-1204</v>
      </c>
      <c r="N212" s="36">
        <f t="shared" si="132"/>
        <v>2851</v>
      </c>
      <c r="O212" s="36">
        <f t="shared" si="132"/>
        <v>139</v>
      </c>
      <c r="P212" s="36">
        <f t="shared" si="132"/>
        <v>102306</v>
      </c>
      <c r="Q212" s="36">
        <f t="shared" si="132"/>
        <v>23512.02</v>
      </c>
      <c r="R212" s="37">
        <f>IFERROR(Q212/$P212,0)</f>
        <v>0.22982053838484548</v>
      </c>
      <c r="S212" s="36">
        <f>S220+S226+S236</f>
        <v>44708.1</v>
      </c>
      <c r="T212" s="37">
        <f>IFERROR(S212/$P212,0)</f>
        <v>0.43700369479795903</v>
      </c>
      <c r="U212" s="36">
        <f>U220+U226+U236</f>
        <v>69407.94</v>
      </c>
      <c r="V212" s="37">
        <f>IFERROR(U212/$P212,0)</f>
        <v>0.67843469591226324</v>
      </c>
      <c r="W212" s="36">
        <f>W220+W226+W236</f>
        <v>127964.09</v>
      </c>
      <c r="X212" s="37">
        <f>IFERROR(W212/$P212,0)</f>
        <v>1.2507975094324868</v>
      </c>
      <c r="Y212" s="36">
        <f>Y220+Y226+Y236</f>
        <v>102031</v>
      </c>
      <c r="Z212" s="36">
        <f>Z220+Z226+Z236</f>
        <v>103724</v>
      </c>
    </row>
    <row r="213" spans="1:26" ht="13.9" customHeight="1" x14ac:dyDescent="0.25">
      <c r="A213" s="15">
        <v>4</v>
      </c>
      <c r="D213" s="3"/>
      <c r="E213" s="35">
        <v>72</v>
      </c>
      <c r="F213" s="35" t="s">
        <v>25</v>
      </c>
      <c r="G213" s="36">
        <f t="shared" ref="G213:Q213" si="133">G238</f>
        <v>244.5</v>
      </c>
      <c r="H213" s="36">
        <f t="shared" si="133"/>
        <v>33.69</v>
      </c>
      <c r="I213" s="36">
        <f t="shared" si="133"/>
        <v>0</v>
      </c>
      <c r="J213" s="36">
        <f t="shared" si="133"/>
        <v>50</v>
      </c>
      <c r="K213" s="36">
        <f t="shared" si="133"/>
        <v>155</v>
      </c>
      <c r="L213" s="36">
        <f t="shared" si="133"/>
        <v>0</v>
      </c>
      <c r="M213" s="36">
        <f t="shared" si="133"/>
        <v>0</v>
      </c>
      <c r="N213" s="36">
        <f t="shared" si="133"/>
        <v>0</v>
      </c>
      <c r="O213" s="36">
        <f t="shared" si="133"/>
        <v>11</v>
      </c>
      <c r="P213" s="36">
        <f t="shared" si="133"/>
        <v>166</v>
      </c>
      <c r="Q213" s="36">
        <f t="shared" si="133"/>
        <v>0</v>
      </c>
      <c r="R213" s="37">
        <f>IFERROR(Q213/$P213,0)</f>
        <v>0</v>
      </c>
      <c r="S213" s="36">
        <f>S238</f>
        <v>0</v>
      </c>
      <c r="T213" s="37">
        <f>IFERROR(S213/$P213,0)</f>
        <v>0</v>
      </c>
      <c r="U213" s="36">
        <f>U238</f>
        <v>0</v>
      </c>
      <c r="V213" s="37">
        <f>IFERROR(U213/$P213,0)</f>
        <v>0</v>
      </c>
      <c r="W213" s="36">
        <f>W238</f>
        <v>165.53</v>
      </c>
      <c r="X213" s="37">
        <f>IFERROR(W213/$P213,0)</f>
        <v>0.99716867469879522</v>
      </c>
      <c r="Y213" s="36">
        <f>Y238</f>
        <v>153</v>
      </c>
      <c r="Z213" s="36">
        <f>Z238</f>
        <v>154</v>
      </c>
    </row>
    <row r="214" spans="1:26" ht="13.9" customHeight="1" x14ac:dyDescent="0.25">
      <c r="A214" s="15">
        <v>4</v>
      </c>
      <c r="D214" s="30"/>
      <c r="E214" s="31"/>
      <c r="F214" s="38" t="s">
        <v>120</v>
      </c>
      <c r="G214" s="39">
        <f t="shared" ref="G214:Q214" si="134">SUM(G211:G213)</f>
        <v>135916.46000000002</v>
      </c>
      <c r="H214" s="39">
        <f t="shared" si="134"/>
        <v>78135.679999999993</v>
      </c>
      <c r="I214" s="39">
        <f t="shared" si="134"/>
        <v>80420</v>
      </c>
      <c r="J214" s="39">
        <f t="shared" si="134"/>
        <v>84127</v>
      </c>
      <c r="K214" s="39">
        <f t="shared" si="134"/>
        <v>100675</v>
      </c>
      <c r="L214" s="39">
        <f t="shared" si="134"/>
        <v>0</v>
      </c>
      <c r="M214" s="39">
        <f t="shared" si="134"/>
        <v>-1204</v>
      </c>
      <c r="N214" s="39">
        <f t="shared" si="134"/>
        <v>2851</v>
      </c>
      <c r="O214" s="39">
        <f t="shared" si="134"/>
        <v>150</v>
      </c>
      <c r="P214" s="39">
        <f t="shared" si="134"/>
        <v>102472</v>
      </c>
      <c r="Q214" s="39">
        <f t="shared" si="134"/>
        <v>23512.02</v>
      </c>
      <c r="R214" s="40">
        <f>IFERROR(Q214/$P214,0)</f>
        <v>0.22944823951908813</v>
      </c>
      <c r="S214" s="39">
        <f>SUM(S211:S213)</f>
        <v>44708.1</v>
      </c>
      <c r="T214" s="40">
        <f>IFERROR(S214/$P214,0)</f>
        <v>0.43629576860020297</v>
      </c>
      <c r="U214" s="39">
        <f>SUM(U211:U213)</f>
        <v>69407.94</v>
      </c>
      <c r="V214" s="40">
        <f>IFERROR(U214/$P214,0)</f>
        <v>0.67733566242485754</v>
      </c>
      <c r="W214" s="39">
        <f>SUM(W211:W213)</f>
        <v>128129.62</v>
      </c>
      <c r="X214" s="40">
        <f>IFERROR(W214/$P214,0)</f>
        <v>1.2503866422046999</v>
      </c>
      <c r="Y214" s="39">
        <f>SUM(Y211:Y213)</f>
        <v>102184</v>
      </c>
      <c r="Z214" s="39">
        <f>SUM(Z211:Z213)</f>
        <v>103878</v>
      </c>
    </row>
    <row r="216" spans="1:26" ht="13.9" customHeight="1" x14ac:dyDescent="0.25">
      <c r="D216" s="73" t="s">
        <v>186</v>
      </c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4"/>
      <c r="S216" s="73"/>
      <c r="T216" s="74"/>
      <c r="U216" s="73"/>
      <c r="V216" s="74"/>
      <c r="W216" s="73"/>
      <c r="X216" s="74"/>
      <c r="Y216" s="73"/>
      <c r="Z216" s="73"/>
    </row>
    <row r="217" spans="1:26" ht="13.9" customHeight="1" x14ac:dyDescent="0.25">
      <c r="D217" s="21" t="s">
        <v>32</v>
      </c>
      <c r="E217" s="21" t="s">
        <v>33</v>
      </c>
      <c r="F217" s="21" t="s">
        <v>34</v>
      </c>
      <c r="G217" s="21" t="s">
        <v>1</v>
      </c>
      <c r="H217" s="21" t="s">
        <v>2</v>
      </c>
      <c r="I217" s="21" t="s">
        <v>3</v>
      </c>
      <c r="J217" s="21" t="s">
        <v>4</v>
      </c>
      <c r="K217" s="21" t="s">
        <v>5</v>
      </c>
      <c r="L217" s="21" t="s">
        <v>6</v>
      </c>
      <c r="M217" s="21" t="s">
        <v>7</v>
      </c>
      <c r="N217" s="21" t="s">
        <v>8</v>
      </c>
      <c r="O217" s="21" t="s">
        <v>9</v>
      </c>
      <c r="P217" s="21" t="s">
        <v>10</v>
      </c>
      <c r="Q217" s="21" t="s">
        <v>11</v>
      </c>
      <c r="R217" s="22" t="s">
        <v>12</v>
      </c>
      <c r="S217" s="21" t="s">
        <v>13</v>
      </c>
      <c r="T217" s="22" t="s">
        <v>14</v>
      </c>
      <c r="U217" s="21" t="s">
        <v>15</v>
      </c>
      <c r="V217" s="22" t="s">
        <v>16</v>
      </c>
      <c r="W217" s="21" t="s">
        <v>17</v>
      </c>
      <c r="X217" s="22" t="s">
        <v>18</v>
      </c>
      <c r="Y217" s="21" t="s">
        <v>19</v>
      </c>
      <c r="Z217" s="21" t="s">
        <v>20</v>
      </c>
    </row>
    <row r="218" spans="1:26" ht="13.9" customHeight="1" x14ac:dyDescent="0.25">
      <c r="A218" s="15">
        <v>4</v>
      </c>
      <c r="B218" s="15">
        <v>1</v>
      </c>
      <c r="D218" s="84" t="s">
        <v>187</v>
      </c>
      <c r="E218" s="23">
        <v>630</v>
      </c>
      <c r="F218" s="23" t="s">
        <v>127</v>
      </c>
      <c r="G218" s="46">
        <v>58714.01</v>
      </c>
      <c r="H218" s="46">
        <v>56647.22</v>
      </c>
      <c r="I218" s="46">
        <v>58200</v>
      </c>
      <c r="J218" s="46">
        <v>63851</v>
      </c>
      <c r="K218" s="46">
        <v>67550</v>
      </c>
      <c r="L218" s="46"/>
      <c r="M218" s="46"/>
      <c r="N218" s="46"/>
      <c r="O218" s="46"/>
      <c r="P218" s="46">
        <f>K218+SUM(L218:O218)</f>
        <v>67550</v>
      </c>
      <c r="Q218" s="46">
        <v>16642.330000000002</v>
      </c>
      <c r="R218" s="47">
        <f>IFERROR(Q218/$P218,0)</f>
        <v>0.24637054034048855</v>
      </c>
      <c r="S218" s="46">
        <v>30680.12</v>
      </c>
      <c r="T218" s="47">
        <f>IFERROR(S218/$P218,0)</f>
        <v>0.45418386380458919</v>
      </c>
      <c r="U218" s="46">
        <v>46257.87</v>
      </c>
      <c r="V218" s="47">
        <f>IFERROR(U218/$P218,0)</f>
        <v>0.68479452257586981</v>
      </c>
      <c r="W218" s="46">
        <v>64617.45</v>
      </c>
      <c r="X218" s="47">
        <f>IFERROR(W218/$P218,0)</f>
        <v>0.95658697261287928</v>
      </c>
      <c r="Y218" s="24">
        <f>K218</f>
        <v>67550</v>
      </c>
      <c r="Z218" s="24">
        <f>Y218</f>
        <v>67550</v>
      </c>
    </row>
    <row r="219" spans="1:26" ht="13.9" customHeight="1" x14ac:dyDescent="0.25">
      <c r="A219" s="15">
        <v>4</v>
      </c>
      <c r="B219" s="15">
        <v>1</v>
      </c>
      <c r="D219" s="79" t="s">
        <v>21</v>
      </c>
      <c r="E219" s="48">
        <v>41</v>
      </c>
      <c r="F219" s="48" t="s">
        <v>23</v>
      </c>
      <c r="G219" s="49">
        <f t="shared" ref="G219:Q219" si="135">SUM(G218:G218)</f>
        <v>58714.01</v>
      </c>
      <c r="H219" s="49">
        <f t="shared" si="135"/>
        <v>56647.22</v>
      </c>
      <c r="I219" s="49">
        <f t="shared" si="135"/>
        <v>58200</v>
      </c>
      <c r="J219" s="49">
        <f t="shared" si="135"/>
        <v>63851</v>
      </c>
      <c r="K219" s="49">
        <f t="shared" si="135"/>
        <v>67550</v>
      </c>
      <c r="L219" s="49">
        <f t="shared" si="135"/>
        <v>0</v>
      </c>
      <c r="M219" s="49">
        <f t="shared" si="135"/>
        <v>0</v>
      </c>
      <c r="N219" s="49">
        <f t="shared" si="135"/>
        <v>0</v>
      </c>
      <c r="O219" s="49">
        <f t="shared" si="135"/>
        <v>0</v>
      </c>
      <c r="P219" s="49">
        <f t="shared" si="135"/>
        <v>67550</v>
      </c>
      <c r="Q219" s="49">
        <f t="shared" si="135"/>
        <v>16642.330000000002</v>
      </c>
      <c r="R219" s="50">
        <f>IFERROR(Q219/$P219,0)</f>
        <v>0.24637054034048855</v>
      </c>
      <c r="S219" s="49">
        <f>SUM(S218:S218)</f>
        <v>30680.12</v>
      </c>
      <c r="T219" s="50">
        <f>IFERROR(S219/$P219,0)</f>
        <v>0.45418386380458919</v>
      </c>
      <c r="U219" s="49">
        <f>SUM(U218:U218)</f>
        <v>46257.87</v>
      </c>
      <c r="V219" s="50">
        <f>IFERROR(U219/$P219,0)</f>
        <v>0.68479452257586981</v>
      </c>
      <c r="W219" s="49">
        <f>SUM(W218:W218)</f>
        <v>64617.45</v>
      </c>
      <c r="X219" s="50">
        <f>IFERROR(W219/$P219,0)</f>
        <v>0.95658697261287928</v>
      </c>
      <c r="Y219" s="49">
        <f>SUM(Y218:Y218)</f>
        <v>67550</v>
      </c>
      <c r="Z219" s="49">
        <f>SUM(Z218:Z218)</f>
        <v>67550</v>
      </c>
    </row>
    <row r="220" spans="1:26" ht="13.9" customHeight="1" x14ac:dyDescent="0.25">
      <c r="A220" s="15">
        <v>4</v>
      </c>
      <c r="B220" s="15">
        <v>1</v>
      </c>
      <c r="D220" s="86"/>
      <c r="E220" s="87"/>
      <c r="F220" s="26" t="s">
        <v>120</v>
      </c>
      <c r="G220" s="27">
        <f t="shared" ref="G220:Q220" si="136">G219</f>
        <v>58714.01</v>
      </c>
      <c r="H220" s="27">
        <f t="shared" si="136"/>
        <v>56647.22</v>
      </c>
      <c r="I220" s="27">
        <f t="shared" si="136"/>
        <v>58200</v>
      </c>
      <c r="J220" s="27">
        <f t="shared" si="136"/>
        <v>63851</v>
      </c>
      <c r="K220" s="27">
        <f t="shared" si="136"/>
        <v>67550</v>
      </c>
      <c r="L220" s="27">
        <f t="shared" si="136"/>
        <v>0</v>
      </c>
      <c r="M220" s="27">
        <f t="shared" si="136"/>
        <v>0</v>
      </c>
      <c r="N220" s="27">
        <f t="shared" si="136"/>
        <v>0</v>
      </c>
      <c r="O220" s="27">
        <f t="shared" si="136"/>
        <v>0</v>
      </c>
      <c r="P220" s="27">
        <f t="shared" si="136"/>
        <v>67550</v>
      </c>
      <c r="Q220" s="27">
        <f t="shared" si="136"/>
        <v>16642.330000000002</v>
      </c>
      <c r="R220" s="28">
        <f>IFERROR(Q220/$P220,0)</f>
        <v>0.24637054034048855</v>
      </c>
      <c r="S220" s="27">
        <f>S219</f>
        <v>30680.12</v>
      </c>
      <c r="T220" s="28">
        <f>IFERROR(S220/$P220,0)</f>
        <v>0.45418386380458919</v>
      </c>
      <c r="U220" s="27">
        <f>U219</f>
        <v>46257.87</v>
      </c>
      <c r="V220" s="28">
        <f>IFERROR(U220/$P220,0)</f>
        <v>0.68479452257586981</v>
      </c>
      <c r="W220" s="27">
        <f>W219</f>
        <v>64617.45</v>
      </c>
      <c r="X220" s="28">
        <f>IFERROR(W220/$P220,0)</f>
        <v>0.95658697261287928</v>
      </c>
      <c r="Y220" s="27">
        <f>Y219</f>
        <v>67550</v>
      </c>
      <c r="Z220" s="27">
        <f>Z219</f>
        <v>67550</v>
      </c>
    </row>
    <row r="222" spans="1:26" ht="13.9" customHeight="1" x14ac:dyDescent="0.25">
      <c r="D222" s="73" t="s">
        <v>188</v>
      </c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4"/>
      <c r="S222" s="73"/>
      <c r="T222" s="74"/>
      <c r="U222" s="73"/>
      <c r="V222" s="74"/>
      <c r="W222" s="73"/>
      <c r="X222" s="74"/>
      <c r="Y222" s="73"/>
      <c r="Z222" s="73"/>
    </row>
    <row r="223" spans="1:26" ht="13.9" customHeight="1" x14ac:dyDescent="0.25">
      <c r="D223" s="21" t="s">
        <v>32</v>
      </c>
      <c r="E223" s="21" t="s">
        <v>33</v>
      </c>
      <c r="F223" s="21" t="s">
        <v>34</v>
      </c>
      <c r="G223" s="21" t="s">
        <v>1</v>
      </c>
      <c r="H223" s="21" t="s">
        <v>2</v>
      </c>
      <c r="I223" s="21" t="s">
        <v>3</v>
      </c>
      <c r="J223" s="21" t="s">
        <v>4</v>
      </c>
      <c r="K223" s="21" t="s">
        <v>5</v>
      </c>
      <c r="L223" s="21" t="s">
        <v>6</v>
      </c>
      <c r="M223" s="21" t="s">
        <v>7</v>
      </c>
      <c r="N223" s="21" t="s">
        <v>8</v>
      </c>
      <c r="O223" s="21" t="s">
        <v>9</v>
      </c>
      <c r="P223" s="21" t="s">
        <v>10</v>
      </c>
      <c r="Q223" s="21" t="s">
        <v>11</v>
      </c>
      <c r="R223" s="22" t="s">
        <v>12</v>
      </c>
      <c r="S223" s="21" t="s">
        <v>13</v>
      </c>
      <c r="T223" s="22" t="s">
        <v>14</v>
      </c>
      <c r="U223" s="21" t="s">
        <v>15</v>
      </c>
      <c r="V223" s="22" t="s">
        <v>16</v>
      </c>
      <c r="W223" s="21" t="s">
        <v>17</v>
      </c>
      <c r="X223" s="22" t="s">
        <v>18</v>
      </c>
      <c r="Y223" s="21" t="s">
        <v>19</v>
      </c>
      <c r="Z223" s="21" t="s">
        <v>20</v>
      </c>
    </row>
    <row r="224" spans="1:26" ht="13.9" customHeight="1" x14ac:dyDescent="0.25">
      <c r="A224" s="15">
        <v>4</v>
      </c>
      <c r="B224" s="15">
        <v>2</v>
      </c>
      <c r="D224" s="84" t="s">
        <v>187</v>
      </c>
      <c r="E224" s="23">
        <v>630</v>
      </c>
      <c r="F224" s="23" t="s">
        <v>127</v>
      </c>
      <c r="G224" s="24">
        <v>543.29</v>
      </c>
      <c r="H224" s="24">
        <v>328.28</v>
      </c>
      <c r="I224" s="24">
        <v>378</v>
      </c>
      <c r="J224" s="24">
        <v>828</v>
      </c>
      <c r="K224" s="24">
        <v>878</v>
      </c>
      <c r="L224" s="24"/>
      <c r="M224" s="24">
        <v>1300</v>
      </c>
      <c r="N224" s="24"/>
      <c r="O224" s="24">
        <v>150</v>
      </c>
      <c r="P224" s="24">
        <f>K224+SUM(L224:O224)</f>
        <v>2328</v>
      </c>
      <c r="Q224" s="24">
        <v>0</v>
      </c>
      <c r="R224" s="25">
        <f>IFERROR(Q224/$P224,0)</f>
        <v>0</v>
      </c>
      <c r="S224" s="24">
        <v>1800</v>
      </c>
      <c r="T224" s="25">
        <f>IFERROR(S224/$P224,0)</f>
        <v>0.77319587628865982</v>
      </c>
      <c r="U224" s="24">
        <v>1950</v>
      </c>
      <c r="V224" s="25">
        <f>IFERROR(U224/$P224,0)</f>
        <v>0.83762886597938147</v>
      </c>
      <c r="W224" s="24">
        <v>2328.2800000000002</v>
      </c>
      <c r="X224" s="25">
        <f>IFERROR(W224/$P224,0)</f>
        <v>1.0001202749140894</v>
      </c>
      <c r="Y224" s="24">
        <f>K224</f>
        <v>878</v>
      </c>
      <c r="Z224" s="24">
        <f>Y224</f>
        <v>878</v>
      </c>
    </row>
    <row r="225" spans="1:26" ht="13.9" customHeight="1" x14ac:dyDescent="0.25">
      <c r="A225" s="15">
        <v>4</v>
      </c>
      <c r="B225" s="15">
        <v>2</v>
      </c>
      <c r="D225" s="79" t="s">
        <v>21</v>
      </c>
      <c r="E225" s="48">
        <v>41</v>
      </c>
      <c r="F225" s="48" t="s">
        <v>23</v>
      </c>
      <c r="G225" s="49">
        <f t="shared" ref="G225:Q225" si="137">SUM(G224:G224)</f>
        <v>543.29</v>
      </c>
      <c r="H225" s="49">
        <f t="shared" si="137"/>
        <v>328.28</v>
      </c>
      <c r="I225" s="49">
        <f t="shared" si="137"/>
        <v>378</v>
      </c>
      <c r="J225" s="49">
        <f t="shared" si="137"/>
        <v>828</v>
      </c>
      <c r="K225" s="49">
        <f t="shared" si="137"/>
        <v>878</v>
      </c>
      <c r="L225" s="49">
        <f t="shared" si="137"/>
        <v>0</v>
      </c>
      <c r="M225" s="49">
        <f t="shared" si="137"/>
        <v>1300</v>
      </c>
      <c r="N225" s="49">
        <f t="shared" si="137"/>
        <v>0</v>
      </c>
      <c r="O225" s="49">
        <f t="shared" si="137"/>
        <v>150</v>
      </c>
      <c r="P225" s="49">
        <f t="shared" si="137"/>
        <v>2328</v>
      </c>
      <c r="Q225" s="49">
        <f t="shared" si="137"/>
        <v>0</v>
      </c>
      <c r="R225" s="50">
        <f>IFERROR(Q225/$P225,0)</f>
        <v>0</v>
      </c>
      <c r="S225" s="49">
        <f>SUM(S224:S224)</f>
        <v>1800</v>
      </c>
      <c r="T225" s="50">
        <f>IFERROR(S225/$P225,0)</f>
        <v>0.77319587628865982</v>
      </c>
      <c r="U225" s="49">
        <f>SUM(U224:U224)</f>
        <v>1950</v>
      </c>
      <c r="V225" s="50">
        <f>IFERROR(U225/$P225,0)</f>
        <v>0.83762886597938147</v>
      </c>
      <c r="W225" s="49">
        <f>SUM(W224:W224)</f>
        <v>2328.2800000000002</v>
      </c>
      <c r="X225" s="50">
        <f>IFERROR(W225/$P225,0)</f>
        <v>1.0001202749140894</v>
      </c>
      <c r="Y225" s="49">
        <f>SUM(Y224:Y224)</f>
        <v>878</v>
      </c>
      <c r="Z225" s="49">
        <f>SUM(Z224:Z224)</f>
        <v>878</v>
      </c>
    </row>
    <row r="226" spans="1:26" ht="13.9" customHeight="1" x14ac:dyDescent="0.25">
      <c r="A226" s="15">
        <v>4</v>
      </c>
      <c r="B226" s="15">
        <v>2</v>
      </c>
      <c r="D226" s="86"/>
      <c r="E226" s="87"/>
      <c r="F226" s="26" t="s">
        <v>120</v>
      </c>
      <c r="G226" s="27">
        <f t="shared" ref="G226:Q226" si="138">G222+G225</f>
        <v>543.29</v>
      </c>
      <c r="H226" s="27">
        <f t="shared" si="138"/>
        <v>328.28</v>
      </c>
      <c r="I226" s="27">
        <f t="shared" si="138"/>
        <v>378</v>
      </c>
      <c r="J226" s="27">
        <f t="shared" si="138"/>
        <v>828</v>
      </c>
      <c r="K226" s="27">
        <f t="shared" si="138"/>
        <v>878</v>
      </c>
      <c r="L226" s="27">
        <f t="shared" si="138"/>
        <v>0</v>
      </c>
      <c r="M226" s="27">
        <f t="shared" si="138"/>
        <v>1300</v>
      </c>
      <c r="N226" s="27">
        <f t="shared" si="138"/>
        <v>0</v>
      </c>
      <c r="O226" s="27">
        <f t="shared" si="138"/>
        <v>150</v>
      </c>
      <c r="P226" s="27">
        <f t="shared" si="138"/>
        <v>2328</v>
      </c>
      <c r="Q226" s="27">
        <f t="shared" si="138"/>
        <v>0</v>
      </c>
      <c r="R226" s="28">
        <f>IFERROR(Q226/$P226,0)</f>
        <v>0</v>
      </c>
      <c r="S226" s="27">
        <f>S222+S225</f>
        <v>1800</v>
      </c>
      <c r="T226" s="28">
        <f>IFERROR(S226/$P226,0)</f>
        <v>0.77319587628865982</v>
      </c>
      <c r="U226" s="27">
        <f>U222+U225</f>
        <v>1950</v>
      </c>
      <c r="V226" s="28">
        <f>IFERROR(U226/$P226,0)</f>
        <v>0.83762886597938147</v>
      </c>
      <c r="W226" s="27">
        <f>W222+W225</f>
        <v>2328.2800000000002</v>
      </c>
      <c r="X226" s="28">
        <f>IFERROR(W226/$P226,0)</f>
        <v>1.0001202749140894</v>
      </c>
      <c r="Y226" s="27">
        <f>Y222+Y225</f>
        <v>878</v>
      </c>
      <c r="Z226" s="27">
        <f>Z222+Z225</f>
        <v>878</v>
      </c>
    </row>
    <row r="228" spans="1:26" ht="13.9" customHeight="1" x14ac:dyDescent="0.25">
      <c r="D228" s="73" t="s">
        <v>189</v>
      </c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4"/>
      <c r="S228" s="73"/>
      <c r="T228" s="74"/>
      <c r="U228" s="73"/>
      <c r="V228" s="74"/>
      <c r="W228" s="73"/>
      <c r="X228" s="74"/>
      <c r="Y228" s="73"/>
      <c r="Z228" s="73"/>
    </row>
    <row r="229" spans="1:26" ht="13.9" customHeight="1" x14ac:dyDescent="0.25">
      <c r="D229" s="21" t="s">
        <v>32</v>
      </c>
      <c r="E229" s="21" t="s">
        <v>33</v>
      </c>
      <c r="F229" s="21" t="s">
        <v>34</v>
      </c>
      <c r="G229" s="21" t="s">
        <v>1</v>
      </c>
      <c r="H229" s="21" t="s">
        <v>2</v>
      </c>
      <c r="I229" s="21" t="s">
        <v>3</v>
      </c>
      <c r="J229" s="21" t="s">
        <v>4</v>
      </c>
      <c r="K229" s="21" t="s">
        <v>5</v>
      </c>
      <c r="L229" s="21" t="s">
        <v>6</v>
      </c>
      <c r="M229" s="21" t="s">
        <v>7</v>
      </c>
      <c r="N229" s="21" t="s">
        <v>8</v>
      </c>
      <c r="O229" s="21" t="s">
        <v>9</v>
      </c>
      <c r="P229" s="21" t="s">
        <v>10</v>
      </c>
      <c r="Q229" s="21" t="s">
        <v>11</v>
      </c>
      <c r="R229" s="22" t="s">
        <v>12</v>
      </c>
      <c r="S229" s="21" t="s">
        <v>13</v>
      </c>
      <c r="T229" s="22" t="s">
        <v>14</v>
      </c>
      <c r="U229" s="21" t="s">
        <v>15</v>
      </c>
      <c r="V229" s="22" t="s">
        <v>16</v>
      </c>
      <c r="W229" s="21" t="s">
        <v>17</v>
      </c>
      <c r="X229" s="22" t="s">
        <v>18</v>
      </c>
      <c r="Y229" s="21" t="s">
        <v>19</v>
      </c>
      <c r="Z229" s="21" t="s">
        <v>20</v>
      </c>
    </row>
    <row r="230" spans="1:26" ht="13.9" hidden="1" customHeight="1" x14ac:dyDescent="0.25">
      <c r="A230" s="15">
        <v>4</v>
      </c>
      <c r="B230" s="15">
        <v>3</v>
      </c>
      <c r="D230" s="51" t="s">
        <v>187</v>
      </c>
      <c r="E230" s="23">
        <v>630</v>
      </c>
      <c r="F230" s="23" t="s">
        <v>127</v>
      </c>
      <c r="G230" s="24">
        <v>0</v>
      </c>
      <c r="H230" s="46">
        <v>0</v>
      </c>
      <c r="I230" s="24">
        <v>0</v>
      </c>
      <c r="J230" s="24">
        <v>731</v>
      </c>
      <c r="K230" s="24">
        <v>0</v>
      </c>
      <c r="L230" s="24"/>
      <c r="M230" s="24"/>
      <c r="N230" s="24"/>
      <c r="O230" s="24"/>
      <c r="P230" s="46">
        <f>K230+SUM(L230:O230)</f>
        <v>0</v>
      </c>
      <c r="Q230" s="46"/>
      <c r="R230" s="47">
        <f t="shared" ref="R230:R239" si="139">IFERROR(Q230/$P230,0)</f>
        <v>0</v>
      </c>
      <c r="S230" s="46"/>
      <c r="T230" s="47">
        <f t="shared" ref="T230:T239" si="140">IFERROR(S230/$P230,0)</f>
        <v>0</v>
      </c>
      <c r="U230" s="46"/>
      <c r="V230" s="47">
        <f t="shared" ref="V230:V239" si="141">IFERROR(U230/$P230,0)</f>
        <v>0</v>
      </c>
      <c r="W230" s="46"/>
      <c r="X230" s="47">
        <f t="shared" ref="X230:X239" si="142">IFERROR(W230/$P230,0)</f>
        <v>0</v>
      </c>
      <c r="Y230" s="24">
        <v>0</v>
      </c>
      <c r="Z230" s="24">
        <v>0</v>
      </c>
    </row>
    <row r="231" spans="1:26" ht="13.9" hidden="1" customHeight="1" x14ac:dyDescent="0.25">
      <c r="A231" s="15">
        <v>4</v>
      </c>
      <c r="B231" s="15">
        <v>3</v>
      </c>
      <c r="D231" s="79" t="s">
        <v>21</v>
      </c>
      <c r="E231" s="48">
        <v>111</v>
      </c>
      <c r="F231" s="48" t="s">
        <v>23</v>
      </c>
      <c r="G231" s="49">
        <f t="shared" ref="G231:Q231" si="143">SUM(G230:G230)</f>
        <v>0</v>
      </c>
      <c r="H231" s="49">
        <f t="shared" si="143"/>
        <v>0</v>
      </c>
      <c r="I231" s="49">
        <f t="shared" si="143"/>
        <v>0</v>
      </c>
      <c r="J231" s="49">
        <f t="shared" si="143"/>
        <v>731</v>
      </c>
      <c r="K231" s="49">
        <f t="shared" si="143"/>
        <v>0</v>
      </c>
      <c r="L231" s="49">
        <f t="shared" si="143"/>
        <v>0</v>
      </c>
      <c r="M231" s="49">
        <f t="shared" si="143"/>
        <v>0</v>
      </c>
      <c r="N231" s="49">
        <f t="shared" si="143"/>
        <v>0</v>
      </c>
      <c r="O231" s="49">
        <f t="shared" si="143"/>
        <v>0</v>
      </c>
      <c r="P231" s="49">
        <f t="shared" si="143"/>
        <v>0</v>
      </c>
      <c r="Q231" s="49">
        <f t="shared" si="143"/>
        <v>0</v>
      </c>
      <c r="R231" s="50">
        <f t="shared" si="139"/>
        <v>0</v>
      </c>
      <c r="S231" s="49">
        <f>SUM(S230:S230)</f>
        <v>0</v>
      </c>
      <c r="T231" s="50">
        <f t="shared" si="140"/>
        <v>0</v>
      </c>
      <c r="U231" s="49">
        <f>SUM(U230:U230)</f>
        <v>0</v>
      </c>
      <c r="V231" s="50">
        <f t="shared" si="141"/>
        <v>0</v>
      </c>
      <c r="W231" s="49">
        <f>SUM(W230:W230)</f>
        <v>0</v>
      </c>
      <c r="X231" s="50">
        <f t="shared" si="142"/>
        <v>0</v>
      </c>
      <c r="Y231" s="49">
        <f>SUM(Y230:Y230)</f>
        <v>0</v>
      </c>
      <c r="Z231" s="49">
        <f>SUM(Z230:Z230)</f>
        <v>0</v>
      </c>
    </row>
    <row r="232" spans="1:26" ht="13.9" customHeight="1" x14ac:dyDescent="0.25">
      <c r="A232" s="15">
        <v>4</v>
      </c>
      <c r="B232" s="15">
        <v>3</v>
      </c>
      <c r="D232" s="11" t="s">
        <v>187</v>
      </c>
      <c r="E232" s="23">
        <v>610</v>
      </c>
      <c r="F232" s="23" t="s">
        <v>125</v>
      </c>
      <c r="G232" s="24">
        <v>17526.82</v>
      </c>
      <c r="H232" s="24">
        <v>5465.98</v>
      </c>
      <c r="I232" s="24">
        <v>0</v>
      </c>
      <c r="J232" s="24">
        <v>2459</v>
      </c>
      <c r="K232" s="24">
        <v>12000</v>
      </c>
      <c r="L232" s="24"/>
      <c r="M232" s="24">
        <v>-265</v>
      </c>
      <c r="N232" s="24">
        <v>1537</v>
      </c>
      <c r="O232" s="24">
        <v>86</v>
      </c>
      <c r="P232" s="24">
        <f>K232+SUM(L232:O232)</f>
        <v>13358</v>
      </c>
      <c r="Q232" s="24">
        <v>3602.18</v>
      </c>
      <c r="R232" s="25">
        <f t="shared" si="139"/>
        <v>0.26966462045216349</v>
      </c>
      <c r="S232" s="24">
        <v>6602.18</v>
      </c>
      <c r="T232" s="25">
        <f t="shared" si="140"/>
        <v>0.49424913909267859</v>
      </c>
      <c r="U232" s="24">
        <v>9612.68</v>
      </c>
      <c r="V232" s="25">
        <f t="shared" si="141"/>
        <v>0.71961970354843541</v>
      </c>
      <c r="W232" s="24">
        <v>13358.18</v>
      </c>
      <c r="X232" s="25">
        <f t="shared" si="142"/>
        <v>1.0000134750711185</v>
      </c>
      <c r="Y232" s="24">
        <v>13200</v>
      </c>
      <c r="Z232" s="24">
        <v>14520</v>
      </c>
    </row>
    <row r="233" spans="1:26" ht="13.9" customHeight="1" x14ac:dyDescent="0.25">
      <c r="A233" s="15">
        <v>4</v>
      </c>
      <c r="B233" s="15">
        <v>3</v>
      </c>
      <c r="D233" s="11"/>
      <c r="E233" s="23">
        <v>620</v>
      </c>
      <c r="F233" s="23" t="s">
        <v>126</v>
      </c>
      <c r="G233" s="24">
        <v>6125.34</v>
      </c>
      <c r="H233" s="24">
        <v>1504.01</v>
      </c>
      <c r="I233" s="24">
        <v>367</v>
      </c>
      <c r="J233" s="24">
        <v>1172</v>
      </c>
      <c r="K233" s="24">
        <v>3171</v>
      </c>
      <c r="L233" s="24"/>
      <c r="M233" s="24">
        <v>265</v>
      </c>
      <c r="N233" s="24">
        <v>1314</v>
      </c>
      <c r="O233" s="24">
        <v>37</v>
      </c>
      <c r="P233" s="24">
        <f>K233+SUM(L233:O233)</f>
        <v>4787</v>
      </c>
      <c r="Q233" s="24">
        <v>1279.73</v>
      </c>
      <c r="R233" s="25">
        <f t="shared" si="139"/>
        <v>0.2673344474618759</v>
      </c>
      <c r="S233" s="24">
        <v>2358.23</v>
      </c>
      <c r="T233" s="25">
        <f t="shared" si="140"/>
        <v>0.49263212868184669</v>
      </c>
      <c r="U233" s="24">
        <v>3440.47</v>
      </c>
      <c r="V233" s="25">
        <f t="shared" si="141"/>
        <v>0.71871109254230203</v>
      </c>
      <c r="W233" s="24">
        <v>4786.88</v>
      </c>
      <c r="X233" s="25">
        <f t="shared" si="142"/>
        <v>0.99997493210779198</v>
      </c>
      <c r="Y233" s="24">
        <v>3489</v>
      </c>
      <c r="Z233" s="24">
        <v>3836</v>
      </c>
    </row>
    <row r="234" spans="1:26" ht="13.9" customHeight="1" x14ac:dyDescent="0.25">
      <c r="A234" s="15">
        <v>4</v>
      </c>
      <c r="B234" s="15">
        <v>3</v>
      </c>
      <c r="D234" s="11"/>
      <c r="E234" s="23">
        <v>630</v>
      </c>
      <c r="F234" s="23" t="s">
        <v>127</v>
      </c>
      <c r="G234" s="24">
        <v>52660.160000000003</v>
      </c>
      <c r="H234" s="24">
        <v>14156.5</v>
      </c>
      <c r="I234" s="24">
        <v>21475</v>
      </c>
      <c r="J234" s="24">
        <v>15036</v>
      </c>
      <c r="K234" s="24">
        <f>1436+15485</f>
        <v>16921</v>
      </c>
      <c r="L234" s="24"/>
      <c r="M234" s="24">
        <v>-2504</v>
      </c>
      <c r="N234" s="24"/>
      <c r="O234" s="24">
        <v>-134</v>
      </c>
      <c r="P234" s="24">
        <f>K234+SUM(L234:O234)</f>
        <v>14283</v>
      </c>
      <c r="Q234" s="24">
        <v>1987.78</v>
      </c>
      <c r="R234" s="25">
        <f t="shared" si="139"/>
        <v>0.13917104249807463</v>
      </c>
      <c r="S234" s="24">
        <v>3267.57</v>
      </c>
      <c r="T234" s="25">
        <f t="shared" si="140"/>
        <v>0.22877336693971856</v>
      </c>
      <c r="U234" s="24">
        <v>8146.92</v>
      </c>
      <c r="V234" s="25">
        <f t="shared" si="141"/>
        <v>0.57039277462717919</v>
      </c>
      <c r="W234" s="24">
        <v>42873.3</v>
      </c>
      <c r="X234" s="25">
        <f t="shared" si="142"/>
        <v>3.0017013232514178</v>
      </c>
      <c r="Y234" s="24">
        <f>1429+15485</f>
        <v>16914</v>
      </c>
      <c r="Z234" s="24">
        <f>1455+15485</f>
        <v>16940</v>
      </c>
    </row>
    <row r="235" spans="1:26" ht="13.9" hidden="1" customHeight="1" x14ac:dyDescent="0.25">
      <c r="A235" s="15">
        <v>4</v>
      </c>
      <c r="B235" s="15">
        <v>3</v>
      </c>
      <c r="D235" s="11"/>
      <c r="E235" s="23">
        <v>640</v>
      </c>
      <c r="F235" s="23" t="s">
        <v>128</v>
      </c>
      <c r="G235" s="24">
        <v>102.34</v>
      </c>
      <c r="H235" s="24">
        <v>0</v>
      </c>
      <c r="I235" s="46">
        <v>0</v>
      </c>
      <c r="J235" s="24">
        <v>0</v>
      </c>
      <c r="K235" s="46">
        <v>0</v>
      </c>
      <c r="L235" s="24"/>
      <c r="M235" s="24"/>
      <c r="N235" s="24"/>
      <c r="O235" s="24"/>
      <c r="P235" s="24">
        <f>K235+SUM(L235:O235)</f>
        <v>0</v>
      </c>
      <c r="Q235" s="24"/>
      <c r="R235" s="25">
        <f t="shared" si="139"/>
        <v>0</v>
      </c>
      <c r="S235" s="24"/>
      <c r="T235" s="25">
        <f t="shared" si="140"/>
        <v>0</v>
      </c>
      <c r="U235" s="24"/>
      <c r="V235" s="25">
        <f t="shared" si="141"/>
        <v>0</v>
      </c>
      <c r="W235" s="24"/>
      <c r="X235" s="25">
        <f t="shared" si="142"/>
        <v>0</v>
      </c>
      <c r="Y235" s="24">
        <v>0</v>
      </c>
      <c r="Z235" s="24">
        <v>0</v>
      </c>
    </row>
    <row r="236" spans="1:26" ht="13.9" customHeight="1" x14ac:dyDescent="0.25">
      <c r="A236" s="15">
        <v>4</v>
      </c>
      <c r="B236" s="15">
        <v>3</v>
      </c>
      <c r="D236" s="79" t="s">
        <v>21</v>
      </c>
      <c r="E236" s="48">
        <v>41</v>
      </c>
      <c r="F236" s="48" t="s">
        <v>23</v>
      </c>
      <c r="G236" s="49">
        <f t="shared" ref="G236:Q236" si="144">SUM(G232:G235)</f>
        <v>76414.66</v>
      </c>
      <c r="H236" s="49">
        <f t="shared" si="144"/>
        <v>21126.489999999998</v>
      </c>
      <c r="I236" s="49">
        <f t="shared" si="144"/>
        <v>21842</v>
      </c>
      <c r="J236" s="49">
        <f t="shared" si="144"/>
        <v>18667</v>
      </c>
      <c r="K236" s="49">
        <f t="shared" si="144"/>
        <v>32092</v>
      </c>
      <c r="L236" s="49">
        <f t="shared" si="144"/>
        <v>0</v>
      </c>
      <c r="M236" s="49">
        <f t="shared" si="144"/>
        <v>-2504</v>
      </c>
      <c r="N236" s="49">
        <f t="shared" si="144"/>
        <v>2851</v>
      </c>
      <c r="O236" s="49">
        <f t="shared" si="144"/>
        <v>-11</v>
      </c>
      <c r="P236" s="49">
        <f t="shared" si="144"/>
        <v>32428</v>
      </c>
      <c r="Q236" s="49">
        <f t="shared" si="144"/>
        <v>6869.69</v>
      </c>
      <c r="R236" s="50">
        <f t="shared" si="139"/>
        <v>0.21184439373381028</v>
      </c>
      <c r="S236" s="49">
        <f>SUM(S232:S235)</f>
        <v>12227.98</v>
      </c>
      <c r="T236" s="50">
        <f t="shared" si="140"/>
        <v>0.37708091772542246</v>
      </c>
      <c r="U236" s="49">
        <f>SUM(U232:U235)</f>
        <v>21200.07</v>
      </c>
      <c r="V236" s="50">
        <f t="shared" si="141"/>
        <v>0.6537581719501665</v>
      </c>
      <c r="W236" s="49">
        <f>SUM(W232:W235)</f>
        <v>61018.36</v>
      </c>
      <c r="X236" s="50">
        <f t="shared" si="142"/>
        <v>1.8816565930677194</v>
      </c>
      <c r="Y236" s="49">
        <f>SUM(Y232:Y235)</f>
        <v>33603</v>
      </c>
      <c r="Z236" s="49">
        <f>SUM(Z232:Z235)</f>
        <v>35296</v>
      </c>
    </row>
    <row r="237" spans="1:26" ht="13.9" customHeight="1" x14ac:dyDescent="0.25">
      <c r="A237" s="15">
        <v>4</v>
      </c>
      <c r="B237" s="15">
        <v>3</v>
      </c>
      <c r="D237" s="84" t="s">
        <v>187</v>
      </c>
      <c r="E237" s="23">
        <v>640</v>
      </c>
      <c r="F237" s="23" t="s">
        <v>128</v>
      </c>
      <c r="G237" s="24">
        <v>244.5</v>
      </c>
      <c r="H237" s="24">
        <v>33.69</v>
      </c>
      <c r="I237" s="24">
        <v>0</v>
      </c>
      <c r="J237" s="24">
        <v>50</v>
      </c>
      <c r="K237" s="24">
        <v>155</v>
      </c>
      <c r="L237" s="24"/>
      <c r="M237" s="24"/>
      <c r="N237" s="24"/>
      <c r="O237" s="24">
        <v>11</v>
      </c>
      <c r="P237" s="24">
        <f>K237+SUM(L237:O237)</f>
        <v>166</v>
      </c>
      <c r="Q237" s="24">
        <v>0</v>
      </c>
      <c r="R237" s="25">
        <f t="shared" si="139"/>
        <v>0</v>
      </c>
      <c r="S237" s="24">
        <v>0</v>
      </c>
      <c r="T237" s="25">
        <f t="shared" si="140"/>
        <v>0</v>
      </c>
      <c r="U237" s="24">
        <v>0</v>
      </c>
      <c r="V237" s="25">
        <f t="shared" si="141"/>
        <v>0</v>
      </c>
      <c r="W237" s="24">
        <v>165.53</v>
      </c>
      <c r="X237" s="25">
        <f t="shared" si="142"/>
        <v>0.99716867469879522</v>
      </c>
      <c r="Y237" s="24">
        <v>153</v>
      </c>
      <c r="Z237" s="24">
        <v>154</v>
      </c>
    </row>
    <row r="238" spans="1:26" ht="13.9" customHeight="1" x14ac:dyDescent="0.25">
      <c r="A238" s="15">
        <v>4</v>
      </c>
      <c r="B238" s="15">
        <v>3</v>
      </c>
      <c r="D238" s="79" t="s">
        <v>21</v>
      </c>
      <c r="E238" s="48">
        <v>72</v>
      </c>
      <c r="F238" s="48" t="s">
        <v>25</v>
      </c>
      <c r="G238" s="49">
        <f t="shared" ref="G238:Q238" si="145">SUM(G237:G237)</f>
        <v>244.5</v>
      </c>
      <c r="H238" s="49">
        <f t="shared" si="145"/>
        <v>33.69</v>
      </c>
      <c r="I238" s="49">
        <f t="shared" si="145"/>
        <v>0</v>
      </c>
      <c r="J238" s="49">
        <f t="shared" si="145"/>
        <v>50</v>
      </c>
      <c r="K238" s="49">
        <f t="shared" si="145"/>
        <v>155</v>
      </c>
      <c r="L238" s="49">
        <f t="shared" si="145"/>
        <v>0</v>
      </c>
      <c r="M238" s="49">
        <f t="shared" si="145"/>
        <v>0</v>
      </c>
      <c r="N238" s="49">
        <f t="shared" si="145"/>
        <v>0</v>
      </c>
      <c r="O238" s="49">
        <f t="shared" si="145"/>
        <v>11</v>
      </c>
      <c r="P238" s="49">
        <f t="shared" si="145"/>
        <v>166</v>
      </c>
      <c r="Q238" s="49">
        <f t="shared" si="145"/>
        <v>0</v>
      </c>
      <c r="R238" s="50">
        <f t="shared" si="139"/>
        <v>0</v>
      </c>
      <c r="S238" s="49">
        <f>SUM(S237:S237)</f>
        <v>0</v>
      </c>
      <c r="T238" s="50">
        <f t="shared" si="140"/>
        <v>0</v>
      </c>
      <c r="U238" s="49">
        <f>SUM(U237:U237)</f>
        <v>0</v>
      </c>
      <c r="V238" s="50">
        <f t="shared" si="141"/>
        <v>0</v>
      </c>
      <c r="W238" s="49">
        <f>SUM(W237:W237)</f>
        <v>165.53</v>
      </c>
      <c r="X238" s="50">
        <f t="shared" si="142"/>
        <v>0.99716867469879522</v>
      </c>
      <c r="Y238" s="49">
        <f>SUM(Y237:Y237)</f>
        <v>153</v>
      </c>
      <c r="Z238" s="49">
        <f>SUM(Z237:Z237)</f>
        <v>154</v>
      </c>
    </row>
    <row r="239" spans="1:26" ht="13.9" customHeight="1" x14ac:dyDescent="0.25">
      <c r="A239" s="15">
        <v>4</v>
      </c>
      <c r="B239" s="15">
        <v>3</v>
      </c>
      <c r="D239" s="86"/>
      <c r="E239" s="87"/>
      <c r="F239" s="26" t="s">
        <v>120</v>
      </c>
      <c r="G239" s="27">
        <f t="shared" ref="G239:Q239" si="146">G231+G236+G238</f>
        <v>76659.16</v>
      </c>
      <c r="H239" s="27">
        <f t="shared" si="146"/>
        <v>21160.179999999997</v>
      </c>
      <c r="I239" s="27">
        <f t="shared" si="146"/>
        <v>21842</v>
      </c>
      <c r="J239" s="27">
        <f t="shared" si="146"/>
        <v>19448</v>
      </c>
      <c r="K239" s="27">
        <f t="shared" si="146"/>
        <v>32247</v>
      </c>
      <c r="L239" s="27">
        <f t="shared" si="146"/>
        <v>0</v>
      </c>
      <c r="M239" s="27">
        <f t="shared" si="146"/>
        <v>-2504</v>
      </c>
      <c r="N239" s="27">
        <f t="shared" si="146"/>
        <v>2851</v>
      </c>
      <c r="O239" s="27">
        <f t="shared" si="146"/>
        <v>0</v>
      </c>
      <c r="P239" s="27">
        <f t="shared" si="146"/>
        <v>32594</v>
      </c>
      <c r="Q239" s="27">
        <f t="shared" si="146"/>
        <v>6869.69</v>
      </c>
      <c r="R239" s="28">
        <f t="shared" si="139"/>
        <v>0.2107654783088912</v>
      </c>
      <c r="S239" s="27">
        <f>S231+S236+S238</f>
        <v>12227.98</v>
      </c>
      <c r="T239" s="28">
        <f t="shared" si="140"/>
        <v>0.37516045898018041</v>
      </c>
      <c r="U239" s="27">
        <f>U231+U236+U238</f>
        <v>21200.07</v>
      </c>
      <c r="V239" s="28">
        <f t="shared" si="141"/>
        <v>0.65042860649199241</v>
      </c>
      <c r="W239" s="27">
        <f>W231+W236+W238</f>
        <v>61183.89</v>
      </c>
      <c r="X239" s="28">
        <f t="shared" si="142"/>
        <v>1.8771519298030312</v>
      </c>
      <c r="Y239" s="27">
        <f>Y231+Y236+Y238</f>
        <v>33756</v>
      </c>
      <c r="Z239" s="27">
        <f>Z231+Z236+Z238</f>
        <v>35450</v>
      </c>
    </row>
    <row r="241" spans="1:26" ht="13.9" customHeight="1" x14ac:dyDescent="0.25">
      <c r="E241" s="52" t="s">
        <v>55</v>
      </c>
      <c r="F241" s="30" t="s">
        <v>143</v>
      </c>
      <c r="G241" s="117">
        <v>473</v>
      </c>
      <c r="H241" s="117">
        <v>927.05</v>
      </c>
      <c r="I241" s="117">
        <v>4310</v>
      </c>
      <c r="J241" s="117">
        <v>3790</v>
      </c>
      <c r="K241" s="117">
        <v>3790</v>
      </c>
      <c r="L241" s="117"/>
      <c r="M241" s="117">
        <v>-2504</v>
      </c>
      <c r="N241" s="117"/>
      <c r="O241" s="117">
        <v>23</v>
      </c>
      <c r="P241" s="117">
        <f>K241+SUM(L241:O241)</f>
        <v>1309</v>
      </c>
      <c r="Q241" s="117">
        <v>321.54000000000002</v>
      </c>
      <c r="R241" s="119">
        <f>IFERROR(Q241/$P241,0)</f>
        <v>0.24563789152024448</v>
      </c>
      <c r="S241" s="117">
        <v>643.08000000000004</v>
      </c>
      <c r="T241" s="119">
        <f>IFERROR(S241/$P241,0)</f>
        <v>0.49127578304048897</v>
      </c>
      <c r="U241" s="117">
        <v>964.62</v>
      </c>
      <c r="V241" s="119">
        <f>IFERROR(U241/$P241,0)</f>
        <v>0.73691367456073342</v>
      </c>
      <c r="W241" s="117">
        <v>1308.77</v>
      </c>
      <c r="X241" s="120">
        <f>IFERROR(W241/$P241,0)</f>
        <v>0.99982429335370515</v>
      </c>
      <c r="Y241" s="53">
        <f>K241</f>
        <v>3790</v>
      </c>
      <c r="Z241" s="56">
        <f>Y241</f>
        <v>3790</v>
      </c>
    </row>
    <row r="242" spans="1:26" ht="13.9" customHeight="1" x14ac:dyDescent="0.25">
      <c r="E242" s="57"/>
      <c r="F242" s="91" t="s">
        <v>147</v>
      </c>
      <c r="G242" s="92">
        <v>2020.97</v>
      </c>
      <c r="H242" s="92">
        <v>2849.99</v>
      </c>
      <c r="I242" s="92">
        <v>2850</v>
      </c>
      <c r="J242" s="92">
        <v>2850</v>
      </c>
      <c r="K242" s="92">
        <v>3000</v>
      </c>
      <c r="L242" s="92"/>
      <c r="M242" s="92"/>
      <c r="N242" s="92"/>
      <c r="O242" s="92">
        <v>-399</v>
      </c>
      <c r="P242" s="92">
        <f>K242+SUM(L242:O242)</f>
        <v>2601</v>
      </c>
      <c r="Q242" s="92">
        <v>31</v>
      </c>
      <c r="R242" s="93">
        <f>IFERROR(Q242/$P242,0)</f>
        <v>1.1918492887351018E-2</v>
      </c>
      <c r="S242" s="92">
        <v>31</v>
      </c>
      <c r="T242" s="83">
        <f>IFERROR(S242/$P242,0)</f>
        <v>1.1918492887351018E-2</v>
      </c>
      <c r="U242" s="92">
        <v>31</v>
      </c>
      <c r="V242" s="93">
        <f>IFERROR(U242/$P242,0)</f>
        <v>1.1918492887351018E-2</v>
      </c>
      <c r="W242" s="92">
        <v>1298.3800000000001</v>
      </c>
      <c r="X242" s="60">
        <f>IFERROR(W242/$P242,0)</f>
        <v>0.49918492887351024</v>
      </c>
      <c r="Y242" s="82">
        <f>K242</f>
        <v>3000</v>
      </c>
      <c r="Z242" s="61">
        <f>Y242</f>
        <v>3000</v>
      </c>
    </row>
    <row r="243" spans="1:26" ht="13.9" customHeight="1" x14ac:dyDescent="0.25">
      <c r="E243" s="57"/>
      <c r="F243" s="91" t="s">
        <v>190</v>
      </c>
      <c r="G243" s="82">
        <v>4232.9799999999996</v>
      </c>
      <c r="H243" s="82">
        <v>4232.9799999999996</v>
      </c>
      <c r="I243" s="82">
        <v>4233</v>
      </c>
      <c r="J243" s="82">
        <v>3811</v>
      </c>
      <c r="K243" s="82">
        <v>3811</v>
      </c>
      <c r="L243" s="82"/>
      <c r="M243" s="82"/>
      <c r="N243" s="82">
        <v>5</v>
      </c>
      <c r="O243" s="82">
        <v>175</v>
      </c>
      <c r="P243" s="82">
        <f>K243+SUM(L243:O243)</f>
        <v>3991</v>
      </c>
      <c r="Q243" s="82">
        <v>0</v>
      </c>
      <c r="R243" s="83">
        <f>IFERROR(Q243/$P243,0)</f>
        <v>0</v>
      </c>
      <c r="S243" s="82">
        <v>0</v>
      </c>
      <c r="T243" s="83">
        <f>IFERROR(S243/$P243,0)</f>
        <v>0</v>
      </c>
      <c r="U243" s="82">
        <v>3549.14</v>
      </c>
      <c r="V243" s="83">
        <f>IFERROR(U243/$P243,0)</f>
        <v>0.88928589325983465</v>
      </c>
      <c r="W243" s="82">
        <v>3991.08</v>
      </c>
      <c r="X243" s="60">
        <f>IFERROR(W243/$P243,0)</f>
        <v>1.0000200451014782</v>
      </c>
      <c r="Y243" s="82">
        <f>K243</f>
        <v>3811</v>
      </c>
      <c r="Z243" s="61">
        <f>Y243</f>
        <v>3811</v>
      </c>
    </row>
    <row r="244" spans="1:26" ht="13.9" customHeight="1" x14ac:dyDescent="0.25">
      <c r="E244" s="57"/>
      <c r="F244" s="91" t="s">
        <v>191</v>
      </c>
      <c r="G244" s="92">
        <v>2558.1</v>
      </c>
      <c r="H244" s="92">
        <v>3910.88</v>
      </c>
      <c r="I244" s="92">
        <v>3900</v>
      </c>
      <c r="J244" s="92">
        <v>36</v>
      </c>
      <c r="K244" s="92">
        <v>3000</v>
      </c>
      <c r="L244" s="92">
        <v>-1259</v>
      </c>
      <c r="M244" s="92"/>
      <c r="N244" s="92">
        <v>-903</v>
      </c>
      <c r="O244" s="92"/>
      <c r="P244" s="92">
        <f>K244+SUM(L244:O244)</f>
        <v>838</v>
      </c>
      <c r="Q244" s="92">
        <v>0</v>
      </c>
      <c r="R244" s="93">
        <f>IFERROR(Q244/$P244,0)</f>
        <v>0</v>
      </c>
      <c r="S244" s="92">
        <v>500</v>
      </c>
      <c r="T244" s="93">
        <f>IFERROR(S244/$P244,0)</f>
        <v>0.59665871121718372</v>
      </c>
      <c r="U244" s="92">
        <v>550</v>
      </c>
      <c r="V244" s="93">
        <f>IFERROR(U244/$P244,0)</f>
        <v>0.65632458233890212</v>
      </c>
      <c r="W244" s="92">
        <v>550</v>
      </c>
      <c r="X244" s="64">
        <f>IFERROR(W244/$P244,0)</f>
        <v>0.65632458233890212</v>
      </c>
      <c r="Y244" s="82">
        <f>K244</f>
        <v>3000</v>
      </c>
      <c r="Z244" s="61">
        <f>Y244</f>
        <v>3000</v>
      </c>
    </row>
    <row r="245" spans="1:26" ht="13.9" customHeight="1" x14ac:dyDescent="0.25">
      <c r="E245" s="65"/>
      <c r="F245" s="94" t="s">
        <v>192</v>
      </c>
      <c r="G245" s="95">
        <v>39928.5</v>
      </c>
      <c r="H245" s="95">
        <v>0</v>
      </c>
      <c r="I245" s="95">
        <v>0</v>
      </c>
      <c r="J245" s="95">
        <v>0</v>
      </c>
      <c r="K245" s="95">
        <v>0</v>
      </c>
      <c r="L245" s="95"/>
      <c r="M245" s="95"/>
      <c r="N245" s="95"/>
      <c r="O245" s="95"/>
      <c r="P245" s="95">
        <f>K245+SUM(L245:O245)</f>
        <v>0</v>
      </c>
      <c r="Q245" s="95">
        <v>0</v>
      </c>
      <c r="R245" s="96">
        <f>IFERROR(Q245/$P245,0)</f>
        <v>0</v>
      </c>
      <c r="S245" s="95">
        <v>0</v>
      </c>
      <c r="T245" s="68">
        <f>IFERROR(S245/$P245,0)</f>
        <v>0</v>
      </c>
      <c r="U245" s="95">
        <v>0</v>
      </c>
      <c r="V245" s="96">
        <f>IFERROR(U245/$P245,0)</f>
        <v>0</v>
      </c>
      <c r="W245" s="95">
        <v>30780</v>
      </c>
      <c r="X245" s="69">
        <f>IFERROR(W245/$P245,0)</f>
        <v>0</v>
      </c>
      <c r="Y245" s="67">
        <v>0</v>
      </c>
      <c r="Z245" s="70">
        <v>0</v>
      </c>
    </row>
    <row r="247" spans="1:26" ht="13.9" customHeight="1" x14ac:dyDescent="0.25">
      <c r="D247" s="32" t="s">
        <v>193</v>
      </c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3"/>
      <c r="S247" s="32"/>
      <c r="T247" s="33"/>
      <c r="U247" s="32"/>
      <c r="V247" s="33"/>
      <c r="W247" s="32"/>
      <c r="X247" s="33"/>
      <c r="Y247" s="32"/>
      <c r="Z247" s="32"/>
    </row>
    <row r="248" spans="1:26" ht="13.9" customHeight="1" x14ac:dyDescent="0.25">
      <c r="D248" s="21" t="s">
        <v>32</v>
      </c>
      <c r="E248" s="21" t="s">
        <v>33</v>
      </c>
      <c r="F248" s="21" t="s">
        <v>34</v>
      </c>
      <c r="G248" s="21" t="s">
        <v>1</v>
      </c>
      <c r="H248" s="21" t="s">
        <v>2</v>
      </c>
      <c r="I248" s="21" t="s">
        <v>3</v>
      </c>
      <c r="J248" s="21" t="s">
        <v>4</v>
      </c>
      <c r="K248" s="21" t="s">
        <v>5</v>
      </c>
      <c r="L248" s="21" t="s">
        <v>6</v>
      </c>
      <c r="M248" s="21" t="s">
        <v>7</v>
      </c>
      <c r="N248" s="21" t="s">
        <v>8</v>
      </c>
      <c r="O248" s="21" t="s">
        <v>9</v>
      </c>
      <c r="P248" s="21" t="s">
        <v>10</v>
      </c>
      <c r="Q248" s="21" t="s">
        <v>11</v>
      </c>
      <c r="R248" s="22" t="s">
        <v>12</v>
      </c>
      <c r="S248" s="21" t="s">
        <v>13</v>
      </c>
      <c r="T248" s="22" t="s">
        <v>14</v>
      </c>
      <c r="U248" s="21" t="s">
        <v>15</v>
      </c>
      <c r="V248" s="22" t="s">
        <v>16</v>
      </c>
      <c r="W248" s="21" t="s">
        <v>17</v>
      </c>
      <c r="X248" s="22" t="s">
        <v>18</v>
      </c>
      <c r="Y248" s="21" t="s">
        <v>19</v>
      </c>
      <c r="Z248" s="21" t="s">
        <v>20</v>
      </c>
    </row>
    <row r="249" spans="1:26" ht="13.9" customHeight="1" x14ac:dyDescent="0.25">
      <c r="A249" s="15">
        <v>5</v>
      </c>
      <c r="D249" s="12" t="s">
        <v>21</v>
      </c>
      <c r="E249" s="35">
        <v>111</v>
      </c>
      <c r="F249" s="35" t="s">
        <v>45</v>
      </c>
      <c r="G249" s="36">
        <f t="shared" ref="G249:Q249" si="147">G257+G307</f>
        <v>9886.81</v>
      </c>
      <c r="H249" s="36">
        <f t="shared" si="147"/>
        <v>8602.18</v>
      </c>
      <c r="I249" s="36">
        <f t="shared" si="147"/>
        <v>312</v>
      </c>
      <c r="J249" s="36">
        <f t="shared" si="147"/>
        <v>6967</v>
      </c>
      <c r="K249" s="36">
        <f t="shared" si="147"/>
        <v>312</v>
      </c>
      <c r="L249" s="36">
        <f t="shared" si="147"/>
        <v>4037</v>
      </c>
      <c r="M249" s="36">
        <f t="shared" si="147"/>
        <v>0</v>
      </c>
      <c r="N249" s="36">
        <f t="shared" si="147"/>
        <v>664</v>
      </c>
      <c r="O249" s="36">
        <f t="shared" si="147"/>
        <v>11110</v>
      </c>
      <c r="P249" s="36">
        <f t="shared" si="147"/>
        <v>16123</v>
      </c>
      <c r="Q249" s="36">
        <f t="shared" si="147"/>
        <v>4036.38</v>
      </c>
      <c r="R249" s="37">
        <f>IFERROR(Q249/$P249,0)</f>
        <v>0.25034919059728339</v>
      </c>
      <c r="S249" s="36">
        <f>S257+S307</f>
        <v>4036.38</v>
      </c>
      <c r="T249" s="37">
        <f>IFERROR(S249/$P249,0)</f>
        <v>0.25034919059728339</v>
      </c>
      <c r="U249" s="36">
        <f>U257+U307</f>
        <v>4036.38</v>
      </c>
      <c r="V249" s="37">
        <f>IFERROR(U249/$P249,0)</f>
        <v>0.25034919059728339</v>
      </c>
      <c r="W249" s="36">
        <f>W257+W307</f>
        <v>15672.149999999998</v>
      </c>
      <c r="X249" s="37">
        <f>IFERROR(W249/$P249,0)</f>
        <v>0.9720368417788251</v>
      </c>
      <c r="Y249" s="36">
        <f>Y257+Y307</f>
        <v>312</v>
      </c>
      <c r="Z249" s="36">
        <f>Z257+Z307</f>
        <v>312</v>
      </c>
    </row>
    <row r="250" spans="1:26" ht="13.9" customHeight="1" x14ac:dyDescent="0.25">
      <c r="A250" s="15">
        <v>5</v>
      </c>
      <c r="D250" s="12"/>
      <c r="E250" s="35">
        <v>41</v>
      </c>
      <c r="F250" s="35" t="s">
        <v>23</v>
      </c>
      <c r="G250" s="36">
        <f t="shared" ref="G250:Q250" si="148">G258+G308</f>
        <v>35304.9</v>
      </c>
      <c r="H250" s="36">
        <f t="shared" si="148"/>
        <v>50941.99</v>
      </c>
      <c r="I250" s="36">
        <f t="shared" si="148"/>
        <v>61394</v>
      </c>
      <c r="J250" s="36">
        <f t="shared" si="148"/>
        <v>42044</v>
      </c>
      <c r="K250" s="36">
        <f t="shared" si="148"/>
        <v>53297</v>
      </c>
      <c r="L250" s="36">
        <f t="shared" si="148"/>
        <v>121</v>
      </c>
      <c r="M250" s="36">
        <f t="shared" si="148"/>
        <v>-11546</v>
      </c>
      <c r="N250" s="36">
        <f t="shared" si="148"/>
        <v>1595</v>
      </c>
      <c r="O250" s="36">
        <f t="shared" si="148"/>
        <v>-12042</v>
      </c>
      <c r="P250" s="36">
        <f t="shared" si="148"/>
        <v>31425</v>
      </c>
      <c r="Q250" s="36">
        <f t="shared" si="148"/>
        <v>11170.630000000001</v>
      </c>
      <c r="R250" s="37">
        <f>IFERROR(Q250/$P250,0)</f>
        <v>0.35546953062848052</v>
      </c>
      <c r="S250" s="36">
        <f>S258+S308</f>
        <v>18110.950000000004</v>
      </c>
      <c r="T250" s="37">
        <f>IFERROR(S250/$P250,0)</f>
        <v>0.57632299124900566</v>
      </c>
      <c r="U250" s="36">
        <f>U258+U308</f>
        <v>25997.679999999997</v>
      </c>
      <c r="V250" s="37">
        <f>IFERROR(U250/$P250,0)</f>
        <v>0.8272929196499601</v>
      </c>
      <c r="W250" s="36">
        <f>W258+W308</f>
        <v>25882.749999999996</v>
      </c>
      <c r="X250" s="37">
        <f>IFERROR(W250/$P250,0)</f>
        <v>0.82363564041368331</v>
      </c>
      <c r="Y250" s="36">
        <f>Y258+Y308</f>
        <v>53909</v>
      </c>
      <c r="Z250" s="36">
        <f>Z258+Z308</f>
        <v>54582</v>
      </c>
    </row>
    <row r="251" spans="1:26" ht="13.9" customHeight="1" x14ac:dyDescent="0.25">
      <c r="A251" s="15">
        <v>5</v>
      </c>
      <c r="D251" s="12"/>
      <c r="E251" s="35">
        <v>71</v>
      </c>
      <c r="F251" s="35" t="s">
        <v>24</v>
      </c>
      <c r="G251" s="36">
        <f t="shared" ref="G251:Q251" si="149">G259</f>
        <v>3000</v>
      </c>
      <c r="H251" s="36">
        <f t="shared" si="149"/>
        <v>3000</v>
      </c>
      <c r="I251" s="36">
        <f t="shared" si="149"/>
        <v>3000</v>
      </c>
      <c r="J251" s="36">
        <f t="shared" si="149"/>
        <v>3000</v>
      </c>
      <c r="K251" s="36">
        <f t="shared" si="149"/>
        <v>3000</v>
      </c>
      <c r="L251" s="36">
        <f t="shared" si="149"/>
        <v>0</v>
      </c>
      <c r="M251" s="36">
        <f t="shared" si="149"/>
        <v>0</v>
      </c>
      <c r="N251" s="36">
        <f t="shared" si="149"/>
        <v>0</v>
      </c>
      <c r="O251" s="36">
        <f t="shared" si="149"/>
        <v>0</v>
      </c>
      <c r="P251" s="36">
        <f t="shared" si="149"/>
        <v>3000</v>
      </c>
      <c r="Q251" s="36">
        <f t="shared" si="149"/>
        <v>0</v>
      </c>
      <c r="R251" s="37">
        <f>IFERROR(Q251/$P251,0)</f>
        <v>0</v>
      </c>
      <c r="S251" s="36">
        <f>S259</f>
        <v>318</v>
      </c>
      <c r="T251" s="37">
        <f>IFERROR(S251/$P251,0)</f>
        <v>0.106</v>
      </c>
      <c r="U251" s="36">
        <f>U259</f>
        <v>3000</v>
      </c>
      <c r="V251" s="37">
        <f>IFERROR(U251/$P251,0)</f>
        <v>1</v>
      </c>
      <c r="W251" s="36">
        <f>W259</f>
        <v>3000</v>
      </c>
      <c r="X251" s="37">
        <f>IFERROR(W251/$P251,0)</f>
        <v>1</v>
      </c>
      <c r="Y251" s="36">
        <f>Y259</f>
        <v>3000</v>
      </c>
      <c r="Z251" s="36">
        <f>Z259</f>
        <v>3000</v>
      </c>
    </row>
    <row r="252" spans="1:26" ht="13.9" hidden="1" customHeight="1" x14ac:dyDescent="0.25">
      <c r="A252" s="15">
        <v>5</v>
      </c>
      <c r="D252" s="12"/>
      <c r="E252" s="35">
        <v>72</v>
      </c>
      <c r="F252" s="35" t="s">
        <v>25</v>
      </c>
      <c r="G252" s="36">
        <f t="shared" ref="G252:Q252" si="150">G309</f>
        <v>0</v>
      </c>
      <c r="H252" s="36">
        <f t="shared" si="150"/>
        <v>138.36000000000001</v>
      </c>
      <c r="I252" s="36">
        <f t="shared" si="150"/>
        <v>0</v>
      </c>
      <c r="J252" s="36">
        <f t="shared" si="150"/>
        <v>0</v>
      </c>
      <c r="K252" s="36">
        <f t="shared" si="150"/>
        <v>0</v>
      </c>
      <c r="L252" s="36">
        <f t="shared" si="150"/>
        <v>0</v>
      </c>
      <c r="M252" s="36">
        <f t="shared" si="150"/>
        <v>0</v>
      </c>
      <c r="N252" s="36">
        <f t="shared" si="150"/>
        <v>0</v>
      </c>
      <c r="O252" s="36">
        <f t="shared" si="150"/>
        <v>0</v>
      </c>
      <c r="P252" s="36">
        <f t="shared" si="150"/>
        <v>0</v>
      </c>
      <c r="Q252" s="36">
        <f t="shared" si="150"/>
        <v>0</v>
      </c>
      <c r="R252" s="37">
        <f>IFERROR(Q252/$P252,0)</f>
        <v>0</v>
      </c>
      <c r="S252" s="36">
        <f>S309</f>
        <v>0</v>
      </c>
      <c r="T252" s="37">
        <f>IFERROR(S252/$P252,0)</f>
        <v>0</v>
      </c>
      <c r="U252" s="36">
        <f>U309</f>
        <v>0</v>
      </c>
      <c r="V252" s="37">
        <f>IFERROR(U252/$P252,0)</f>
        <v>0</v>
      </c>
      <c r="W252" s="36">
        <f>W309</f>
        <v>0</v>
      </c>
      <c r="X252" s="37">
        <f>IFERROR(W252/$P252,0)</f>
        <v>0</v>
      </c>
      <c r="Y252" s="36">
        <f>Y309</f>
        <v>0</v>
      </c>
      <c r="Z252" s="36">
        <f>Z309</f>
        <v>0</v>
      </c>
    </row>
    <row r="253" spans="1:26" ht="13.9" customHeight="1" x14ac:dyDescent="0.25">
      <c r="A253" s="15">
        <v>5</v>
      </c>
      <c r="D253" s="30"/>
      <c r="E253" s="31"/>
      <c r="F253" s="38" t="s">
        <v>120</v>
      </c>
      <c r="G253" s="39">
        <f t="shared" ref="G253:Q253" si="151">SUM(G249:G252)</f>
        <v>48191.71</v>
      </c>
      <c r="H253" s="39">
        <f t="shared" si="151"/>
        <v>62682.53</v>
      </c>
      <c r="I253" s="39">
        <f t="shared" si="151"/>
        <v>64706</v>
      </c>
      <c r="J253" s="39">
        <f t="shared" si="151"/>
        <v>52011</v>
      </c>
      <c r="K253" s="39">
        <f t="shared" si="151"/>
        <v>56609</v>
      </c>
      <c r="L253" s="39">
        <f t="shared" si="151"/>
        <v>4158</v>
      </c>
      <c r="M253" s="39">
        <f t="shared" si="151"/>
        <v>-11546</v>
      </c>
      <c r="N253" s="39">
        <f t="shared" si="151"/>
        <v>2259</v>
      </c>
      <c r="O253" s="39">
        <f t="shared" si="151"/>
        <v>-932</v>
      </c>
      <c r="P253" s="39">
        <f t="shared" si="151"/>
        <v>50548</v>
      </c>
      <c r="Q253" s="39">
        <f t="shared" si="151"/>
        <v>15207.010000000002</v>
      </c>
      <c r="R253" s="40">
        <f>IFERROR(Q253/$P253,0)</f>
        <v>0.30084296114584164</v>
      </c>
      <c r="S253" s="39">
        <f>SUM(S249:S252)</f>
        <v>22465.330000000005</v>
      </c>
      <c r="T253" s="40">
        <f>IFERROR(S253/$P253,0)</f>
        <v>0.44443558597768468</v>
      </c>
      <c r="U253" s="39">
        <f>SUM(U249:U252)</f>
        <v>33034.06</v>
      </c>
      <c r="V253" s="40">
        <f>IFERROR(U253/$P253,0)</f>
        <v>0.6535186357521563</v>
      </c>
      <c r="W253" s="39">
        <f>SUM(W249:W252)</f>
        <v>44554.899999999994</v>
      </c>
      <c r="X253" s="40">
        <f>IFERROR(W253/$P253,0)</f>
        <v>0.8814374455962648</v>
      </c>
      <c r="Y253" s="39">
        <f>SUM(Y249:Y252)</f>
        <v>57221</v>
      </c>
      <c r="Z253" s="39">
        <f>SUM(Z249:Z252)</f>
        <v>57894</v>
      </c>
    </row>
    <row r="255" spans="1:26" ht="13.9" customHeight="1" x14ac:dyDescent="0.25">
      <c r="D255" s="41" t="s">
        <v>194</v>
      </c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2"/>
      <c r="S255" s="41"/>
      <c r="T255" s="42"/>
      <c r="U255" s="41"/>
      <c r="V255" s="42"/>
      <c r="W255" s="41"/>
      <c r="X255" s="42"/>
      <c r="Y255" s="41"/>
      <c r="Z255" s="41"/>
    </row>
    <row r="256" spans="1:26" ht="13.9" customHeight="1" x14ac:dyDescent="0.25">
      <c r="D256" s="121"/>
      <c r="E256" s="121"/>
      <c r="F256" s="121"/>
      <c r="G256" s="21" t="s">
        <v>1</v>
      </c>
      <c r="H256" s="21" t="s">
        <v>2</v>
      </c>
      <c r="I256" s="21" t="s">
        <v>3</v>
      </c>
      <c r="J256" s="21" t="s">
        <v>4</v>
      </c>
      <c r="K256" s="21" t="s">
        <v>5</v>
      </c>
      <c r="L256" s="21" t="s">
        <v>6</v>
      </c>
      <c r="M256" s="21" t="s">
        <v>7</v>
      </c>
      <c r="N256" s="21" t="s">
        <v>8</v>
      </c>
      <c r="O256" s="21" t="s">
        <v>9</v>
      </c>
      <c r="P256" s="21" t="s">
        <v>10</v>
      </c>
      <c r="Q256" s="21" t="s">
        <v>11</v>
      </c>
      <c r="R256" s="22" t="s">
        <v>12</v>
      </c>
      <c r="S256" s="21" t="s">
        <v>13</v>
      </c>
      <c r="T256" s="22" t="s">
        <v>14</v>
      </c>
      <c r="U256" s="21" t="s">
        <v>15</v>
      </c>
      <c r="V256" s="22" t="s">
        <v>16</v>
      </c>
      <c r="W256" s="21" t="s">
        <v>17</v>
      </c>
      <c r="X256" s="22" t="s">
        <v>18</v>
      </c>
      <c r="Y256" s="21" t="s">
        <v>19</v>
      </c>
      <c r="Z256" s="21" t="s">
        <v>20</v>
      </c>
    </row>
    <row r="257" spans="1:26" ht="13.9" customHeight="1" x14ac:dyDescent="0.25">
      <c r="A257" s="15">
        <v>5</v>
      </c>
      <c r="B257" s="15">
        <v>1</v>
      </c>
      <c r="D257" s="13" t="s">
        <v>21</v>
      </c>
      <c r="E257" s="23">
        <v>111</v>
      </c>
      <c r="F257" s="23" t="s">
        <v>45</v>
      </c>
      <c r="G257" s="24">
        <f t="shared" ref="G257:Q257" si="152">G265+G280+G290</f>
        <v>9886.81</v>
      </c>
      <c r="H257" s="24">
        <f t="shared" si="152"/>
        <v>311.89</v>
      </c>
      <c r="I257" s="24">
        <f t="shared" si="152"/>
        <v>312</v>
      </c>
      <c r="J257" s="24">
        <f t="shared" si="152"/>
        <v>6307</v>
      </c>
      <c r="K257" s="24">
        <f t="shared" si="152"/>
        <v>312</v>
      </c>
      <c r="L257" s="24">
        <f t="shared" si="152"/>
        <v>0</v>
      </c>
      <c r="M257" s="24">
        <f t="shared" si="152"/>
        <v>0</v>
      </c>
      <c r="N257" s="24">
        <f t="shared" si="152"/>
        <v>214</v>
      </c>
      <c r="O257" s="24">
        <f t="shared" si="152"/>
        <v>11110</v>
      </c>
      <c r="P257" s="24">
        <f t="shared" si="152"/>
        <v>11636</v>
      </c>
      <c r="Q257" s="24">
        <f t="shared" si="152"/>
        <v>0</v>
      </c>
      <c r="R257" s="25">
        <f>IFERROR(Q257/$P257,0)</f>
        <v>0</v>
      </c>
      <c r="S257" s="24">
        <f>S265+S280+S290</f>
        <v>0</v>
      </c>
      <c r="T257" s="25">
        <f>IFERROR(S257/$P257,0)</f>
        <v>0</v>
      </c>
      <c r="U257" s="24">
        <f>U265+U280+U290</f>
        <v>0</v>
      </c>
      <c r="V257" s="25">
        <f>IFERROR(U257/$P257,0)</f>
        <v>0</v>
      </c>
      <c r="W257" s="24">
        <f>W265+W280+W290</f>
        <v>11635.769999999999</v>
      </c>
      <c r="X257" s="25">
        <f>IFERROR(W257/$P257,0)</f>
        <v>0.99998023375730483</v>
      </c>
      <c r="Y257" s="24">
        <f>Y265+Y280+Y290</f>
        <v>312</v>
      </c>
      <c r="Z257" s="24">
        <f>Z265+Z280+Z290</f>
        <v>312</v>
      </c>
    </row>
    <row r="258" spans="1:26" ht="13.9" customHeight="1" x14ac:dyDescent="0.25">
      <c r="A258" s="15">
        <v>5</v>
      </c>
      <c r="B258" s="15">
        <v>1</v>
      </c>
      <c r="D258" s="13"/>
      <c r="E258" s="23">
        <v>41</v>
      </c>
      <c r="F258" s="23" t="s">
        <v>23</v>
      </c>
      <c r="G258" s="24">
        <f t="shared" ref="G258:Q258" si="153">G268+G282+G293+G302</f>
        <v>19675.580000000002</v>
      </c>
      <c r="H258" s="24">
        <f t="shared" si="153"/>
        <v>27708.37</v>
      </c>
      <c r="I258" s="24">
        <f t="shared" si="153"/>
        <v>43227</v>
      </c>
      <c r="J258" s="24">
        <f t="shared" si="153"/>
        <v>31490</v>
      </c>
      <c r="K258" s="24">
        <f t="shared" si="153"/>
        <v>35772</v>
      </c>
      <c r="L258" s="24">
        <f t="shared" si="153"/>
        <v>0</v>
      </c>
      <c r="M258" s="24">
        <f t="shared" si="153"/>
        <v>-15075</v>
      </c>
      <c r="N258" s="24">
        <f t="shared" si="153"/>
        <v>1595</v>
      </c>
      <c r="O258" s="24">
        <f t="shared" si="153"/>
        <v>-8052</v>
      </c>
      <c r="P258" s="24">
        <f t="shared" si="153"/>
        <v>14240</v>
      </c>
      <c r="Q258" s="24">
        <f t="shared" si="153"/>
        <v>6875.1600000000008</v>
      </c>
      <c r="R258" s="25">
        <f>IFERROR(Q258/$P258,0)</f>
        <v>0.48280617977528095</v>
      </c>
      <c r="S258" s="24">
        <f>S268+S282+S293+S302</f>
        <v>10964.310000000001</v>
      </c>
      <c r="T258" s="25">
        <f>IFERROR(S258/$P258,0)</f>
        <v>0.76996558988764052</v>
      </c>
      <c r="U258" s="24">
        <f>U268+U282+U293+U302</f>
        <v>16529.989999999998</v>
      </c>
      <c r="V258" s="25">
        <f>IFERROR(U258/$P258,0)</f>
        <v>1.1608139044943819</v>
      </c>
      <c r="W258" s="24">
        <f>W268+W282+W293+W302</f>
        <v>12631.149999999998</v>
      </c>
      <c r="X258" s="25">
        <f>IFERROR(W258/$P258,0)</f>
        <v>0.8870189606741572</v>
      </c>
      <c r="Y258" s="24">
        <f>Y268+Y282+Y293+Y302</f>
        <v>35772</v>
      </c>
      <c r="Z258" s="24">
        <f>Z268+Z282+Z293+Z302</f>
        <v>35772</v>
      </c>
    </row>
    <row r="259" spans="1:26" ht="13.9" customHeight="1" x14ac:dyDescent="0.25">
      <c r="A259" s="15">
        <v>5</v>
      </c>
      <c r="B259" s="15">
        <v>1</v>
      </c>
      <c r="D259" s="13"/>
      <c r="E259" s="23">
        <v>71</v>
      </c>
      <c r="F259" s="23" t="s">
        <v>24</v>
      </c>
      <c r="G259" s="24">
        <f t="shared" ref="G259:Q259" si="154">G270</f>
        <v>3000</v>
      </c>
      <c r="H259" s="24">
        <f t="shared" si="154"/>
        <v>3000</v>
      </c>
      <c r="I259" s="24">
        <f t="shared" si="154"/>
        <v>3000</v>
      </c>
      <c r="J259" s="24">
        <f t="shared" si="154"/>
        <v>3000</v>
      </c>
      <c r="K259" s="24">
        <f t="shared" si="154"/>
        <v>3000</v>
      </c>
      <c r="L259" s="24">
        <f t="shared" si="154"/>
        <v>0</v>
      </c>
      <c r="M259" s="24">
        <f t="shared" si="154"/>
        <v>0</v>
      </c>
      <c r="N259" s="24">
        <f t="shared" si="154"/>
        <v>0</v>
      </c>
      <c r="O259" s="24">
        <f t="shared" si="154"/>
        <v>0</v>
      </c>
      <c r="P259" s="24">
        <f t="shared" si="154"/>
        <v>3000</v>
      </c>
      <c r="Q259" s="24">
        <f t="shared" si="154"/>
        <v>0</v>
      </c>
      <c r="R259" s="25">
        <f>IFERROR(Q259/$P259,0)</f>
        <v>0</v>
      </c>
      <c r="S259" s="24">
        <f>S270</f>
        <v>318</v>
      </c>
      <c r="T259" s="25">
        <f>IFERROR(S259/$P259,0)</f>
        <v>0.106</v>
      </c>
      <c r="U259" s="24">
        <f>U270</f>
        <v>3000</v>
      </c>
      <c r="V259" s="25">
        <f>IFERROR(U259/$P259,0)</f>
        <v>1</v>
      </c>
      <c r="W259" s="24">
        <f>W270</f>
        <v>3000</v>
      </c>
      <c r="X259" s="25">
        <f>IFERROR(W259/$P259,0)</f>
        <v>1</v>
      </c>
      <c r="Y259" s="24">
        <f>Y270</f>
        <v>3000</v>
      </c>
      <c r="Z259" s="24">
        <f>Z270</f>
        <v>3000</v>
      </c>
    </row>
    <row r="260" spans="1:26" ht="13.9" customHeight="1" x14ac:dyDescent="0.25">
      <c r="A260" s="15">
        <v>5</v>
      </c>
      <c r="B260" s="15">
        <v>1</v>
      </c>
      <c r="D260" s="30"/>
      <c r="E260" s="31"/>
      <c r="F260" s="26" t="s">
        <v>120</v>
      </c>
      <c r="G260" s="27">
        <f t="shared" ref="G260:Q260" si="155">SUM(G257:G259)</f>
        <v>32562.39</v>
      </c>
      <c r="H260" s="27">
        <f t="shared" si="155"/>
        <v>31020.26</v>
      </c>
      <c r="I260" s="27">
        <f t="shared" si="155"/>
        <v>46539</v>
      </c>
      <c r="J260" s="27">
        <f t="shared" si="155"/>
        <v>40797</v>
      </c>
      <c r="K260" s="27">
        <f t="shared" si="155"/>
        <v>39084</v>
      </c>
      <c r="L260" s="27">
        <f t="shared" si="155"/>
        <v>0</v>
      </c>
      <c r="M260" s="27">
        <f t="shared" si="155"/>
        <v>-15075</v>
      </c>
      <c r="N260" s="27">
        <f t="shared" si="155"/>
        <v>1809</v>
      </c>
      <c r="O260" s="27">
        <f t="shared" si="155"/>
        <v>3058</v>
      </c>
      <c r="P260" s="27">
        <f t="shared" si="155"/>
        <v>28876</v>
      </c>
      <c r="Q260" s="27">
        <f t="shared" si="155"/>
        <v>6875.1600000000008</v>
      </c>
      <c r="R260" s="28">
        <f>IFERROR(Q260/$P260,0)</f>
        <v>0.23809253359191027</v>
      </c>
      <c r="S260" s="27">
        <f>SUM(S257:S259)</f>
        <v>11282.310000000001</v>
      </c>
      <c r="T260" s="28">
        <f>IFERROR(S260/$P260,0)</f>
        <v>0.39071581936556316</v>
      </c>
      <c r="U260" s="27">
        <f>SUM(U257:U259)</f>
        <v>19529.989999999998</v>
      </c>
      <c r="V260" s="28">
        <f>IFERROR(U260/$P260,0)</f>
        <v>0.67633986701759241</v>
      </c>
      <c r="W260" s="27">
        <f>SUM(W257:W259)</f>
        <v>27266.92</v>
      </c>
      <c r="X260" s="28">
        <f>IFERROR(W260/$P260,0)</f>
        <v>0.94427621554231878</v>
      </c>
      <c r="Y260" s="27">
        <f>SUM(Y257:Y259)</f>
        <v>39084</v>
      </c>
      <c r="Z260" s="27">
        <f>SUM(Z257:Z259)</f>
        <v>39084</v>
      </c>
    </row>
    <row r="262" spans="1:26" ht="13.9" customHeight="1" x14ac:dyDescent="0.25">
      <c r="D262" s="73" t="s">
        <v>195</v>
      </c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4"/>
      <c r="S262" s="73"/>
      <c r="T262" s="74"/>
      <c r="U262" s="73"/>
      <c r="V262" s="74"/>
      <c r="W262" s="73"/>
      <c r="X262" s="74"/>
      <c r="Y262" s="73"/>
      <c r="Z262" s="73"/>
    </row>
    <row r="263" spans="1:26" ht="13.9" customHeight="1" x14ac:dyDescent="0.25">
      <c r="D263" s="21" t="s">
        <v>32</v>
      </c>
      <c r="E263" s="21" t="s">
        <v>33</v>
      </c>
      <c r="F263" s="21" t="s">
        <v>34</v>
      </c>
      <c r="G263" s="21" t="s">
        <v>1</v>
      </c>
      <c r="H263" s="21" t="s">
        <v>2</v>
      </c>
      <c r="I263" s="21" t="s">
        <v>3</v>
      </c>
      <c r="J263" s="21" t="s">
        <v>4</v>
      </c>
      <c r="K263" s="21" t="s">
        <v>5</v>
      </c>
      <c r="L263" s="21" t="s">
        <v>6</v>
      </c>
      <c r="M263" s="21" t="s">
        <v>7</v>
      </c>
      <c r="N263" s="21" t="s">
        <v>8</v>
      </c>
      <c r="O263" s="21" t="s">
        <v>9</v>
      </c>
      <c r="P263" s="21" t="s">
        <v>10</v>
      </c>
      <c r="Q263" s="21" t="s">
        <v>11</v>
      </c>
      <c r="R263" s="22" t="s">
        <v>12</v>
      </c>
      <c r="S263" s="21" t="s">
        <v>13</v>
      </c>
      <c r="T263" s="22" t="s">
        <v>14</v>
      </c>
      <c r="U263" s="21" t="s">
        <v>15</v>
      </c>
      <c r="V263" s="22" t="s">
        <v>16</v>
      </c>
      <c r="W263" s="21" t="s">
        <v>17</v>
      </c>
      <c r="X263" s="22" t="s">
        <v>18</v>
      </c>
      <c r="Y263" s="21" t="s">
        <v>19</v>
      </c>
      <c r="Z263" s="21" t="s">
        <v>20</v>
      </c>
    </row>
    <row r="264" spans="1:26" ht="13.9" customHeight="1" x14ac:dyDescent="0.25">
      <c r="A264" s="15">
        <v>5</v>
      </c>
      <c r="B264" s="15">
        <v>1</v>
      </c>
      <c r="C264" s="15">
        <v>1</v>
      </c>
      <c r="D264" s="51" t="s">
        <v>196</v>
      </c>
      <c r="E264" s="23">
        <v>630</v>
      </c>
      <c r="F264" s="23" t="s">
        <v>127</v>
      </c>
      <c r="G264" s="24">
        <v>0</v>
      </c>
      <c r="H264" s="46">
        <v>0</v>
      </c>
      <c r="I264" s="24">
        <v>0</v>
      </c>
      <c r="J264" s="24">
        <v>303</v>
      </c>
      <c r="K264" s="24">
        <v>0</v>
      </c>
      <c r="L264" s="24"/>
      <c r="M264" s="24"/>
      <c r="N264" s="24">
        <v>214</v>
      </c>
      <c r="O264" s="24"/>
      <c r="P264" s="46">
        <f>K264+SUM(L264:O264)</f>
        <v>214</v>
      </c>
      <c r="Q264" s="46">
        <v>0</v>
      </c>
      <c r="R264" s="47">
        <f t="shared" ref="R264:R271" si="156">IFERROR(Q264/$P264,0)</f>
        <v>0</v>
      </c>
      <c r="S264" s="46">
        <v>0</v>
      </c>
      <c r="T264" s="47">
        <f t="shared" ref="T264:T271" si="157">IFERROR(S264/$P264,0)</f>
        <v>0</v>
      </c>
      <c r="U264" s="46">
        <v>0</v>
      </c>
      <c r="V264" s="47">
        <f t="shared" ref="V264:V271" si="158">IFERROR(U264/$P264,0)</f>
        <v>0</v>
      </c>
      <c r="W264" s="46">
        <v>213.6</v>
      </c>
      <c r="X264" s="47">
        <f t="shared" ref="X264:X271" si="159">IFERROR(W264/$P264,0)</f>
        <v>0.9981308411214953</v>
      </c>
      <c r="Y264" s="24">
        <v>0</v>
      </c>
      <c r="Z264" s="24">
        <v>0</v>
      </c>
    </row>
    <row r="265" spans="1:26" ht="13.9" customHeight="1" x14ac:dyDescent="0.25">
      <c r="A265" s="15">
        <v>5</v>
      </c>
      <c r="B265" s="15">
        <v>1</v>
      </c>
      <c r="C265" s="15">
        <v>1</v>
      </c>
      <c r="D265" s="79" t="s">
        <v>21</v>
      </c>
      <c r="E265" s="48">
        <v>111</v>
      </c>
      <c r="F265" s="48" t="s">
        <v>23</v>
      </c>
      <c r="G265" s="49">
        <f t="shared" ref="G265:Q265" si="160">SUM(G264:G264)</f>
        <v>0</v>
      </c>
      <c r="H265" s="49">
        <f t="shared" si="160"/>
        <v>0</v>
      </c>
      <c r="I265" s="49">
        <f t="shared" si="160"/>
        <v>0</v>
      </c>
      <c r="J265" s="49">
        <f t="shared" si="160"/>
        <v>303</v>
      </c>
      <c r="K265" s="49">
        <f t="shared" si="160"/>
        <v>0</v>
      </c>
      <c r="L265" s="49">
        <f t="shared" si="160"/>
        <v>0</v>
      </c>
      <c r="M265" s="49">
        <f t="shared" si="160"/>
        <v>0</v>
      </c>
      <c r="N265" s="49">
        <f t="shared" si="160"/>
        <v>214</v>
      </c>
      <c r="O265" s="49">
        <f t="shared" si="160"/>
        <v>0</v>
      </c>
      <c r="P265" s="49">
        <f t="shared" si="160"/>
        <v>214</v>
      </c>
      <c r="Q265" s="49">
        <f t="shared" si="160"/>
        <v>0</v>
      </c>
      <c r="R265" s="50">
        <f t="shared" si="156"/>
        <v>0</v>
      </c>
      <c r="S265" s="49">
        <f>SUM(S264:S264)</f>
        <v>0</v>
      </c>
      <c r="T265" s="50">
        <f t="shared" si="157"/>
        <v>0</v>
      </c>
      <c r="U265" s="49">
        <f>SUM(U264:U264)</f>
        <v>0</v>
      </c>
      <c r="V265" s="50">
        <f t="shared" si="158"/>
        <v>0</v>
      </c>
      <c r="W265" s="49">
        <f>SUM(W264:W264)</f>
        <v>213.6</v>
      </c>
      <c r="X265" s="50">
        <f t="shared" si="159"/>
        <v>0.9981308411214953</v>
      </c>
      <c r="Y265" s="49">
        <f>SUM(Y264:Y264)</f>
        <v>0</v>
      </c>
      <c r="Z265" s="49">
        <f>SUM(Z264:Z264)</f>
        <v>0</v>
      </c>
    </row>
    <row r="266" spans="1:26" ht="13.9" customHeight="1" x14ac:dyDescent="0.25">
      <c r="A266" s="15">
        <v>5</v>
      </c>
      <c r="B266" s="15">
        <v>1</v>
      </c>
      <c r="C266" s="15">
        <v>1</v>
      </c>
      <c r="D266" s="5" t="s">
        <v>196</v>
      </c>
      <c r="E266" s="23">
        <v>630</v>
      </c>
      <c r="F266" s="23" t="s">
        <v>127</v>
      </c>
      <c r="G266" s="24">
        <v>1837.4</v>
      </c>
      <c r="H266" s="24">
        <v>2106.09</v>
      </c>
      <c r="I266" s="24">
        <v>3500</v>
      </c>
      <c r="J266" s="24">
        <v>3801</v>
      </c>
      <c r="K266" s="24">
        <v>3969</v>
      </c>
      <c r="L266" s="24"/>
      <c r="M266" s="24">
        <v>-1152</v>
      </c>
      <c r="N266" s="24">
        <v>500</v>
      </c>
      <c r="O266" s="24"/>
      <c r="P266" s="24">
        <f>K266+SUM(L266:O266)</f>
        <v>3317</v>
      </c>
      <c r="Q266" s="24">
        <v>543.97</v>
      </c>
      <c r="R266" s="25">
        <f t="shared" si="156"/>
        <v>0.16399457340970758</v>
      </c>
      <c r="S266" s="24">
        <v>747.28</v>
      </c>
      <c r="T266" s="25">
        <f t="shared" si="157"/>
        <v>0.22528791076273741</v>
      </c>
      <c r="U266" s="24">
        <v>1909.57</v>
      </c>
      <c r="V266" s="25">
        <f t="shared" si="158"/>
        <v>0.57569189026228518</v>
      </c>
      <c r="W266" s="24">
        <v>2096.2199999999998</v>
      </c>
      <c r="X266" s="25">
        <f t="shared" si="159"/>
        <v>0.63196261682242982</v>
      </c>
      <c r="Y266" s="24">
        <f>K266</f>
        <v>3969</v>
      </c>
      <c r="Z266" s="24">
        <f>Y266</f>
        <v>3969</v>
      </c>
    </row>
    <row r="267" spans="1:26" ht="13.9" customHeight="1" x14ac:dyDescent="0.25">
      <c r="A267" s="15">
        <v>5</v>
      </c>
      <c r="B267" s="15">
        <v>1</v>
      </c>
      <c r="C267" s="15">
        <v>1</v>
      </c>
      <c r="D267" s="5"/>
      <c r="E267" s="23">
        <v>640</v>
      </c>
      <c r="F267" s="23" t="s">
        <v>128</v>
      </c>
      <c r="G267" s="46">
        <v>2570</v>
      </c>
      <c r="H267" s="46">
        <v>6840</v>
      </c>
      <c r="I267" s="46">
        <v>2440</v>
      </c>
      <c r="J267" s="46">
        <v>2440</v>
      </c>
      <c r="K267" s="46">
        <v>1800</v>
      </c>
      <c r="L267" s="46"/>
      <c r="M267" s="46"/>
      <c r="N267" s="46"/>
      <c r="O267" s="46"/>
      <c r="P267" s="46">
        <f>K267+SUM(L267:O267)</f>
        <v>1800</v>
      </c>
      <c r="Q267" s="46">
        <v>1800</v>
      </c>
      <c r="R267" s="47">
        <f t="shared" si="156"/>
        <v>1</v>
      </c>
      <c r="S267" s="46">
        <v>1800</v>
      </c>
      <c r="T267" s="47">
        <f t="shared" si="157"/>
        <v>1</v>
      </c>
      <c r="U267" s="46">
        <v>1800</v>
      </c>
      <c r="V267" s="47">
        <f t="shared" si="158"/>
        <v>1</v>
      </c>
      <c r="W267" s="46">
        <v>1800</v>
      </c>
      <c r="X267" s="47">
        <f t="shared" si="159"/>
        <v>1</v>
      </c>
      <c r="Y267" s="24">
        <f>K267</f>
        <v>1800</v>
      </c>
      <c r="Z267" s="24">
        <f>Y267</f>
        <v>1800</v>
      </c>
    </row>
    <row r="268" spans="1:26" ht="13.9" customHeight="1" x14ac:dyDescent="0.25">
      <c r="A268" s="15">
        <v>5</v>
      </c>
      <c r="B268" s="15">
        <v>1</v>
      </c>
      <c r="C268" s="15">
        <v>1</v>
      </c>
      <c r="D268" s="79" t="s">
        <v>21</v>
      </c>
      <c r="E268" s="48">
        <v>41</v>
      </c>
      <c r="F268" s="48" t="s">
        <v>23</v>
      </c>
      <c r="G268" s="49">
        <f t="shared" ref="G268:Q268" si="161">SUM(G266:G267)</f>
        <v>4407.3999999999996</v>
      </c>
      <c r="H268" s="49">
        <f t="shared" si="161"/>
        <v>8946.09</v>
      </c>
      <c r="I268" s="49">
        <f t="shared" si="161"/>
        <v>5940</v>
      </c>
      <c r="J268" s="49">
        <f t="shared" si="161"/>
        <v>6241</v>
      </c>
      <c r="K268" s="49">
        <f t="shared" si="161"/>
        <v>5769</v>
      </c>
      <c r="L268" s="49">
        <f t="shared" si="161"/>
        <v>0</v>
      </c>
      <c r="M268" s="49">
        <f t="shared" si="161"/>
        <v>-1152</v>
      </c>
      <c r="N268" s="49">
        <f t="shared" si="161"/>
        <v>500</v>
      </c>
      <c r="O268" s="49">
        <f t="shared" si="161"/>
        <v>0</v>
      </c>
      <c r="P268" s="49">
        <f t="shared" si="161"/>
        <v>5117</v>
      </c>
      <c r="Q268" s="49">
        <f t="shared" si="161"/>
        <v>2343.9700000000003</v>
      </c>
      <c r="R268" s="50">
        <f t="shared" si="156"/>
        <v>0.45807504397107685</v>
      </c>
      <c r="S268" s="49">
        <f>SUM(S266:S267)</f>
        <v>2547.2799999999997</v>
      </c>
      <c r="T268" s="50">
        <f t="shared" si="157"/>
        <v>0.49780730897009962</v>
      </c>
      <c r="U268" s="49">
        <f>SUM(U266:U267)</f>
        <v>3709.5699999999997</v>
      </c>
      <c r="V268" s="50">
        <f t="shared" si="158"/>
        <v>0.72495016611295671</v>
      </c>
      <c r="W268" s="49">
        <f>SUM(W266:W267)</f>
        <v>3896.22</v>
      </c>
      <c r="X268" s="50">
        <f t="shared" si="159"/>
        <v>0.76142661715849125</v>
      </c>
      <c r="Y268" s="49">
        <f>SUM(Y266:Y267)</f>
        <v>5769</v>
      </c>
      <c r="Z268" s="49">
        <f>SUM(Z266:Z267)</f>
        <v>5769</v>
      </c>
    </row>
    <row r="269" spans="1:26" ht="13.9" customHeight="1" x14ac:dyDescent="0.25">
      <c r="A269" s="15">
        <v>5</v>
      </c>
      <c r="B269" s="15">
        <v>1</v>
      </c>
      <c r="C269" s="15">
        <v>1</v>
      </c>
      <c r="D269" s="80" t="s">
        <v>196</v>
      </c>
      <c r="E269" s="23">
        <v>630</v>
      </c>
      <c r="F269" s="23" t="s">
        <v>127</v>
      </c>
      <c r="G269" s="24">
        <v>3000</v>
      </c>
      <c r="H269" s="24">
        <v>3000</v>
      </c>
      <c r="I269" s="24">
        <v>3000</v>
      </c>
      <c r="J269" s="24">
        <v>3000</v>
      </c>
      <c r="K269" s="24">
        <v>3000</v>
      </c>
      <c r="L269" s="24"/>
      <c r="M269" s="24"/>
      <c r="N269" s="24"/>
      <c r="O269" s="24"/>
      <c r="P269" s="24">
        <f>K269+SUM(L269:O269)</f>
        <v>3000</v>
      </c>
      <c r="Q269" s="24">
        <v>0</v>
      </c>
      <c r="R269" s="25">
        <f t="shared" si="156"/>
        <v>0</v>
      </c>
      <c r="S269" s="24">
        <v>318</v>
      </c>
      <c r="T269" s="25">
        <f t="shared" si="157"/>
        <v>0.106</v>
      </c>
      <c r="U269" s="24">
        <v>3000</v>
      </c>
      <c r="V269" s="25">
        <f t="shared" si="158"/>
        <v>1</v>
      </c>
      <c r="W269" s="24">
        <v>3000</v>
      </c>
      <c r="X269" s="25">
        <f t="shared" si="159"/>
        <v>1</v>
      </c>
      <c r="Y269" s="24">
        <f>príjmy!V118</f>
        <v>3000</v>
      </c>
      <c r="Z269" s="24">
        <f>príjmy!W118</f>
        <v>3000</v>
      </c>
    </row>
    <row r="270" spans="1:26" ht="13.9" customHeight="1" x14ac:dyDescent="0.25">
      <c r="A270" s="15">
        <v>5</v>
      </c>
      <c r="B270" s="15">
        <v>1</v>
      </c>
      <c r="C270" s="15">
        <v>1</v>
      </c>
      <c r="D270" s="79" t="s">
        <v>21</v>
      </c>
      <c r="E270" s="48">
        <v>71</v>
      </c>
      <c r="F270" s="48" t="s">
        <v>24</v>
      </c>
      <c r="G270" s="49">
        <f t="shared" ref="G270:Q270" si="162">SUM(G269:G269)</f>
        <v>3000</v>
      </c>
      <c r="H270" s="49">
        <f t="shared" si="162"/>
        <v>3000</v>
      </c>
      <c r="I270" s="49">
        <f t="shared" si="162"/>
        <v>3000</v>
      </c>
      <c r="J270" s="49">
        <f t="shared" si="162"/>
        <v>3000</v>
      </c>
      <c r="K270" s="49">
        <f t="shared" si="162"/>
        <v>3000</v>
      </c>
      <c r="L270" s="49">
        <f t="shared" si="162"/>
        <v>0</v>
      </c>
      <c r="M270" s="49">
        <f t="shared" si="162"/>
        <v>0</v>
      </c>
      <c r="N270" s="49">
        <f t="shared" si="162"/>
        <v>0</v>
      </c>
      <c r="O270" s="49">
        <f t="shared" si="162"/>
        <v>0</v>
      </c>
      <c r="P270" s="49">
        <f t="shared" si="162"/>
        <v>3000</v>
      </c>
      <c r="Q270" s="49">
        <f t="shared" si="162"/>
        <v>0</v>
      </c>
      <c r="R270" s="50">
        <f t="shared" si="156"/>
        <v>0</v>
      </c>
      <c r="S270" s="49">
        <f>SUM(S269:S269)</f>
        <v>318</v>
      </c>
      <c r="T270" s="50">
        <f t="shared" si="157"/>
        <v>0.106</v>
      </c>
      <c r="U270" s="49">
        <f>SUM(U269:U269)</f>
        <v>3000</v>
      </c>
      <c r="V270" s="50">
        <f t="shared" si="158"/>
        <v>1</v>
      </c>
      <c r="W270" s="49">
        <f>SUM(W269:W269)</f>
        <v>3000</v>
      </c>
      <c r="X270" s="50">
        <f t="shared" si="159"/>
        <v>1</v>
      </c>
      <c r="Y270" s="49">
        <f>SUM(Y269:Y269)</f>
        <v>3000</v>
      </c>
      <c r="Z270" s="49">
        <f>SUM(Z269:Z269)</f>
        <v>3000</v>
      </c>
    </row>
    <row r="271" spans="1:26" ht="13.9" customHeight="1" x14ac:dyDescent="0.25">
      <c r="A271" s="15">
        <v>5</v>
      </c>
      <c r="B271" s="15">
        <v>1</v>
      </c>
      <c r="C271" s="15">
        <v>1</v>
      </c>
      <c r="D271" s="118"/>
      <c r="E271" s="31"/>
      <c r="F271" s="26" t="s">
        <v>120</v>
      </c>
      <c r="G271" s="27">
        <f t="shared" ref="G271:Q271" si="163">G265+G268+G270</f>
        <v>7407.4</v>
      </c>
      <c r="H271" s="27">
        <f t="shared" si="163"/>
        <v>11946.09</v>
      </c>
      <c r="I271" s="27">
        <f t="shared" si="163"/>
        <v>8940</v>
      </c>
      <c r="J271" s="27">
        <f t="shared" si="163"/>
        <v>9544</v>
      </c>
      <c r="K271" s="27">
        <f t="shared" si="163"/>
        <v>8769</v>
      </c>
      <c r="L271" s="27">
        <f t="shared" si="163"/>
        <v>0</v>
      </c>
      <c r="M271" s="27">
        <f t="shared" si="163"/>
        <v>-1152</v>
      </c>
      <c r="N271" s="27">
        <f t="shared" si="163"/>
        <v>714</v>
      </c>
      <c r="O271" s="27">
        <f t="shared" si="163"/>
        <v>0</v>
      </c>
      <c r="P271" s="27">
        <f t="shared" si="163"/>
        <v>8331</v>
      </c>
      <c r="Q271" s="27">
        <f t="shared" si="163"/>
        <v>2343.9700000000003</v>
      </c>
      <c r="R271" s="28">
        <f t="shared" si="156"/>
        <v>0.28135517945024607</v>
      </c>
      <c r="S271" s="27">
        <f>S265+S268+S270</f>
        <v>2865.2799999999997</v>
      </c>
      <c r="T271" s="28">
        <f t="shared" si="157"/>
        <v>0.34392990037210414</v>
      </c>
      <c r="U271" s="27">
        <f>U265+U268+U270</f>
        <v>6709.57</v>
      </c>
      <c r="V271" s="28">
        <f t="shared" si="158"/>
        <v>0.80537390469331405</v>
      </c>
      <c r="W271" s="27">
        <f>W265+W268+W270</f>
        <v>7109.82</v>
      </c>
      <c r="X271" s="28">
        <f t="shared" si="159"/>
        <v>0.85341735685992071</v>
      </c>
      <c r="Y271" s="27">
        <f>Y265+Y268+Y270</f>
        <v>8769</v>
      </c>
      <c r="Z271" s="27">
        <f>Z265+Z268+Z270</f>
        <v>8769</v>
      </c>
    </row>
    <row r="273" spans="1:26" ht="13.9" customHeight="1" x14ac:dyDescent="0.25">
      <c r="E273" s="115" t="s">
        <v>55</v>
      </c>
      <c r="F273" s="122" t="s">
        <v>143</v>
      </c>
      <c r="G273" s="123">
        <v>242</v>
      </c>
      <c r="H273" s="123">
        <v>308</v>
      </c>
      <c r="I273" s="123">
        <v>2025</v>
      </c>
      <c r="J273" s="123">
        <v>1801</v>
      </c>
      <c r="K273" s="123">
        <v>1801</v>
      </c>
      <c r="L273" s="123"/>
      <c r="M273" s="123">
        <v>-1152</v>
      </c>
      <c r="N273" s="123"/>
      <c r="O273" s="123"/>
      <c r="P273" s="123">
        <f>K273+SUM(L273:O273)</f>
        <v>649</v>
      </c>
      <c r="Q273" s="123">
        <v>162.15</v>
      </c>
      <c r="R273" s="124">
        <f>IFERROR(Q273/$P273,0)</f>
        <v>0.24984591679506934</v>
      </c>
      <c r="S273" s="123">
        <v>324.3</v>
      </c>
      <c r="T273" s="124">
        <f>IFERROR(S273/$P273,0)</f>
        <v>0.49969183359013869</v>
      </c>
      <c r="U273" s="123">
        <v>486.45</v>
      </c>
      <c r="V273" s="124">
        <f>IFERROR(U273/$P273,0)</f>
        <v>0.74953775038520798</v>
      </c>
      <c r="W273" s="123">
        <v>651.55999999999995</v>
      </c>
      <c r="X273" s="125">
        <f>IFERROR(W273/$P273,0)</f>
        <v>1.0039445300462249</v>
      </c>
      <c r="Y273" s="123">
        <f>K273</f>
        <v>1801</v>
      </c>
      <c r="Z273" s="126">
        <f>Y273</f>
        <v>1801</v>
      </c>
    </row>
    <row r="275" spans="1:26" ht="13.9" customHeight="1" x14ac:dyDescent="0.25">
      <c r="D275" s="73" t="s">
        <v>197</v>
      </c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4"/>
      <c r="S275" s="73"/>
      <c r="T275" s="74"/>
      <c r="U275" s="73"/>
      <c r="V275" s="74"/>
      <c r="W275" s="73"/>
      <c r="X275" s="74"/>
      <c r="Y275" s="73"/>
      <c r="Z275" s="73"/>
    </row>
    <row r="276" spans="1:26" ht="13.9" customHeight="1" x14ac:dyDescent="0.25">
      <c r="D276" s="21" t="s">
        <v>32</v>
      </c>
      <c r="E276" s="21" t="s">
        <v>33</v>
      </c>
      <c r="F276" s="21" t="s">
        <v>34</v>
      </c>
      <c r="G276" s="21" t="s">
        <v>1</v>
      </c>
      <c r="H276" s="21" t="s">
        <v>2</v>
      </c>
      <c r="I276" s="21" t="s">
        <v>3</v>
      </c>
      <c r="J276" s="21" t="s">
        <v>4</v>
      </c>
      <c r="K276" s="21" t="s">
        <v>5</v>
      </c>
      <c r="L276" s="21" t="s">
        <v>6</v>
      </c>
      <c r="M276" s="21" t="s">
        <v>7</v>
      </c>
      <c r="N276" s="21" t="s">
        <v>8</v>
      </c>
      <c r="O276" s="21" t="s">
        <v>9</v>
      </c>
      <c r="P276" s="21" t="s">
        <v>10</v>
      </c>
      <c r="Q276" s="21" t="s">
        <v>11</v>
      </c>
      <c r="R276" s="22" t="s">
        <v>12</v>
      </c>
      <c r="S276" s="21" t="s">
        <v>13</v>
      </c>
      <c r="T276" s="22" t="s">
        <v>14</v>
      </c>
      <c r="U276" s="21" t="s">
        <v>15</v>
      </c>
      <c r="V276" s="22" t="s">
        <v>16</v>
      </c>
      <c r="W276" s="21" t="s">
        <v>17</v>
      </c>
      <c r="X276" s="22" t="s">
        <v>18</v>
      </c>
      <c r="Y276" s="21" t="s">
        <v>19</v>
      </c>
      <c r="Z276" s="21" t="s">
        <v>20</v>
      </c>
    </row>
    <row r="277" spans="1:26" ht="13.9" customHeight="1" x14ac:dyDescent="0.25">
      <c r="A277" s="15">
        <v>5</v>
      </c>
      <c r="B277" s="15">
        <v>1</v>
      </c>
      <c r="C277" s="15">
        <v>2</v>
      </c>
      <c r="D277" s="11" t="s">
        <v>198</v>
      </c>
      <c r="E277" s="23">
        <v>610</v>
      </c>
      <c r="F277" s="23" t="s">
        <v>125</v>
      </c>
      <c r="G277" s="24">
        <v>222.86</v>
      </c>
      <c r="H277" s="24">
        <v>231.15</v>
      </c>
      <c r="I277" s="24">
        <v>231</v>
      </c>
      <c r="J277" s="24">
        <v>231</v>
      </c>
      <c r="K277" s="24">
        <v>231</v>
      </c>
      <c r="L277" s="24"/>
      <c r="M277" s="24"/>
      <c r="N277" s="24"/>
      <c r="O277" s="24">
        <v>35</v>
      </c>
      <c r="P277" s="24">
        <f>K277+SUM(L277:O277)</f>
        <v>266</v>
      </c>
      <c r="Q277" s="24">
        <v>0</v>
      </c>
      <c r="R277" s="25">
        <f t="shared" ref="R277:R283" si="164">IFERROR(Q277/$P277,0)</f>
        <v>0</v>
      </c>
      <c r="S277" s="24">
        <v>0</v>
      </c>
      <c r="T277" s="25">
        <f t="shared" ref="T277:T283" si="165">IFERROR(S277/$P277,0)</f>
        <v>0</v>
      </c>
      <c r="U277" s="24">
        <v>0</v>
      </c>
      <c r="V277" s="25">
        <f t="shared" ref="V277:V283" si="166">IFERROR(U277/$P277,0)</f>
        <v>0</v>
      </c>
      <c r="W277" s="24">
        <v>266.33</v>
      </c>
      <c r="X277" s="25">
        <f t="shared" ref="X277:X283" si="167">IFERROR(W277/$P277,0)</f>
        <v>1.0012406015037594</v>
      </c>
      <c r="Y277" s="24">
        <f>K277</f>
        <v>231</v>
      </c>
      <c r="Z277" s="24">
        <f>Y277</f>
        <v>231</v>
      </c>
    </row>
    <row r="278" spans="1:26" ht="13.9" customHeight="1" x14ac:dyDescent="0.25">
      <c r="A278" s="15">
        <v>5</v>
      </c>
      <c r="B278" s="15">
        <v>1</v>
      </c>
      <c r="C278" s="15">
        <v>2</v>
      </c>
      <c r="D278" s="11" t="s">
        <v>198</v>
      </c>
      <c r="E278" s="23">
        <v>620</v>
      </c>
      <c r="F278" s="23" t="s">
        <v>126</v>
      </c>
      <c r="G278" s="24">
        <v>77.86</v>
      </c>
      <c r="H278" s="24">
        <v>80.739999999999995</v>
      </c>
      <c r="I278" s="24">
        <v>81</v>
      </c>
      <c r="J278" s="24">
        <v>81</v>
      </c>
      <c r="K278" s="24">
        <v>81</v>
      </c>
      <c r="L278" s="24"/>
      <c r="M278" s="24"/>
      <c r="N278" s="24"/>
      <c r="O278" s="24">
        <v>15</v>
      </c>
      <c r="P278" s="24">
        <f>K278+SUM(L278:O278)</f>
        <v>96</v>
      </c>
      <c r="Q278" s="24">
        <v>0</v>
      </c>
      <c r="R278" s="25">
        <f t="shared" si="164"/>
        <v>0</v>
      </c>
      <c r="S278" s="24">
        <v>0</v>
      </c>
      <c r="T278" s="25">
        <f t="shared" si="165"/>
        <v>0</v>
      </c>
      <c r="U278" s="24">
        <v>0</v>
      </c>
      <c r="V278" s="25">
        <f t="shared" si="166"/>
        <v>0</v>
      </c>
      <c r="W278" s="24">
        <v>95.71</v>
      </c>
      <c r="X278" s="25">
        <f t="shared" si="167"/>
        <v>0.99697916666666664</v>
      </c>
      <c r="Y278" s="24">
        <f>K278</f>
        <v>81</v>
      </c>
      <c r="Z278" s="24">
        <f>Y278</f>
        <v>81</v>
      </c>
    </row>
    <row r="279" spans="1:26" ht="13.9" hidden="1" customHeight="1" x14ac:dyDescent="0.25">
      <c r="A279" s="15">
        <v>5</v>
      </c>
      <c r="B279" s="15">
        <v>1</v>
      </c>
      <c r="C279" s="15">
        <v>2</v>
      </c>
      <c r="D279" s="11" t="s">
        <v>198</v>
      </c>
      <c r="E279" s="23">
        <v>630</v>
      </c>
      <c r="F279" s="23" t="s">
        <v>127</v>
      </c>
      <c r="G279" s="24">
        <v>9586.09</v>
      </c>
      <c r="H279" s="24">
        <v>0</v>
      </c>
      <c r="I279" s="24">
        <v>0</v>
      </c>
      <c r="J279" s="24">
        <v>966</v>
      </c>
      <c r="K279" s="24">
        <v>0</v>
      </c>
      <c r="L279" s="24"/>
      <c r="M279" s="24"/>
      <c r="N279" s="24"/>
      <c r="O279" s="24"/>
      <c r="P279" s="24">
        <f>K279+SUM(L279:O279)</f>
        <v>0</v>
      </c>
      <c r="Q279" s="24"/>
      <c r="R279" s="25">
        <f t="shared" si="164"/>
        <v>0</v>
      </c>
      <c r="S279" s="24"/>
      <c r="T279" s="25">
        <f t="shared" si="165"/>
        <v>0</v>
      </c>
      <c r="U279" s="24"/>
      <c r="V279" s="25">
        <f t="shared" si="166"/>
        <v>0</v>
      </c>
      <c r="W279" s="24"/>
      <c r="X279" s="25">
        <f t="shared" si="167"/>
        <v>0</v>
      </c>
      <c r="Y279" s="24">
        <f>K279</f>
        <v>0</v>
      </c>
      <c r="Z279" s="24">
        <f>Y279</f>
        <v>0</v>
      </c>
    </row>
    <row r="280" spans="1:26" ht="13.9" customHeight="1" x14ac:dyDescent="0.25">
      <c r="A280" s="15">
        <v>5</v>
      </c>
      <c r="B280" s="15">
        <v>1</v>
      </c>
      <c r="C280" s="15">
        <v>2</v>
      </c>
      <c r="D280" s="79" t="s">
        <v>21</v>
      </c>
      <c r="E280" s="48">
        <v>111</v>
      </c>
      <c r="F280" s="48" t="s">
        <v>130</v>
      </c>
      <c r="G280" s="49">
        <f t="shared" ref="G280:Q280" si="168">SUM(G277:G279)</f>
        <v>9886.81</v>
      </c>
      <c r="H280" s="49">
        <f t="shared" si="168"/>
        <v>311.89</v>
      </c>
      <c r="I280" s="49">
        <f t="shared" si="168"/>
        <v>312</v>
      </c>
      <c r="J280" s="49">
        <f t="shared" si="168"/>
        <v>1278</v>
      </c>
      <c r="K280" s="49">
        <f t="shared" si="168"/>
        <v>312</v>
      </c>
      <c r="L280" s="49">
        <f t="shared" si="168"/>
        <v>0</v>
      </c>
      <c r="M280" s="49">
        <f t="shared" si="168"/>
        <v>0</v>
      </c>
      <c r="N280" s="49">
        <f t="shared" si="168"/>
        <v>0</v>
      </c>
      <c r="O280" s="49">
        <f t="shared" si="168"/>
        <v>50</v>
      </c>
      <c r="P280" s="49">
        <f t="shared" si="168"/>
        <v>362</v>
      </c>
      <c r="Q280" s="49">
        <f t="shared" si="168"/>
        <v>0</v>
      </c>
      <c r="R280" s="50">
        <f t="shared" si="164"/>
        <v>0</v>
      </c>
      <c r="S280" s="49">
        <f>SUM(S277:S279)</f>
        <v>0</v>
      </c>
      <c r="T280" s="50">
        <f t="shared" si="165"/>
        <v>0</v>
      </c>
      <c r="U280" s="49">
        <f>SUM(U277:U279)</f>
        <v>0</v>
      </c>
      <c r="V280" s="50">
        <f t="shared" si="166"/>
        <v>0</v>
      </c>
      <c r="W280" s="49">
        <f>SUM(W277:W279)</f>
        <v>362.03999999999996</v>
      </c>
      <c r="X280" s="50">
        <f t="shared" si="167"/>
        <v>1.000110497237569</v>
      </c>
      <c r="Y280" s="49">
        <f>SUM(Y277:Y279)</f>
        <v>312</v>
      </c>
      <c r="Z280" s="49">
        <f>SUM(Z277:Z279)</f>
        <v>312</v>
      </c>
    </row>
    <row r="281" spans="1:26" ht="13.9" hidden="1" customHeight="1" x14ac:dyDescent="0.25">
      <c r="A281" s="15">
        <v>5</v>
      </c>
      <c r="B281" s="15">
        <v>1</v>
      </c>
      <c r="C281" s="15">
        <v>2</v>
      </c>
      <c r="D281" s="84" t="s">
        <v>198</v>
      </c>
      <c r="E281" s="23">
        <v>630</v>
      </c>
      <c r="F281" s="23" t="s">
        <v>127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/>
      <c r="M281" s="24"/>
      <c r="N281" s="24"/>
      <c r="O281" s="24"/>
      <c r="P281" s="24">
        <f>K281+SUM(L281:O281)</f>
        <v>0</v>
      </c>
      <c r="Q281" s="24"/>
      <c r="R281" s="25">
        <f t="shared" si="164"/>
        <v>0</v>
      </c>
      <c r="S281" s="24"/>
      <c r="T281" s="25">
        <f t="shared" si="165"/>
        <v>0</v>
      </c>
      <c r="U281" s="24"/>
      <c r="V281" s="25">
        <f t="shared" si="166"/>
        <v>0</v>
      </c>
      <c r="W281" s="24"/>
      <c r="X281" s="25">
        <f t="shared" si="167"/>
        <v>0</v>
      </c>
      <c r="Y281" s="24">
        <v>0</v>
      </c>
      <c r="Z281" s="24">
        <f>Y281</f>
        <v>0</v>
      </c>
    </row>
    <row r="282" spans="1:26" ht="13.9" hidden="1" customHeight="1" x14ac:dyDescent="0.25">
      <c r="A282" s="15">
        <v>5</v>
      </c>
      <c r="B282" s="15">
        <v>1</v>
      </c>
      <c r="C282" s="15">
        <v>2</v>
      </c>
      <c r="D282" s="79" t="s">
        <v>21</v>
      </c>
      <c r="E282" s="48">
        <v>41</v>
      </c>
      <c r="F282" s="48" t="s">
        <v>23</v>
      </c>
      <c r="G282" s="49">
        <f t="shared" ref="G282:Q282" si="169">SUM(G281)</f>
        <v>0</v>
      </c>
      <c r="H282" s="49">
        <f t="shared" si="169"/>
        <v>0</v>
      </c>
      <c r="I282" s="49">
        <f t="shared" si="169"/>
        <v>0</v>
      </c>
      <c r="J282" s="49">
        <f t="shared" si="169"/>
        <v>0</v>
      </c>
      <c r="K282" s="49">
        <f t="shared" si="169"/>
        <v>0</v>
      </c>
      <c r="L282" s="49">
        <f t="shared" si="169"/>
        <v>0</v>
      </c>
      <c r="M282" s="49">
        <f t="shared" si="169"/>
        <v>0</v>
      </c>
      <c r="N282" s="49">
        <f t="shared" si="169"/>
        <v>0</v>
      </c>
      <c r="O282" s="49">
        <f t="shared" si="169"/>
        <v>0</v>
      </c>
      <c r="P282" s="49">
        <f t="shared" si="169"/>
        <v>0</v>
      </c>
      <c r="Q282" s="49">
        <f t="shared" si="169"/>
        <v>0</v>
      </c>
      <c r="R282" s="50">
        <f t="shared" si="164"/>
        <v>0</v>
      </c>
      <c r="S282" s="49">
        <f>SUM(S281)</f>
        <v>0</v>
      </c>
      <c r="T282" s="50">
        <f t="shared" si="165"/>
        <v>0</v>
      </c>
      <c r="U282" s="49">
        <f>SUM(U281)</f>
        <v>0</v>
      </c>
      <c r="V282" s="50">
        <f t="shared" si="166"/>
        <v>0</v>
      </c>
      <c r="W282" s="49">
        <f>SUM(W281)</f>
        <v>0</v>
      </c>
      <c r="X282" s="50">
        <f t="shared" si="167"/>
        <v>0</v>
      </c>
      <c r="Y282" s="49">
        <f>SUM(Y281:Y281)</f>
        <v>0</v>
      </c>
      <c r="Z282" s="49">
        <f>SUM(Z281:Z281)</f>
        <v>0</v>
      </c>
    </row>
    <row r="283" spans="1:26" ht="13.9" customHeight="1" x14ac:dyDescent="0.25">
      <c r="A283" s="15">
        <v>5</v>
      </c>
      <c r="B283" s="15">
        <v>1</v>
      </c>
      <c r="C283" s="15">
        <v>2</v>
      </c>
      <c r="D283" s="30"/>
      <c r="E283" s="31"/>
      <c r="F283" s="26" t="s">
        <v>120</v>
      </c>
      <c r="G283" s="27">
        <f t="shared" ref="G283:Q283" si="170">G280+G282</f>
        <v>9886.81</v>
      </c>
      <c r="H283" s="27">
        <f t="shared" si="170"/>
        <v>311.89</v>
      </c>
      <c r="I283" s="27">
        <f t="shared" si="170"/>
        <v>312</v>
      </c>
      <c r="J283" s="27">
        <f t="shared" si="170"/>
        <v>1278</v>
      </c>
      <c r="K283" s="27">
        <f t="shared" si="170"/>
        <v>312</v>
      </c>
      <c r="L283" s="27">
        <f t="shared" si="170"/>
        <v>0</v>
      </c>
      <c r="M283" s="27">
        <f t="shared" si="170"/>
        <v>0</v>
      </c>
      <c r="N283" s="27">
        <f t="shared" si="170"/>
        <v>0</v>
      </c>
      <c r="O283" s="27">
        <f t="shared" si="170"/>
        <v>50</v>
      </c>
      <c r="P283" s="27">
        <f t="shared" si="170"/>
        <v>362</v>
      </c>
      <c r="Q283" s="27">
        <f t="shared" si="170"/>
        <v>0</v>
      </c>
      <c r="R283" s="28">
        <f t="shared" si="164"/>
        <v>0</v>
      </c>
      <c r="S283" s="27">
        <f>S280+S282</f>
        <v>0</v>
      </c>
      <c r="T283" s="28">
        <f t="shared" si="165"/>
        <v>0</v>
      </c>
      <c r="U283" s="27">
        <f>U280+U282</f>
        <v>0</v>
      </c>
      <c r="V283" s="28">
        <f t="shared" si="166"/>
        <v>0</v>
      </c>
      <c r="W283" s="27">
        <f>W280+W282</f>
        <v>362.03999999999996</v>
      </c>
      <c r="X283" s="28">
        <f t="shared" si="167"/>
        <v>1.000110497237569</v>
      </c>
      <c r="Y283" s="27">
        <f>Y280+Y282</f>
        <v>312</v>
      </c>
      <c r="Z283" s="27">
        <f>Z280+Z282</f>
        <v>312</v>
      </c>
    </row>
    <row r="285" spans="1:26" ht="13.9" hidden="1" customHeight="1" x14ac:dyDescent="0.25">
      <c r="E285" s="115" t="s">
        <v>55</v>
      </c>
      <c r="F285" s="122" t="s">
        <v>199</v>
      </c>
      <c r="G285" s="123">
        <v>9586.09</v>
      </c>
      <c r="H285" s="123"/>
      <c r="I285" s="127"/>
      <c r="J285" s="123"/>
      <c r="K285" s="127"/>
      <c r="L285" s="123"/>
      <c r="M285" s="123"/>
      <c r="N285" s="123"/>
      <c r="O285" s="123"/>
      <c r="P285" s="123">
        <f>K285+SUM(L285:O285)</f>
        <v>0</v>
      </c>
      <c r="Q285" s="123"/>
      <c r="R285" s="124">
        <f>IFERROR(Q285/$P285,0)</f>
        <v>0</v>
      </c>
      <c r="S285" s="123"/>
      <c r="T285" s="124">
        <f>IFERROR(S285/$P285,0)</f>
        <v>0</v>
      </c>
      <c r="U285" s="123"/>
      <c r="V285" s="124">
        <f>IFERROR(U285/$P285,0)</f>
        <v>0</v>
      </c>
      <c r="W285" s="123"/>
      <c r="X285" s="125">
        <f>IFERROR(W285/$P285,0)</f>
        <v>0</v>
      </c>
      <c r="Y285" s="123"/>
      <c r="Z285" s="126"/>
    </row>
    <row r="286" spans="1:26" ht="13.9" hidden="1" customHeight="1" x14ac:dyDescent="0.25"/>
    <row r="287" spans="1:26" ht="13.9" customHeight="1" x14ac:dyDescent="0.25">
      <c r="D287" s="73" t="s">
        <v>200</v>
      </c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4"/>
      <c r="S287" s="73"/>
      <c r="T287" s="74"/>
      <c r="U287" s="73"/>
      <c r="V287" s="74"/>
      <c r="W287" s="73"/>
      <c r="X287" s="74"/>
      <c r="Y287" s="73"/>
      <c r="Z287" s="73"/>
    </row>
    <row r="288" spans="1:26" ht="13.9" customHeight="1" x14ac:dyDescent="0.25">
      <c r="D288" s="21" t="s">
        <v>32</v>
      </c>
      <c r="E288" s="21" t="s">
        <v>33</v>
      </c>
      <c r="F288" s="21" t="s">
        <v>34</v>
      </c>
      <c r="G288" s="21" t="s">
        <v>1</v>
      </c>
      <c r="H288" s="21" t="s">
        <v>2</v>
      </c>
      <c r="I288" s="21" t="s">
        <v>3</v>
      </c>
      <c r="J288" s="21" t="s">
        <v>4</v>
      </c>
      <c r="K288" s="21" t="s">
        <v>5</v>
      </c>
      <c r="L288" s="21" t="s">
        <v>6</v>
      </c>
      <c r="M288" s="21" t="s">
        <v>7</v>
      </c>
      <c r="N288" s="21" t="s">
        <v>8</v>
      </c>
      <c r="O288" s="21" t="s">
        <v>9</v>
      </c>
      <c r="P288" s="21" t="s">
        <v>10</v>
      </c>
      <c r="Q288" s="21" t="s">
        <v>11</v>
      </c>
      <c r="R288" s="22" t="s">
        <v>12</v>
      </c>
      <c r="S288" s="21" t="s">
        <v>13</v>
      </c>
      <c r="T288" s="22" t="s">
        <v>14</v>
      </c>
      <c r="U288" s="21" t="s">
        <v>15</v>
      </c>
      <c r="V288" s="22" t="s">
        <v>16</v>
      </c>
      <c r="W288" s="21" t="s">
        <v>17</v>
      </c>
      <c r="X288" s="22" t="s">
        <v>18</v>
      </c>
      <c r="Y288" s="21" t="s">
        <v>19</v>
      </c>
      <c r="Z288" s="21" t="s">
        <v>20</v>
      </c>
    </row>
    <row r="289" spans="1:26" ht="13.9" customHeight="1" x14ac:dyDescent="0.25">
      <c r="A289" s="15">
        <v>5</v>
      </c>
      <c r="B289" s="15">
        <v>1</v>
      </c>
      <c r="C289" s="15">
        <v>3</v>
      </c>
      <c r="D289" s="51" t="s">
        <v>201</v>
      </c>
      <c r="E289" s="23">
        <v>630</v>
      </c>
      <c r="F289" s="23" t="s">
        <v>127</v>
      </c>
      <c r="G289" s="24">
        <v>0</v>
      </c>
      <c r="H289" s="46">
        <v>0</v>
      </c>
      <c r="I289" s="24">
        <v>0</v>
      </c>
      <c r="J289" s="24">
        <v>4726</v>
      </c>
      <c r="K289" s="24">
        <v>0</v>
      </c>
      <c r="L289" s="24"/>
      <c r="M289" s="24"/>
      <c r="N289" s="24"/>
      <c r="O289" s="24">
        <v>11060</v>
      </c>
      <c r="P289" s="46">
        <f>K289+SUM(L289:O289)</f>
        <v>11060</v>
      </c>
      <c r="Q289" s="46">
        <v>0</v>
      </c>
      <c r="R289" s="47">
        <f t="shared" ref="R289:R294" si="171">IFERROR(Q289/$P289,0)</f>
        <v>0</v>
      </c>
      <c r="S289" s="46">
        <v>0</v>
      </c>
      <c r="T289" s="47">
        <f t="shared" ref="T289:T294" si="172">IFERROR(S289/$P289,0)</f>
        <v>0</v>
      </c>
      <c r="U289" s="46">
        <v>0</v>
      </c>
      <c r="V289" s="47">
        <f t="shared" ref="V289:V294" si="173">IFERROR(U289/$P289,0)</f>
        <v>0</v>
      </c>
      <c r="W289" s="46">
        <v>11060.13</v>
      </c>
      <c r="X289" s="47">
        <f t="shared" ref="X289:X294" si="174">IFERROR(W289/$P289,0)</f>
        <v>1.0000117540687161</v>
      </c>
      <c r="Y289" s="24">
        <v>0</v>
      </c>
      <c r="Z289" s="24">
        <v>0</v>
      </c>
    </row>
    <row r="290" spans="1:26" ht="13.9" customHeight="1" x14ac:dyDescent="0.25">
      <c r="A290" s="15">
        <v>5</v>
      </c>
      <c r="B290" s="15">
        <v>1</v>
      </c>
      <c r="C290" s="15">
        <v>3</v>
      </c>
      <c r="D290" s="79" t="s">
        <v>21</v>
      </c>
      <c r="E290" s="48">
        <v>111</v>
      </c>
      <c r="F290" s="48" t="s">
        <v>45</v>
      </c>
      <c r="G290" s="49">
        <f t="shared" ref="G290:Q290" si="175">SUM(G289:G289)</f>
        <v>0</v>
      </c>
      <c r="H290" s="49">
        <f t="shared" si="175"/>
        <v>0</v>
      </c>
      <c r="I290" s="49">
        <f t="shared" si="175"/>
        <v>0</v>
      </c>
      <c r="J290" s="49">
        <f t="shared" si="175"/>
        <v>4726</v>
      </c>
      <c r="K290" s="49">
        <f t="shared" si="175"/>
        <v>0</v>
      </c>
      <c r="L290" s="49">
        <f t="shared" si="175"/>
        <v>0</v>
      </c>
      <c r="M290" s="49">
        <f t="shared" si="175"/>
        <v>0</v>
      </c>
      <c r="N290" s="49">
        <f t="shared" si="175"/>
        <v>0</v>
      </c>
      <c r="O290" s="49">
        <f t="shared" si="175"/>
        <v>11060</v>
      </c>
      <c r="P290" s="49">
        <f t="shared" si="175"/>
        <v>11060</v>
      </c>
      <c r="Q290" s="49">
        <f t="shared" si="175"/>
        <v>0</v>
      </c>
      <c r="R290" s="50">
        <f t="shared" si="171"/>
        <v>0</v>
      </c>
      <c r="S290" s="49">
        <f>SUM(S289:S289)</f>
        <v>0</v>
      </c>
      <c r="T290" s="50">
        <f t="shared" si="172"/>
        <v>0</v>
      </c>
      <c r="U290" s="49">
        <f>SUM(U289:U289)</f>
        <v>0</v>
      </c>
      <c r="V290" s="50">
        <f t="shared" si="173"/>
        <v>0</v>
      </c>
      <c r="W290" s="49">
        <f>SUM(W289:W289)</f>
        <v>11060.13</v>
      </c>
      <c r="X290" s="50">
        <f t="shared" si="174"/>
        <v>1.0000117540687161</v>
      </c>
      <c r="Y290" s="49">
        <f>SUM(Y289:Y289)</f>
        <v>0</v>
      </c>
      <c r="Z290" s="49">
        <f>SUM(Z289:Z289)</f>
        <v>0</v>
      </c>
    </row>
    <row r="291" spans="1:26" ht="13.9" customHeight="1" x14ac:dyDescent="0.25">
      <c r="A291" s="15">
        <v>5</v>
      </c>
      <c r="B291" s="15">
        <v>1</v>
      </c>
      <c r="C291" s="15">
        <v>3</v>
      </c>
      <c r="D291" s="5" t="s">
        <v>201</v>
      </c>
      <c r="E291" s="23">
        <v>620</v>
      </c>
      <c r="F291" s="23" t="s">
        <v>126</v>
      </c>
      <c r="G291" s="24">
        <v>330.47</v>
      </c>
      <c r="H291" s="24">
        <v>284.52</v>
      </c>
      <c r="I291" s="24">
        <v>284</v>
      </c>
      <c r="J291" s="24">
        <v>285</v>
      </c>
      <c r="K291" s="24">
        <v>285</v>
      </c>
      <c r="L291" s="24"/>
      <c r="M291" s="24"/>
      <c r="N291" s="24"/>
      <c r="O291" s="24"/>
      <c r="P291" s="24">
        <f>K291+SUM(L291:O291)</f>
        <v>285</v>
      </c>
      <c r="Q291" s="24">
        <v>71.13</v>
      </c>
      <c r="R291" s="25">
        <f t="shared" si="171"/>
        <v>0.24957894736842104</v>
      </c>
      <c r="S291" s="24">
        <v>142.26</v>
      </c>
      <c r="T291" s="25">
        <f t="shared" si="172"/>
        <v>0.49915789473684208</v>
      </c>
      <c r="U291" s="24">
        <v>213.39</v>
      </c>
      <c r="V291" s="25">
        <f t="shared" si="173"/>
        <v>0.74873684210526315</v>
      </c>
      <c r="W291" s="24">
        <v>284.52</v>
      </c>
      <c r="X291" s="25">
        <f t="shared" si="174"/>
        <v>0.99831578947368416</v>
      </c>
      <c r="Y291" s="24">
        <f>K291</f>
        <v>285</v>
      </c>
      <c r="Z291" s="24">
        <f>Y291</f>
        <v>285</v>
      </c>
    </row>
    <row r="292" spans="1:26" ht="13.9" customHeight="1" x14ac:dyDescent="0.25">
      <c r="A292" s="15">
        <v>5</v>
      </c>
      <c r="B292" s="15">
        <v>1</v>
      </c>
      <c r="C292" s="15">
        <v>3</v>
      </c>
      <c r="D292" s="5"/>
      <c r="E292" s="23">
        <v>630</v>
      </c>
      <c r="F292" s="23" t="s">
        <v>127</v>
      </c>
      <c r="G292" s="24">
        <v>13690.99</v>
      </c>
      <c r="H292" s="24">
        <v>18451.14</v>
      </c>
      <c r="I292" s="24">
        <v>36616</v>
      </c>
      <c r="J292" s="24">
        <v>24191</v>
      </c>
      <c r="K292" s="24">
        <v>28918</v>
      </c>
      <c r="L292" s="24"/>
      <c r="M292" s="24">
        <v>-14391</v>
      </c>
      <c r="N292" s="24"/>
      <c r="O292" s="24">
        <v>-8052</v>
      </c>
      <c r="P292" s="24">
        <f>K292+SUM(L292:O292)</f>
        <v>6475</v>
      </c>
      <c r="Q292" s="24">
        <v>4100.0600000000004</v>
      </c>
      <c r="R292" s="25">
        <f t="shared" si="171"/>
        <v>0.63321389961389962</v>
      </c>
      <c r="S292" s="24">
        <v>7410.77</v>
      </c>
      <c r="T292" s="25">
        <f t="shared" si="172"/>
        <v>1.1445204633204633</v>
      </c>
      <c r="U292" s="24">
        <v>10648.53</v>
      </c>
      <c r="V292" s="25">
        <f t="shared" si="173"/>
        <v>1.6445606177606178</v>
      </c>
      <c r="W292" s="24">
        <v>6475.19</v>
      </c>
      <c r="X292" s="25">
        <f t="shared" si="174"/>
        <v>1.0000293436293435</v>
      </c>
      <c r="Y292" s="24">
        <f>K292</f>
        <v>28918</v>
      </c>
      <c r="Z292" s="24">
        <f>Y292</f>
        <v>28918</v>
      </c>
    </row>
    <row r="293" spans="1:26" ht="13.9" customHeight="1" x14ac:dyDescent="0.25">
      <c r="A293" s="15">
        <v>5</v>
      </c>
      <c r="B293" s="15">
        <v>1</v>
      </c>
      <c r="C293" s="15">
        <v>3</v>
      </c>
      <c r="D293" s="79" t="s">
        <v>21</v>
      </c>
      <c r="E293" s="48">
        <v>41</v>
      </c>
      <c r="F293" s="48" t="s">
        <v>23</v>
      </c>
      <c r="G293" s="49">
        <f t="shared" ref="G293:Q293" si="176">SUM(G291:G292)</f>
        <v>14021.46</v>
      </c>
      <c r="H293" s="49">
        <f t="shared" si="176"/>
        <v>18735.66</v>
      </c>
      <c r="I293" s="49">
        <f t="shared" si="176"/>
        <v>36900</v>
      </c>
      <c r="J293" s="49">
        <f t="shared" si="176"/>
        <v>24476</v>
      </c>
      <c r="K293" s="49">
        <f t="shared" si="176"/>
        <v>29203</v>
      </c>
      <c r="L293" s="49">
        <f t="shared" si="176"/>
        <v>0</v>
      </c>
      <c r="M293" s="49">
        <f t="shared" si="176"/>
        <v>-14391</v>
      </c>
      <c r="N293" s="49">
        <f t="shared" si="176"/>
        <v>0</v>
      </c>
      <c r="O293" s="49">
        <f t="shared" si="176"/>
        <v>-8052</v>
      </c>
      <c r="P293" s="49">
        <f t="shared" si="176"/>
        <v>6760</v>
      </c>
      <c r="Q293" s="49">
        <f t="shared" si="176"/>
        <v>4171.1900000000005</v>
      </c>
      <c r="R293" s="50">
        <f t="shared" si="171"/>
        <v>0.61703994082840241</v>
      </c>
      <c r="S293" s="49">
        <f>SUM(S291:S292)</f>
        <v>7553.0300000000007</v>
      </c>
      <c r="T293" s="50">
        <f t="shared" si="172"/>
        <v>1.1173121301775149</v>
      </c>
      <c r="U293" s="49">
        <f>SUM(U291:U292)</f>
        <v>10861.92</v>
      </c>
      <c r="V293" s="50">
        <f t="shared" si="173"/>
        <v>1.6067928994082841</v>
      </c>
      <c r="W293" s="49">
        <f>SUM(W291:W292)</f>
        <v>6759.7099999999991</v>
      </c>
      <c r="X293" s="50">
        <f t="shared" si="174"/>
        <v>0.99995710059171583</v>
      </c>
      <c r="Y293" s="49">
        <f>SUM(Y291:Y292)</f>
        <v>29203</v>
      </c>
      <c r="Z293" s="49">
        <f>SUM(Z291:Z292)</f>
        <v>29203</v>
      </c>
    </row>
    <row r="294" spans="1:26" ht="13.9" customHeight="1" x14ac:dyDescent="0.25">
      <c r="A294" s="15">
        <v>5</v>
      </c>
      <c r="B294" s="15">
        <v>1</v>
      </c>
      <c r="C294" s="15">
        <v>3</v>
      </c>
      <c r="D294" s="86"/>
      <c r="E294" s="87"/>
      <c r="F294" s="26" t="s">
        <v>120</v>
      </c>
      <c r="G294" s="27">
        <f t="shared" ref="G294:Q294" si="177">G290+G293</f>
        <v>14021.46</v>
      </c>
      <c r="H294" s="27">
        <f t="shared" si="177"/>
        <v>18735.66</v>
      </c>
      <c r="I294" s="27">
        <f t="shared" si="177"/>
        <v>36900</v>
      </c>
      <c r="J294" s="27">
        <f t="shared" si="177"/>
        <v>29202</v>
      </c>
      <c r="K294" s="27">
        <f t="shared" si="177"/>
        <v>29203</v>
      </c>
      <c r="L294" s="27">
        <f t="shared" si="177"/>
        <v>0</v>
      </c>
      <c r="M294" s="27">
        <f t="shared" si="177"/>
        <v>-14391</v>
      </c>
      <c r="N294" s="27">
        <f t="shared" si="177"/>
        <v>0</v>
      </c>
      <c r="O294" s="27">
        <f t="shared" si="177"/>
        <v>3008</v>
      </c>
      <c r="P294" s="27">
        <f t="shared" si="177"/>
        <v>17820</v>
      </c>
      <c r="Q294" s="27">
        <f t="shared" si="177"/>
        <v>4171.1900000000005</v>
      </c>
      <c r="R294" s="28">
        <f t="shared" si="171"/>
        <v>0.23407351290684628</v>
      </c>
      <c r="S294" s="27">
        <f>S290+S293</f>
        <v>7553.0300000000007</v>
      </c>
      <c r="T294" s="28">
        <f t="shared" si="172"/>
        <v>0.42385129068462407</v>
      </c>
      <c r="U294" s="27">
        <f>U290+U293</f>
        <v>10861.92</v>
      </c>
      <c r="V294" s="28">
        <f t="shared" si="173"/>
        <v>0.60953535353535349</v>
      </c>
      <c r="W294" s="27">
        <f>W290+W293</f>
        <v>17819.839999999997</v>
      </c>
      <c r="X294" s="28">
        <f t="shared" si="174"/>
        <v>0.99999102132435447</v>
      </c>
      <c r="Y294" s="27">
        <f>Y290+Y293</f>
        <v>29203</v>
      </c>
      <c r="Z294" s="27">
        <f>Z290+Z293</f>
        <v>29203</v>
      </c>
    </row>
    <row r="296" spans="1:26" ht="13.9" customHeight="1" x14ac:dyDescent="0.25">
      <c r="E296" s="52" t="s">
        <v>55</v>
      </c>
      <c r="F296" s="30" t="s">
        <v>143</v>
      </c>
      <c r="G296" s="53">
        <v>9702</v>
      </c>
      <c r="H296" s="53">
        <v>13134</v>
      </c>
      <c r="I296" s="53">
        <v>29270</v>
      </c>
      <c r="J296" s="53">
        <v>24807</v>
      </c>
      <c r="K296" s="53">
        <v>24772</v>
      </c>
      <c r="L296" s="53"/>
      <c r="M296" s="53">
        <v>-14391</v>
      </c>
      <c r="N296" s="53"/>
      <c r="O296" s="53">
        <v>679</v>
      </c>
      <c r="P296" s="53">
        <f>K296+SUM(L296:O296)</f>
        <v>11060</v>
      </c>
      <c r="Q296" s="53">
        <v>2967.19</v>
      </c>
      <c r="R296" s="54">
        <f>IFERROR(Q296/$P296,0)</f>
        <v>0.26828119349005425</v>
      </c>
      <c r="S296" s="53">
        <v>5338.42</v>
      </c>
      <c r="T296" s="54">
        <f>IFERROR(S296/$P296,0)</f>
        <v>0.48267811934900545</v>
      </c>
      <c r="U296" s="53">
        <v>7636.7</v>
      </c>
      <c r="V296" s="54">
        <f>IFERROR(U296/$P296,0)</f>
        <v>0.69047920433996379</v>
      </c>
      <c r="W296" s="53">
        <v>11060.13</v>
      </c>
      <c r="X296" s="55">
        <f>IFERROR(W296/$P296,0)</f>
        <v>1.0000117540687161</v>
      </c>
      <c r="Y296" s="53">
        <f>K296</f>
        <v>24772</v>
      </c>
      <c r="Z296" s="56">
        <f>Y296</f>
        <v>24772</v>
      </c>
    </row>
    <row r="297" spans="1:26" ht="13.9" customHeight="1" x14ac:dyDescent="0.25">
      <c r="E297" s="65"/>
      <c r="F297" s="94" t="s">
        <v>202</v>
      </c>
      <c r="G297" s="67">
        <v>4131.6000000000004</v>
      </c>
      <c r="H297" s="67">
        <v>4042.44</v>
      </c>
      <c r="I297" s="67">
        <v>4042</v>
      </c>
      <c r="J297" s="67">
        <v>4043</v>
      </c>
      <c r="K297" s="67">
        <v>4043</v>
      </c>
      <c r="L297" s="67"/>
      <c r="M297" s="67"/>
      <c r="N297" s="67"/>
      <c r="O297" s="67"/>
      <c r="P297" s="67">
        <f>K297+SUM(L297:O297)</f>
        <v>4043</v>
      </c>
      <c r="Q297" s="67">
        <v>1010.61</v>
      </c>
      <c r="R297" s="68">
        <f>IFERROR(Q297/$P297,0)</f>
        <v>0.24996537224833046</v>
      </c>
      <c r="S297" s="67">
        <v>2021.22</v>
      </c>
      <c r="T297" s="68">
        <f>IFERROR(S297/$P297,0)</f>
        <v>0.49993074449666092</v>
      </c>
      <c r="U297" s="67">
        <v>3031.83</v>
      </c>
      <c r="V297" s="68">
        <f>IFERROR(U297/$P297,0)</f>
        <v>0.74989611674499135</v>
      </c>
      <c r="W297" s="67">
        <v>4042.44</v>
      </c>
      <c r="X297" s="69">
        <f>IFERROR(W297/$P297,0)</f>
        <v>0.99986148899332183</v>
      </c>
      <c r="Y297" s="67">
        <f>K297</f>
        <v>4043</v>
      </c>
      <c r="Z297" s="70">
        <f>Y297</f>
        <v>4043</v>
      </c>
    </row>
    <row r="299" spans="1:26" ht="13.9" customHeight="1" x14ac:dyDescent="0.25">
      <c r="D299" s="73" t="s">
        <v>203</v>
      </c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4"/>
      <c r="S299" s="73"/>
      <c r="T299" s="74"/>
      <c r="U299" s="73"/>
      <c r="V299" s="74"/>
      <c r="W299" s="73"/>
      <c r="X299" s="74"/>
      <c r="Y299" s="73"/>
      <c r="Z299" s="73"/>
    </row>
    <row r="300" spans="1:26" ht="13.9" customHeight="1" x14ac:dyDescent="0.25">
      <c r="D300" s="21" t="s">
        <v>32</v>
      </c>
      <c r="E300" s="21" t="s">
        <v>33</v>
      </c>
      <c r="F300" s="21" t="s">
        <v>34</v>
      </c>
      <c r="G300" s="21" t="s">
        <v>1</v>
      </c>
      <c r="H300" s="21" t="s">
        <v>2</v>
      </c>
      <c r="I300" s="21" t="s">
        <v>3</v>
      </c>
      <c r="J300" s="21" t="s">
        <v>4</v>
      </c>
      <c r="K300" s="21" t="s">
        <v>5</v>
      </c>
      <c r="L300" s="21" t="s">
        <v>6</v>
      </c>
      <c r="M300" s="21" t="s">
        <v>7</v>
      </c>
      <c r="N300" s="21" t="s">
        <v>8</v>
      </c>
      <c r="O300" s="21" t="s">
        <v>9</v>
      </c>
      <c r="P300" s="21" t="s">
        <v>10</v>
      </c>
      <c r="Q300" s="21" t="s">
        <v>11</v>
      </c>
      <c r="R300" s="22" t="s">
        <v>12</v>
      </c>
      <c r="S300" s="21" t="s">
        <v>13</v>
      </c>
      <c r="T300" s="22" t="s">
        <v>14</v>
      </c>
      <c r="U300" s="21" t="s">
        <v>15</v>
      </c>
      <c r="V300" s="22" t="s">
        <v>16</v>
      </c>
      <c r="W300" s="21" t="s">
        <v>17</v>
      </c>
      <c r="X300" s="22" t="s">
        <v>18</v>
      </c>
      <c r="Y300" s="21" t="s">
        <v>19</v>
      </c>
      <c r="Z300" s="21" t="s">
        <v>20</v>
      </c>
    </row>
    <row r="301" spans="1:26" ht="13.9" customHeight="1" x14ac:dyDescent="0.25">
      <c r="A301" s="15">
        <v>5</v>
      </c>
      <c r="B301" s="15">
        <v>1</v>
      </c>
      <c r="C301" s="15">
        <v>4</v>
      </c>
      <c r="D301" s="84" t="s">
        <v>204</v>
      </c>
      <c r="E301" s="23">
        <v>630</v>
      </c>
      <c r="F301" s="23" t="s">
        <v>127</v>
      </c>
      <c r="G301" s="24">
        <v>1246.72</v>
      </c>
      <c r="H301" s="24">
        <v>26.62</v>
      </c>
      <c r="I301" s="24">
        <v>387</v>
      </c>
      <c r="J301" s="24">
        <v>773</v>
      </c>
      <c r="K301" s="24">
        <v>800</v>
      </c>
      <c r="L301" s="24"/>
      <c r="M301" s="24">
        <v>468</v>
      </c>
      <c r="N301" s="24">
        <v>1095</v>
      </c>
      <c r="O301" s="24"/>
      <c r="P301" s="24">
        <f>K301+SUM(L301:O301)</f>
        <v>2363</v>
      </c>
      <c r="Q301" s="24">
        <v>360</v>
      </c>
      <c r="R301" s="25">
        <f>IFERROR(Q301/$P301,0)</f>
        <v>0.1523487092678798</v>
      </c>
      <c r="S301" s="24">
        <v>864</v>
      </c>
      <c r="T301" s="25">
        <f>IFERROR(S301/$P301,0)</f>
        <v>0.36563690224291157</v>
      </c>
      <c r="U301" s="24">
        <v>1958.5</v>
      </c>
      <c r="V301" s="25">
        <f>IFERROR(U301/$P301,0)</f>
        <v>0.82881929750317396</v>
      </c>
      <c r="W301" s="24">
        <v>1975.22</v>
      </c>
      <c r="X301" s="25">
        <f>IFERROR(W301/$P301,0)</f>
        <v>0.83589504866694886</v>
      </c>
      <c r="Y301" s="24">
        <f>K301</f>
        <v>800</v>
      </c>
      <c r="Z301" s="24">
        <f>Y301</f>
        <v>800</v>
      </c>
    </row>
    <row r="302" spans="1:26" ht="13.9" customHeight="1" x14ac:dyDescent="0.25">
      <c r="A302" s="15">
        <v>5</v>
      </c>
      <c r="B302" s="15">
        <v>1</v>
      </c>
      <c r="C302" s="15">
        <v>4</v>
      </c>
      <c r="D302" s="79" t="s">
        <v>21</v>
      </c>
      <c r="E302" s="48">
        <v>41</v>
      </c>
      <c r="F302" s="48" t="s">
        <v>23</v>
      </c>
      <c r="G302" s="49">
        <f t="shared" ref="G302:Q302" si="178">SUM(G301:G301)</f>
        <v>1246.72</v>
      </c>
      <c r="H302" s="49">
        <f t="shared" si="178"/>
        <v>26.62</v>
      </c>
      <c r="I302" s="49">
        <f t="shared" si="178"/>
        <v>387</v>
      </c>
      <c r="J302" s="49">
        <f t="shared" si="178"/>
        <v>773</v>
      </c>
      <c r="K302" s="49">
        <f t="shared" si="178"/>
        <v>800</v>
      </c>
      <c r="L302" s="49">
        <f t="shared" si="178"/>
        <v>0</v>
      </c>
      <c r="M302" s="49">
        <f t="shared" si="178"/>
        <v>468</v>
      </c>
      <c r="N302" s="49">
        <f t="shared" si="178"/>
        <v>1095</v>
      </c>
      <c r="O302" s="49">
        <f t="shared" si="178"/>
        <v>0</v>
      </c>
      <c r="P302" s="49">
        <f t="shared" si="178"/>
        <v>2363</v>
      </c>
      <c r="Q302" s="49">
        <f t="shared" si="178"/>
        <v>360</v>
      </c>
      <c r="R302" s="50">
        <f>IFERROR(Q302/$P302,0)</f>
        <v>0.1523487092678798</v>
      </c>
      <c r="S302" s="49">
        <f>SUM(S301:S301)</f>
        <v>864</v>
      </c>
      <c r="T302" s="50">
        <f>IFERROR(S302/$P302,0)</f>
        <v>0.36563690224291157</v>
      </c>
      <c r="U302" s="49">
        <f>SUM(U301:U301)</f>
        <v>1958.5</v>
      </c>
      <c r="V302" s="50">
        <f>IFERROR(U302/$P302,0)</f>
        <v>0.82881929750317396</v>
      </c>
      <c r="W302" s="49">
        <f>SUM(W301:W301)</f>
        <v>1975.22</v>
      </c>
      <c r="X302" s="50">
        <f>IFERROR(W302/$P302,0)</f>
        <v>0.83589504866694886</v>
      </c>
      <c r="Y302" s="49">
        <f>SUM(Y301:Y301)</f>
        <v>800</v>
      </c>
      <c r="Z302" s="49">
        <f>SUM(Z301:Z301)</f>
        <v>800</v>
      </c>
    </row>
    <row r="303" spans="1:26" ht="13.9" customHeight="1" x14ac:dyDescent="0.25">
      <c r="A303" s="15">
        <v>5</v>
      </c>
      <c r="B303" s="15">
        <v>1</v>
      </c>
      <c r="C303" s="15">
        <v>4</v>
      </c>
      <c r="D303" s="86"/>
      <c r="E303" s="87"/>
      <c r="F303" s="26" t="s">
        <v>120</v>
      </c>
      <c r="G303" s="27">
        <f t="shared" ref="G303:Q303" si="179">G302</f>
        <v>1246.72</v>
      </c>
      <c r="H303" s="27">
        <f t="shared" si="179"/>
        <v>26.62</v>
      </c>
      <c r="I303" s="27">
        <f t="shared" si="179"/>
        <v>387</v>
      </c>
      <c r="J303" s="27">
        <f t="shared" si="179"/>
        <v>773</v>
      </c>
      <c r="K303" s="27">
        <f t="shared" si="179"/>
        <v>800</v>
      </c>
      <c r="L303" s="27">
        <f t="shared" si="179"/>
        <v>0</v>
      </c>
      <c r="M303" s="27">
        <f t="shared" si="179"/>
        <v>468</v>
      </c>
      <c r="N303" s="27">
        <f t="shared" si="179"/>
        <v>1095</v>
      </c>
      <c r="O303" s="27">
        <f t="shared" si="179"/>
        <v>0</v>
      </c>
      <c r="P303" s="27">
        <f t="shared" si="179"/>
        <v>2363</v>
      </c>
      <c r="Q303" s="27">
        <f t="shared" si="179"/>
        <v>360</v>
      </c>
      <c r="R303" s="28">
        <f>IFERROR(Q303/$P303,0)</f>
        <v>0.1523487092678798</v>
      </c>
      <c r="S303" s="27">
        <f>S302</f>
        <v>864</v>
      </c>
      <c r="T303" s="28">
        <f>IFERROR(S303/$P303,0)</f>
        <v>0.36563690224291157</v>
      </c>
      <c r="U303" s="27">
        <f>U302</f>
        <v>1958.5</v>
      </c>
      <c r="V303" s="28">
        <f>IFERROR(U303/$P303,0)</f>
        <v>0.82881929750317396</v>
      </c>
      <c r="W303" s="27">
        <f>W302</f>
        <v>1975.22</v>
      </c>
      <c r="X303" s="28">
        <f>IFERROR(W303/$P303,0)</f>
        <v>0.83589504866694886</v>
      </c>
      <c r="Y303" s="27">
        <f>Y302</f>
        <v>800</v>
      </c>
      <c r="Z303" s="27">
        <f>Z302</f>
        <v>800</v>
      </c>
    </row>
    <row r="305" spans="1:26" ht="13.9" customHeight="1" x14ac:dyDescent="0.25">
      <c r="D305" s="41" t="s">
        <v>205</v>
      </c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2"/>
      <c r="S305" s="41"/>
      <c r="T305" s="42"/>
      <c r="U305" s="41"/>
      <c r="V305" s="42"/>
      <c r="W305" s="41"/>
      <c r="X305" s="42"/>
      <c r="Y305" s="41"/>
      <c r="Z305" s="41"/>
    </row>
    <row r="306" spans="1:26" ht="13.9" customHeight="1" x14ac:dyDescent="0.25">
      <c r="D306" s="121"/>
      <c r="E306" s="121"/>
      <c r="F306" s="121"/>
      <c r="G306" s="21" t="s">
        <v>1</v>
      </c>
      <c r="H306" s="21" t="s">
        <v>2</v>
      </c>
      <c r="I306" s="21" t="s">
        <v>3</v>
      </c>
      <c r="J306" s="21" t="s">
        <v>4</v>
      </c>
      <c r="K306" s="21" t="s">
        <v>5</v>
      </c>
      <c r="L306" s="21" t="s">
        <v>6</v>
      </c>
      <c r="M306" s="21" t="s">
        <v>7</v>
      </c>
      <c r="N306" s="21" t="s">
        <v>8</v>
      </c>
      <c r="O306" s="21" t="s">
        <v>9</v>
      </c>
      <c r="P306" s="21" t="s">
        <v>10</v>
      </c>
      <c r="Q306" s="21" t="s">
        <v>11</v>
      </c>
      <c r="R306" s="22" t="s">
        <v>12</v>
      </c>
      <c r="S306" s="21" t="s">
        <v>13</v>
      </c>
      <c r="T306" s="22" t="s">
        <v>14</v>
      </c>
      <c r="U306" s="21" t="s">
        <v>15</v>
      </c>
      <c r="V306" s="22" t="s">
        <v>16</v>
      </c>
      <c r="W306" s="21" t="s">
        <v>17</v>
      </c>
      <c r="X306" s="22" t="s">
        <v>18</v>
      </c>
      <c r="Y306" s="21" t="s">
        <v>19</v>
      </c>
      <c r="Z306" s="21" t="s">
        <v>20</v>
      </c>
    </row>
    <row r="307" spans="1:26" ht="13.9" customHeight="1" x14ac:dyDescent="0.25">
      <c r="A307" s="15">
        <v>5</v>
      </c>
      <c r="B307" s="15">
        <v>2</v>
      </c>
      <c r="D307" s="14" t="s">
        <v>21</v>
      </c>
      <c r="E307" s="128" t="s">
        <v>206</v>
      </c>
      <c r="F307" s="23" t="s">
        <v>45</v>
      </c>
      <c r="G307" s="24">
        <f t="shared" ref="G307:Q307" si="180">G327+G340</f>
        <v>0</v>
      </c>
      <c r="H307" s="24">
        <f t="shared" si="180"/>
        <v>8290.2900000000009</v>
      </c>
      <c r="I307" s="24">
        <f t="shared" si="180"/>
        <v>0</v>
      </c>
      <c r="J307" s="24">
        <f t="shared" si="180"/>
        <v>660</v>
      </c>
      <c r="K307" s="24">
        <f t="shared" si="180"/>
        <v>0</v>
      </c>
      <c r="L307" s="24">
        <f t="shared" si="180"/>
        <v>4037</v>
      </c>
      <c r="M307" s="24">
        <f t="shared" si="180"/>
        <v>0</v>
      </c>
      <c r="N307" s="24">
        <f t="shared" si="180"/>
        <v>450</v>
      </c>
      <c r="O307" s="24">
        <f t="shared" si="180"/>
        <v>0</v>
      </c>
      <c r="P307" s="24">
        <f t="shared" si="180"/>
        <v>4487</v>
      </c>
      <c r="Q307" s="24">
        <f t="shared" si="180"/>
        <v>4036.38</v>
      </c>
      <c r="R307" s="25">
        <f>IFERROR(Q307/$P307,0)</f>
        <v>0.89957209716960107</v>
      </c>
      <c r="S307" s="24">
        <f>S327+S340</f>
        <v>4036.38</v>
      </c>
      <c r="T307" s="25">
        <f>IFERROR(S307/$P307,0)</f>
        <v>0.89957209716960107</v>
      </c>
      <c r="U307" s="24">
        <f>U327+U340</f>
        <v>4036.38</v>
      </c>
      <c r="V307" s="25">
        <f>IFERROR(U307/$P307,0)</f>
        <v>0.89957209716960107</v>
      </c>
      <c r="W307" s="24">
        <f>W327+W340</f>
        <v>4036.38</v>
      </c>
      <c r="X307" s="25">
        <f>IFERROR(W307/$P307,0)</f>
        <v>0.89957209716960107</v>
      </c>
      <c r="Y307" s="24">
        <f>Y327+Y340</f>
        <v>0</v>
      </c>
      <c r="Z307" s="24">
        <f>Z327+Z340</f>
        <v>0</v>
      </c>
    </row>
    <row r="308" spans="1:26" ht="13.9" customHeight="1" x14ac:dyDescent="0.25">
      <c r="A308" s="15">
        <v>5</v>
      </c>
      <c r="B308" s="15">
        <v>2</v>
      </c>
      <c r="D308" s="14" t="s">
        <v>21</v>
      </c>
      <c r="E308" s="23">
        <v>41</v>
      </c>
      <c r="F308" s="23" t="s">
        <v>23</v>
      </c>
      <c r="G308" s="24">
        <f t="shared" ref="G308:Q308" si="181">G316+G329+G344</f>
        <v>15629.32</v>
      </c>
      <c r="H308" s="24">
        <f t="shared" si="181"/>
        <v>23233.62</v>
      </c>
      <c r="I308" s="24">
        <f t="shared" si="181"/>
        <v>18167</v>
      </c>
      <c r="J308" s="24">
        <f t="shared" si="181"/>
        <v>10554</v>
      </c>
      <c r="K308" s="24">
        <f t="shared" si="181"/>
        <v>17525</v>
      </c>
      <c r="L308" s="24">
        <f t="shared" si="181"/>
        <v>121</v>
      </c>
      <c r="M308" s="24">
        <f t="shared" si="181"/>
        <v>3529</v>
      </c>
      <c r="N308" s="24">
        <f t="shared" si="181"/>
        <v>0</v>
      </c>
      <c r="O308" s="24">
        <f t="shared" si="181"/>
        <v>-3990</v>
      </c>
      <c r="P308" s="24">
        <f t="shared" si="181"/>
        <v>17185</v>
      </c>
      <c r="Q308" s="24">
        <f t="shared" si="181"/>
        <v>4295.4699999999993</v>
      </c>
      <c r="R308" s="25">
        <f>IFERROR(Q308/$P308,0)</f>
        <v>0.24995461157986612</v>
      </c>
      <c r="S308" s="24">
        <f>S316+S329+S344</f>
        <v>7146.6400000000012</v>
      </c>
      <c r="T308" s="25">
        <f>IFERROR(S308/$P308,0)</f>
        <v>0.415864998545243</v>
      </c>
      <c r="U308" s="24">
        <f>U316+U329+U344</f>
        <v>9467.6899999999987</v>
      </c>
      <c r="V308" s="25">
        <f>IFERROR(U308/$P308,0)</f>
        <v>0.55092755309863251</v>
      </c>
      <c r="W308" s="24">
        <f>W316+W329+W344</f>
        <v>13251.599999999999</v>
      </c>
      <c r="X308" s="25">
        <f>IFERROR(W308/$P308,0)</f>
        <v>0.7711143439045679</v>
      </c>
      <c r="Y308" s="24">
        <f>Y316+Y329+Y344</f>
        <v>18137</v>
      </c>
      <c r="Z308" s="24">
        <f>Z316+Z329+Z344</f>
        <v>18810</v>
      </c>
    </row>
    <row r="309" spans="1:26" ht="13.9" hidden="1" customHeight="1" x14ac:dyDescent="0.25">
      <c r="A309" s="15">
        <v>5</v>
      </c>
      <c r="B309" s="15">
        <v>2</v>
      </c>
      <c r="D309" s="14" t="s">
        <v>21</v>
      </c>
      <c r="E309" s="23">
        <v>72</v>
      </c>
      <c r="F309" s="23" t="s">
        <v>25</v>
      </c>
      <c r="G309" s="24">
        <f t="shared" ref="G309:Q309" si="182">G346</f>
        <v>0</v>
      </c>
      <c r="H309" s="24">
        <f t="shared" si="182"/>
        <v>138.36000000000001</v>
      </c>
      <c r="I309" s="24">
        <f t="shared" si="182"/>
        <v>0</v>
      </c>
      <c r="J309" s="24">
        <f t="shared" si="182"/>
        <v>0</v>
      </c>
      <c r="K309" s="24">
        <f t="shared" si="182"/>
        <v>0</v>
      </c>
      <c r="L309" s="24">
        <f t="shared" si="182"/>
        <v>0</v>
      </c>
      <c r="M309" s="24">
        <f t="shared" si="182"/>
        <v>0</v>
      </c>
      <c r="N309" s="24">
        <f t="shared" si="182"/>
        <v>0</v>
      </c>
      <c r="O309" s="24">
        <f t="shared" si="182"/>
        <v>0</v>
      </c>
      <c r="P309" s="24">
        <f t="shared" si="182"/>
        <v>0</v>
      </c>
      <c r="Q309" s="24">
        <f t="shared" si="182"/>
        <v>0</v>
      </c>
      <c r="R309" s="25">
        <f>IFERROR(Q309/$P309,0)</f>
        <v>0</v>
      </c>
      <c r="S309" s="24">
        <f>S346</f>
        <v>0</v>
      </c>
      <c r="T309" s="25">
        <f>IFERROR(S309/$P309,0)</f>
        <v>0</v>
      </c>
      <c r="U309" s="24">
        <f>U346</f>
        <v>0</v>
      </c>
      <c r="V309" s="25">
        <f>IFERROR(U309/$P309,0)</f>
        <v>0</v>
      </c>
      <c r="W309" s="24">
        <f>W346</f>
        <v>0</v>
      </c>
      <c r="X309" s="25">
        <f>IFERROR(W309/$P309,0)</f>
        <v>0</v>
      </c>
      <c r="Y309" s="24">
        <f>Y346</f>
        <v>0</v>
      </c>
      <c r="Z309" s="24">
        <f>Z346</f>
        <v>0</v>
      </c>
    </row>
    <row r="310" spans="1:26" ht="13.9" customHeight="1" x14ac:dyDescent="0.25">
      <c r="A310" s="15">
        <v>5</v>
      </c>
      <c r="B310" s="15">
        <v>2</v>
      </c>
      <c r="D310" s="30"/>
      <c r="E310" s="31"/>
      <c r="F310" s="26" t="s">
        <v>120</v>
      </c>
      <c r="G310" s="27">
        <f t="shared" ref="G310:Q310" si="183">SUM(G307:G309)</f>
        <v>15629.32</v>
      </c>
      <c r="H310" s="27">
        <f t="shared" si="183"/>
        <v>31662.27</v>
      </c>
      <c r="I310" s="27">
        <f t="shared" si="183"/>
        <v>18167</v>
      </c>
      <c r="J310" s="27">
        <f t="shared" si="183"/>
        <v>11214</v>
      </c>
      <c r="K310" s="27">
        <f t="shared" si="183"/>
        <v>17525</v>
      </c>
      <c r="L310" s="27">
        <f t="shared" si="183"/>
        <v>4158</v>
      </c>
      <c r="M310" s="27">
        <f t="shared" si="183"/>
        <v>3529</v>
      </c>
      <c r="N310" s="27">
        <f t="shared" si="183"/>
        <v>450</v>
      </c>
      <c r="O310" s="27">
        <f t="shared" si="183"/>
        <v>-3990</v>
      </c>
      <c r="P310" s="27">
        <f t="shared" si="183"/>
        <v>21672</v>
      </c>
      <c r="Q310" s="27">
        <f t="shared" si="183"/>
        <v>8331.8499999999985</v>
      </c>
      <c r="R310" s="28">
        <f>IFERROR(Q310/$P310,0)</f>
        <v>0.38445228866740488</v>
      </c>
      <c r="S310" s="27">
        <f>SUM(S307:S309)</f>
        <v>11183.02</v>
      </c>
      <c r="T310" s="28">
        <f>IFERROR(S310/$P310,0)</f>
        <v>0.51601236618678481</v>
      </c>
      <c r="U310" s="27">
        <f>SUM(U307:U309)</f>
        <v>13504.07</v>
      </c>
      <c r="V310" s="28">
        <f>IFERROR(U310/$P310,0)</f>
        <v>0.62311138796603915</v>
      </c>
      <c r="W310" s="27">
        <f>SUM(W307:W309)</f>
        <v>17287.98</v>
      </c>
      <c r="X310" s="28">
        <f>IFERROR(W310/$P310,0)</f>
        <v>0.79771040974529339</v>
      </c>
      <c r="Y310" s="27">
        <f>SUM(Y307:Y309)</f>
        <v>18137</v>
      </c>
      <c r="Z310" s="27">
        <f>SUM(Z307:Z309)</f>
        <v>18810</v>
      </c>
    </row>
    <row r="312" spans="1:26" ht="13.9" customHeight="1" x14ac:dyDescent="0.25">
      <c r="D312" s="73" t="s">
        <v>207</v>
      </c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4"/>
      <c r="S312" s="73"/>
      <c r="T312" s="74"/>
      <c r="U312" s="73"/>
      <c r="V312" s="74"/>
      <c r="W312" s="73"/>
      <c r="X312" s="74"/>
      <c r="Y312" s="73"/>
      <c r="Z312" s="73"/>
    </row>
    <row r="313" spans="1:26" ht="13.9" customHeight="1" x14ac:dyDescent="0.25">
      <c r="D313" s="21" t="s">
        <v>32</v>
      </c>
      <c r="E313" s="21" t="s">
        <v>33</v>
      </c>
      <c r="F313" s="21" t="s">
        <v>34</v>
      </c>
      <c r="G313" s="21" t="s">
        <v>1</v>
      </c>
      <c r="H313" s="21" t="s">
        <v>2</v>
      </c>
      <c r="I313" s="21" t="s">
        <v>3</v>
      </c>
      <c r="J313" s="21" t="s">
        <v>4</v>
      </c>
      <c r="K313" s="21" t="s">
        <v>5</v>
      </c>
      <c r="L313" s="21" t="s">
        <v>6</v>
      </c>
      <c r="M313" s="21" t="s">
        <v>7</v>
      </c>
      <c r="N313" s="21" t="s">
        <v>8</v>
      </c>
      <c r="O313" s="21" t="s">
        <v>9</v>
      </c>
      <c r="P313" s="21" t="s">
        <v>10</v>
      </c>
      <c r="Q313" s="21" t="s">
        <v>11</v>
      </c>
      <c r="R313" s="22" t="s">
        <v>12</v>
      </c>
      <c r="S313" s="21" t="s">
        <v>13</v>
      </c>
      <c r="T313" s="22" t="s">
        <v>14</v>
      </c>
      <c r="U313" s="21" t="s">
        <v>15</v>
      </c>
      <c r="V313" s="22" t="s">
        <v>16</v>
      </c>
      <c r="W313" s="21" t="s">
        <v>17</v>
      </c>
      <c r="X313" s="22" t="s">
        <v>18</v>
      </c>
      <c r="Y313" s="21" t="s">
        <v>19</v>
      </c>
      <c r="Z313" s="21" t="s">
        <v>20</v>
      </c>
    </row>
    <row r="314" spans="1:26" ht="13.9" customHeight="1" x14ac:dyDescent="0.25">
      <c r="A314" s="15">
        <v>5</v>
      </c>
      <c r="B314" s="15">
        <v>2</v>
      </c>
      <c r="C314" s="15">
        <v>1</v>
      </c>
      <c r="D314" s="11" t="s">
        <v>208</v>
      </c>
      <c r="E314" s="23">
        <v>630</v>
      </c>
      <c r="F314" s="23" t="s">
        <v>127</v>
      </c>
      <c r="G314" s="24">
        <v>5979.45</v>
      </c>
      <c r="H314" s="24">
        <v>6704.29</v>
      </c>
      <c r="I314" s="24">
        <v>10250</v>
      </c>
      <c r="J314" s="24">
        <v>3876</v>
      </c>
      <c r="K314" s="24">
        <v>6900</v>
      </c>
      <c r="L314" s="24"/>
      <c r="M314" s="24">
        <v>301</v>
      </c>
      <c r="N314" s="24"/>
      <c r="O314" s="24"/>
      <c r="P314" s="24">
        <f>K314+SUM(L314:O314)</f>
        <v>7201</v>
      </c>
      <c r="Q314" s="24">
        <v>2313.54</v>
      </c>
      <c r="R314" s="25">
        <f>IFERROR(Q314/$P314,0)</f>
        <v>0.32128037772531592</v>
      </c>
      <c r="S314" s="24">
        <v>2329.54</v>
      </c>
      <c r="T314" s="25">
        <f>IFERROR(S314/$P314,0)</f>
        <v>0.32350229134842384</v>
      </c>
      <c r="U314" s="24">
        <v>2329.54</v>
      </c>
      <c r="V314" s="25">
        <f>IFERROR(U314/$P314,0)</f>
        <v>0.32350229134842384</v>
      </c>
      <c r="W314" s="24">
        <v>2881.54</v>
      </c>
      <c r="X314" s="25">
        <f>IFERROR(W314/$P314,0)</f>
        <v>0.40015831134564644</v>
      </c>
      <c r="Y314" s="24">
        <f>K314</f>
        <v>6900</v>
      </c>
      <c r="Z314" s="24">
        <f>Y314</f>
        <v>6900</v>
      </c>
    </row>
    <row r="315" spans="1:26" ht="13.9" customHeight="1" x14ac:dyDescent="0.25">
      <c r="D315" s="11"/>
      <c r="E315" s="23">
        <v>640</v>
      </c>
      <c r="F315" s="23" t="s">
        <v>128</v>
      </c>
      <c r="G315" s="24"/>
      <c r="H315" s="24"/>
      <c r="I315" s="24"/>
      <c r="J315" s="24"/>
      <c r="K315" s="24">
        <v>0</v>
      </c>
      <c r="L315" s="24"/>
      <c r="M315" s="24"/>
      <c r="N315" s="24"/>
      <c r="O315" s="24"/>
      <c r="P315" s="24">
        <f>K315+SUM(L315:O315)</f>
        <v>0</v>
      </c>
      <c r="Q315" s="24">
        <v>100</v>
      </c>
      <c r="R315" s="25">
        <f>IFERROR(Q315/$P315,0)</f>
        <v>0</v>
      </c>
      <c r="S315" s="24">
        <v>100</v>
      </c>
      <c r="T315" s="25">
        <f>IFERROR(S315/$P315,0)</f>
        <v>0</v>
      </c>
      <c r="U315" s="24">
        <v>100</v>
      </c>
      <c r="V315" s="25">
        <f>IFERROR(U315/$P315,0)</f>
        <v>0</v>
      </c>
      <c r="W315" s="24">
        <v>100</v>
      </c>
      <c r="X315" s="25">
        <f>IFERROR(W315/$P315,0)</f>
        <v>0</v>
      </c>
      <c r="Y315" s="24">
        <v>0</v>
      </c>
      <c r="Z315" s="24">
        <v>0</v>
      </c>
    </row>
    <row r="316" spans="1:26" ht="13.9" customHeight="1" x14ac:dyDescent="0.25">
      <c r="A316" s="15">
        <v>5</v>
      </c>
      <c r="B316" s="15">
        <v>2</v>
      </c>
      <c r="C316" s="15">
        <v>1</v>
      </c>
      <c r="D316" s="79" t="s">
        <v>21</v>
      </c>
      <c r="E316" s="48">
        <v>41</v>
      </c>
      <c r="F316" s="48" t="s">
        <v>23</v>
      </c>
      <c r="G316" s="49">
        <f t="shared" ref="G316:Q316" si="184">SUM(G314:G315)</f>
        <v>5979.45</v>
      </c>
      <c r="H316" s="49">
        <f t="shared" si="184"/>
        <v>6704.29</v>
      </c>
      <c r="I316" s="49">
        <f t="shared" si="184"/>
        <v>10250</v>
      </c>
      <c r="J316" s="49">
        <f t="shared" si="184"/>
        <v>3876</v>
      </c>
      <c r="K316" s="49">
        <f t="shared" si="184"/>
        <v>6900</v>
      </c>
      <c r="L316" s="49">
        <f t="shared" si="184"/>
        <v>0</v>
      </c>
      <c r="M316" s="49">
        <f t="shared" si="184"/>
        <v>301</v>
      </c>
      <c r="N316" s="49">
        <f t="shared" si="184"/>
        <v>0</v>
      </c>
      <c r="O316" s="49">
        <f t="shared" si="184"/>
        <v>0</v>
      </c>
      <c r="P316" s="49">
        <f t="shared" si="184"/>
        <v>7201</v>
      </c>
      <c r="Q316" s="49">
        <f t="shared" si="184"/>
        <v>2413.54</v>
      </c>
      <c r="R316" s="50">
        <f>IFERROR(Q316/$P316,0)</f>
        <v>0.33516733786974029</v>
      </c>
      <c r="S316" s="49">
        <f>SUM(S314:S315)</f>
        <v>2429.54</v>
      </c>
      <c r="T316" s="50">
        <f>IFERROR(S316/$P316,0)</f>
        <v>0.33738925149284821</v>
      </c>
      <c r="U316" s="49">
        <f>SUM(U314:U315)</f>
        <v>2429.54</v>
      </c>
      <c r="V316" s="50">
        <f>IFERROR(U316/$P316,0)</f>
        <v>0.33738925149284821</v>
      </c>
      <c r="W316" s="49">
        <f>SUM(W314:W315)</f>
        <v>2981.54</v>
      </c>
      <c r="X316" s="50">
        <f>IFERROR(W316/$P316,0)</f>
        <v>0.41404527149007081</v>
      </c>
      <c r="Y316" s="49">
        <f>SUM(Y314:Y315)</f>
        <v>6900</v>
      </c>
      <c r="Z316" s="49">
        <f>SUM(Z314:Z315)</f>
        <v>6900</v>
      </c>
    </row>
    <row r="317" spans="1:26" ht="13.9" customHeight="1" x14ac:dyDescent="0.25">
      <c r="A317" s="15">
        <v>5</v>
      </c>
      <c r="B317" s="15">
        <v>2</v>
      </c>
      <c r="C317" s="15">
        <v>1</v>
      </c>
      <c r="D317" s="86"/>
      <c r="E317" s="87"/>
      <c r="F317" s="26" t="s">
        <v>120</v>
      </c>
      <c r="G317" s="27">
        <f t="shared" ref="G317:Q317" si="185">G316</f>
        <v>5979.45</v>
      </c>
      <c r="H317" s="27">
        <f t="shared" si="185"/>
        <v>6704.29</v>
      </c>
      <c r="I317" s="27">
        <f t="shared" si="185"/>
        <v>10250</v>
      </c>
      <c r="J317" s="27">
        <f t="shared" si="185"/>
        <v>3876</v>
      </c>
      <c r="K317" s="27">
        <f t="shared" si="185"/>
        <v>6900</v>
      </c>
      <c r="L317" s="27">
        <f t="shared" si="185"/>
        <v>0</v>
      </c>
      <c r="M317" s="27">
        <f t="shared" si="185"/>
        <v>301</v>
      </c>
      <c r="N317" s="27">
        <f t="shared" si="185"/>
        <v>0</v>
      </c>
      <c r="O317" s="27">
        <f t="shared" si="185"/>
        <v>0</v>
      </c>
      <c r="P317" s="27">
        <f t="shared" si="185"/>
        <v>7201</v>
      </c>
      <c r="Q317" s="27">
        <f t="shared" si="185"/>
        <v>2413.54</v>
      </c>
      <c r="R317" s="28">
        <f>IFERROR(Q317/$P317,0)</f>
        <v>0.33516733786974029</v>
      </c>
      <c r="S317" s="27">
        <f>S316</f>
        <v>2429.54</v>
      </c>
      <c r="T317" s="28">
        <f>IFERROR(S317/$P317,0)</f>
        <v>0.33738925149284821</v>
      </c>
      <c r="U317" s="27">
        <f>U316</f>
        <v>2429.54</v>
      </c>
      <c r="V317" s="28">
        <f>IFERROR(U317/$P317,0)</f>
        <v>0.33738925149284821</v>
      </c>
      <c r="W317" s="27">
        <f>W316</f>
        <v>2981.54</v>
      </c>
      <c r="X317" s="28">
        <f>IFERROR(W317/$P317,0)</f>
        <v>0.41404527149007081</v>
      </c>
      <c r="Y317" s="27">
        <f>Y316</f>
        <v>6900</v>
      </c>
      <c r="Z317" s="27">
        <f>Z316</f>
        <v>6900</v>
      </c>
    </row>
    <row r="319" spans="1:26" ht="13.9" customHeight="1" x14ac:dyDescent="0.25">
      <c r="E319" s="115" t="s">
        <v>55</v>
      </c>
      <c r="F319" s="122" t="s">
        <v>209</v>
      </c>
      <c r="G319" s="123">
        <v>1309.3499999999999</v>
      </c>
      <c r="H319" s="123">
        <v>5867.2</v>
      </c>
      <c r="I319" s="123">
        <v>5900</v>
      </c>
      <c r="J319" s="123">
        <v>3414</v>
      </c>
      <c r="K319" s="123">
        <v>3400</v>
      </c>
      <c r="L319" s="123">
        <v>-137</v>
      </c>
      <c r="M319" s="123"/>
      <c r="N319" s="123"/>
      <c r="O319" s="123"/>
      <c r="P319" s="123">
        <f>K319+SUM(L319:O319)</f>
        <v>3263</v>
      </c>
      <c r="Q319" s="123">
        <v>375.66</v>
      </c>
      <c r="R319" s="124">
        <f>IFERROR(Q319/$P319,0)</f>
        <v>0.11512718357339873</v>
      </c>
      <c r="S319" s="123">
        <v>375.66</v>
      </c>
      <c r="T319" s="124">
        <f>IFERROR(S319/$P319,0)</f>
        <v>0.11512718357339873</v>
      </c>
      <c r="U319" s="123">
        <v>375.66</v>
      </c>
      <c r="V319" s="124">
        <f>IFERROR(U319/$P319,0)</f>
        <v>0.11512718357339873</v>
      </c>
      <c r="W319" s="123">
        <v>927.66</v>
      </c>
      <c r="X319" s="125">
        <f>IFERROR(W319/$P319,0)</f>
        <v>0.28429665951578303</v>
      </c>
      <c r="Y319" s="123">
        <f>K319</f>
        <v>3400</v>
      </c>
      <c r="Z319" s="126">
        <f>Y319</f>
        <v>3400</v>
      </c>
    </row>
    <row r="320" spans="1:26" ht="13.9" hidden="1" customHeight="1" x14ac:dyDescent="0.25">
      <c r="E320" s="57"/>
      <c r="F320" s="58" t="s">
        <v>210</v>
      </c>
      <c r="G320" s="59"/>
      <c r="H320" s="59">
        <v>200</v>
      </c>
      <c r="I320" s="59">
        <v>200</v>
      </c>
      <c r="J320" s="59">
        <v>462</v>
      </c>
      <c r="K320" s="59">
        <v>400</v>
      </c>
      <c r="L320" s="59"/>
      <c r="M320" s="59"/>
      <c r="N320" s="59"/>
      <c r="O320" s="59"/>
      <c r="P320" s="59">
        <f>K320+SUM(L320:O320)</f>
        <v>400</v>
      </c>
      <c r="Q320" s="59"/>
      <c r="R320" s="16">
        <f>IFERROR(Q320/$P320,0)</f>
        <v>0</v>
      </c>
      <c r="S320" s="59"/>
      <c r="T320" s="16">
        <f>IFERROR(S320/$P320,0)</f>
        <v>0</v>
      </c>
      <c r="U320" s="59"/>
      <c r="V320" s="16">
        <f>IFERROR(U320/$P320,0)</f>
        <v>0</v>
      </c>
      <c r="W320" s="59"/>
      <c r="X320" s="60">
        <f>IFERROR(W320/$P320,0)</f>
        <v>0</v>
      </c>
      <c r="Y320" s="59">
        <f>K320</f>
        <v>400</v>
      </c>
      <c r="Z320" s="61">
        <f>Y320</f>
        <v>400</v>
      </c>
    </row>
    <row r="321" spans="1:26" ht="13.9" hidden="1" customHeight="1" x14ac:dyDescent="0.25">
      <c r="E321" s="57"/>
      <c r="F321" s="58" t="s">
        <v>211</v>
      </c>
      <c r="G321" s="59">
        <v>4670.1000000000004</v>
      </c>
      <c r="H321" s="59">
        <v>288.60000000000002</v>
      </c>
      <c r="I321" s="59">
        <v>1800</v>
      </c>
      <c r="J321" s="59">
        <v>0</v>
      </c>
      <c r="K321" s="59">
        <v>1000</v>
      </c>
      <c r="L321" s="59"/>
      <c r="M321" s="59"/>
      <c r="N321" s="59"/>
      <c r="O321" s="59"/>
      <c r="P321" s="59">
        <f>K321+SUM(L321:O321)</f>
        <v>1000</v>
      </c>
      <c r="Q321" s="59"/>
      <c r="R321" s="16">
        <f>IFERROR(Q321/$P321,0)</f>
        <v>0</v>
      </c>
      <c r="S321" s="59"/>
      <c r="T321" s="16">
        <f>IFERROR(S321/$P321,0)</f>
        <v>0</v>
      </c>
      <c r="U321" s="59"/>
      <c r="V321" s="16">
        <f>IFERROR(U321/$P321,0)</f>
        <v>0</v>
      </c>
      <c r="W321" s="59"/>
      <c r="X321" s="60">
        <f>IFERROR(W321/$P321,0)</f>
        <v>0</v>
      </c>
      <c r="Y321" s="59">
        <f>K321</f>
        <v>1000</v>
      </c>
      <c r="Z321" s="61">
        <f>Y321</f>
        <v>1000</v>
      </c>
    </row>
    <row r="322" spans="1:26" ht="13.9" hidden="1" customHeight="1" x14ac:dyDescent="0.25">
      <c r="E322" s="65"/>
      <c r="F322" s="94" t="s">
        <v>212</v>
      </c>
      <c r="G322" s="67"/>
      <c r="H322" s="67">
        <v>348.49</v>
      </c>
      <c r="I322" s="67">
        <f>350+1500</f>
        <v>1850</v>
      </c>
      <c r="J322" s="67">
        <v>0</v>
      </c>
      <c r="K322" s="67">
        <v>1600</v>
      </c>
      <c r="L322" s="67"/>
      <c r="M322" s="67"/>
      <c r="N322" s="67"/>
      <c r="O322" s="67"/>
      <c r="P322" s="67">
        <f>K322+SUM(L322:O322)</f>
        <v>1600</v>
      </c>
      <c r="Q322" s="67"/>
      <c r="R322" s="68">
        <f>IFERROR(Q322/$P322,0)</f>
        <v>0</v>
      </c>
      <c r="S322" s="67"/>
      <c r="T322" s="68">
        <f>IFERROR(S322/$P322,0)</f>
        <v>0</v>
      </c>
      <c r="U322" s="67"/>
      <c r="V322" s="68">
        <f>IFERROR(U322/$P322,0)</f>
        <v>0</v>
      </c>
      <c r="W322" s="67"/>
      <c r="X322" s="69">
        <f>IFERROR(W322/$P322,0)</f>
        <v>0</v>
      </c>
      <c r="Y322" s="67">
        <f>K322</f>
        <v>1600</v>
      </c>
      <c r="Z322" s="70">
        <f>Y322</f>
        <v>1600</v>
      </c>
    </row>
    <row r="323" spans="1:26" ht="13.9" customHeight="1" x14ac:dyDescent="0.25"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S323" s="59"/>
      <c r="U323" s="59"/>
      <c r="W323" s="59"/>
      <c r="Y323" s="59"/>
      <c r="Z323" s="59"/>
    </row>
    <row r="324" spans="1:26" ht="13.9" customHeight="1" x14ac:dyDescent="0.25">
      <c r="D324" s="73" t="s">
        <v>213</v>
      </c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4"/>
      <c r="S324" s="73"/>
      <c r="T324" s="74"/>
      <c r="U324" s="73"/>
      <c r="V324" s="74"/>
      <c r="W324" s="73"/>
      <c r="X324" s="74"/>
      <c r="Y324" s="73"/>
      <c r="Z324" s="73"/>
    </row>
    <row r="325" spans="1:26" ht="13.9" customHeight="1" x14ac:dyDescent="0.25">
      <c r="D325" s="21" t="s">
        <v>32</v>
      </c>
      <c r="E325" s="21" t="s">
        <v>33</v>
      </c>
      <c r="F325" s="21" t="s">
        <v>34</v>
      </c>
      <c r="G325" s="21" t="s">
        <v>1</v>
      </c>
      <c r="H325" s="21" t="s">
        <v>2</v>
      </c>
      <c r="I325" s="21" t="s">
        <v>3</v>
      </c>
      <c r="J325" s="21" t="s">
        <v>4</v>
      </c>
      <c r="K325" s="21" t="s">
        <v>5</v>
      </c>
      <c r="L325" s="21" t="s">
        <v>6</v>
      </c>
      <c r="M325" s="21" t="s">
        <v>7</v>
      </c>
      <c r="N325" s="21" t="s">
        <v>8</v>
      </c>
      <c r="O325" s="21" t="s">
        <v>9</v>
      </c>
      <c r="P325" s="21" t="s">
        <v>10</v>
      </c>
      <c r="Q325" s="21" t="s">
        <v>11</v>
      </c>
      <c r="R325" s="22" t="s">
        <v>12</v>
      </c>
      <c r="S325" s="21" t="s">
        <v>13</v>
      </c>
      <c r="T325" s="22" t="s">
        <v>14</v>
      </c>
      <c r="U325" s="21" t="s">
        <v>15</v>
      </c>
      <c r="V325" s="22" t="s">
        <v>16</v>
      </c>
      <c r="W325" s="21" t="s">
        <v>17</v>
      </c>
      <c r="X325" s="22" t="s">
        <v>18</v>
      </c>
      <c r="Y325" s="21" t="s">
        <v>19</v>
      </c>
      <c r="Z325" s="21" t="s">
        <v>20</v>
      </c>
    </row>
    <row r="326" spans="1:26" ht="13.9" customHeight="1" x14ac:dyDescent="0.25">
      <c r="A326" s="15">
        <v>5</v>
      </c>
      <c r="B326" s="15">
        <v>2</v>
      </c>
      <c r="C326" s="15">
        <v>2</v>
      </c>
      <c r="D326" s="51" t="s">
        <v>214</v>
      </c>
      <c r="E326" s="23">
        <v>630</v>
      </c>
      <c r="F326" s="23" t="s">
        <v>127</v>
      </c>
      <c r="G326" s="24">
        <v>0</v>
      </c>
      <c r="H326" s="46">
        <v>0</v>
      </c>
      <c r="I326" s="24">
        <v>0</v>
      </c>
      <c r="J326" s="24">
        <v>660</v>
      </c>
      <c r="K326" s="24">
        <v>0</v>
      </c>
      <c r="L326" s="24">
        <v>4037</v>
      </c>
      <c r="M326" s="24"/>
      <c r="N326" s="24">
        <v>450</v>
      </c>
      <c r="O326" s="24"/>
      <c r="P326" s="46">
        <f>K326+SUM(L326:O326)</f>
        <v>4487</v>
      </c>
      <c r="Q326" s="46">
        <v>4036.38</v>
      </c>
      <c r="R326" s="47">
        <f>IFERROR(Q326/$P326,0)</f>
        <v>0.89957209716960107</v>
      </c>
      <c r="S326" s="46">
        <v>4036.38</v>
      </c>
      <c r="T326" s="47">
        <f>IFERROR(S326/$P326,0)</f>
        <v>0.89957209716960107</v>
      </c>
      <c r="U326" s="46">
        <v>4036.38</v>
      </c>
      <c r="V326" s="47">
        <f>IFERROR(U326/$P326,0)</f>
        <v>0.89957209716960107</v>
      </c>
      <c r="W326" s="46">
        <v>4036.38</v>
      </c>
      <c r="X326" s="47">
        <f>IFERROR(W326/$P326,0)</f>
        <v>0.89957209716960107</v>
      </c>
      <c r="Y326" s="24">
        <v>0</v>
      </c>
      <c r="Z326" s="24">
        <v>0</v>
      </c>
    </row>
    <row r="327" spans="1:26" ht="13.9" customHeight="1" x14ac:dyDescent="0.25">
      <c r="A327" s="15">
        <v>5</v>
      </c>
      <c r="B327" s="15">
        <v>2</v>
      </c>
      <c r="C327" s="15">
        <v>2</v>
      </c>
      <c r="D327" s="79" t="s">
        <v>21</v>
      </c>
      <c r="E327" s="48">
        <v>111</v>
      </c>
      <c r="F327" s="48" t="s">
        <v>23</v>
      </c>
      <c r="G327" s="49">
        <f t="shared" ref="G327:Q327" si="186">SUM(G326:G326)</f>
        <v>0</v>
      </c>
      <c r="H327" s="49">
        <f t="shared" si="186"/>
        <v>0</v>
      </c>
      <c r="I327" s="49">
        <f t="shared" si="186"/>
        <v>0</v>
      </c>
      <c r="J327" s="49">
        <f t="shared" si="186"/>
        <v>660</v>
      </c>
      <c r="K327" s="49">
        <f t="shared" si="186"/>
        <v>0</v>
      </c>
      <c r="L327" s="49">
        <f t="shared" si="186"/>
        <v>4037</v>
      </c>
      <c r="M327" s="49">
        <f t="shared" si="186"/>
        <v>0</v>
      </c>
      <c r="N327" s="49">
        <f t="shared" si="186"/>
        <v>450</v>
      </c>
      <c r="O327" s="49">
        <f t="shared" si="186"/>
        <v>0</v>
      </c>
      <c r="P327" s="49">
        <f t="shared" si="186"/>
        <v>4487</v>
      </c>
      <c r="Q327" s="49">
        <f t="shared" si="186"/>
        <v>4036.38</v>
      </c>
      <c r="R327" s="50">
        <f>IFERROR(Q327/$P327,0)</f>
        <v>0.89957209716960107</v>
      </c>
      <c r="S327" s="49">
        <f>SUM(S326:S326)</f>
        <v>4036.38</v>
      </c>
      <c r="T327" s="50">
        <f>IFERROR(S327/$P327,0)</f>
        <v>0.89957209716960107</v>
      </c>
      <c r="U327" s="49">
        <f>SUM(U326:U326)</f>
        <v>4036.38</v>
      </c>
      <c r="V327" s="50">
        <f>IFERROR(U327/$P327,0)</f>
        <v>0.89957209716960107</v>
      </c>
      <c r="W327" s="49">
        <f>SUM(W326:W326)</f>
        <v>4036.38</v>
      </c>
      <c r="X327" s="50">
        <f>IFERROR(W327/$P327,0)</f>
        <v>0.89957209716960107</v>
      </c>
      <c r="Y327" s="49">
        <f>SUM(Y326:Y326)</f>
        <v>0</v>
      </c>
      <c r="Z327" s="49">
        <f>SUM(Z326:Z326)</f>
        <v>0</v>
      </c>
    </row>
    <row r="328" spans="1:26" ht="13.9" customHeight="1" x14ac:dyDescent="0.25">
      <c r="A328" s="15">
        <v>5</v>
      </c>
      <c r="B328" s="15">
        <v>2</v>
      </c>
      <c r="C328" s="15">
        <v>2</v>
      </c>
      <c r="D328" s="84" t="s">
        <v>214</v>
      </c>
      <c r="E328" s="23">
        <v>630</v>
      </c>
      <c r="F328" s="23" t="s">
        <v>127</v>
      </c>
      <c r="G328" s="24">
        <v>3231.23</v>
      </c>
      <c r="H328" s="24">
        <v>10197.35</v>
      </c>
      <c r="I328" s="24">
        <v>4587</v>
      </c>
      <c r="J328" s="24">
        <v>3381</v>
      </c>
      <c r="K328" s="24">
        <v>4511</v>
      </c>
      <c r="L328" s="24">
        <v>121</v>
      </c>
      <c r="M328" s="24">
        <f>5000-1772</f>
        <v>3228</v>
      </c>
      <c r="N328" s="24"/>
      <c r="O328" s="24">
        <v>-4488</v>
      </c>
      <c r="P328" s="24">
        <f>K328+SUM(L328:O328)</f>
        <v>3372</v>
      </c>
      <c r="Q328" s="24">
        <v>379.45</v>
      </c>
      <c r="R328" s="25">
        <f>IFERROR(Q328/$P328,0)</f>
        <v>0.11252965599051008</v>
      </c>
      <c r="S328" s="24">
        <v>1673.4</v>
      </c>
      <c r="T328" s="25">
        <f>IFERROR(S328/$P328,0)</f>
        <v>0.49626334519572957</v>
      </c>
      <c r="U328" s="24">
        <v>2454.9899999999998</v>
      </c>
      <c r="V328" s="25">
        <f>IFERROR(U328/$P328,0)</f>
        <v>0.72805160142348746</v>
      </c>
      <c r="W328" s="24">
        <v>3657.61</v>
      </c>
      <c r="X328" s="25">
        <f>IFERROR(W328/$P328,0)</f>
        <v>1.0847004744958482</v>
      </c>
      <c r="Y328" s="24">
        <f>K328</f>
        <v>4511</v>
      </c>
      <c r="Z328" s="24">
        <f>Y328</f>
        <v>4511</v>
      </c>
    </row>
    <row r="329" spans="1:26" ht="13.9" customHeight="1" x14ac:dyDescent="0.25">
      <c r="A329" s="15">
        <v>5</v>
      </c>
      <c r="B329" s="15">
        <v>2</v>
      </c>
      <c r="C329" s="15">
        <v>2</v>
      </c>
      <c r="D329" s="79" t="s">
        <v>21</v>
      </c>
      <c r="E329" s="48">
        <v>41</v>
      </c>
      <c r="F329" s="48" t="s">
        <v>23</v>
      </c>
      <c r="G329" s="49">
        <f t="shared" ref="G329:Q329" si="187">SUM(G328:G328)</f>
        <v>3231.23</v>
      </c>
      <c r="H329" s="49">
        <f t="shared" si="187"/>
        <v>10197.35</v>
      </c>
      <c r="I329" s="49">
        <f t="shared" si="187"/>
        <v>4587</v>
      </c>
      <c r="J329" s="49">
        <f t="shared" si="187"/>
        <v>3381</v>
      </c>
      <c r="K329" s="49">
        <f t="shared" si="187"/>
        <v>4511</v>
      </c>
      <c r="L329" s="49">
        <f t="shared" si="187"/>
        <v>121</v>
      </c>
      <c r="M329" s="49">
        <f t="shared" si="187"/>
        <v>3228</v>
      </c>
      <c r="N329" s="49">
        <f t="shared" si="187"/>
        <v>0</v>
      </c>
      <c r="O329" s="49">
        <f t="shared" si="187"/>
        <v>-4488</v>
      </c>
      <c r="P329" s="49">
        <f t="shared" si="187"/>
        <v>3372</v>
      </c>
      <c r="Q329" s="49">
        <f t="shared" si="187"/>
        <v>379.45</v>
      </c>
      <c r="R329" s="50">
        <f>IFERROR(Q329/$P329,0)</f>
        <v>0.11252965599051008</v>
      </c>
      <c r="S329" s="49">
        <f>SUM(S328:S328)</f>
        <v>1673.4</v>
      </c>
      <c r="T329" s="50">
        <f>IFERROR(S329/$P329,0)</f>
        <v>0.49626334519572957</v>
      </c>
      <c r="U329" s="49">
        <f>SUM(U328:U328)</f>
        <v>2454.9899999999998</v>
      </c>
      <c r="V329" s="50">
        <f>IFERROR(U329/$P329,0)</f>
        <v>0.72805160142348746</v>
      </c>
      <c r="W329" s="49">
        <f>SUM(W328:W328)</f>
        <v>3657.61</v>
      </c>
      <c r="X329" s="50">
        <f>IFERROR(W329/$P329,0)</f>
        <v>1.0847004744958482</v>
      </c>
      <c r="Y329" s="49">
        <f>SUM(Y328:Y328)</f>
        <v>4511</v>
      </c>
      <c r="Z329" s="49">
        <f>SUM(Z328:Z328)</f>
        <v>4511</v>
      </c>
    </row>
    <row r="330" spans="1:26" ht="13.9" customHeight="1" x14ac:dyDescent="0.25">
      <c r="A330" s="15">
        <v>5</v>
      </c>
      <c r="B330" s="15">
        <v>2</v>
      </c>
      <c r="C330" s="15">
        <v>2</v>
      </c>
      <c r="D330" s="86"/>
      <c r="E330" s="87"/>
      <c r="F330" s="26" t="s">
        <v>120</v>
      </c>
      <c r="G330" s="27">
        <f t="shared" ref="G330:Q330" si="188">G327+G329</f>
        <v>3231.23</v>
      </c>
      <c r="H330" s="27">
        <f t="shared" si="188"/>
        <v>10197.35</v>
      </c>
      <c r="I330" s="27">
        <f t="shared" si="188"/>
        <v>4587</v>
      </c>
      <c r="J330" s="27">
        <f t="shared" si="188"/>
        <v>4041</v>
      </c>
      <c r="K330" s="27">
        <f t="shared" si="188"/>
        <v>4511</v>
      </c>
      <c r="L330" s="27">
        <f t="shared" si="188"/>
        <v>4158</v>
      </c>
      <c r="M330" s="27">
        <f t="shared" si="188"/>
        <v>3228</v>
      </c>
      <c r="N330" s="27">
        <f t="shared" si="188"/>
        <v>450</v>
      </c>
      <c r="O330" s="27">
        <f t="shared" si="188"/>
        <v>-4488</v>
      </c>
      <c r="P330" s="27">
        <f t="shared" si="188"/>
        <v>7859</v>
      </c>
      <c r="Q330" s="27">
        <f t="shared" si="188"/>
        <v>4415.83</v>
      </c>
      <c r="R330" s="28">
        <f>IFERROR(Q330/$P330,0)</f>
        <v>0.56188191881918814</v>
      </c>
      <c r="S330" s="27">
        <f>S327+S329</f>
        <v>5709.7800000000007</v>
      </c>
      <c r="T330" s="28">
        <f>IFERROR(S330/$P330,0)</f>
        <v>0.72652754803410113</v>
      </c>
      <c r="U330" s="27">
        <f>U327+U329</f>
        <v>6491.37</v>
      </c>
      <c r="V330" s="28">
        <f>IFERROR(U330/$P330,0)</f>
        <v>0.8259791322051151</v>
      </c>
      <c r="W330" s="27">
        <f>W327+W329</f>
        <v>7693.99</v>
      </c>
      <c r="X330" s="28">
        <f>IFERROR(W330/$P330,0)</f>
        <v>0.97900369003690035</v>
      </c>
      <c r="Y330" s="27">
        <f>Y327+Y329</f>
        <v>4511</v>
      </c>
      <c r="Z330" s="27">
        <f>Z327+Z329</f>
        <v>4511</v>
      </c>
    </row>
    <row r="332" spans="1:26" ht="13.9" customHeight="1" x14ac:dyDescent="0.25">
      <c r="E332" s="52" t="s">
        <v>55</v>
      </c>
      <c r="F332" s="30" t="s">
        <v>215</v>
      </c>
      <c r="G332" s="117">
        <v>550</v>
      </c>
      <c r="H332" s="53">
        <v>1441.24</v>
      </c>
      <c r="I332" s="53">
        <v>3485</v>
      </c>
      <c r="J332" s="53">
        <v>3013</v>
      </c>
      <c r="K332" s="53">
        <v>3013</v>
      </c>
      <c r="L332" s="53"/>
      <c r="M332" s="53">
        <v>-1817</v>
      </c>
      <c r="N332" s="53"/>
      <c r="O332" s="53">
        <v>21</v>
      </c>
      <c r="P332" s="53">
        <f>K332+SUM(L332:O332)</f>
        <v>1217</v>
      </c>
      <c r="Q332" s="53">
        <v>299.10000000000002</v>
      </c>
      <c r="R332" s="54">
        <f>IFERROR(Q332/$P332,0)</f>
        <v>0.24576828266228432</v>
      </c>
      <c r="S332" s="53">
        <v>598.20000000000005</v>
      </c>
      <c r="T332" s="54">
        <f>IFERROR(S332/$P332,0)</f>
        <v>0.49153656532456863</v>
      </c>
      <c r="U332" s="53">
        <v>897.3</v>
      </c>
      <c r="V332" s="54">
        <f>IFERROR(U332/$P332,0)</f>
        <v>0.73730484798685292</v>
      </c>
      <c r="W332" s="53">
        <v>1216.8699999999999</v>
      </c>
      <c r="X332" s="55">
        <f>IFERROR(W332/$P332,0)</f>
        <v>0.99989317995069837</v>
      </c>
      <c r="Y332" s="53">
        <f>K332</f>
        <v>3013</v>
      </c>
      <c r="Z332" s="56">
        <f>Y332</f>
        <v>3013</v>
      </c>
    </row>
    <row r="333" spans="1:26" ht="13.9" hidden="1" customHeight="1" x14ac:dyDescent="0.25">
      <c r="E333" s="57"/>
      <c r="F333" s="91" t="s">
        <v>216</v>
      </c>
      <c r="G333" s="92"/>
      <c r="H333" s="82">
        <v>4930</v>
      </c>
      <c r="I333" s="82">
        <v>250</v>
      </c>
      <c r="J333" s="82">
        <v>250</v>
      </c>
      <c r="K333" s="82">
        <v>250</v>
      </c>
      <c r="L333" s="82"/>
      <c r="M333" s="82"/>
      <c r="N333" s="82"/>
      <c r="O333" s="82"/>
      <c r="P333" s="82">
        <f>K333+SUM(L333:O333)</f>
        <v>250</v>
      </c>
      <c r="Q333" s="82"/>
      <c r="R333" s="83">
        <f>IFERROR(Q333/$P333,0)</f>
        <v>0</v>
      </c>
      <c r="S333" s="82"/>
      <c r="T333" s="83">
        <f>IFERROR(S333/$P333,0)</f>
        <v>0</v>
      </c>
      <c r="U333" s="82"/>
      <c r="V333" s="83">
        <f>IFERROR(U333/$P333,0)</f>
        <v>0</v>
      </c>
      <c r="W333" s="82"/>
      <c r="X333" s="60">
        <f>IFERROR(W333/$P333,0)</f>
        <v>0</v>
      </c>
      <c r="Y333" s="82">
        <f>K333</f>
        <v>250</v>
      </c>
      <c r="Z333" s="61">
        <f>Y333</f>
        <v>250</v>
      </c>
    </row>
    <row r="334" spans="1:26" ht="13.9" customHeight="1" x14ac:dyDescent="0.25">
      <c r="E334" s="65"/>
      <c r="F334" s="94" t="s">
        <v>217</v>
      </c>
      <c r="G334" s="95"/>
      <c r="H334" s="67"/>
      <c r="I334" s="67"/>
      <c r="J334" s="67"/>
      <c r="K334" s="67">
        <v>0</v>
      </c>
      <c r="L334" s="67"/>
      <c r="M334" s="67">
        <v>5000</v>
      </c>
      <c r="N334" s="67">
        <v>-512</v>
      </c>
      <c r="O334" s="67">
        <v>-4488</v>
      </c>
      <c r="P334" s="67">
        <f>K334+SUM(L334:O334)</f>
        <v>0</v>
      </c>
      <c r="Q334" s="67">
        <v>0</v>
      </c>
      <c r="R334" s="68">
        <f>IFERROR(Q334/$P334,0)</f>
        <v>0</v>
      </c>
      <c r="S334" s="67">
        <v>0</v>
      </c>
      <c r="T334" s="68">
        <f>IFERROR(S334/$P334,0)</f>
        <v>0</v>
      </c>
      <c r="U334" s="67">
        <v>0</v>
      </c>
      <c r="V334" s="68">
        <f>IFERROR(U334/$P334,0)</f>
        <v>0</v>
      </c>
      <c r="W334" s="67">
        <v>0</v>
      </c>
      <c r="X334" s="69">
        <f>IFERROR(W334/$P334,0)</f>
        <v>0</v>
      </c>
      <c r="Y334" s="67">
        <v>0</v>
      </c>
      <c r="Z334" s="70">
        <v>0</v>
      </c>
    </row>
    <row r="336" spans="1:26" ht="13.9" customHeight="1" x14ac:dyDescent="0.25">
      <c r="D336" s="73" t="s">
        <v>218</v>
      </c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4"/>
      <c r="S336" s="73"/>
      <c r="T336" s="74"/>
      <c r="U336" s="73"/>
      <c r="V336" s="74"/>
      <c r="W336" s="73"/>
      <c r="X336" s="74"/>
      <c r="Y336" s="73"/>
      <c r="Z336" s="73"/>
    </row>
    <row r="337" spans="1:26" ht="13.9" customHeight="1" x14ac:dyDescent="0.25">
      <c r="D337" s="21" t="s">
        <v>32</v>
      </c>
      <c r="E337" s="21" t="s">
        <v>33</v>
      </c>
      <c r="F337" s="21" t="s">
        <v>34</v>
      </c>
      <c r="G337" s="21" t="s">
        <v>1</v>
      </c>
      <c r="H337" s="21" t="s">
        <v>2</v>
      </c>
      <c r="I337" s="21" t="s">
        <v>3</v>
      </c>
      <c r="J337" s="21" t="s">
        <v>4</v>
      </c>
      <c r="K337" s="21" t="s">
        <v>5</v>
      </c>
      <c r="L337" s="21" t="s">
        <v>6</v>
      </c>
      <c r="M337" s="21" t="s">
        <v>7</v>
      </c>
      <c r="N337" s="21" t="s">
        <v>8</v>
      </c>
      <c r="O337" s="21" t="s">
        <v>9</v>
      </c>
      <c r="P337" s="21" t="s">
        <v>10</v>
      </c>
      <c r="Q337" s="21" t="s">
        <v>11</v>
      </c>
      <c r="R337" s="22" t="s">
        <v>12</v>
      </c>
      <c r="S337" s="21" t="s">
        <v>13</v>
      </c>
      <c r="T337" s="22" t="s">
        <v>14</v>
      </c>
      <c r="U337" s="21" t="s">
        <v>15</v>
      </c>
      <c r="V337" s="22" t="s">
        <v>16</v>
      </c>
      <c r="W337" s="21" t="s">
        <v>17</v>
      </c>
      <c r="X337" s="22" t="s">
        <v>18</v>
      </c>
      <c r="Y337" s="21" t="s">
        <v>19</v>
      </c>
      <c r="Z337" s="21" t="s">
        <v>20</v>
      </c>
    </row>
    <row r="338" spans="1:26" ht="13.9" hidden="1" customHeight="1" x14ac:dyDescent="0.25">
      <c r="A338" s="15">
        <v>5</v>
      </c>
      <c r="B338" s="15">
        <v>2</v>
      </c>
      <c r="C338" s="15">
        <v>3</v>
      </c>
      <c r="D338" s="5" t="s">
        <v>214</v>
      </c>
      <c r="E338" s="23">
        <v>610</v>
      </c>
      <c r="F338" s="23" t="s">
        <v>125</v>
      </c>
      <c r="G338" s="24">
        <v>0</v>
      </c>
      <c r="H338" s="24">
        <v>6042.59</v>
      </c>
      <c r="I338" s="24">
        <v>0</v>
      </c>
      <c r="J338" s="24">
        <v>0</v>
      </c>
      <c r="K338" s="24">
        <v>0</v>
      </c>
      <c r="L338" s="24"/>
      <c r="M338" s="24"/>
      <c r="N338" s="24"/>
      <c r="O338" s="24"/>
      <c r="P338" s="24">
        <f>K338+SUM(L338:O338)</f>
        <v>0</v>
      </c>
      <c r="Q338" s="24"/>
      <c r="R338" s="25">
        <f t="shared" ref="R338:R347" si="189">IFERROR(Q338/$P338,0)</f>
        <v>0</v>
      </c>
      <c r="S338" s="24"/>
      <c r="T338" s="25">
        <f t="shared" ref="T338:T347" si="190">IFERROR(S338/$P338,0)</f>
        <v>0</v>
      </c>
      <c r="U338" s="24"/>
      <c r="V338" s="25">
        <f t="shared" ref="V338:V347" si="191">IFERROR(U338/$P338,0)</f>
        <v>0</v>
      </c>
      <c r="W338" s="24"/>
      <c r="X338" s="25">
        <f t="shared" ref="X338:X347" si="192">IFERROR(W338/$P338,0)</f>
        <v>0</v>
      </c>
      <c r="Y338" s="24">
        <v>0</v>
      </c>
      <c r="Z338" s="24">
        <f>Y338</f>
        <v>0</v>
      </c>
    </row>
    <row r="339" spans="1:26" ht="13.9" hidden="1" customHeight="1" x14ac:dyDescent="0.25">
      <c r="A339" s="15">
        <v>5</v>
      </c>
      <c r="B339" s="15">
        <v>2</v>
      </c>
      <c r="C339" s="15">
        <v>3</v>
      </c>
      <c r="D339" s="5"/>
      <c r="E339" s="23">
        <v>620</v>
      </c>
      <c r="F339" s="23" t="s">
        <v>126</v>
      </c>
      <c r="G339" s="24">
        <v>0</v>
      </c>
      <c r="H339" s="24">
        <v>2247.6999999999998</v>
      </c>
      <c r="I339" s="24">
        <v>0</v>
      </c>
      <c r="J339" s="24">
        <v>0</v>
      </c>
      <c r="K339" s="24">
        <v>0</v>
      </c>
      <c r="L339" s="24"/>
      <c r="M339" s="24"/>
      <c r="N339" s="24"/>
      <c r="O339" s="24"/>
      <c r="P339" s="24">
        <f>K339+SUM(L339:O339)</f>
        <v>0</v>
      </c>
      <c r="Q339" s="24"/>
      <c r="R339" s="25">
        <f t="shared" si="189"/>
        <v>0</v>
      </c>
      <c r="S339" s="24"/>
      <c r="T339" s="25">
        <f t="shared" si="190"/>
        <v>0</v>
      </c>
      <c r="U339" s="24"/>
      <c r="V339" s="25">
        <f t="shared" si="191"/>
        <v>0</v>
      </c>
      <c r="W339" s="24"/>
      <c r="X339" s="25">
        <f t="shared" si="192"/>
        <v>0</v>
      </c>
      <c r="Y339" s="24">
        <v>0</v>
      </c>
      <c r="Z339" s="24">
        <f>Y339</f>
        <v>0</v>
      </c>
    </row>
    <row r="340" spans="1:26" ht="13.9" hidden="1" customHeight="1" x14ac:dyDescent="0.25">
      <c r="A340" s="15">
        <v>5</v>
      </c>
      <c r="B340" s="15">
        <v>2</v>
      </c>
      <c r="C340" s="15">
        <v>3</v>
      </c>
      <c r="D340" s="108" t="s">
        <v>21</v>
      </c>
      <c r="E340" s="85" t="s">
        <v>219</v>
      </c>
      <c r="F340" s="48" t="s">
        <v>220</v>
      </c>
      <c r="G340" s="49">
        <f t="shared" ref="G340:Q340" si="193">SUM(G338:G339)</f>
        <v>0</v>
      </c>
      <c r="H340" s="49">
        <f t="shared" si="193"/>
        <v>8290.2900000000009</v>
      </c>
      <c r="I340" s="49">
        <f t="shared" si="193"/>
        <v>0</v>
      </c>
      <c r="J340" s="49">
        <f t="shared" si="193"/>
        <v>0</v>
      </c>
      <c r="K340" s="49">
        <f t="shared" si="193"/>
        <v>0</v>
      </c>
      <c r="L340" s="49">
        <f t="shared" si="193"/>
        <v>0</v>
      </c>
      <c r="M340" s="49">
        <f t="shared" si="193"/>
        <v>0</v>
      </c>
      <c r="N340" s="49">
        <f t="shared" si="193"/>
        <v>0</v>
      </c>
      <c r="O340" s="49">
        <f t="shared" si="193"/>
        <v>0</v>
      </c>
      <c r="P340" s="49">
        <f t="shared" si="193"/>
        <v>0</v>
      </c>
      <c r="Q340" s="49">
        <f t="shared" si="193"/>
        <v>0</v>
      </c>
      <c r="R340" s="50">
        <f t="shared" si="189"/>
        <v>0</v>
      </c>
      <c r="S340" s="49">
        <f>SUM(S338:S339)</f>
        <v>0</v>
      </c>
      <c r="T340" s="50">
        <f t="shared" si="190"/>
        <v>0</v>
      </c>
      <c r="U340" s="49">
        <f>SUM(U338:U339)</f>
        <v>0</v>
      </c>
      <c r="V340" s="50">
        <f t="shared" si="191"/>
        <v>0</v>
      </c>
      <c r="W340" s="49">
        <f>SUM(W338:W339)</f>
        <v>0</v>
      </c>
      <c r="X340" s="50">
        <f t="shared" si="192"/>
        <v>0</v>
      </c>
      <c r="Y340" s="49">
        <f>SUM(Y338:Y339)</f>
        <v>0</v>
      </c>
      <c r="Z340" s="49">
        <f>SUM(Z338:Z339)</f>
        <v>0</v>
      </c>
    </row>
    <row r="341" spans="1:26" ht="13.9" customHeight="1" x14ac:dyDescent="0.25">
      <c r="A341" s="15">
        <v>5</v>
      </c>
      <c r="B341" s="15">
        <v>2</v>
      </c>
      <c r="C341" s="15">
        <v>3</v>
      </c>
      <c r="D341" s="5" t="s">
        <v>214</v>
      </c>
      <c r="E341" s="23">
        <v>610</v>
      </c>
      <c r="F341" s="23" t="s">
        <v>125</v>
      </c>
      <c r="G341" s="24">
        <v>4962.93</v>
      </c>
      <c r="H341" s="24">
        <v>4162.46</v>
      </c>
      <c r="I341" s="24">
        <v>2450</v>
      </c>
      <c r="J341" s="24">
        <v>2450</v>
      </c>
      <c r="K341" s="24">
        <v>4500</v>
      </c>
      <c r="L341" s="24"/>
      <c r="M341" s="24"/>
      <c r="N341" s="24"/>
      <c r="O341" s="24">
        <v>332</v>
      </c>
      <c r="P341" s="24">
        <f>K341+SUM(L341:O341)</f>
        <v>4832</v>
      </c>
      <c r="Q341" s="24">
        <v>1100</v>
      </c>
      <c r="R341" s="25">
        <f t="shared" si="189"/>
        <v>0.22764900662251655</v>
      </c>
      <c r="S341" s="24">
        <v>2225</v>
      </c>
      <c r="T341" s="25">
        <f t="shared" si="190"/>
        <v>0.46047185430463577</v>
      </c>
      <c r="U341" s="24">
        <v>3350</v>
      </c>
      <c r="V341" s="25">
        <f t="shared" si="191"/>
        <v>0.69329470198675491</v>
      </c>
      <c r="W341" s="24">
        <v>4832</v>
      </c>
      <c r="X341" s="25">
        <f t="shared" si="192"/>
        <v>1</v>
      </c>
      <c r="Y341" s="24">
        <v>4950</v>
      </c>
      <c r="Z341" s="24">
        <v>5445</v>
      </c>
    </row>
    <row r="342" spans="1:26" ht="13.9" customHeight="1" x14ac:dyDescent="0.25">
      <c r="A342" s="15">
        <v>5</v>
      </c>
      <c r="B342" s="15">
        <v>2</v>
      </c>
      <c r="C342" s="15">
        <v>3</v>
      </c>
      <c r="D342" s="5"/>
      <c r="E342" s="23">
        <v>620</v>
      </c>
      <c r="F342" s="23" t="s">
        <v>126</v>
      </c>
      <c r="G342" s="24">
        <v>1411.87</v>
      </c>
      <c r="H342" s="24">
        <v>1246.9000000000001</v>
      </c>
      <c r="I342" s="24">
        <v>857</v>
      </c>
      <c r="J342" s="24">
        <v>822</v>
      </c>
      <c r="K342" s="24">
        <v>1573</v>
      </c>
      <c r="L342" s="24"/>
      <c r="M342" s="24"/>
      <c r="N342" s="24"/>
      <c r="O342" s="24">
        <v>160</v>
      </c>
      <c r="P342" s="24">
        <f>K342+SUM(L342:O342)</f>
        <v>1733</v>
      </c>
      <c r="Q342" s="24">
        <v>391.92</v>
      </c>
      <c r="R342" s="25">
        <f t="shared" si="189"/>
        <v>0.22615118291979228</v>
      </c>
      <c r="S342" s="24">
        <v>796.32</v>
      </c>
      <c r="T342" s="25">
        <f t="shared" si="190"/>
        <v>0.45950375072129257</v>
      </c>
      <c r="U342" s="24">
        <v>1200.72</v>
      </c>
      <c r="V342" s="25">
        <f t="shared" si="191"/>
        <v>0.69285631852279284</v>
      </c>
      <c r="W342" s="24">
        <v>1733.46</v>
      </c>
      <c r="X342" s="25">
        <f t="shared" si="192"/>
        <v>1.0002654356607039</v>
      </c>
      <c r="Y342" s="24">
        <v>1731</v>
      </c>
      <c r="Z342" s="24">
        <v>1903</v>
      </c>
    </row>
    <row r="343" spans="1:26" ht="13.9" customHeight="1" x14ac:dyDescent="0.25">
      <c r="A343" s="15">
        <v>5</v>
      </c>
      <c r="B343" s="15">
        <v>2</v>
      </c>
      <c r="C343" s="15">
        <v>3</v>
      </c>
      <c r="D343" s="5"/>
      <c r="E343" s="23">
        <v>630</v>
      </c>
      <c r="F343" s="23" t="s">
        <v>127</v>
      </c>
      <c r="G343" s="24">
        <v>43.84</v>
      </c>
      <c r="H343" s="24">
        <v>922.62</v>
      </c>
      <c r="I343" s="24">
        <v>23</v>
      </c>
      <c r="J343" s="24">
        <v>25</v>
      </c>
      <c r="K343" s="24">
        <v>41</v>
      </c>
      <c r="L343" s="24"/>
      <c r="M343" s="24"/>
      <c r="N343" s="24"/>
      <c r="O343" s="24">
        <v>6</v>
      </c>
      <c r="P343" s="24">
        <f>K343+SUM(L343:O343)</f>
        <v>47</v>
      </c>
      <c r="Q343" s="24">
        <v>10.56</v>
      </c>
      <c r="R343" s="25">
        <f t="shared" si="189"/>
        <v>0.22468085106382979</v>
      </c>
      <c r="S343" s="24">
        <v>22.38</v>
      </c>
      <c r="T343" s="25">
        <f t="shared" si="190"/>
        <v>0.47617021276595745</v>
      </c>
      <c r="U343" s="24">
        <v>32.44</v>
      </c>
      <c r="V343" s="25">
        <f t="shared" si="191"/>
        <v>0.69021276595744674</v>
      </c>
      <c r="W343" s="24">
        <v>46.99</v>
      </c>
      <c r="X343" s="25">
        <f t="shared" si="192"/>
        <v>0.99978723404255321</v>
      </c>
      <c r="Y343" s="24">
        <v>45</v>
      </c>
      <c r="Z343" s="24">
        <v>51</v>
      </c>
    </row>
    <row r="344" spans="1:26" ht="13.9" customHeight="1" x14ac:dyDescent="0.25">
      <c r="A344" s="15">
        <v>5</v>
      </c>
      <c r="B344" s="15">
        <v>2</v>
      </c>
      <c r="C344" s="15">
        <v>3</v>
      </c>
      <c r="D344" s="108" t="s">
        <v>21</v>
      </c>
      <c r="E344" s="48">
        <v>41</v>
      </c>
      <c r="F344" s="48" t="s">
        <v>23</v>
      </c>
      <c r="G344" s="49">
        <f t="shared" ref="G344:Q344" si="194">SUM(G341:G343)</f>
        <v>6418.64</v>
      </c>
      <c r="H344" s="49">
        <f t="shared" si="194"/>
        <v>6331.9800000000005</v>
      </c>
      <c r="I344" s="49">
        <f t="shared" si="194"/>
        <v>3330</v>
      </c>
      <c r="J344" s="49">
        <f t="shared" si="194"/>
        <v>3297</v>
      </c>
      <c r="K344" s="49">
        <f t="shared" si="194"/>
        <v>6114</v>
      </c>
      <c r="L344" s="49">
        <f t="shared" si="194"/>
        <v>0</v>
      </c>
      <c r="M344" s="49">
        <f t="shared" si="194"/>
        <v>0</v>
      </c>
      <c r="N344" s="49">
        <f t="shared" si="194"/>
        <v>0</v>
      </c>
      <c r="O344" s="49">
        <f t="shared" si="194"/>
        <v>498</v>
      </c>
      <c r="P344" s="49">
        <f t="shared" si="194"/>
        <v>6612</v>
      </c>
      <c r="Q344" s="49">
        <f t="shared" si="194"/>
        <v>1502.48</v>
      </c>
      <c r="R344" s="50">
        <f t="shared" si="189"/>
        <v>0.22723532970356927</v>
      </c>
      <c r="S344" s="49">
        <f>SUM(S341:S343)</f>
        <v>3043.7000000000003</v>
      </c>
      <c r="T344" s="50">
        <f t="shared" si="190"/>
        <v>0.46032970356926806</v>
      </c>
      <c r="U344" s="49">
        <f>SUM(U341:U343)</f>
        <v>4583.16</v>
      </c>
      <c r="V344" s="50">
        <f t="shared" si="191"/>
        <v>0.69315789473684208</v>
      </c>
      <c r="W344" s="49">
        <f>SUM(W341:W343)</f>
        <v>6612.45</v>
      </c>
      <c r="X344" s="50">
        <f t="shared" si="192"/>
        <v>1.0000680580762251</v>
      </c>
      <c r="Y344" s="49">
        <f>SUM(Y341:Y343)</f>
        <v>6726</v>
      </c>
      <c r="Z344" s="49">
        <f>SUM(Z341:Z343)</f>
        <v>7399</v>
      </c>
    </row>
    <row r="345" spans="1:26" ht="13.9" hidden="1" customHeight="1" x14ac:dyDescent="0.25">
      <c r="A345" s="15">
        <v>5</v>
      </c>
      <c r="B345" s="15">
        <v>2</v>
      </c>
      <c r="C345" s="15">
        <v>3</v>
      </c>
      <c r="D345" s="129" t="s">
        <v>214</v>
      </c>
      <c r="E345" s="23">
        <v>640</v>
      </c>
      <c r="F345" s="23" t="s">
        <v>128</v>
      </c>
      <c r="G345" s="24">
        <v>0</v>
      </c>
      <c r="H345" s="24">
        <v>138.36000000000001</v>
      </c>
      <c r="I345" s="24">
        <v>0</v>
      </c>
      <c r="J345" s="24">
        <v>0</v>
      </c>
      <c r="K345" s="24">
        <v>0</v>
      </c>
      <c r="L345" s="24"/>
      <c r="M345" s="24"/>
      <c r="N345" s="24"/>
      <c r="O345" s="24"/>
      <c r="P345" s="24">
        <f>K345+SUM(L345:O345)</f>
        <v>0</v>
      </c>
      <c r="Q345" s="24"/>
      <c r="R345" s="25">
        <f t="shared" si="189"/>
        <v>0</v>
      </c>
      <c r="S345" s="24"/>
      <c r="T345" s="25">
        <f t="shared" si="190"/>
        <v>0</v>
      </c>
      <c r="U345" s="24"/>
      <c r="V345" s="25">
        <f t="shared" si="191"/>
        <v>0</v>
      </c>
      <c r="W345" s="24"/>
      <c r="X345" s="25">
        <f t="shared" si="192"/>
        <v>0</v>
      </c>
      <c r="Y345" s="24">
        <v>0</v>
      </c>
      <c r="Z345" s="24">
        <v>0</v>
      </c>
    </row>
    <row r="346" spans="1:26" ht="13.9" hidden="1" customHeight="1" x14ac:dyDescent="0.25">
      <c r="A346" s="15">
        <v>5</v>
      </c>
      <c r="B346" s="15">
        <v>2</v>
      </c>
      <c r="C346" s="15">
        <v>3</v>
      </c>
      <c r="D346" s="108" t="s">
        <v>21</v>
      </c>
      <c r="E346" s="48">
        <v>72</v>
      </c>
      <c r="F346" s="48" t="s">
        <v>25</v>
      </c>
      <c r="G346" s="49">
        <f t="shared" ref="G346:Q346" si="195">SUM(G345:G345)</f>
        <v>0</v>
      </c>
      <c r="H346" s="49">
        <f t="shared" si="195"/>
        <v>138.36000000000001</v>
      </c>
      <c r="I346" s="49">
        <f t="shared" si="195"/>
        <v>0</v>
      </c>
      <c r="J346" s="49">
        <f t="shared" si="195"/>
        <v>0</v>
      </c>
      <c r="K346" s="49">
        <f t="shared" si="195"/>
        <v>0</v>
      </c>
      <c r="L346" s="49">
        <f t="shared" si="195"/>
        <v>0</v>
      </c>
      <c r="M346" s="49">
        <f t="shared" si="195"/>
        <v>0</v>
      </c>
      <c r="N346" s="49">
        <f t="shared" si="195"/>
        <v>0</v>
      </c>
      <c r="O346" s="49">
        <f t="shared" si="195"/>
        <v>0</v>
      </c>
      <c r="P346" s="49">
        <f t="shared" si="195"/>
        <v>0</v>
      </c>
      <c r="Q346" s="49">
        <f t="shared" si="195"/>
        <v>0</v>
      </c>
      <c r="R346" s="50">
        <f t="shared" si="189"/>
        <v>0</v>
      </c>
      <c r="S346" s="49">
        <f>SUM(S345:S345)</f>
        <v>0</v>
      </c>
      <c r="T346" s="50">
        <f t="shared" si="190"/>
        <v>0</v>
      </c>
      <c r="U346" s="49">
        <f>SUM(U345:U345)</f>
        <v>0</v>
      </c>
      <c r="V346" s="50">
        <f t="shared" si="191"/>
        <v>0</v>
      </c>
      <c r="W346" s="49">
        <f>SUM(W345:W345)</f>
        <v>0</v>
      </c>
      <c r="X346" s="50">
        <f t="shared" si="192"/>
        <v>0</v>
      </c>
      <c r="Y346" s="49">
        <f>SUM(Y345:Y345)</f>
        <v>0</v>
      </c>
      <c r="Z346" s="49">
        <f>SUM(Z345:Z345)</f>
        <v>0</v>
      </c>
    </row>
    <row r="347" spans="1:26" ht="13.9" customHeight="1" x14ac:dyDescent="0.25">
      <c r="A347" s="15">
        <v>5</v>
      </c>
      <c r="B347" s="15">
        <v>2</v>
      </c>
      <c r="C347" s="15">
        <v>3</v>
      </c>
      <c r="D347" s="30"/>
      <c r="E347" s="31"/>
      <c r="F347" s="26" t="s">
        <v>120</v>
      </c>
      <c r="G347" s="27">
        <f t="shared" ref="G347:Q347" si="196">G340+G344+G346</f>
        <v>6418.64</v>
      </c>
      <c r="H347" s="27">
        <f t="shared" si="196"/>
        <v>14760.630000000001</v>
      </c>
      <c r="I347" s="27">
        <f t="shared" si="196"/>
        <v>3330</v>
      </c>
      <c r="J347" s="27">
        <f t="shared" si="196"/>
        <v>3297</v>
      </c>
      <c r="K347" s="27">
        <f t="shared" si="196"/>
        <v>6114</v>
      </c>
      <c r="L347" s="27">
        <f t="shared" si="196"/>
        <v>0</v>
      </c>
      <c r="M347" s="27">
        <f t="shared" si="196"/>
        <v>0</v>
      </c>
      <c r="N347" s="27">
        <f t="shared" si="196"/>
        <v>0</v>
      </c>
      <c r="O347" s="27">
        <f t="shared" si="196"/>
        <v>498</v>
      </c>
      <c r="P347" s="27">
        <f t="shared" si="196"/>
        <v>6612</v>
      </c>
      <c r="Q347" s="27">
        <f t="shared" si="196"/>
        <v>1502.48</v>
      </c>
      <c r="R347" s="28">
        <f t="shared" si="189"/>
        <v>0.22723532970356927</v>
      </c>
      <c r="S347" s="27">
        <f>S340+S344+S346</f>
        <v>3043.7000000000003</v>
      </c>
      <c r="T347" s="28">
        <f t="shared" si="190"/>
        <v>0.46032970356926806</v>
      </c>
      <c r="U347" s="27">
        <f>U340+U344+U346</f>
        <v>4583.16</v>
      </c>
      <c r="V347" s="28">
        <f t="shared" si="191"/>
        <v>0.69315789473684208</v>
      </c>
      <c r="W347" s="27">
        <f>W340+W344+W346</f>
        <v>6612.45</v>
      </c>
      <c r="X347" s="28">
        <f t="shared" si="192"/>
        <v>1.0000680580762251</v>
      </c>
      <c r="Y347" s="27">
        <f>Y340+Y344+Y346</f>
        <v>6726</v>
      </c>
      <c r="Z347" s="27">
        <f>Z340+Z344+Z346</f>
        <v>7399</v>
      </c>
    </row>
    <row r="349" spans="1:26" ht="13.9" customHeight="1" x14ac:dyDescent="0.25">
      <c r="D349" s="32" t="s">
        <v>221</v>
      </c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3"/>
      <c r="S349" s="32"/>
      <c r="T349" s="33"/>
      <c r="U349" s="32"/>
      <c r="V349" s="33"/>
      <c r="W349" s="32"/>
      <c r="X349" s="33"/>
      <c r="Y349" s="32"/>
      <c r="Z349" s="32"/>
    </row>
    <row r="350" spans="1:26" ht="13.9" customHeight="1" x14ac:dyDescent="0.25">
      <c r="D350" s="20"/>
      <c r="E350" s="20"/>
      <c r="F350" s="20"/>
      <c r="G350" s="21" t="s">
        <v>1</v>
      </c>
      <c r="H350" s="21" t="s">
        <v>2</v>
      </c>
      <c r="I350" s="21" t="s">
        <v>3</v>
      </c>
      <c r="J350" s="21" t="s">
        <v>4</v>
      </c>
      <c r="K350" s="21" t="s">
        <v>5</v>
      </c>
      <c r="L350" s="21" t="s">
        <v>6</v>
      </c>
      <c r="M350" s="21" t="s">
        <v>7</v>
      </c>
      <c r="N350" s="21" t="s">
        <v>8</v>
      </c>
      <c r="O350" s="21" t="s">
        <v>9</v>
      </c>
      <c r="P350" s="21" t="s">
        <v>10</v>
      </c>
      <c r="Q350" s="21" t="s">
        <v>11</v>
      </c>
      <c r="R350" s="22" t="s">
        <v>12</v>
      </c>
      <c r="S350" s="21" t="s">
        <v>13</v>
      </c>
      <c r="T350" s="22" t="s">
        <v>14</v>
      </c>
      <c r="U350" s="21" t="s">
        <v>15</v>
      </c>
      <c r="V350" s="22" t="s">
        <v>16</v>
      </c>
      <c r="W350" s="21" t="s">
        <v>17</v>
      </c>
      <c r="X350" s="22" t="s">
        <v>18</v>
      </c>
      <c r="Y350" s="21" t="s">
        <v>19</v>
      </c>
      <c r="Z350" s="21" t="s">
        <v>20</v>
      </c>
    </row>
    <row r="351" spans="1:26" ht="13.9" hidden="1" customHeight="1" x14ac:dyDescent="0.25">
      <c r="A351" s="15">
        <v>6</v>
      </c>
      <c r="D351" s="12" t="s">
        <v>21</v>
      </c>
      <c r="E351" s="35">
        <v>111</v>
      </c>
      <c r="F351" s="35" t="s">
        <v>130</v>
      </c>
      <c r="G351" s="36">
        <f t="shared" ref="G351:Q351" si="197">G357+G385+G421</f>
        <v>0</v>
      </c>
      <c r="H351" s="36">
        <f t="shared" si="197"/>
        <v>0</v>
      </c>
      <c r="I351" s="36">
        <f t="shared" si="197"/>
        <v>0</v>
      </c>
      <c r="J351" s="36">
        <f t="shared" si="197"/>
        <v>1031</v>
      </c>
      <c r="K351" s="36">
        <f t="shared" si="197"/>
        <v>0</v>
      </c>
      <c r="L351" s="36">
        <f t="shared" si="197"/>
        <v>0</v>
      </c>
      <c r="M351" s="36">
        <f t="shared" si="197"/>
        <v>0</v>
      </c>
      <c r="N351" s="36">
        <f t="shared" si="197"/>
        <v>0</v>
      </c>
      <c r="O351" s="36">
        <f t="shared" si="197"/>
        <v>0</v>
      </c>
      <c r="P351" s="36">
        <f t="shared" si="197"/>
        <v>0</v>
      </c>
      <c r="Q351" s="36">
        <f t="shared" si="197"/>
        <v>0</v>
      </c>
      <c r="R351" s="37">
        <f>IFERROR(Q351/$P351,0)</f>
        <v>0</v>
      </c>
      <c r="S351" s="36">
        <f>S357+S385+S421</f>
        <v>0</v>
      </c>
      <c r="T351" s="37">
        <f>IFERROR(S351/$P351,0)</f>
        <v>0</v>
      </c>
      <c r="U351" s="36">
        <f>U357+U385+U421</f>
        <v>0</v>
      </c>
      <c r="V351" s="37">
        <f>IFERROR(U351/$P351,0)</f>
        <v>0</v>
      </c>
      <c r="W351" s="36">
        <f>W357+W385+W421</f>
        <v>0</v>
      </c>
      <c r="X351" s="37">
        <f>IFERROR(W351/$P351,0)</f>
        <v>0</v>
      </c>
      <c r="Y351" s="36">
        <f>Y357+Y385+Y421</f>
        <v>0</v>
      </c>
      <c r="Z351" s="36">
        <f>Z357+Z385+Z421</f>
        <v>0</v>
      </c>
    </row>
    <row r="352" spans="1:26" ht="13.9" customHeight="1" x14ac:dyDescent="0.25">
      <c r="A352" s="15">
        <v>6</v>
      </c>
      <c r="D352" s="12" t="s">
        <v>21</v>
      </c>
      <c r="E352" s="35">
        <v>41</v>
      </c>
      <c r="F352" s="35" t="s">
        <v>23</v>
      </c>
      <c r="G352" s="36">
        <f t="shared" ref="G352:Q352" si="198">G358+G386+G423</f>
        <v>30235.88</v>
      </c>
      <c r="H352" s="36">
        <f t="shared" si="198"/>
        <v>39882.36</v>
      </c>
      <c r="I352" s="36">
        <f t="shared" si="198"/>
        <v>45484</v>
      </c>
      <c r="J352" s="36">
        <f t="shared" si="198"/>
        <v>46934</v>
      </c>
      <c r="K352" s="36">
        <f t="shared" si="198"/>
        <v>47091</v>
      </c>
      <c r="L352" s="36">
        <f t="shared" si="198"/>
        <v>2098</v>
      </c>
      <c r="M352" s="36">
        <f t="shared" si="198"/>
        <v>-41</v>
      </c>
      <c r="N352" s="36">
        <f t="shared" si="198"/>
        <v>2813</v>
      </c>
      <c r="O352" s="36">
        <f t="shared" si="198"/>
        <v>93</v>
      </c>
      <c r="P352" s="36">
        <f t="shared" si="198"/>
        <v>52054</v>
      </c>
      <c r="Q352" s="36">
        <f t="shared" si="198"/>
        <v>12830.44</v>
      </c>
      <c r="R352" s="37">
        <f>IFERROR(Q352/$P352,0)</f>
        <v>0.24648326737618628</v>
      </c>
      <c r="S352" s="36">
        <f>S358+S386+S423</f>
        <v>35857.43</v>
      </c>
      <c r="T352" s="37">
        <f>IFERROR(S352/$P352,0)</f>
        <v>0.68885061666730707</v>
      </c>
      <c r="U352" s="36">
        <f>U358+U386+U423</f>
        <v>45335.73</v>
      </c>
      <c r="V352" s="37">
        <f>IFERROR(U352/$P352,0)</f>
        <v>0.87093652745226113</v>
      </c>
      <c r="W352" s="36">
        <f>W358+W386+W423</f>
        <v>50024.420000000006</v>
      </c>
      <c r="X352" s="37">
        <f>IFERROR(W352/$P352,0)</f>
        <v>0.96101010489107475</v>
      </c>
      <c r="Y352" s="36">
        <f>Y358+Y386+Y423</f>
        <v>47091</v>
      </c>
      <c r="Z352" s="36">
        <f>Z358+Z386+Z423</f>
        <v>47091</v>
      </c>
    </row>
    <row r="353" spans="1:26" ht="13.9" customHeight="1" x14ac:dyDescent="0.25">
      <c r="A353" s="15">
        <v>6</v>
      </c>
      <c r="D353" s="30"/>
      <c r="E353" s="31"/>
      <c r="F353" s="38" t="s">
        <v>120</v>
      </c>
      <c r="G353" s="39">
        <f t="shared" ref="G353:Q353" si="199">SUM(G351:G352)</f>
        <v>30235.88</v>
      </c>
      <c r="H353" s="39">
        <f t="shared" si="199"/>
        <v>39882.36</v>
      </c>
      <c r="I353" s="39">
        <f t="shared" si="199"/>
        <v>45484</v>
      </c>
      <c r="J353" s="39">
        <f t="shared" si="199"/>
        <v>47965</v>
      </c>
      <c r="K353" s="39">
        <f t="shared" si="199"/>
        <v>47091</v>
      </c>
      <c r="L353" s="39">
        <f t="shared" si="199"/>
        <v>2098</v>
      </c>
      <c r="M353" s="39">
        <f t="shared" si="199"/>
        <v>-41</v>
      </c>
      <c r="N353" s="39">
        <f t="shared" si="199"/>
        <v>2813</v>
      </c>
      <c r="O353" s="39">
        <f t="shared" si="199"/>
        <v>93</v>
      </c>
      <c r="P353" s="39">
        <f t="shared" si="199"/>
        <v>52054</v>
      </c>
      <c r="Q353" s="39">
        <f t="shared" si="199"/>
        <v>12830.44</v>
      </c>
      <c r="R353" s="40">
        <f>IFERROR(Q353/$P353,0)</f>
        <v>0.24648326737618628</v>
      </c>
      <c r="S353" s="39">
        <f>SUM(S351:S352)</f>
        <v>35857.43</v>
      </c>
      <c r="T353" s="40">
        <f>IFERROR(S353/$P353,0)</f>
        <v>0.68885061666730707</v>
      </c>
      <c r="U353" s="39">
        <f>SUM(U351:U352)</f>
        <v>45335.73</v>
      </c>
      <c r="V353" s="40">
        <f>IFERROR(U353/$P353,0)</f>
        <v>0.87093652745226113</v>
      </c>
      <c r="W353" s="39">
        <f>SUM(W351:W352)</f>
        <v>50024.420000000006</v>
      </c>
      <c r="X353" s="40">
        <f>IFERROR(W353/$P353,0)</f>
        <v>0.96101010489107475</v>
      </c>
      <c r="Y353" s="39">
        <f>SUM(Y351:Y352)</f>
        <v>47091</v>
      </c>
      <c r="Z353" s="39">
        <f>SUM(Z351:Z352)</f>
        <v>47091</v>
      </c>
    </row>
    <row r="355" spans="1:26" ht="13.9" customHeight="1" x14ac:dyDescent="0.25">
      <c r="D355" s="41" t="s">
        <v>222</v>
      </c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2"/>
      <c r="S355" s="41"/>
      <c r="T355" s="42"/>
      <c r="U355" s="41"/>
      <c r="V355" s="42"/>
      <c r="W355" s="41"/>
      <c r="X355" s="42"/>
      <c r="Y355" s="41"/>
      <c r="Z355" s="41"/>
    </row>
    <row r="356" spans="1:26" ht="13.9" customHeight="1" x14ac:dyDescent="0.25">
      <c r="D356" s="121"/>
      <c r="E356" s="121"/>
      <c r="F356" s="121"/>
      <c r="G356" s="21" t="s">
        <v>1</v>
      </c>
      <c r="H356" s="21" t="s">
        <v>2</v>
      </c>
      <c r="I356" s="21" t="s">
        <v>3</v>
      </c>
      <c r="J356" s="21" t="s">
        <v>4</v>
      </c>
      <c r="K356" s="21" t="s">
        <v>5</v>
      </c>
      <c r="L356" s="21" t="s">
        <v>6</v>
      </c>
      <c r="M356" s="21" t="s">
        <v>7</v>
      </c>
      <c r="N356" s="21" t="s">
        <v>8</v>
      </c>
      <c r="O356" s="21" t="s">
        <v>9</v>
      </c>
      <c r="P356" s="21" t="s">
        <v>10</v>
      </c>
      <c r="Q356" s="21" t="s">
        <v>11</v>
      </c>
      <c r="R356" s="22" t="s">
        <v>12</v>
      </c>
      <c r="S356" s="21" t="s">
        <v>13</v>
      </c>
      <c r="T356" s="22" t="s">
        <v>14</v>
      </c>
      <c r="U356" s="21" t="s">
        <v>15</v>
      </c>
      <c r="V356" s="22" t="s">
        <v>16</v>
      </c>
      <c r="W356" s="21" t="s">
        <v>17</v>
      </c>
      <c r="X356" s="22" t="s">
        <v>18</v>
      </c>
      <c r="Y356" s="21" t="s">
        <v>19</v>
      </c>
      <c r="Z356" s="21" t="s">
        <v>20</v>
      </c>
    </row>
    <row r="357" spans="1:26" ht="13.9" hidden="1" customHeight="1" x14ac:dyDescent="0.25">
      <c r="A357" s="15">
        <v>6</v>
      </c>
      <c r="B357" s="15">
        <v>1</v>
      </c>
      <c r="D357" s="13" t="s">
        <v>21</v>
      </c>
      <c r="E357" s="23">
        <v>111</v>
      </c>
      <c r="F357" s="23" t="s">
        <v>130</v>
      </c>
      <c r="G357" s="24">
        <f t="shared" ref="G357:Q357" si="200">G364</f>
        <v>0</v>
      </c>
      <c r="H357" s="24">
        <f t="shared" si="200"/>
        <v>0</v>
      </c>
      <c r="I357" s="24">
        <f t="shared" si="200"/>
        <v>0</v>
      </c>
      <c r="J357" s="24">
        <f t="shared" si="200"/>
        <v>489</v>
      </c>
      <c r="K357" s="24">
        <f t="shared" si="200"/>
        <v>0</v>
      </c>
      <c r="L357" s="24">
        <f t="shared" si="200"/>
        <v>0</v>
      </c>
      <c r="M357" s="24">
        <f t="shared" si="200"/>
        <v>0</v>
      </c>
      <c r="N357" s="24">
        <f t="shared" si="200"/>
        <v>0</v>
      </c>
      <c r="O357" s="24">
        <f t="shared" si="200"/>
        <v>0</v>
      </c>
      <c r="P357" s="24">
        <f t="shared" si="200"/>
        <v>0</v>
      </c>
      <c r="Q357" s="24">
        <f t="shared" si="200"/>
        <v>0</v>
      </c>
      <c r="R357" s="25">
        <f>IFERROR(Q357/$P357,0)</f>
        <v>0</v>
      </c>
      <c r="S357" s="24">
        <f>S364</f>
        <v>0</v>
      </c>
      <c r="T357" s="25">
        <f>IFERROR(S357/$P357,0)</f>
        <v>0</v>
      </c>
      <c r="U357" s="24">
        <f>U364</f>
        <v>0</v>
      </c>
      <c r="V357" s="25">
        <f>IFERROR(U357/$P357,0)</f>
        <v>0</v>
      </c>
      <c r="W357" s="24">
        <f>W364</f>
        <v>0</v>
      </c>
      <c r="X357" s="25">
        <f>IFERROR(W357/$P357,0)</f>
        <v>0</v>
      </c>
      <c r="Y357" s="24">
        <f>Y364</f>
        <v>0</v>
      </c>
      <c r="Z357" s="24">
        <f>Z364</f>
        <v>0</v>
      </c>
    </row>
    <row r="358" spans="1:26" ht="13.9" customHeight="1" x14ac:dyDescent="0.25">
      <c r="A358" s="15">
        <v>6</v>
      </c>
      <c r="B358" s="15">
        <v>1</v>
      </c>
      <c r="D358" s="13" t="s">
        <v>21</v>
      </c>
      <c r="E358" s="23">
        <v>41</v>
      </c>
      <c r="F358" s="23" t="s">
        <v>23</v>
      </c>
      <c r="G358" s="24">
        <f t="shared" ref="G358:Q358" si="201">G368+G377</f>
        <v>9945.57</v>
      </c>
      <c r="H358" s="24">
        <f t="shared" si="201"/>
        <v>15331.27</v>
      </c>
      <c r="I358" s="24">
        <f t="shared" si="201"/>
        <v>18938</v>
      </c>
      <c r="J358" s="24">
        <f t="shared" si="201"/>
        <v>22244</v>
      </c>
      <c r="K358" s="24">
        <f t="shared" si="201"/>
        <v>20736</v>
      </c>
      <c r="L358" s="24">
        <f t="shared" si="201"/>
        <v>1491</v>
      </c>
      <c r="M358" s="24">
        <f t="shared" si="201"/>
        <v>-590</v>
      </c>
      <c r="N358" s="24">
        <f t="shared" si="201"/>
        <v>2000</v>
      </c>
      <c r="O358" s="24">
        <f t="shared" si="201"/>
        <v>0</v>
      </c>
      <c r="P358" s="24">
        <f t="shared" si="201"/>
        <v>23637</v>
      </c>
      <c r="Q358" s="24">
        <f t="shared" si="201"/>
        <v>8361.92</v>
      </c>
      <c r="R358" s="25">
        <f>IFERROR(Q358/$P358,0)</f>
        <v>0.35376401404577568</v>
      </c>
      <c r="S358" s="24">
        <f>S368+S377</f>
        <v>17043.830000000002</v>
      </c>
      <c r="T358" s="25">
        <f>IFERROR(S358/$P358,0)</f>
        <v>0.72106570207725185</v>
      </c>
      <c r="U358" s="24">
        <f>U368+U377</f>
        <v>21612.050000000003</v>
      </c>
      <c r="V358" s="25">
        <f>IFERROR(U358/$P358,0)</f>
        <v>0.91433134492532908</v>
      </c>
      <c r="W358" s="24">
        <f>W368+W377</f>
        <v>23390.11</v>
      </c>
      <c r="X358" s="25">
        <f>IFERROR(W358/$P358,0)</f>
        <v>0.9895549350594407</v>
      </c>
      <c r="Y358" s="24">
        <f>Y368+Y377</f>
        <v>20736</v>
      </c>
      <c r="Z358" s="24">
        <f>Z368+Z377</f>
        <v>20736</v>
      </c>
    </row>
    <row r="359" spans="1:26" ht="13.9" customHeight="1" x14ac:dyDescent="0.25">
      <c r="A359" s="15">
        <v>6</v>
      </c>
      <c r="B359" s="15">
        <v>1</v>
      </c>
      <c r="D359" s="30"/>
      <c r="E359" s="31"/>
      <c r="F359" s="26" t="s">
        <v>120</v>
      </c>
      <c r="G359" s="27">
        <f t="shared" ref="G359:Q359" si="202">SUM(G357:G358)</f>
        <v>9945.57</v>
      </c>
      <c r="H359" s="27">
        <f t="shared" si="202"/>
        <v>15331.27</v>
      </c>
      <c r="I359" s="27">
        <f t="shared" si="202"/>
        <v>18938</v>
      </c>
      <c r="J359" s="27">
        <f t="shared" si="202"/>
        <v>22733</v>
      </c>
      <c r="K359" s="27">
        <f t="shared" si="202"/>
        <v>20736</v>
      </c>
      <c r="L359" s="27">
        <f t="shared" si="202"/>
        <v>1491</v>
      </c>
      <c r="M359" s="27">
        <f t="shared" si="202"/>
        <v>-590</v>
      </c>
      <c r="N359" s="27">
        <f t="shared" si="202"/>
        <v>2000</v>
      </c>
      <c r="O359" s="27">
        <f t="shared" si="202"/>
        <v>0</v>
      </c>
      <c r="P359" s="27">
        <f t="shared" si="202"/>
        <v>23637</v>
      </c>
      <c r="Q359" s="27">
        <f t="shared" si="202"/>
        <v>8361.92</v>
      </c>
      <c r="R359" s="28">
        <f>IFERROR(Q359/$P359,0)</f>
        <v>0.35376401404577568</v>
      </c>
      <c r="S359" s="27">
        <f>SUM(S357:S358)</f>
        <v>17043.830000000002</v>
      </c>
      <c r="T359" s="28">
        <f>IFERROR(S359/$P359,0)</f>
        <v>0.72106570207725185</v>
      </c>
      <c r="U359" s="27">
        <f>SUM(U357:U358)</f>
        <v>21612.050000000003</v>
      </c>
      <c r="V359" s="28">
        <f>IFERROR(U359/$P359,0)</f>
        <v>0.91433134492532908</v>
      </c>
      <c r="W359" s="27">
        <f>SUM(W357:W358)</f>
        <v>23390.11</v>
      </c>
      <c r="X359" s="28">
        <f>IFERROR(W359/$P359,0)</f>
        <v>0.9895549350594407</v>
      </c>
      <c r="Y359" s="27">
        <f>SUM(Y357:Y358)</f>
        <v>20736</v>
      </c>
      <c r="Z359" s="27">
        <f>SUM(Z357:Z358)</f>
        <v>20736</v>
      </c>
    </row>
    <row r="361" spans="1:26" ht="13.9" customHeight="1" x14ac:dyDescent="0.25">
      <c r="D361" s="73" t="s">
        <v>223</v>
      </c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4"/>
      <c r="S361" s="73"/>
      <c r="T361" s="74"/>
      <c r="U361" s="73"/>
      <c r="V361" s="74"/>
      <c r="W361" s="73"/>
      <c r="X361" s="74"/>
      <c r="Y361" s="73"/>
      <c r="Z361" s="73"/>
    </row>
    <row r="362" spans="1:26" ht="13.9" customHeight="1" x14ac:dyDescent="0.25">
      <c r="D362" s="21" t="s">
        <v>32</v>
      </c>
      <c r="E362" s="21" t="s">
        <v>33</v>
      </c>
      <c r="F362" s="21" t="s">
        <v>34</v>
      </c>
      <c r="G362" s="21" t="s">
        <v>1</v>
      </c>
      <c r="H362" s="21" t="s">
        <v>2</v>
      </c>
      <c r="I362" s="21" t="s">
        <v>3</v>
      </c>
      <c r="J362" s="21" t="s">
        <v>4</v>
      </c>
      <c r="K362" s="21" t="s">
        <v>5</v>
      </c>
      <c r="L362" s="21" t="s">
        <v>6</v>
      </c>
      <c r="M362" s="21" t="s">
        <v>7</v>
      </c>
      <c r="N362" s="21" t="s">
        <v>8</v>
      </c>
      <c r="O362" s="21" t="s">
        <v>9</v>
      </c>
      <c r="P362" s="21" t="s">
        <v>10</v>
      </c>
      <c r="Q362" s="21" t="s">
        <v>11</v>
      </c>
      <c r="R362" s="22" t="s">
        <v>12</v>
      </c>
      <c r="S362" s="21" t="s">
        <v>13</v>
      </c>
      <c r="T362" s="22" t="s">
        <v>14</v>
      </c>
      <c r="U362" s="21" t="s">
        <v>15</v>
      </c>
      <c r="V362" s="22" t="s">
        <v>16</v>
      </c>
      <c r="W362" s="21" t="s">
        <v>17</v>
      </c>
      <c r="X362" s="22" t="s">
        <v>18</v>
      </c>
      <c r="Y362" s="21" t="s">
        <v>19</v>
      </c>
      <c r="Z362" s="21" t="s">
        <v>20</v>
      </c>
    </row>
    <row r="363" spans="1:26" ht="13.9" hidden="1" customHeight="1" x14ac:dyDescent="0.25">
      <c r="A363" s="15">
        <v>6</v>
      </c>
      <c r="B363" s="15">
        <v>1</v>
      </c>
      <c r="C363" s="15">
        <v>1</v>
      </c>
      <c r="D363" s="84" t="s">
        <v>224</v>
      </c>
      <c r="E363" s="23">
        <v>630</v>
      </c>
      <c r="F363" s="23" t="s">
        <v>127</v>
      </c>
      <c r="G363" s="24">
        <v>0</v>
      </c>
      <c r="H363" s="24">
        <v>0</v>
      </c>
      <c r="I363" s="24">
        <v>0</v>
      </c>
      <c r="J363" s="24">
        <v>489</v>
      </c>
      <c r="K363" s="24">
        <v>0</v>
      </c>
      <c r="L363" s="24"/>
      <c r="M363" s="24"/>
      <c r="N363" s="24"/>
      <c r="O363" s="24"/>
      <c r="P363" s="24">
        <f>K363+SUM(L363:O363)</f>
        <v>0</v>
      </c>
      <c r="Q363" s="24"/>
      <c r="R363" s="25">
        <f t="shared" ref="R363:R369" si="203">IFERROR(Q363/$P363,0)</f>
        <v>0</v>
      </c>
      <c r="S363" s="24"/>
      <c r="T363" s="25">
        <f t="shared" ref="T363:T369" si="204">IFERROR(S363/$P363,0)</f>
        <v>0</v>
      </c>
      <c r="U363" s="24"/>
      <c r="V363" s="25">
        <f t="shared" ref="V363:V369" si="205">IFERROR(U363/$P363,0)</f>
        <v>0</v>
      </c>
      <c r="W363" s="24"/>
      <c r="X363" s="25">
        <f t="shared" ref="X363:X369" si="206">IFERROR(W363/$P363,0)</f>
        <v>0</v>
      </c>
      <c r="Y363" s="24">
        <v>0</v>
      </c>
      <c r="Z363" s="24">
        <f>Y363</f>
        <v>0</v>
      </c>
    </row>
    <row r="364" spans="1:26" ht="13.9" hidden="1" customHeight="1" x14ac:dyDescent="0.25">
      <c r="A364" s="15">
        <v>6</v>
      </c>
      <c r="B364" s="15">
        <v>1</v>
      </c>
      <c r="C364" s="15">
        <v>1</v>
      </c>
      <c r="D364" s="79" t="s">
        <v>21</v>
      </c>
      <c r="E364" s="85">
        <v>111</v>
      </c>
      <c r="F364" s="48" t="s">
        <v>130</v>
      </c>
      <c r="G364" s="49">
        <f t="shared" ref="G364:Q364" si="207">SUM(G363:G363)</f>
        <v>0</v>
      </c>
      <c r="H364" s="49">
        <f t="shared" si="207"/>
        <v>0</v>
      </c>
      <c r="I364" s="49">
        <f t="shared" si="207"/>
        <v>0</v>
      </c>
      <c r="J364" s="49">
        <f t="shared" si="207"/>
        <v>489</v>
      </c>
      <c r="K364" s="49">
        <f t="shared" si="207"/>
        <v>0</v>
      </c>
      <c r="L364" s="49">
        <f t="shared" si="207"/>
        <v>0</v>
      </c>
      <c r="M364" s="49">
        <f t="shared" si="207"/>
        <v>0</v>
      </c>
      <c r="N364" s="49">
        <f t="shared" si="207"/>
        <v>0</v>
      </c>
      <c r="O364" s="49">
        <f t="shared" si="207"/>
        <v>0</v>
      </c>
      <c r="P364" s="49">
        <f t="shared" si="207"/>
        <v>0</v>
      </c>
      <c r="Q364" s="49">
        <f t="shared" si="207"/>
        <v>0</v>
      </c>
      <c r="R364" s="50">
        <f t="shared" si="203"/>
        <v>0</v>
      </c>
      <c r="S364" s="49">
        <f>SUM(S363:S363)</f>
        <v>0</v>
      </c>
      <c r="T364" s="50">
        <f t="shared" si="204"/>
        <v>0</v>
      </c>
      <c r="U364" s="49">
        <f>SUM(U363:U363)</f>
        <v>0</v>
      </c>
      <c r="V364" s="50">
        <f t="shared" si="205"/>
        <v>0</v>
      </c>
      <c r="W364" s="49">
        <f>SUM(W363:W363)</f>
        <v>0</v>
      </c>
      <c r="X364" s="50">
        <f t="shared" si="206"/>
        <v>0</v>
      </c>
      <c r="Y364" s="49">
        <f>SUM(Y363:Y363)</f>
        <v>0</v>
      </c>
      <c r="Z364" s="49">
        <f>SUM(Z363:Z363)</f>
        <v>0</v>
      </c>
    </row>
    <row r="365" spans="1:26" ht="13.9" customHeight="1" x14ac:dyDescent="0.25">
      <c r="A365" s="15">
        <v>6</v>
      </c>
      <c r="B365" s="15">
        <v>1</v>
      </c>
      <c r="C365" s="15">
        <v>1</v>
      </c>
      <c r="D365" s="11" t="s">
        <v>224</v>
      </c>
      <c r="E365" s="23">
        <v>620</v>
      </c>
      <c r="F365" s="23" t="s">
        <v>126</v>
      </c>
      <c r="G365" s="24">
        <v>0</v>
      </c>
      <c r="H365" s="24">
        <v>108.24</v>
      </c>
      <c r="I365" s="24">
        <v>109</v>
      </c>
      <c r="J365" s="24">
        <v>251</v>
      </c>
      <c r="K365" s="24">
        <v>393</v>
      </c>
      <c r="L365" s="24"/>
      <c r="M365" s="24">
        <v>16</v>
      </c>
      <c r="N365" s="24">
        <v>315</v>
      </c>
      <c r="O365" s="24"/>
      <c r="P365" s="24">
        <f>K365+SUM(L365:O365)</f>
        <v>724</v>
      </c>
      <c r="Q365" s="24">
        <v>71.13</v>
      </c>
      <c r="R365" s="25">
        <f t="shared" si="203"/>
        <v>9.8245856353591149E-2</v>
      </c>
      <c r="S365" s="24">
        <v>142.26</v>
      </c>
      <c r="T365" s="25">
        <f t="shared" si="204"/>
        <v>0.1964917127071823</v>
      </c>
      <c r="U365" s="24">
        <v>338.94</v>
      </c>
      <c r="V365" s="25">
        <f t="shared" si="205"/>
        <v>0.46814917127071826</v>
      </c>
      <c r="W365" s="24">
        <v>723.21</v>
      </c>
      <c r="X365" s="25">
        <f t="shared" si="206"/>
        <v>0.99890883977900558</v>
      </c>
      <c r="Y365" s="24">
        <f>K365</f>
        <v>393</v>
      </c>
      <c r="Z365" s="24">
        <f>Y365</f>
        <v>393</v>
      </c>
    </row>
    <row r="366" spans="1:26" ht="13.9" customHeight="1" x14ac:dyDescent="0.25">
      <c r="A366" s="15">
        <v>6</v>
      </c>
      <c r="B366" s="15">
        <v>1</v>
      </c>
      <c r="C366" s="15">
        <v>1</v>
      </c>
      <c r="D366" s="11" t="s">
        <v>224</v>
      </c>
      <c r="E366" s="23">
        <v>630</v>
      </c>
      <c r="F366" s="23" t="s">
        <v>127</v>
      </c>
      <c r="G366" s="24">
        <v>1445.57</v>
      </c>
      <c r="H366" s="24">
        <v>4723.03</v>
      </c>
      <c r="I366" s="24">
        <v>6029</v>
      </c>
      <c r="J366" s="24">
        <v>9693</v>
      </c>
      <c r="K366" s="24">
        <v>9043</v>
      </c>
      <c r="L366" s="24">
        <v>491</v>
      </c>
      <c r="M366" s="24">
        <v>-606</v>
      </c>
      <c r="N366" s="24">
        <f>2000-315</f>
        <v>1685</v>
      </c>
      <c r="O366" s="24"/>
      <c r="P366" s="24">
        <f>K366+SUM(L366:O366)</f>
        <v>10613</v>
      </c>
      <c r="Q366" s="24">
        <v>1990.79</v>
      </c>
      <c r="R366" s="25">
        <f t="shared" si="203"/>
        <v>0.18758032601526428</v>
      </c>
      <c r="S366" s="24">
        <v>4601.57</v>
      </c>
      <c r="T366" s="25">
        <f t="shared" si="204"/>
        <v>0.4335786299820974</v>
      </c>
      <c r="U366" s="24">
        <v>8973.11</v>
      </c>
      <c r="V366" s="25">
        <f t="shared" si="205"/>
        <v>0.84548289833223411</v>
      </c>
      <c r="W366" s="24">
        <v>10366.9</v>
      </c>
      <c r="X366" s="25">
        <f t="shared" si="206"/>
        <v>0.97681145764628285</v>
      </c>
      <c r="Y366" s="24">
        <f>K366</f>
        <v>9043</v>
      </c>
      <c r="Z366" s="24">
        <f>Y366</f>
        <v>9043</v>
      </c>
    </row>
    <row r="367" spans="1:26" ht="13.9" customHeight="1" x14ac:dyDescent="0.25">
      <c r="A367" s="15">
        <v>6</v>
      </c>
      <c r="B367" s="15">
        <v>1</v>
      </c>
      <c r="C367" s="15">
        <v>1</v>
      </c>
      <c r="D367" s="11" t="s">
        <v>224</v>
      </c>
      <c r="E367" s="23">
        <v>640</v>
      </c>
      <c r="F367" s="23" t="s">
        <v>128</v>
      </c>
      <c r="G367" s="24">
        <v>5000</v>
      </c>
      <c r="H367" s="24">
        <v>5000</v>
      </c>
      <c r="I367" s="24">
        <v>6000</v>
      </c>
      <c r="J367" s="24">
        <v>6000</v>
      </c>
      <c r="K367" s="24">
        <v>5000</v>
      </c>
      <c r="L367" s="24">
        <v>1000</v>
      </c>
      <c r="M367" s="24"/>
      <c r="N367" s="24"/>
      <c r="O367" s="24"/>
      <c r="P367" s="24">
        <f>K367+SUM(L367:O367)</f>
        <v>6000</v>
      </c>
      <c r="Q367" s="24">
        <v>6000</v>
      </c>
      <c r="R367" s="25">
        <f t="shared" si="203"/>
        <v>1</v>
      </c>
      <c r="S367" s="24">
        <v>6000</v>
      </c>
      <c r="T367" s="25">
        <f t="shared" si="204"/>
        <v>1</v>
      </c>
      <c r="U367" s="24">
        <v>6000</v>
      </c>
      <c r="V367" s="25">
        <f t="shared" si="205"/>
        <v>1</v>
      </c>
      <c r="W367" s="24">
        <v>6000</v>
      </c>
      <c r="X367" s="25">
        <f t="shared" si="206"/>
        <v>1</v>
      </c>
      <c r="Y367" s="24">
        <f>K367</f>
        <v>5000</v>
      </c>
      <c r="Z367" s="24">
        <f>Y367</f>
        <v>5000</v>
      </c>
    </row>
    <row r="368" spans="1:26" ht="13.9" customHeight="1" x14ac:dyDescent="0.25">
      <c r="A368" s="15">
        <v>6</v>
      </c>
      <c r="B368" s="15">
        <v>1</v>
      </c>
      <c r="C368" s="15">
        <v>1</v>
      </c>
      <c r="D368" s="79" t="s">
        <v>21</v>
      </c>
      <c r="E368" s="48">
        <v>41</v>
      </c>
      <c r="F368" s="48" t="s">
        <v>23</v>
      </c>
      <c r="G368" s="49">
        <f t="shared" ref="G368:Q368" si="208">SUM(G365:G367)</f>
        <v>6445.57</v>
      </c>
      <c r="H368" s="49">
        <f t="shared" si="208"/>
        <v>9831.27</v>
      </c>
      <c r="I368" s="49">
        <f t="shared" si="208"/>
        <v>12138</v>
      </c>
      <c r="J368" s="49">
        <f t="shared" si="208"/>
        <v>15944</v>
      </c>
      <c r="K368" s="49">
        <f t="shared" si="208"/>
        <v>14436</v>
      </c>
      <c r="L368" s="49">
        <f t="shared" si="208"/>
        <v>1491</v>
      </c>
      <c r="M368" s="49">
        <f t="shared" si="208"/>
        <v>-590</v>
      </c>
      <c r="N368" s="49">
        <f t="shared" si="208"/>
        <v>2000</v>
      </c>
      <c r="O368" s="49">
        <f t="shared" si="208"/>
        <v>0</v>
      </c>
      <c r="P368" s="49">
        <f t="shared" si="208"/>
        <v>17337</v>
      </c>
      <c r="Q368" s="49">
        <f t="shared" si="208"/>
        <v>8061.92</v>
      </c>
      <c r="R368" s="50">
        <f t="shared" si="203"/>
        <v>0.46501240122281823</v>
      </c>
      <c r="S368" s="49">
        <f>SUM(S365:S367)</f>
        <v>10743.83</v>
      </c>
      <c r="T368" s="50">
        <f t="shared" si="204"/>
        <v>0.61970525465766857</v>
      </c>
      <c r="U368" s="49">
        <f>SUM(U365:U367)</f>
        <v>15312.050000000001</v>
      </c>
      <c r="V368" s="50">
        <f t="shared" si="205"/>
        <v>0.88320066908923123</v>
      </c>
      <c r="W368" s="49">
        <f>SUM(W365:W367)</f>
        <v>17090.11</v>
      </c>
      <c r="X368" s="50">
        <f t="shared" si="206"/>
        <v>0.98575935859721986</v>
      </c>
      <c r="Y368" s="49">
        <f>SUM(Y365:Y367)</f>
        <v>14436</v>
      </c>
      <c r="Z368" s="49">
        <f>SUM(Z365:Z367)</f>
        <v>14436</v>
      </c>
    </row>
    <row r="369" spans="1:26" ht="13.9" customHeight="1" x14ac:dyDescent="0.25">
      <c r="A369" s="15">
        <v>6</v>
      </c>
      <c r="B369" s="15">
        <v>1</v>
      </c>
      <c r="C369" s="15">
        <v>1</v>
      </c>
      <c r="D369" s="86"/>
      <c r="E369" s="87"/>
      <c r="F369" s="26" t="s">
        <v>120</v>
      </c>
      <c r="G369" s="27">
        <f t="shared" ref="G369:Q369" si="209">G364+G368</f>
        <v>6445.57</v>
      </c>
      <c r="H369" s="27">
        <f t="shared" si="209"/>
        <v>9831.27</v>
      </c>
      <c r="I369" s="27">
        <f t="shared" si="209"/>
        <v>12138</v>
      </c>
      <c r="J369" s="27">
        <f t="shared" si="209"/>
        <v>16433</v>
      </c>
      <c r="K369" s="27">
        <f t="shared" si="209"/>
        <v>14436</v>
      </c>
      <c r="L369" s="27">
        <f t="shared" si="209"/>
        <v>1491</v>
      </c>
      <c r="M369" s="27">
        <f t="shared" si="209"/>
        <v>-590</v>
      </c>
      <c r="N369" s="27">
        <f t="shared" si="209"/>
        <v>2000</v>
      </c>
      <c r="O369" s="27">
        <f t="shared" si="209"/>
        <v>0</v>
      </c>
      <c r="P369" s="27">
        <f t="shared" si="209"/>
        <v>17337</v>
      </c>
      <c r="Q369" s="27">
        <f t="shared" si="209"/>
        <v>8061.92</v>
      </c>
      <c r="R369" s="28">
        <f t="shared" si="203"/>
        <v>0.46501240122281823</v>
      </c>
      <c r="S369" s="27">
        <f>S364+S368</f>
        <v>10743.83</v>
      </c>
      <c r="T369" s="28">
        <f t="shared" si="204"/>
        <v>0.61970525465766857</v>
      </c>
      <c r="U369" s="27">
        <f>U364+U368</f>
        <v>15312.050000000001</v>
      </c>
      <c r="V369" s="28">
        <f t="shared" si="205"/>
        <v>0.88320066908923123</v>
      </c>
      <c r="W369" s="27">
        <f>W364+W368</f>
        <v>17090.11</v>
      </c>
      <c r="X369" s="28">
        <f t="shared" si="206"/>
        <v>0.98575935859721986</v>
      </c>
      <c r="Y369" s="27">
        <f>Y364+Y368</f>
        <v>14436</v>
      </c>
      <c r="Z369" s="27">
        <f>Z364+Z368</f>
        <v>14436</v>
      </c>
    </row>
    <row r="371" spans="1:26" ht="13.9" customHeight="1" x14ac:dyDescent="0.25">
      <c r="E371" s="115" t="s">
        <v>55</v>
      </c>
      <c r="F371" s="122" t="s">
        <v>143</v>
      </c>
      <c r="G371" s="127">
        <v>462</v>
      </c>
      <c r="H371" s="127">
        <v>946</v>
      </c>
      <c r="I371" s="127">
        <v>2746</v>
      </c>
      <c r="J371" s="127">
        <v>2402</v>
      </c>
      <c r="K371" s="127">
        <v>2402</v>
      </c>
      <c r="L371" s="127"/>
      <c r="M371" s="127">
        <v>-1286</v>
      </c>
      <c r="N371" s="127"/>
      <c r="O371" s="127"/>
      <c r="P371" s="127">
        <f>K371+SUM(L371:O371)</f>
        <v>1116</v>
      </c>
      <c r="Q371" s="127">
        <v>279.06</v>
      </c>
      <c r="R371" s="130">
        <f>IFERROR(Q371/$P371,0)</f>
        <v>0.25005376344086022</v>
      </c>
      <c r="S371" s="127">
        <v>558.12</v>
      </c>
      <c r="T371" s="130">
        <f>IFERROR(S371/$P371,0)</f>
        <v>0.50010752688172044</v>
      </c>
      <c r="U371" s="127">
        <v>837.18</v>
      </c>
      <c r="V371" s="130">
        <f>IFERROR(U371/$P371,0)</f>
        <v>0.75016129032258061</v>
      </c>
      <c r="W371" s="127">
        <v>1092.45</v>
      </c>
      <c r="X371" s="131">
        <f>IFERROR(W371/$P371,0)</f>
        <v>0.97889784946236558</v>
      </c>
      <c r="Y371" s="123">
        <f>K371</f>
        <v>2402</v>
      </c>
      <c r="Z371" s="126">
        <f>Y371</f>
        <v>2402</v>
      </c>
    </row>
    <row r="372" spans="1:26" ht="13.9" customHeight="1" x14ac:dyDescent="0.25">
      <c r="E372" s="115"/>
      <c r="F372" s="122" t="s">
        <v>225</v>
      </c>
      <c r="G372" s="127"/>
      <c r="H372" s="127"/>
      <c r="I372" s="127"/>
      <c r="J372" s="127"/>
      <c r="K372" s="127">
        <v>4484</v>
      </c>
      <c r="L372" s="127"/>
      <c r="M372" s="127"/>
      <c r="N372" s="127"/>
      <c r="O372" s="127"/>
      <c r="P372" s="127">
        <f>K372+SUM(L372:O372)</f>
        <v>4484</v>
      </c>
      <c r="Q372" s="127">
        <v>1010.61</v>
      </c>
      <c r="R372" s="130">
        <f>IFERROR(Q372/$P372,0)</f>
        <v>0.2253813559322034</v>
      </c>
      <c r="S372" s="127">
        <v>2021.22</v>
      </c>
      <c r="T372" s="130">
        <f>IFERROR(S372/$P372,0)</f>
        <v>0.45076271186440681</v>
      </c>
      <c r="U372" s="127">
        <f>3531.87-500.04</f>
        <v>3031.83</v>
      </c>
      <c r="V372" s="130">
        <f>IFERROR(U372/$P372,0)</f>
        <v>0.67614406779661018</v>
      </c>
      <c r="W372" s="127">
        <f>4985.25-500.04</f>
        <v>4485.21</v>
      </c>
      <c r="X372" s="131">
        <f>IFERROR(W372/$P372,0)</f>
        <v>1.0002698483496877</v>
      </c>
      <c r="Y372" s="123"/>
      <c r="Z372" s="126"/>
    </row>
    <row r="374" spans="1:26" ht="13.9" customHeight="1" x14ac:dyDescent="0.25">
      <c r="D374" s="73" t="s">
        <v>226</v>
      </c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4"/>
      <c r="S374" s="73"/>
      <c r="T374" s="74"/>
      <c r="U374" s="73"/>
      <c r="V374" s="74"/>
      <c r="W374" s="73"/>
      <c r="X374" s="74"/>
      <c r="Y374" s="73"/>
      <c r="Z374" s="73"/>
    </row>
    <row r="375" spans="1:26" ht="13.9" customHeight="1" x14ac:dyDescent="0.25">
      <c r="D375" s="21" t="s">
        <v>32</v>
      </c>
      <c r="E375" s="21" t="s">
        <v>33</v>
      </c>
      <c r="F375" s="21" t="s">
        <v>34</v>
      </c>
      <c r="G375" s="21" t="s">
        <v>1</v>
      </c>
      <c r="H375" s="21" t="s">
        <v>2</v>
      </c>
      <c r="I375" s="21" t="s">
        <v>3</v>
      </c>
      <c r="J375" s="21" t="s">
        <v>4</v>
      </c>
      <c r="K375" s="21" t="s">
        <v>5</v>
      </c>
      <c r="L375" s="21" t="s">
        <v>6</v>
      </c>
      <c r="M375" s="21" t="s">
        <v>7</v>
      </c>
      <c r="N375" s="21" t="s">
        <v>8</v>
      </c>
      <c r="O375" s="21" t="s">
        <v>9</v>
      </c>
      <c r="P375" s="21" t="s">
        <v>10</v>
      </c>
      <c r="Q375" s="21" t="s">
        <v>11</v>
      </c>
      <c r="R375" s="22" t="s">
        <v>12</v>
      </c>
      <c r="S375" s="21" t="s">
        <v>13</v>
      </c>
      <c r="T375" s="22" t="s">
        <v>14</v>
      </c>
      <c r="U375" s="21" t="s">
        <v>15</v>
      </c>
      <c r="V375" s="22" t="s">
        <v>16</v>
      </c>
      <c r="W375" s="21" t="s">
        <v>17</v>
      </c>
      <c r="X375" s="22" t="s">
        <v>18</v>
      </c>
      <c r="Y375" s="21" t="s">
        <v>19</v>
      </c>
      <c r="Z375" s="21" t="s">
        <v>20</v>
      </c>
    </row>
    <row r="376" spans="1:26" ht="13.9" customHeight="1" x14ac:dyDescent="0.25">
      <c r="A376" s="15">
        <v>6</v>
      </c>
      <c r="B376" s="15">
        <v>1</v>
      </c>
      <c r="C376" s="15">
        <v>2</v>
      </c>
      <c r="D376" s="84" t="s">
        <v>224</v>
      </c>
      <c r="E376" s="23">
        <v>640</v>
      </c>
      <c r="F376" s="23" t="s">
        <v>128</v>
      </c>
      <c r="G376" s="24">
        <v>3500</v>
      </c>
      <c r="H376" s="24">
        <v>5500</v>
      </c>
      <c r="I376" s="24">
        <f>SUM(I380:I381)</f>
        <v>6800</v>
      </c>
      <c r="J376" s="24">
        <f>SUM(J380:J381)</f>
        <v>6300</v>
      </c>
      <c r="K376" s="24">
        <f>SUM(K380:K381)</f>
        <v>6300</v>
      </c>
      <c r="L376" s="24"/>
      <c r="M376" s="24"/>
      <c r="N376" s="24"/>
      <c r="O376" s="24"/>
      <c r="P376" s="24">
        <f>K376+SUM(L376:O376)</f>
        <v>6300</v>
      </c>
      <c r="Q376" s="24">
        <v>300</v>
      </c>
      <c r="R376" s="25">
        <f>IFERROR(Q376/$P376,0)</f>
        <v>4.7619047619047616E-2</v>
      </c>
      <c r="S376" s="24">
        <v>6300</v>
      </c>
      <c r="T376" s="25">
        <f>IFERROR(S376/$P376,0)</f>
        <v>1</v>
      </c>
      <c r="U376" s="24">
        <v>6300</v>
      </c>
      <c r="V376" s="25">
        <f>IFERROR(U376/$P376,0)</f>
        <v>1</v>
      </c>
      <c r="W376" s="24">
        <v>6300</v>
      </c>
      <c r="X376" s="25">
        <f>IFERROR(W376/$P376,0)</f>
        <v>1</v>
      </c>
      <c r="Y376" s="24">
        <f>SUM(Y380:Y381)</f>
        <v>6300</v>
      </c>
      <c r="Z376" s="24">
        <f>SUM(Z380:Z381)</f>
        <v>6300</v>
      </c>
    </row>
    <row r="377" spans="1:26" ht="13.9" customHeight="1" x14ac:dyDescent="0.25">
      <c r="A377" s="15">
        <v>6</v>
      </c>
      <c r="B377" s="15">
        <v>1</v>
      </c>
      <c r="C377" s="15">
        <v>2</v>
      </c>
      <c r="D377" s="79" t="s">
        <v>21</v>
      </c>
      <c r="E377" s="48">
        <v>41</v>
      </c>
      <c r="F377" s="48" t="s">
        <v>23</v>
      </c>
      <c r="G377" s="49">
        <f t="shared" ref="G377:Q377" si="210">SUM(G376:G376)</f>
        <v>3500</v>
      </c>
      <c r="H377" s="49">
        <f t="shared" si="210"/>
        <v>5500</v>
      </c>
      <c r="I377" s="49">
        <f t="shared" si="210"/>
        <v>6800</v>
      </c>
      <c r="J377" s="49">
        <f t="shared" si="210"/>
        <v>6300</v>
      </c>
      <c r="K377" s="49">
        <f t="shared" si="210"/>
        <v>6300</v>
      </c>
      <c r="L377" s="49">
        <f t="shared" si="210"/>
        <v>0</v>
      </c>
      <c r="M377" s="49">
        <f t="shared" si="210"/>
        <v>0</v>
      </c>
      <c r="N377" s="49">
        <f t="shared" si="210"/>
        <v>0</v>
      </c>
      <c r="O377" s="49">
        <f t="shared" si="210"/>
        <v>0</v>
      </c>
      <c r="P377" s="49">
        <f t="shared" si="210"/>
        <v>6300</v>
      </c>
      <c r="Q377" s="49">
        <f t="shared" si="210"/>
        <v>300</v>
      </c>
      <c r="R377" s="50">
        <f>IFERROR(Q377/$P377,0)</f>
        <v>4.7619047619047616E-2</v>
      </c>
      <c r="S377" s="49">
        <f>SUM(S376:S376)</f>
        <v>6300</v>
      </c>
      <c r="T377" s="50">
        <f>IFERROR(S377/$P377,0)</f>
        <v>1</v>
      </c>
      <c r="U377" s="49">
        <f>SUM(U376:U376)</f>
        <v>6300</v>
      </c>
      <c r="V377" s="50">
        <f>IFERROR(U377/$P377,0)</f>
        <v>1</v>
      </c>
      <c r="W377" s="49">
        <f>SUM(W376:W376)</f>
        <v>6300</v>
      </c>
      <c r="X377" s="50">
        <f>IFERROR(W377/$P377,0)</f>
        <v>1</v>
      </c>
      <c r="Y377" s="49">
        <f>SUM(Y376:Y376)</f>
        <v>6300</v>
      </c>
      <c r="Z377" s="49">
        <f>SUM(Z376:Z376)</f>
        <v>6300</v>
      </c>
    </row>
    <row r="378" spans="1:26" ht="13.9" customHeight="1" x14ac:dyDescent="0.25">
      <c r="A378" s="15">
        <v>6</v>
      </c>
      <c r="B378" s="15">
        <v>1</v>
      </c>
      <c r="C378" s="15">
        <v>2</v>
      </c>
      <c r="D378" s="86"/>
      <c r="E378" s="87"/>
      <c r="F378" s="26" t="s">
        <v>120</v>
      </c>
      <c r="G378" s="27">
        <f t="shared" ref="G378:Q378" si="211">G377</f>
        <v>3500</v>
      </c>
      <c r="H378" s="27">
        <f t="shared" si="211"/>
        <v>5500</v>
      </c>
      <c r="I378" s="27">
        <f t="shared" si="211"/>
        <v>6800</v>
      </c>
      <c r="J378" s="27">
        <f t="shared" si="211"/>
        <v>6300</v>
      </c>
      <c r="K378" s="27">
        <f t="shared" si="211"/>
        <v>6300</v>
      </c>
      <c r="L378" s="27">
        <f t="shared" si="211"/>
        <v>0</v>
      </c>
      <c r="M378" s="27">
        <f t="shared" si="211"/>
        <v>0</v>
      </c>
      <c r="N378" s="27">
        <f t="shared" si="211"/>
        <v>0</v>
      </c>
      <c r="O378" s="27">
        <f t="shared" si="211"/>
        <v>0</v>
      </c>
      <c r="P378" s="27">
        <f t="shared" si="211"/>
        <v>6300</v>
      </c>
      <c r="Q378" s="27">
        <f t="shared" si="211"/>
        <v>300</v>
      </c>
      <c r="R378" s="28">
        <f>IFERROR(Q378/$P378,0)</f>
        <v>4.7619047619047616E-2</v>
      </c>
      <c r="S378" s="27">
        <f>S377</f>
        <v>6300</v>
      </c>
      <c r="T378" s="28">
        <f>IFERROR(S378/$P378,0)</f>
        <v>1</v>
      </c>
      <c r="U378" s="27">
        <f>U377</f>
        <v>6300</v>
      </c>
      <c r="V378" s="28">
        <f>IFERROR(U378/$P378,0)</f>
        <v>1</v>
      </c>
      <c r="W378" s="27">
        <f>W377</f>
        <v>6300</v>
      </c>
      <c r="X378" s="28">
        <f>IFERROR(W378/$P378,0)</f>
        <v>1</v>
      </c>
      <c r="Y378" s="27">
        <f>Y377</f>
        <v>6300</v>
      </c>
      <c r="Z378" s="27">
        <f>Z377</f>
        <v>6300</v>
      </c>
    </row>
    <row r="380" spans="1:26" ht="13.9" customHeight="1" x14ac:dyDescent="0.25">
      <c r="E380" s="52" t="s">
        <v>55</v>
      </c>
      <c r="F380" s="30" t="s">
        <v>227</v>
      </c>
      <c r="G380" s="53">
        <v>500</v>
      </c>
      <c r="H380" s="53">
        <v>500</v>
      </c>
      <c r="I380" s="53">
        <v>800</v>
      </c>
      <c r="J380" s="53">
        <v>300</v>
      </c>
      <c r="K380" s="53">
        <v>300</v>
      </c>
      <c r="L380" s="53"/>
      <c r="M380" s="53"/>
      <c r="N380" s="53"/>
      <c r="O380" s="53"/>
      <c r="P380" s="53">
        <f>K380+SUM(L380:O380)</f>
        <v>300</v>
      </c>
      <c r="Q380" s="53">
        <v>300</v>
      </c>
      <c r="R380" s="54">
        <f>IFERROR(Q380/$P380,0)</f>
        <v>1</v>
      </c>
      <c r="S380" s="53">
        <v>300</v>
      </c>
      <c r="T380" s="54">
        <f>IFERROR(S380/$P380,0)</f>
        <v>1</v>
      </c>
      <c r="U380" s="53">
        <v>300</v>
      </c>
      <c r="V380" s="54">
        <f>IFERROR(U380/$P380,0)</f>
        <v>1</v>
      </c>
      <c r="W380" s="53">
        <v>300</v>
      </c>
      <c r="X380" s="55">
        <f>IFERROR(W380/$P380,0)</f>
        <v>1</v>
      </c>
      <c r="Y380" s="53">
        <f>K380</f>
        <v>300</v>
      </c>
      <c r="Z380" s="56">
        <f>Y380</f>
        <v>300</v>
      </c>
    </row>
    <row r="381" spans="1:26" ht="13.9" customHeight="1" x14ac:dyDescent="0.25">
      <c r="E381" s="100"/>
      <c r="F381" s="101" t="s">
        <v>228</v>
      </c>
      <c r="G381" s="105">
        <v>3000</v>
      </c>
      <c r="H381" s="105">
        <v>5000</v>
      </c>
      <c r="I381" s="105">
        <v>6000</v>
      </c>
      <c r="J381" s="105">
        <v>6000</v>
      </c>
      <c r="K381" s="105">
        <v>6000</v>
      </c>
      <c r="L381" s="105"/>
      <c r="M381" s="105"/>
      <c r="N381" s="105"/>
      <c r="O381" s="105"/>
      <c r="P381" s="105">
        <f>K381+SUM(L381:O381)</f>
        <v>6000</v>
      </c>
      <c r="Q381" s="105">
        <v>0</v>
      </c>
      <c r="R381" s="132">
        <f>IFERROR(Q381/$P381,0)</f>
        <v>0</v>
      </c>
      <c r="S381" s="105">
        <v>6000</v>
      </c>
      <c r="T381" s="132">
        <f>IFERROR(S381/$P381,0)</f>
        <v>1</v>
      </c>
      <c r="U381" s="105">
        <v>6000</v>
      </c>
      <c r="V381" s="132">
        <f>IFERROR(U381/$P381,0)</f>
        <v>1</v>
      </c>
      <c r="W381" s="105">
        <v>6000</v>
      </c>
      <c r="X381" s="133">
        <f>IFERROR(W381/$P381,0)</f>
        <v>1</v>
      </c>
      <c r="Y381" s="105">
        <f>K381</f>
        <v>6000</v>
      </c>
      <c r="Z381" s="106">
        <f>Y381</f>
        <v>6000</v>
      </c>
    </row>
    <row r="383" spans="1:26" ht="13.9" customHeight="1" x14ac:dyDescent="0.25">
      <c r="D383" s="41" t="s">
        <v>229</v>
      </c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2"/>
      <c r="S383" s="41"/>
      <c r="T383" s="42"/>
      <c r="U383" s="41"/>
      <c r="V383" s="42"/>
      <c r="W383" s="41"/>
      <c r="X383" s="42"/>
      <c r="Y383" s="41"/>
      <c r="Z383" s="41"/>
    </row>
    <row r="384" spans="1:26" ht="13.9" customHeight="1" x14ac:dyDescent="0.25">
      <c r="D384" s="121"/>
      <c r="E384" s="121"/>
      <c r="F384" s="121"/>
      <c r="G384" s="21" t="s">
        <v>1</v>
      </c>
      <c r="H384" s="21" t="s">
        <v>2</v>
      </c>
      <c r="I384" s="21" t="s">
        <v>3</v>
      </c>
      <c r="J384" s="21" t="s">
        <v>4</v>
      </c>
      <c r="K384" s="21" t="s">
        <v>5</v>
      </c>
      <c r="L384" s="21" t="s">
        <v>6</v>
      </c>
      <c r="M384" s="21" t="s">
        <v>7</v>
      </c>
      <c r="N384" s="21" t="s">
        <v>8</v>
      </c>
      <c r="O384" s="21" t="s">
        <v>9</v>
      </c>
      <c r="P384" s="21" t="s">
        <v>10</v>
      </c>
      <c r="Q384" s="21" t="s">
        <v>11</v>
      </c>
      <c r="R384" s="22" t="s">
        <v>12</v>
      </c>
      <c r="S384" s="21" t="s">
        <v>13</v>
      </c>
      <c r="T384" s="22" t="s">
        <v>14</v>
      </c>
      <c r="U384" s="21" t="s">
        <v>15</v>
      </c>
      <c r="V384" s="22" t="s">
        <v>16</v>
      </c>
      <c r="W384" s="21" t="s">
        <v>17</v>
      </c>
      <c r="X384" s="22" t="s">
        <v>18</v>
      </c>
      <c r="Y384" s="21" t="s">
        <v>19</v>
      </c>
      <c r="Z384" s="21" t="s">
        <v>20</v>
      </c>
    </row>
    <row r="385" spans="1:26" ht="13.9" hidden="1" customHeight="1" x14ac:dyDescent="0.25">
      <c r="A385" s="15">
        <v>6</v>
      </c>
      <c r="B385" s="15">
        <v>2</v>
      </c>
      <c r="D385" s="2" t="s">
        <v>21</v>
      </c>
      <c r="E385" s="23">
        <v>111</v>
      </c>
      <c r="F385" s="23" t="s">
        <v>130</v>
      </c>
      <c r="G385" s="24">
        <f t="shared" ref="G385:Q385" si="212">G392</f>
        <v>0</v>
      </c>
      <c r="H385" s="24">
        <f t="shared" si="212"/>
        <v>0</v>
      </c>
      <c r="I385" s="24">
        <f t="shared" si="212"/>
        <v>0</v>
      </c>
      <c r="J385" s="24">
        <f t="shared" si="212"/>
        <v>72</v>
      </c>
      <c r="K385" s="24">
        <f t="shared" si="212"/>
        <v>0</v>
      </c>
      <c r="L385" s="24">
        <f t="shared" si="212"/>
        <v>0</v>
      </c>
      <c r="M385" s="24">
        <f t="shared" si="212"/>
        <v>0</v>
      </c>
      <c r="N385" s="24">
        <f t="shared" si="212"/>
        <v>0</v>
      </c>
      <c r="O385" s="24">
        <f t="shared" si="212"/>
        <v>0</v>
      </c>
      <c r="P385" s="24">
        <f t="shared" si="212"/>
        <v>0</v>
      </c>
      <c r="Q385" s="24">
        <f t="shared" si="212"/>
        <v>0</v>
      </c>
      <c r="R385" s="25">
        <f>IFERROR(Q385/$P385,0)</f>
        <v>0</v>
      </c>
      <c r="S385" s="24">
        <f>S392</f>
        <v>0</v>
      </c>
      <c r="T385" s="25">
        <f>IFERROR(S385/$P385,0)</f>
        <v>0</v>
      </c>
      <c r="U385" s="24">
        <f>U392</f>
        <v>0</v>
      </c>
      <c r="V385" s="25">
        <f>IFERROR(U385/$P385,0)</f>
        <v>0</v>
      </c>
      <c r="W385" s="24">
        <f>W392</f>
        <v>0</v>
      </c>
      <c r="X385" s="25">
        <f>IFERROR(W385/$P385,0)</f>
        <v>0</v>
      </c>
      <c r="Y385" s="24">
        <f>Y392</f>
        <v>0</v>
      </c>
      <c r="Z385" s="24">
        <f>Z392</f>
        <v>0</v>
      </c>
    </row>
    <row r="386" spans="1:26" ht="13.9" customHeight="1" x14ac:dyDescent="0.25">
      <c r="A386" s="15">
        <v>6</v>
      </c>
      <c r="B386" s="15">
        <v>2</v>
      </c>
      <c r="D386" s="2" t="s">
        <v>21</v>
      </c>
      <c r="E386" s="135">
        <v>41</v>
      </c>
      <c r="F386" s="135" t="s">
        <v>23</v>
      </c>
      <c r="G386" s="24">
        <f t="shared" ref="G386:O386" si="213">G394+G405+G417</f>
        <v>10350.09</v>
      </c>
      <c r="H386" s="24">
        <f t="shared" si="213"/>
        <v>12610.43</v>
      </c>
      <c r="I386" s="24">
        <f t="shared" si="213"/>
        <v>14945</v>
      </c>
      <c r="J386" s="24">
        <f t="shared" si="213"/>
        <v>14689</v>
      </c>
      <c r="K386" s="24">
        <f t="shared" si="213"/>
        <v>15981</v>
      </c>
      <c r="L386" s="24">
        <f t="shared" si="213"/>
        <v>-22</v>
      </c>
      <c r="M386" s="24">
        <f t="shared" si="213"/>
        <v>35</v>
      </c>
      <c r="N386" s="24">
        <f t="shared" si="213"/>
        <v>691</v>
      </c>
      <c r="O386" s="24">
        <f t="shared" si="213"/>
        <v>0</v>
      </c>
      <c r="P386" s="24">
        <f>K386+SUM(L386:O386)</f>
        <v>16685</v>
      </c>
      <c r="Q386" s="24">
        <f>Q394+Q405+Q417</f>
        <v>1298.0000000000002</v>
      </c>
      <c r="R386" s="25">
        <f>IFERROR(Q386/$P386,0)</f>
        <v>7.7794426131255631E-2</v>
      </c>
      <c r="S386" s="24">
        <f>S394+S405+S417</f>
        <v>11374.220000000001</v>
      </c>
      <c r="T386" s="25">
        <f>IFERROR(S386/$P386,0)</f>
        <v>0.68170332634102493</v>
      </c>
      <c r="U386" s="24">
        <f>U394+U405+U417</f>
        <v>13984</v>
      </c>
      <c r="V386" s="25">
        <f>IFERROR(U386/$P386,0)</f>
        <v>0.83811807012286488</v>
      </c>
      <c r="W386" s="24">
        <f>W394+W405+W417</f>
        <v>16450.02</v>
      </c>
      <c r="X386" s="25">
        <f>IFERROR(W386/$P386,0)</f>
        <v>0.98591669163919693</v>
      </c>
      <c r="Y386" s="24">
        <f>Y394+Y405+Y417</f>
        <v>15981</v>
      </c>
      <c r="Z386" s="24">
        <f>Z394+Z405+Z417</f>
        <v>15981</v>
      </c>
    </row>
    <row r="387" spans="1:26" ht="13.9" customHeight="1" x14ac:dyDescent="0.25">
      <c r="A387" s="15">
        <v>6</v>
      </c>
      <c r="B387" s="15">
        <v>2</v>
      </c>
      <c r="D387" s="30"/>
      <c r="E387" s="31"/>
      <c r="F387" s="26" t="s">
        <v>120</v>
      </c>
      <c r="G387" s="27">
        <f t="shared" ref="G387:Q387" si="214">SUM(G385:G386)</f>
        <v>10350.09</v>
      </c>
      <c r="H387" s="27">
        <f t="shared" si="214"/>
        <v>12610.43</v>
      </c>
      <c r="I387" s="27">
        <f t="shared" si="214"/>
        <v>14945</v>
      </c>
      <c r="J387" s="27">
        <f t="shared" si="214"/>
        <v>14761</v>
      </c>
      <c r="K387" s="27">
        <f t="shared" si="214"/>
        <v>15981</v>
      </c>
      <c r="L387" s="27">
        <f t="shared" si="214"/>
        <v>-22</v>
      </c>
      <c r="M387" s="27">
        <f t="shared" si="214"/>
        <v>35</v>
      </c>
      <c r="N387" s="27">
        <f t="shared" si="214"/>
        <v>691</v>
      </c>
      <c r="O387" s="27">
        <f t="shared" si="214"/>
        <v>0</v>
      </c>
      <c r="P387" s="27">
        <f t="shared" si="214"/>
        <v>16685</v>
      </c>
      <c r="Q387" s="27">
        <f t="shared" si="214"/>
        <v>1298.0000000000002</v>
      </c>
      <c r="R387" s="28">
        <f>IFERROR(Q387/$P387,0)</f>
        <v>7.7794426131255631E-2</v>
      </c>
      <c r="S387" s="27">
        <f>SUM(S385:S386)</f>
        <v>11374.220000000001</v>
      </c>
      <c r="T387" s="28">
        <f>IFERROR(S387/$P387,0)</f>
        <v>0.68170332634102493</v>
      </c>
      <c r="U387" s="27">
        <f>SUM(U385:U386)</f>
        <v>13984</v>
      </c>
      <c r="V387" s="28">
        <f>IFERROR(U387/$P387,0)</f>
        <v>0.83811807012286488</v>
      </c>
      <c r="W387" s="27">
        <f>SUM(W385:W386)</f>
        <v>16450.02</v>
      </c>
      <c r="X387" s="28">
        <f>IFERROR(W387/$P387,0)</f>
        <v>0.98591669163919693</v>
      </c>
      <c r="Y387" s="27">
        <f>SUM(Y385:Y386)</f>
        <v>15981</v>
      </c>
      <c r="Z387" s="27">
        <f>SUM(Z385:Z386)</f>
        <v>15981</v>
      </c>
    </row>
    <row r="389" spans="1:26" ht="13.9" customHeight="1" x14ac:dyDescent="0.25">
      <c r="D389" s="73" t="s">
        <v>230</v>
      </c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4"/>
      <c r="S389" s="73"/>
      <c r="T389" s="74"/>
      <c r="U389" s="73"/>
      <c r="V389" s="74"/>
      <c r="W389" s="73"/>
      <c r="X389" s="74"/>
      <c r="Y389" s="73"/>
      <c r="Z389" s="73"/>
    </row>
    <row r="390" spans="1:26" ht="13.9" customHeight="1" x14ac:dyDescent="0.25">
      <c r="D390" s="21" t="s">
        <v>32</v>
      </c>
      <c r="E390" s="21" t="s">
        <v>33</v>
      </c>
      <c r="F390" s="21" t="s">
        <v>34</v>
      </c>
      <c r="G390" s="21" t="s">
        <v>1</v>
      </c>
      <c r="H390" s="21" t="s">
        <v>2</v>
      </c>
      <c r="I390" s="21" t="s">
        <v>3</v>
      </c>
      <c r="J390" s="21" t="s">
        <v>4</v>
      </c>
      <c r="K390" s="21" t="s">
        <v>5</v>
      </c>
      <c r="L390" s="21" t="s">
        <v>6</v>
      </c>
      <c r="M390" s="21" t="s">
        <v>7</v>
      </c>
      <c r="N390" s="21" t="s">
        <v>8</v>
      </c>
      <c r="O390" s="21" t="s">
        <v>9</v>
      </c>
      <c r="P390" s="21" t="s">
        <v>10</v>
      </c>
      <c r="Q390" s="21" t="s">
        <v>11</v>
      </c>
      <c r="R390" s="22" t="s">
        <v>12</v>
      </c>
      <c r="S390" s="21" t="s">
        <v>13</v>
      </c>
      <c r="T390" s="22" t="s">
        <v>14</v>
      </c>
      <c r="U390" s="21" t="s">
        <v>15</v>
      </c>
      <c r="V390" s="22" t="s">
        <v>16</v>
      </c>
      <c r="W390" s="21" t="s">
        <v>17</v>
      </c>
      <c r="X390" s="22" t="s">
        <v>18</v>
      </c>
      <c r="Y390" s="21" t="s">
        <v>19</v>
      </c>
      <c r="Z390" s="21" t="s">
        <v>20</v>
      </c>
    </row>
    <row r="391" spans="1:26" ht="13.9" hidden="1" customHeight="1" x14ac:dyDescent="0.25">
      <c r="A391" s="15">
        <v>6</v>
      </c>
      <c r="B391" s="15">
        <v>2</v>
      </c>
      <c r="C391" s="15">
        <v>1</v>
      </c>
      <c r="D391" s="84" t="s">
        <v>231</v>
      </c>
      <c r="E391" s="23">
        <v>630</v>
      </c>
      <c r="F391" s="23" t="s">
        <v>127</v>
      </c>
      <c r="G391" s="24">
        <v>0</v>
      </c>
      <c r="H391" s="24">
        <v>0</v>
      </c>
      <c r="I391" s="24">
        <v>0</v>
      </c>
      <c r="J391" s="24">
        <v>72</v>
      </c>
      <c r="K391" s="24">
        <v>0</v>
      </c>
      <c r="L391" s="24"/>
      <c r="M391" s="24"/>
      <c r="N391" s="24"/>
      <c r="O391" s="24"/>
      <c r="P391" s="24">
        <f>K391+SUM(L391:O391)</f>
        <v>0</v>
      </c>
      <c r="Q391" s="24"/>
      <c r="R391" s="25">
        <f>IFERROR(Q391/$P391,0)</f>
        <v>0</v>
      </c>
      <c r="S391" s="24"/>
      <c r="T391" s="25">
        <f>IFERROR(S391/$P391,0)</f>
        <v>0</v>
      </c>
      <c r="U391" s="24"/>
      <c r="V391" s="25">
        <f>IFERROR(U391/$P391,0)</f>
        <v>0</v>
      </c>
      <c r="W391" s="24"/>
      <c r="X391" s="25">
        <f>IFERROR(W391/$P391,0)</f>
        <v>0</v>
      </c>
      <c r="Y391" s="24">
        <v>0</v>
      </c>
      <c r="Z391" s="24">
        <f>Y391</f>
        <v>0</v>
      </c>
    </row>
    <row r="392" spans="1:26" ht="13.9" hidden="1" customHeight="1" x14ac:dyDescent="0.25">
      <c r="A392" s="15">
        <v>6</v>
      </c>
      <c r="B392" s="15">
        <v>2</v>
      </c>
      <c r="C392" s="15">
        <v>1</v>
      </c>
      <c r="D392" s="79" t="s">
        <v>21</v>
      </c>
      <c r="E392" s="85">
        <v>111</v>
      </c>
      <c r="F392" s="48" t="s">
        <v>130</v>
      </c>
      <c r="G392" s="49">
        <f t="shared" ref="G392:Q392" si="215">SUM(G391:G391)</f>
        <v>0</v>
      </c>
      <c r="H392" s="49">
        <f t="shared" si="215"/>
        <v>0</v>
      </c>
      <c r="I392" s="49">
        <f t="shared" si="215"/>
        <v>0</v>
      </c>
      <c r="J392" s="49">
        <f t="shared" si="215"/>
        <v>72</v>
      </c>
      <c r="K392" s="49">
        <f t="shared" si="215"/>
        <v>0</v>
      </c>
      <c r="L392" s="49">
        <f t="shared" si="215"/>
        <v>0</v>
      </c>
      <c r="M392" s="49">
        <f t="shared" si="215"/>
        <v>0</v>
      </c>
      <c r="N392" s="49">
        <f t="shared" si="215"/>
        <v>0</v>
      </c>
      <c r="O392" s="49">
        <f t="shared" si="215"/>
        <v>0</v>
      </c>
      <c r="P392" s="49">
        <f t="shared" si="215"/>
        <v>0</v>
      </c>
      <c r="Q392" s="49">
        <f t="shared" si="215"/>
        <v>0</v>
      </c>
      <c r="R392" s="50">
        <f>IFERROR(Q392/$P392,0)</f>
        <v>0</v>
      </c>
      <c r="S392" s="49">
        <f>SUM(S391:S391)</f>
        <v>0</v>
      </c>
      <c r="T392" s="50">
        <f>IFERROR(S392/$P392,0)</f>
        <v>0</v>
      </c>
      <c r="U392" s="49">
        <f>SUM(U391:U391)</f>
        <v>0</v>
      </c>
      <c r="V392" s="50">
        <f>IFERROR(U392/$P392,0)</f>
        <v>0</v>
      </c>
      <c r="W392" s="49">
        <f>SUM(W391:W391)</f>
        <v>0</v>
      </c>
      <c r="X392" s="50">
        <f>IFERROR(W392/$P392,0)</f>
        <v>0</v>
      </c>
      <c r="Y392" s="49">
        <f>SUM(Y391:Y391)</f>
        <v>0</v>
      </c>
      <c r="Z392" s="49">
        <f>SUM(Z391:Z391)</f>
        <v>0</v>
      </c>
    </row>
    <row r="393" spans="1:26" ht="13.9" customHeight="1" x14ac:dyDescent="0.25">
      <c r="A393" s="15">
        <v>6</v>
      </c>
      <c r="B393" s="15">
        <v>2</v>
      </c>
      <c r="C393" s="15">
        <v>1</v>
      </c>
      <c r="D393" s="84" t="s">
        <v>231</v>
      </c>
      <c r="E393" s="23">
        <v>630</v>
      </c>
      <c r="F393" s="23" t="s">
        <v>127</v>
      </c>
      <c r="G393" s="46">
        <v>1166.99</v>
      </c>
      <c r="H393" s="46">
        <v>434.5</v>
      </c>
      <c r="I393" s="46">
        <v>789</v>
      </c>
      <c r="J393" s="46">
        <v>603</v>
      </c>
      <c r="K393" s="46">
        <v>675</v>
      </c>
      <c r="L393" s="46">
        <v>-22</v>
      </c>
      <c r="M393" s="46">
        <v>-165</v>
      </c>
      <c r="N393" s="46"/>
      <c r="O393" s="46">
        <v>11</v>
      </c>
      <c r="P393" s="46">
        <f>K393+SUM(L393:O393)</f>
        <v>499</v>
      </c>
      <c r="Q393" s="46">
        <v>120.58</v>
      </c>
      <c r="R393" s="47">
        <f>IFERROR(Q393/$P393,0)</f>
        <v>0.24164328657314629</v>
      </c>
      <c r="S393" s="46">
        <v>243.16</v>
      </c>
      <c r="T393" s="47">
        <f>IFERROR(S393/$P393,0)</f>
        <v>0.48729458917835672</v>
      </c>
      <c r="U393" s="46">
        <v>365.74</v>
      </c>
      <c r="V393" s="47">
        <f>IFERROR(U393/$P393,0)</f>
        <v>0.73294589178356717</v>
      </c>
      <c r="W393" s="46">
        <v>498.88</v>
      </c>
      <c r="X393" s="47">
        <f>IFERROR(W393/$P393,0)</f>
        <v>0.99975951903807614</v>
      </c>
      <c r="Y393" s="46">
        <f>K393</f>
        <v>675</v>
      </c>
      <c r="Z393" s="46">
        <f>Y393</f>
        <v>675</v>
      </c>
    </row>
    <row r="394" spans="1:26" ht="13.9" customHeight="1" x14ac:dyDescent="0.25">
      <c r="A394" s="15">
        <v>6</v>
      </c>
      <c r="B394" s="15">
        <v>2</v>
      </c>
      <c r="C394" s="15">
        <v>1</v>
      </c>
      <c r="D394" s="79" t="s">
        <v>21</v>
      </c>
      <c r="E394" s="48">
        <v>41</v>
      </c>
      <c r="F394" s="48" t="s">
        <v>23</v>
      </c>
      <c r="G394" s="49">
        <f t="shared" ref="G394:Q394" si="216">SUM(G393:G393)</f>
        <v>1166.99</v>
      </c>
      <c r="H394" s="49">
        <f t="shared" si="216"/>
        <v>434.5</v>
      </c>
      <c r="I394" s="49">
        <f t="shared" si="216"/>
        <v>789</v>
      </c>
      <c r="J394" s="49">
        <f t="shared" si="216"/>
        <v>603</v>
      </c>
      <c r="K394" s="49">
        <f t="shared" si="216"/>
        <v>675</v>
      </c>
      <c r="L394" s="49">
        <f t="shared" si="216"/>
        <v>-22</v>
      </c>
      <c r="M394" s="49">
        <f t="shared" si="216"/>
        <v>-165</v>
      </c>
      <c r="N394" s="49">
        <f t="shared" si="216"/>
        <v>0</v>
      </c>
      <c r="O394" s="49">
        <f t="shared" si="216"/>
        <v>11</v>
      </c>
      <c r="P394" s="49">
        <f t="shared" si="216"/>
        <v>499</v>
      </c>
      <c r="Q394" s="49">
        <f t="shared" si="216"/>
        <v>120.58</v>
      </c>
      <c r="R394" s="50">
        <f>IFERROR(Q394/$P394,0)</f>
        <v>0.24164328657314629</v>
      </c>
      <c r="S394" s="49">
        <f>SUM(S393:S393)</f>
        <v>243.16</v>
      </c>
      <c r="T394" s="50">
        <f>IFERROR(S394/$P394,0)</f>
        <v>0.48729458917835672</v>
      </c>
      <c r="U394" s="49">
        <f>SUM(U393:U393)</f>
        <v>365.74</v>
      </c>
      <c r="V394" s="50">
        <f>IFERROR(U394/$P394,0)</f>
        <v>0.73294589178356717</v>
      </c>
      <c r="W394" s="49">
        <f>SUM(W393:W393)</f>
        <v>498.88</v>
      </c>
      <c r="X394" s="50">
        <f>IFERROR(W394/$P394,0)</f>
        <v>0.99975951903807614</v>
      </c>
      <c r="Y394" s="49">
        <f>SUM(Y393:Y393)</f>
        <v>675</v>
      </c>
      <c r="Z394" s="49">
        <f>SUM(Z393:Z393)</f>
        <v>675</v>
      </c>
    </row>
    <row r="395" spans="1:26" ht="13.9" customHeight="1" x14ac:dyDescent="0.25">
      <c r="A395" s="15">
        <v>6</v>
      </c>
      <c r="B395" s="15">
        <v>2</v>
      </c>
      <c r="C395" s="15">
        <v>1</v>
      </c>
      <c r="D395" s="86"/>
      <c r="E395" s="87"/>
      <c r="F395" s="26" t="s">
        <v>120</v>
      </c>
      <c r="G395" s="27">
        <f t="shared" ref="G395:Q395" si="217">G392+G394</f>
        <v>1166.99</v>
      </c>
      <c r="H395" s="27">
        <f t="shared" si="217"/>
        <v>434.5</v>
      </c>
      <c r="I395" s="27">
        <f t="shared" si="217"/>
        <v>789</v>
      </c>
      <c r="J395" s="27">
        <f t="shared" si="217"/>
        <v>675</v>
      </c>
      <c r="K395" s="27">
        <f t="shared" si="217"/>
        <v>675</v>
      </c>
      <c r="L395" s="27">
        <f t="shared" si="217"/>
        <v>-22</v>
      </c>
      <c r="M395" s="27">
        <f t="shared" si="217"/>
        <v>-165</v>
      </c>
      <c r="N395" s="27">
        <f t="shared" si="217"/>
        <v>0</v>
      </c>
      <c r="O395" s="27">
        <f t="shared" si="217"/>
        <v>11</v>
      </c>
      <c r="P395" s="27">
        <f t="shared" si="217"/>
        <v>499</v>
      </c>
      <c r="Q395" s="27">
        <f t="shared" si="217"/>
        <v>120.58</v>
      </c>
      <c r="R395" s="28">
        <f>IFERROR(Q395/$P395,0)</f>
        <v>0.24164328657314629</v>
      </c>
      <c r="S395" s="27">
        <f>S392+S394</f>
        <v>243.16</v>
      </c>
      <c r="T395" s="28">
        <f>IFERROR(S395/$P395,0)</f>
        <v>0.48729458917835672</v>
      </c>
      <c r="U395" s="27">
        <f>U392+U394</f>
        <v>365.74</v>
      </c>
      <c r="V395" s="28">
        <f>IFERROR(U395/$P395,0)</f>
        <v>0.73294589178356717</v>
      </c>
      <c r="W395" s="27">
        <f>W392+W394</f>
        <v>498.88</v>
      </c>
      <c r="X395" s="28">
        <f>IFERROR(W395/$P395,0)</f>
        <v>0.99975951903807614</v>
      </c>
      <c r="Y395" s="27">
        <f>Y392+Y394</f>
        <v>675</v>
      </c>
      <c r="Z395" s="27">
        <f>Z392+Z394</f>
        <v>675</v>
      </c>
    </row>
    <row r="397" spans="1:26" ht="13.9" customHeight="1" x14ac:dyDescent="0.25">
      <c r="E397" s="52" t="s">
        <v>55</v>
      </c>
      <c r="F397" s="30" t="s">
        <v>143</v>
      </c>
      <c r="G397" s="53">
        <v>519.20000000000005</v>
      </c>
      <c r="H397" s="53">
        <v>385</v>
      </c>
      <c r="I397" s="53">
        <v>695</v>
      </c>
      <c r="J397" s="53">
        <v>631</v>
      </c>
      <c r="K397" s="53">
        <v>631</v>
      </c>
      <c r="L397" s="53"/>
      <c r="M397" s="53">
        <v>-165</v>
      </c>
      <c r="N397" s="53"/>
      <c r="O397" s="53"/>
      <c r="P397" s="53">
        <f>K397+SUM(L397:O397)</f>
        <v>466</v>
      </c>
      <c r="Q397" s="53">
        <v>116.58</v>
      </c>
      <c r="R397" s="54">
        <f>IFERROR(Q397/$P397,0)</f>
        <v>0.25017167381974248</v>
      </c>
      <c r="S397" s="53">
        <v>233.16</v>
      </c>
      <c r="T397" s="54">
        <f>IFERROR(S397/$P397,0)</f>
        <v>0.50034334763948496</v>
      </c>
      <c r="U397" s="53">
        <v>349.74</v>
      </c>
      <c r="V397" s="54">
        <f>IFERROR(U397/$P397,0)</f>
        <v>0.75051502145922744</v>
      </c>
      <c r="W397" s="53">
        <v>466.18</v>
      </c>
      <c r="X397" s="55">
        <f>IFERROR(W397/$P397,0)</f>
        <v>1.0003862660944207</v>
      </c>
      <c r="Y397" s="53">
        <f>P397</f>
        <v>466</v>
      </c>
      <c r="Z397" s="56">
        <f>Y397</f>
        <v>466</v>
      </c>
    </row>
    <row r="398" spans="1:26" ht="13.9" customHeight="1" x14ac:dyDescent="0.25">
      <c r="E398" s="65"/>
      <c r="F398" s="66" t="s">
        <v>144</v>
      </c>
      <c r="G398" s="67">
        <v>636</v>
      </c>
      <c r="H398" s="67">
        <v>49.5</v>
      </c>
      <c r="I398" s="67">
        <v>44</v>
      </c>
      <c r="J398" s="67">
        <v>44</v>
      </c>
      <c r="K398" s="67">
        <v>44</v>
      </c>
      <c r="L398" s="67">
        <v>-22</v>
      </c>
      <c r="M398" s="67"/>
      <c r="N398" s="67"/>
      <c r="O398" s="67"/>
      <c r="P398" s="67">
        <f>K398+SUM(L398:O398)</f>
        <v>22</v>
      </c>
      <c r="Q398" s="67">
        <v>4</v>
      </c>
      <c r="R398" s="68">
        <f>IFERROR(Q398/$P398,0)</f>
        <v>0.18181818181818182</v>
      </c>
      <c r="S398" s="67">
        <v>10</v>
      </c>
      <c r="T398" s="68">
        <f>IFERROR(S398/$P398,0)</f>
        <v>0.45454545454545453</v>
      </c>
      <c r="U398" s="67">
        <v>16</v>
      </c>
      <c r="V398" s="68">
        <f>IFERROR(U398/$P398,0)</f>
        <v>0.72727272727272729</v>
      </c>
      <c r="W398" s="67">
        <v>22</v>
      </c>
      <c r="X398" s="69">
        <f>IFERROR(W398/$P398,0)</f>
        <v>1</v>
      </c>
      <c r="Y398" s="67">
        <f>P398</f>
        <v>22</v>
      </c>
      <c r="Z398" s="70">
        <f>Y398</f>
        <v>22</v>
      </c>
    </row>
    <row r="400" spans="1:26" ht="13.9" customHeight="1" x14ac:dyDescent="0.25">
      <c r="D400" s="73" t="s">
        <v>232</v>
      </c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4"/>
      <c r="S400" s="73"/>
      <c r="T400" s="74"/>
      <c r="U400" s="73"/>
      <c r="V400" s="74"/>
      <c r="W400" s="73"/>
      <c r="X400" s="74"/>
      <c r="Y400" s="73"/>
      <c r="Z400" s="73"/>
    </row>
    <row r="401" spans="1:26" ht="13.9" customHeight="1" x14ac:dyDescent="0.25">
      <c r="D401" s="21" t="s">
        <v>32</v>
      </c>
      <c r="E401" s="21" t="s">
        <v>33</v>
      </c>
      <c r="F401" s="21" t="s">
        <v>34</v>
      </c>
      <c r="G401" s="21" t="s">
        <v>1</v>
      </c>
      <c r="H401" s="21" t="s">
        <v>2</v>
      </c>
      <c r="I401" s="21" t="s">
        <v>3</v>
      </c>
      <c r="J401" s="21" t="s">
        <v>4</v>
      </c>
      <c r="K401" s="21" t="s">
        <v>5</v>
      </c>
      <c r="L401" s="21" t="s">
        <v>6</v>
      </c>
      <c r="M401" s="21" t="s">
        <v>7</v>
      </c>
      <c r="N401" s="21" t="s">
        <v>8</v>
      </c>
      <c r="O401" s="21" t="s">
        <v>9</v>
      </c>
      <c r="P401" s="21" t="s">
        <v>10</v>
      </c>
      <c r="Q401" s="21" t="s">
        <v>11</v>
      </c>
      <c r="R401" s="22" t="s">
        <v>12</v>
      </c>
      <c r="S401" s="21" t="s">
        <v>13</v>
      </c>
      <c r="T401" s="22" t="s">
        <v>14</v>
      </c>
      <c r="U401" s="21" t="s">
        <v>15</v>
      </c>
      <c r="V401" s="22" t="s">
        <v>16</v>
      </c>
      <c r="W401" s="21" t="s">
        <v>17</v>
      </c>
      <c r="X401" s="22" t="s">
        <v>18</v>
      </c>
      <c r="Y401" s="21" t="s">
        <v>19</v>
      </c>
      <c r="Z401" s="21" t="s">
        <v>20</v>
      </c>
    </row>
    <row r="402" spans="1:26" ht="13.9" customHeight="1" x14ac:dyDescent="0.25">
      <c r="A402" s="15">
        <v>6</v>
      </c>
      <c r="B402" s="15">
        <v>2</v>
      </c>
      <c r="C402" s="15">
        <v>2</v>
      </c>
      <c r="D402" s="5" t="s">
        <v>231</v>
      </c>
      <c r="E402" s="23">
        <v>620</v>
      </c>
      <c r="F402" s="23" t="s">
        <v>126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27</v>
      </c>
      <c r="M402" s="24"/>
      <c r="N402" s="24">
        <v>27</v>
      </c>
      <c r="O402" s="24"/>
      <c r="P402" s="24">
        <f>K402+SUM(L402:O402)</f>
        <v>54</v>
      </c>
      <c r="Q402" s="24">
        <v>27.97</v>
      </c>
      <c r="R402" s="25">
        <f>IFERROR(Q402/$P402,0)</f>
        <v>0.51796296296296296</v>
      </c>
      <c r="S402" s="24">
        <v>27.97</v>
      </c>
      <c r="T402" s="25">
        <f>IFERROR(S402/$P402,0)</f>
        <v>0.51796296296296296</v>
      </c>
      <c r="U402" s="24">
        <v>27.97</v>
      </c>
      <c r="V402" s="25">
        <f>IFERROR(U402/$P402,0)</f>
        <v>0.51796296296296296</v>
      </c>
      <c r="W402" s="24">
        <v>53.65</v>
      </c>
      <c r="X402" s="25">
        <f>IFERROR(W402/$P402,0)</f>
        <v>0.99351851851851847</v>
      </c>
      <c r="Y402" s="24">
        <f>K402</f>
        <v>0</v>
      </c>
      <c r="Z402" s="24">
        <f>Y402</f>
        <v>0</v>
      </c>
    </row>
    <row r="403" spans="1:26" ht="13.9" customHeight="1" x14ac:dyDescent="0.25">
      <c r="D403" s="5"/>
      <c r="E403" s="23">
        <v>630</v>
      </c>
      <c r="F403" s="23" t="s">
        <v>127</v>
      </c>
      <c r="G403" s="24">
        <v>6320.3</v>
      </c>
      <c r="H403" s="24">
        <v>6662.96</v>
      </c>
      <c r="I403" s="24">
        <v>8635</v>
      </c>
      <c r="J403" s="24">
        <v>8736</v>
      </c>
      <c r="K403" s="24">
        <v>9000</v>
      </c>
      <c r="L403" s="24">
        <v>-27</v>
      </c>
      <c r="M403" s="24"/>
      <c r="N403" s="24">
        <f>691-27</f>
        <v>664</v>
      </c>
      <c r="O403" s="24">
        <v>-11</v>
      </c>
      <c r="P403" s="24">
        <f>K403+SUM(L403:O403)</f>
        <v>9626</v>
      </c>
      <c r="Q403" s="24">
        <v>582.07000000000005</v>
      </c>
      <c r="R403" s="25">
        <f>IFERROR(Q403/$P403,0)</f>
        <v>6.0468522750883033E-2</v>
      </c>
      <c r="S403" s="24">
        <v>6226.07</v>
      </c>
      <c r="T403" s="25">
        <f>IFERROR(S403/$P403,0)</f>
        <v>0.64679721587367545</v>
      </c>
      <c r="U403" s="24">
        <v>7964.07</v>
      </c>
      <c r="V403" s="25">
        <f>IFERROR(U403/$P403,0)</f>
        <v>0.82734988572615831</v>
      </c>
      <c r="W403" s="24">
        <v>9476.93</v>
      </c>
      <c r="X403" s="25">
        <f>IFERROR(W403/$P403,0)</f>
        <v>0.98451381674631211</v>
      </c>
      <c r="Y403" s="24">
        <f>K403</f>
        <v>9000</v>
      </c>
      <c r="Z403" s="24">
        <f>Y403</f>
        <v>9000</v>
      </c>
    </row>
    <row r="404" spans="1:26" ht="13.9" customHeight="1" x14ac:dyDescent="0.25">
      <c r="A404" s="15">
        <v>6</v>
      </c>
      <c r="B404" s="15">
        <v>2</v>
      </c>
      <c r="C404" s="15">
        <v>2</v>
      </c>
      <c r="D404" s="5" t="s">
        <v>231</v>
      </c>
      <c r="E404" s="23">
        <v>640</v>
      </c>
      <c r="F404" s="23" t="s">
        <v>128</v>
      </c>
      <c r="G404" s="24">
        <v>150</v>
      </c>
      <c r="H404" s="24">
        <v>2675</v>
      </c>
      <c r="I404" s="24">
        <v>2675</v>
      </c>
      <c r="J404" s="24">
        <v>2675</v>
      </c>
      <c r="K404" s="24">
        <v>3450</v>
      </c>
      <c r="L404" s="24"/>
      <c r="M404" s="24">
        <v>200</v>
      </c>
      <c r="N404" s="24"/>
      <c r="O404" s="24"/>
      <c r="P404" s="24">
        <f>K404+SUM(L404:O404)</f>
        <v>3650</v>
      </c>
      <c r="Q404" s="24">
        <v>0</v>
      </c>
      <c r="R404" s="25">
        <f>IFERROR(Q404/$P404,0)</f>
        <v>0</v>
      </c>
      <c r="S404" s="24">
        <v>3650</v>
      </c>
      <c r="T404" s="25">
        <f>IFERROR(S404/$P404,0)</f>
        <v>1</v>
      </c>
      <c r="U404" s="24">
        <v>3650</v>
      </c>
      <c r="V404" s="25">
        <f>IFERROR(U404/$P404,0)</f>
        <v>1</v>
      </c>
      <c r="W404" s="24">
        <v>3650</v>
      </c>
      <c r="X404" s="25">
        <f>IFERROR(W404/$P404,0)</f>
        <v>1</v>
      </c>
      <c r="Y404" s="24">
        <f>K404</f>
        <v>3450</v>
      </c>
      <c r="Z404" s="24">
        <f>Y404</f>
        <v>3450</v>
      </c>
    </row>
    <row r="405" spans="1:26" ht="13.9" customHeight="1" x14ac:dyDescent="0.25">
      <c r="A405" s="15">
        <v>6</v>
      </c>
      <c r="B405" s="15">
        <v>2</v>
      </c>
      <c r="C405" s="15">
        <v>2</v>
      </c>
      <c r="D405" s="79" t="s">
        <v>21</v>
      </c>
      <c r="E405" s="48">
        <v>41</v>
      </c>
      <c r="F405" s="48" t="s">
        <v>23</v>
      </c>
      <c r="G405" s="49">
        <f t="shared" ref="G405:Q405" si="218">SUM(G402:G404)</f>
        <v>6470.3</v>
      </c>
      <c r="H405" s="49">
        <f t="shared" si="218"/>
        <v>9337.9599999999991</v>
      </c>
      <c r="I405" s="49">
        <f t="shared" si="218"/>
        <v>11310</v>
      </c>
      <c r="J405" s="49">
        <f t="shared" si="218"/>
        <v>11411</v>
      </c>
      <c r="K405" s="49">
        <f t="shared" si="218"/>
        <v>12450</v>
      </c>
      <c r="L405" s="49">
        <f t="shared" si="218"/>
        <v>0</v>
      </c>
      <c r="M405" s="49">
        <f t="shared" si="218"/>
        <v>200</v>
      </c>
      <c r="N405" s="49">
        <f t="shared" si="218"/>
        <v>691</v>
      </c>
      <c r="O405" s="49">
        <f t="shared" si="218"/>
        <v>-11</v>
      </c>
      <c r="P405" s="49">
        <f t="shared" si="218"/>
        <v>13330</v>
      </c>
      <c r="Q405" s="49">
        <f t="shared" si="218"/>
        <v>610.04000000000008</v>
      </c>
      <c r="R405" s="50">
        <f>IFERROR(Q405/$P405,0)</f>
        <v>4.5764441110277575E-2</v>
      </c>
      <c r="S405" s="49">
        <f>SUM(S402:S404)</f>
        <v>9904.0400000000009</v>
      </c>
      <c r="T405" s="50">
        <f>IFERROR(S405/$P405,0)</f>
        <v>0.74298874718679675</v>
      </c>
      <c r="U405" s="49">
        <f>SUM(U402:U404)</f>
        <v>11642.04</v>
      </c>
      <c r="V405" s="50">
        <f>IFERROR(U405/$P405,0)</f>
        <v>0.87337134283570894</v>
      </c>
      <c r="W405" s="49">
        <f>SUM(W402:W404)</f>
        <v>13180.58</v>
      </c>
      <c r="X405" s="50">
        <f>IFERROR(W405/$P405,0)</f>
        <v>0.98879069767441863</v>
      </c>
      <c r="Y405" s="49">
        <f>SUM(Y402:Y404)</f>
        <v>12450</v>
      </c>
      <c r="Z405" s="49">
        <f>SUM(Z402:Z404)</f>
        <v>12450</v>
      </c>
    </row>
    <row r="406" spans="1:26" ht="13.9" customHeight="1" x14ac:dyDescent="0.25">
      <c r="A406" s="15">
        <v>6</v>
      </c>
      <c r="B406" s="15">
        <v>2</v>
      </c>
      <c r="C406" s="15">
        <v>2</v>
      </c>
      <c r="D406" s="86"/>
      <c r="E406" s="87"/>
      <c r="F406" s="26" t="s">
        <v>120</v>
      </c>
      <c r="G406" s="27">
        <f t="shared" ref="G406:Q406" si="219">G405</f>
        <v>6470.3</v>
      </c>
      <c r="H406" s="27">
        <f t="shared" si="219"/>
        <v>9337.9599999999991</v>
      </c>
      <c r="I406" s="27">
        <f t="shared" si="219"/>
        <v>11310</v>
      </c>
      <c r="J406" s="27">
        <f t="shared" si="219"/>
        <v>11411</v>
      </c>
      <c r="K406" s="27">
        <f t="shared" si="219"/>
        <v>12450</v>
      </c>
      <c r="L406" s="27">
        <f t="shared" si="219"/>
        <v>0</v>
      </c>
      <c r="M406" s="27">
        <f t="shared" si="219"/>
        <v>200</v>
      </c>
      <c r="N406" s="27">
        <f t="shared" si="219"/>
        <v>691</v>
      </c>
      <c r="O406" s="27">
        <f t="shared" si="219"/>
        <v>-11</v>
      </c>
      <c r="P406" s="27">
        <f t="shared" si="219"/>
        <v>13330</v>
      </c>
      <c r="Q406" s="27">
        <f t="shared" si="219"/>
        <v>610.04000000000008</v>
      </c>
      <c r="R406" s="28">
        <f>IFERROR(Q406/$P406,0)</f>
        <v>4.5764441110277575E-2</v>
      </c>
      <c r="S406" s="27">
        <f>S405</f>
        <v>9904.0400000000009</v>
      </c>
      <c r="T406" s="28">
        <f>IFERROR(S406/$P406,0)</f>
        <v>0.74298874718679675</v>
      </c>
      <c r="U406" s="27">
        <f>U405</f>
        <v>11642.04</v>
      </c>
      <c r="V406" s="28">
        <f>IFERROR(U406/$P406,0)</f>
        <v>0.87337134283570894</v>
      </c>
      <c r="W406" s="27">
        <f>W405</f>
        <v>13180.58</v>
      </c>
      <c r="X406" s="28">
        <f>IFERROR(W406/$P406,0)</f>
        <v>0.98879069767441863</v>
      </c>
      <c r="Y406" s="27">
        <f>Y405</f>
        <v>12450</v>
      </c>
      <c r="Z406" s="27">
        <f>Z405</f>
        <v>12450</v>
      </c>
    </row>
    <row r="408" spans="1:26" ht="13.9" customHeight="1" x14ac:dyDescent="0.25">
      <c r="E408" s="52" t="s">
        <v>55</v>
      </c>
      <c r="F408" s="30" t="s">
        <v>233</v>
      </c>
      <c r="G408" s="53"/>
      <c r="H408" s="53">
        <v>2500</v>
      </c>
      <c r="I408" s="53">
        <v>2500</v>
      </c>
      <c r="J408" s="53">
        <v>2500</v>
      </c>
      <c r="K408" s="53">
        <v>3200</v>
      </c>
      <c r="L408" s="53"/>
      <c r="M408" s="53"/>
      <c r="N408" s="53"/>
      <c r="O408" s="53"/>
      <c r="P408" s="53">
        <f>K408+SUM(L408:O408)</f>
        <v>3200</v>
      </c>
      <c r="Q408" s="53">
        <v>0</v>
      </c>
      <c r="R408" s="54">
        <f>IFERROR(Q408/$P408,0)</f>
        <v>0</v>
      </c>
      <c r="S408" s="53">
        <v>3200</v>
      </c>
      <c r="T408" s="54">
        <f>IFERROR(S408/$P408,0)</f>
        <v>1</v>
      </c>
      <c r="U408" s="53">
        <v>3200</v>
      </c>
      <c r="V408" s="54">
        <f>IFERROR(U408/$P408,0)</f>
        <v>1</v>
      </c>
      <c r="W408" s="53">
        <v>3200</v>
      </c>
      <c r="X408" s="55">
        <f>IFERROR(W408/$P408,0)</f>
        <v>1</v>
      </c>
      <c r="Y408" s="53">
        <f>K408</f>
        <v>3200</v>
      </c>
      <c r="Z408" s="56">
        <f>Y408</f>
        <v>3200</v>
      </c>
    </row>
    <row r="409" spans="1:26" ht="13.9" customHeight="1" x14ac:dyDescent="0.25">
      <c r="E409" s="57"/>
      <c r="F409" s="15" t="s">
        <v>234</v>
      </c>
      <c r="G409" s="59">
        <v>150</v>
      </c>
      <c r="H409" s="59">
        <v>175</v>
      </c>
      <c r="I409" s="59">
        <v>175</v>
      </c>
      <c r="J409" s="59">
        <v>175</v>
      </c>
      <c r="K409" s="59">
        <v>250</v>
      </c>
      <c r="L409" s="59"/>
      <c r="M409" s="59">
        <v>200</v>
      </c>
      <c r="N409" s="59"/>
      <c r="O409" s="59"/>
      <c r="P409" s="59">
        <f>K409+SUM(L409:O409)</f>
        <v>450</v>
      </c>
      <c r="Q409" s="59">
        <v>0</v>
      </c>
      <c r="R409" s="16">
        <f>IFERROR(Q409/$P409,0)</f>
        <v>0</v>
      </c>
      <c r="S409" s="59">
        <v>450</v>
      </c>
      <c r="T409" s="16">
        <f>IFERROR(S409/$P409,0)</f>
        <v>1</v>
      </c>
      <c r="U409" s="59">
        <v>450</v>
      </c>
      <c r="V409" s="16">
        <f>IFERROR(U409/$P409,0)</f>
        <v>1</v>
      </c>
      <c r="W409" s="59">
        <v>450</v>
      </c>
      <c r="X409" s="60">
        <f>IFERROR(W409/$P409,0)</f>
        <v>1</v>
      </c>
      <c r="Y409" s="59">
        <f>K409</f>
        <v>250</v>
      </c>
      <c r="Z409" s="61">
        <f>Y409</f>
        <v>250</v>
      </c>
    </row>
    <row r="410" spans="1:26" ht="13.9" customHeight="1" x14ac:dyDescent="0.25">
      <c r="E410" s="57"/>
      <c r="F410" s="15" t="s">
        <v>235</v>
      </c>
      <c r="G410" s="62">
        <v>3163.2</v>
      </c>
      <c r="H410" s="62">
        <v>5528.96</v>
      </c>
      <c r="I410" s="62">
        <v>7000</v>
      </c>
      <c r="J410" s="62">
        <v>5641</v>
      </c>
      <c r="K410" s="62">
        <v>5500</v>
      </c>
      <c r="L410" s="62"/>
      <c r="M410" s="62"/>
      <c r="N410" s="62">
        <v>288</v>
      </c>
      <c r="O410" s="62"/>
      <c r="P410" s="62">
        <f>K410+SUM(L410:O410)</f>
        <v>5788</v>
      </c>
      <c r="Q410" s="62">
        <v>0</v>
      </c>
      <c r="R410" s="63">
        <f>IFERROR(Q410/$P410,0)</f>
        <v>0</v>
      </c>
      <c r="S410" s="62">
        <v>4350</v>
      </c>
      <c r="T410" s="63">
        <f>IFERROR(S410/$P410,0)</f>
        <v>0.75155494125777467</v>
      </c>
      <c r="U410" s="62">
        <v>5788</v>
      </c>
      <c r="V410" s="63">
        <f>IFERROR(U410/$P410,0)</f>
        <v>1</v>
      </c>
      <c r="W410" s="62">
        <v>5788</v>
      </c>
      <c r="X410" s="64">
        <f>IFERROR(W410/$P410,0)</f>
        <v>1</v>
      </c>
      <c r="Y410" s="59">
        <f>K410</f>
        <v>5500</v>
      </c>
      <c r="Z410" s="61">
        <f>Y410</f>
        <v>5500</v>
      </c>
    </row>
    <row r="411" spans="1:26" ht="13.9" customHeight="1" x14ac:dyDescent="0.25">
      <c r="E411" s="65"/>
      <c r="F411" s="94" t="s">
        <v>236</v>
      </c>
      <c r="G411" s="95">
        <v>1177.0999999999999</v>
      </c>
      <c r="H411" s="95">
        <v>1134</v>
      </c>
      <c r="I411" s="95">
        <v>3135</v>
      </c>
      <c r="J411" s="95">
        <v>3095</v>
      </c>
      <c r="K411" s="95">
        <v>3500</v>
      </c>
      <c r="L411" s="95"/>
      <c r="M411" s="95"/>
      <c r="N411" s="95">
        <v>403</v>
      </c>
      <c r="O411" s="95">
        <v>-11</v>
      </c>
      <c r="P411" s="95">
        <f>K411+SUM(L411:O411)</f>
        <v>3892</v>
      </c>
      <c r="Q411" s="95">
        <v>610.04</v>
      </c>
      <c r="R411" s="96">
        <f>IFERROR(Q411/$P411,0)</f>
        <v>0.15674203494347377</v>
      </c>
      <c r="S411" s="95">
        <v>1904.04</v>
      </c>
      <c r="T411" s="96">
        <f>IFERROR(S411/$P411,0)</f>
        <v>0.48921891058581707</v>
      </c>
      <c r="U411" s="95">
        <v>2204.04</v>
      </c>
      <c r="V411" s="96">
        <f>IFERROR(U411/$P411,0)</f>
        <v>0.56630010277492293</v>
      </c>
      <c r="W411" s="95">
        <v>3742.58</v>
      </c>
      <c r="X411" s="97">
        <f>IFERROR(W411/$P411,0)</f>
        <v>0.96160842754367937</v>
      </c>
      <c r="Y411" s="95">
        <f>K411</f>
        <v>3500</v>
      </c>
      <c r="Z411" s="70">
        <f>Y411</f>
        <v>3500</v>
      </c>
    </row>
    <row r="413" spans="1:26" ht="13.9" customHeight="1" x14ac:dyDescent="0.25">
      <c r="D413" s="73" t="s">
        <v>237</v>
      </c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4"/>
      <c r="S413" s="73"/>
      <c r="T413" s="74"/>
      <c r="U413" s="73"/>
      <c r="V413" s="74"/>
      <c r="W413" s="73"/>
      <c r="X413" s="74"/>
      <c r="Y413" s="73"/>
      <c r="Z413" s="73"/>
    </row>
    <row r="414" spans="1:26" ht="13.9" customHeight="1" x14ac:dyDescent="0.25">
      <c r="D414" s="21" t="s">
        <v>32</v>
      </c>
      <c r="E414" s="21" t="s">
        <v>33</v>
      </c>
      <c r="F414" s="21" t="s">
        <v>34</v>
      </c>
      <c r="G414" s="21" t="s">
        <v>1</v>
      </c>
      <c r="H414" s="21" t="s">
        <v>2</v>
      </c>
      <c r="I414" s="21" t="s">
        <v>3</v>
      </c>
      <c r="J414" s="21" t="s">
        <v>4</v>
      </c>
      <c r="K414" s="21" t="s">
        <v>5</v>
      </c>
      <c r="L414" s="21" t="s">
        <v>6</v>
      </c>
      <c r="M414" s="21" t="s">
        <v>7</v>
      </c>
      <c r="N414" s="21" t="s">
        <v>8</v>
      </c>
      <c r="O414" s="21" t="s">
        <v>9</v>
      </c>
      <c r="P414" s="21" t="s">
        <v>10</v>
      </c>
      <c r="Q414" s="21" t="s">
        <v>11</v>
      </c>
      <c r="R414" s="22" t="s">
        <v>12</v>
      </c>
      <c r="S414" s="21" t="s">
        <v>13</v>
      </c>
      <c r="T414" s="22" t="s">
        <v>14</v>
      </c>
      <c r="U414" s="21" t="s">
        <v>15</v>
      </c>
      <c r="V414" s="22" t="s">
        <v>16</v>
      </c>
      <c r="W414" s="21" t="s">
        <v>17</v>
      </c>
      <c r="X414" s="22" t="s">
        <v>18</v>
      </c>
      <c r="Y414" s="21" t="s">
        <v>19</v>
      </c>
      <c r="Z414" s="21" t="s">
        <v>20</v>
      </c>
    </row>
    <row r="415" spans="1:26" ht="13.9" customHeight="1" x14ac:dyDescent="0.25">
      <c r="A415" s="15">
        <v>6</v>
      </c>
      <c r="B415" s="15">
        <v>2</v>
      </c>
      <c r="C415" s="15">
        <v>3</v>
      </c>
      <c r="D415" s="11" t="s">
        <v>231</v>
      </c>
      <c r="E415" s="23">
        <v>620</v>
      </c>
      <c r="F415" s="23" t="s">
        <v>126</v>
      </c>
      <c r="G415" s="24">
        <v>17.260000000000002</v>
      </c>
      <c r="H415" s="24">
        <v>17.760000000000002</v>
      </c>
      <c r="I415" s="24">
        <v>18</v>
      </c>
      <c r="J415" s="24">
        <v>18</v>
      </c>
      <c r="K415" s="24">
        <v>18</v>
      </c>
      <c r="L415" s="24"/>
      <c r="M415" s="24"/>
      <c r="N415" s="24"/>
      <c r="O415" s="24"/>
      <c r="P415" s="24">
        <f>K415+SUM(L415:O415)</f>
        <v>18</v>
      </c>
      <c r="Q415" s="24">
        <v>4.4400000000000004</v>
      </c>
      <c r="R415" s="25">
        <f>IFERROR(Q415/$P415,0)</f>
        <v>0.2466666666666667</v>
      </c>
      <c r="S415" s="24">
        <v>8.8800000000000008</v>
      </c>
      <c r="T415" s="25">
        <f>IFERROR(S415/$P415,0)</f>
        <v>0.4933333333333334</v>
      </c>
      <c r="U415" s="24">
        <v>13.32</v>
      </c>
      <c r="V415" s="25">
        <f>IFERROR(U415/$P415,0)</f>
        <v>0.74</v>
      </c>
      <c r="W415" s="24">
        <v>17.760000000000002</v>
      </c>
      <c r="X415" s="25">
        <f>IFERROR(W415/$P415,0)</f>
        <v>0.9866666666666668</v>
      </c>
      <c r="Y415" s="24">
        <f>K415</f>
        <v>18</v>
      </c>
      <c r="Z415" s="24">
        <f>Y415</f>
        <v>18</v>
      </c>
    </row>
    <row r="416" spans="1:26" ht="13.9" customHeight="1" x14ac:dyDescent="0.25">
      <c r="A416" s="15">
        <v>6</v>
      </c>
      <c r="B416" s="15">
        <v>2</v>
      </c>
      <c r="C416" s="15">
        <v>3</v>
      </c>
      <c r="D416" s="11" t="s">
        <v>231</v>
      </c>
      <c r="E416" s="23">
        <v>630</v>
      </c>
      <c r="F416" s="23" t="s">
        <v>127</v>
      </c>
      <c r="G416" s="24">
        <v>2695.54</v>
      </c>
      <c r="H416" s="24">
        <v>2820.21</v>
      </c>
      <c r="I416" s="24">
        <v>2828</v>
      </c>
      <c r="J416" s="24">
        <v>2657</v>
      </c>
      <c r="K416" s="24">
        <v>2838</v>
      </c>
      <c r="L416" s="24"/>
      <c r="M416" s="24"/>
      <c r="N416" s="24"/>
      <c r="O416" s="24"/>
      <c r="P416" s="24">
        <f>K416+SUM(L416:O416)</f>
        <v>2838</v>
      </c>
      <c r="Q416" s="24">
        <v>562.94000000000005</v>
      </c>
      <c r="R416" s="25">
        <f>IFERROR(Q416/$P416,0)</f>
        <v>0.19835799859055675</v>
      </c>
      <c r="S416" s="24">
        <v>1218.1400000000001</v>
      </c>
      <c r="T416" s="25">
        <f>IFERROR(S416/$P416,0)</f>
        <v>0.4292248062015504</v>
      </c>
      <c r="U416" s="24">
        <v>1962.9</v>
      </c>
      <c r="V416" s="25">
        <f>IFERROR(U416/$P416,0)</f>
        <v>0.69164904862579279</v>
      </c>
      <c r="W416" s="24">
        <v>2752.8</v>
      </c>
      <c r="X416" s="25">
        <f>IFERROR(W416/$P416,0)</f>
        <v>0.96997885835095143</v>
      </c>
      <c r="Y416" s="24">
        <f>K416</f>
        <v>2838</v>
      </c>
      <c r="Z416" s="24">
        <f>Y416</f>
        <v>2838</v>
      </c>
    </row>
    <row r="417" spans="1:26" ht="13.9" customHeight="1" x14ac:dyDescent="0.25">
      <c r="A417" s="15">
        <v>6</v>
      </c>
      <c r="B417" s="15">
        <v>2</v>
      </c>
      <c r="C417" s="15">
        <v>3</v>
      </c>
      <c r="D417" s="79" t="s">
        <v>21</v>
      </c>
      <c r="E417" s="48">
        <v>41</v>
      </c>
      <c r="F417" s="48" t="s">
        <v>23</v>
      </c>
      <c r="G417" s="49">
        <f t="shared" ref="G417:Q417" si="220">SUM(G415:G416)</f>
        <v>2712.8</v>
      </c>
      <c r="H417" s="49">
        <f t="shared" si="220"/>
        <v>2837.9700000000003</v>
      </c>
      <c r="I417" s="49">
        <f t="shared" si="220"/>
        <v>2846</v>
      </c>
      <c r="J417" s="49">
        <f t="shared" si="220"/>
        <v>2675</v>
      </c>
      <c r="K417" s="49">
        <f t="shared" si="220"/>
        <v>2856</v>
      </c>
      <c r="L417" s="49">
        <f t="shared" si="220"/>
        <v>0</v>
      </c>
      <c r="M417" s="49">
        <f t="shared" si="220"/>
        <v>0</v>
      </c>
      <c r="N417" s="49">
        <f t="shared" si="220"/>
        <v>0</v>
      </c>
      <c r="O417" s="49">
        <f t="shared" si="220"/>
        <v>0</v>
      </c>
      <c r="P417" s="49">
        <f t="shared" si="220"/>
        <v>2856</v>
      </c>
      <c r="Q417" s="49">
        <f t="shared" si="220"/>
        <v>567.38000000000011</v>
      </c>
      <c r="R417" s="50">
        <f>IFERROR(Q417/$P417,0)</f>
        <v>0.19866246498599444</v>
      </c>
      <c r="S417" s="49">
        <f>SUM(S415:S416)</f>
        <v>1227.0200000000002</v>
      </c>
      <c r="T417" s="50">
        <f>IFERROR(S417/$P417,0)</f>
        <v>0.42962885154061631</v>
      </c>
      <c r="U417" s="49">
        <f>SUM(U415:U416)</f>
        <v>1976.22</v>
      </c>
      <c r="V417" s="50">
        <f>IFERROR(U417/$P417,0)</f>
        <v>0.691953781512605</v>
      </c>
      <c r="W417" s="49">
        <f>SUM(W415:W416)</f>
        <v>2770.5600000000004</v>
      </c>
      <c r="X417" s="50">
        <f>IFERROR(W417/$P417,0)</f>
        <v>0.97008403361344553</v>
      </c>
      <c r="Y417" s="49">
        <f>SUM(Y415:Y416)</f>
        <v>2856</v>
      </c>
      <c r="Z417" s="49">
        <f>SUM(Z415:Z416)</f>
        <v>2856</v>
      </c>
    </row>
    <row r="418" spans="1:26" ht="13.9" customHeight="1" x14ac:dyDescent="0.25">
      <c r="A418" s="15">
        <v>6</v>
      </c>
      <c r="B418" s="15">
        <v>2</v>
      </c>
      <c r="C418" s="15">
        <v>3</v>
      </c>
      <c r="D418" s="86"/>
      <c r="E418" s="87"/>
      <c r="F418" s="26" t="s">
        <v>120</v>
      </c>
      <c r="G418" s="27">
        <f t="shared" ref="G418:Q418" si="221">G417</f>
        <v>2712.8</v>
      </c>
      <c r="H418" s="27">
        <f t="shared" si="221"/>
        <v>2837.9700000000003</v>
      </c>
      <c r="I418" s="27">
        <f t="shared" si="221"/>
        <v>2846</v>
      </c>
      <c r="J418" s="27">
        <f t="shared" si="221"/>
        <v>2675</v>
      </c>
      <c r="K418" s="27">
        <f t="shared" si="221"/>
        <v>2856</v>
      </c>
      <c r="L418" s="27">
        <f t="shared" si="221"/>
        <v>0</v>
      </c>
      <c r="M418" s="27">
        <f t="shared" si="221"/>
        <v>0</v>
      </c>
      <c r="N418" s="27">
        <f t="shared" si="221"/>
        <v>0</v>
      </c>
      <c r="O418" s="27">
        <f t="shared" si="221"/>
        <v>0</v>
      </c>
      <c r="P418" s="27">
        <f t="shared" si="221"/>
        <v>2856</v>
      </c>
      <c r="Q418" s="27">
        <f t="shared" si="221"/>
        <v>567.38000000000011</v>
      </c>
      <c r="R418" s="28">
        <f>IFERROR(Q418/$P418,0)</f>
        <v>0.19866246498599444</v>
      </c>
      <c r="S418" s="27">
        <f>S417</f>
        <v>1227.0200000000002</v>
      </c>
      <c r="T418" s="28">
        <f>IFERROR(S418/$P418,0)</f>
        <v>0.42962885154061631</v>
      </c>
      <c r="U418" s="27">
        <f>U417</f>
        <v>1976.22</v>
      </c>
      <c r="V418" s="28">
        <f>IFERROR(U418/$P418,0)</f>
        <v>0.691953781512605</v>
      </c>
      <c r="W418" s="27">
        <f>W417</f>
        <v>2770.5600000000004</v>
      </c>
      <c r="X418" s="28">
        <f>IFERROR(W418/$P418,0)</f>
        <v>0.97008403361344553</v>
      </c>
      <c r="Y418" s="27">
        <f>Y417</f>
        <v>2856</v>
      </c>
      <c r="Z418" s="27">
        <f>Z417</f>
        <v>2856</v>
      </c>
    </row>
    <row r="420" spans="1:26" ht="13.9" customHeight="1" x14ac:dyDescent="0.25">
      <c r="D420" s="41" t="s">
        <v>238</v>
      </c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2"/>
      <c r="S420" s="41"/>
      <c r="T420" s="42"/>
      <c r="U420" s="41"/>
      <c r="V420" s="42"/>
      <c r="W420" s="41"/>
      <c r="X420" s="42"/>
      <c r="Y420" s="41"/>
      <c r="Z420" s="41"/>
    </row>
    <row r="421" spans="1:26" ht="13.9" hidden="1" customHeight="1" x14ac:dyDescent="0.25">
      <c r="A421" s="15">
        <v>6</v>
      </c>
      <c r="B421" s="15">
        <v>3</v>
      </c>
      <c r="D421" s="13" t="s">
        <v>21</v>
      </c>
      <c r="E421" s="23">
        <v>111</v>
      </c>
      <c r="F421" s="23" t="s">
        <v>130</v>
      </c>
      <c r="G421" s="24">
        <f t="shared" ref="G421:Q421" si="222">G428</f>
        <v>0</v>
      </c>
      <c r="H421" s="24">
        <f t="shared" si="222"/>
        <v>0</v>
      </c>
      <c r="I421" s="24">
        <f t="shared" si="222"/>
        <v>0</v>
      </c>
      <c r="J421" s="24">
        <f t="shared" si="222"/>
        <v>470</v>
      </c>
      <c r="K421" s="24">
        <f t="shared" si="222"/>
        <v>0</v>
      </c>
      <c r="L421" s="24">
        <f t="shared" si="222"/>
        <v>0</v>
      </c>
      <c r="M421" s="24">
        <f t="shared" si="222"/>
        <v>0</v>
      </c>
      <c r="N421" s="24">
        <f t="shared" si="222"/>
        <v>0</v>
      </c>
      <c r="O421" s="24">
        <f t="shared" si="222"/>
        <v>0</v>
      </c>
      <c r="P421" s="24">
        <f t="shared" si="222"/>
        <v>0</v>
      </c>
      <c r="Q421" s="24">
        <f t="shared" si="222"/>
        <v>0</v>
      </c>
      <c r="R421" s="25">
        <f>IFERROR(Q421/$P421,0)</f>
        <v>0</v>
      </c>
      <c r="S421" s="24">
        <f>S428</f>
        <v>0</v>
      </c>
      <c r="T421" s="25">
        <f>IFERROR(S421/$P421,0)</f>
        <v>0</v>
      </c>
      <c r="U421" s="24">
        <f>U428</f>
        <v>0</v>
      </c>
      <c r="V421" s="25">
        <f>IFERROR(U421/$P421,0)</f>
        <v>0</v>
      </c>
      <c r="W421" s="24">
        <f>W428</f>
        <v>0</v>
      </c>
      <c r="X421" s="25">
        <f>IFERROR(W421/$P421,0)</f>
        <v>0</v>
      </c>
      <c r="Y421" s="24">
        <f>Y428</f>
        <v>0</v>
      </c>
      <c r="Z421" s="24">
        <f>Z428</f>
        <v>0</v>
      </c>
    </row>
    <row r="422" spans="1:26" ht="13.9" customHeight="1" x14ac:dyDescent="0.25">
      <c r="A422" s="15">
        <v>6</v>
      </c>
      <c r="B422" s="15">
        <v>3</v>
      </c>
      <c r="D422" s="13" t="s">
        <v>21</v>
      </c>
      <c r="E422" s="23">
        <v>41</v>
      </c>
      <c r="F422" s="23" t="s">
        <v>23</v>
      </c>
      <c r="G422" s="24">
        <f t="shared" ref="G422:Q422" si="223">G430+G440</f>
        <v>9940.2200000000012</v>
      </c>
      <c r="H422" s="24">
        <f t="shared" si="223"/>
        <v>11940.66</v>
      </c>
      <c r="I422" s="24">
        <f t="shared" si="223"/>
        <v>11601</v>
      </c>
      <c r="J422" s="24">
        <f t="shared" si="223"/>
        <v>9531</v>
      </c>
      <c r="K422" s="24">
        <f t="shared" si="223"/>
        <v>10374</v>
      </c>
      <c r="L422" s="24">
        <f t="shared" si="223"/>
        <v>629</v>
      </c>
      <c r="M422" s="24">
        <f t="shared" si="223"/>
        <v>514</v>
      </c>
      <c r="N422" s="24">
        <f t="shared" si="223"/>
        <v>122</v>
      </c>
      <c r="O422" s="24">
        <f t="shared" si="223"/>
        <v>93</v>
      </c>
      <c r="P422" s="24">
        <f t="shared" si="223"/>
        <v>11732</v>
      </c>
      <c r="Q422" s="24">
        <f t="shared" si="223"/>
        <v>3170.52</v>
      </c>
      <c r="R422" s="25">
        <f>IFERROR(Q422/$P422,0)</f>
        <v>0.27024548244118651</v>
      </c>
      <c r="S422" s="24">
        <f>S430+S440</f>
        <v>7439.38</v>
      </c>
      <c r="T422" s="25">
        <f>IFERROR(S422/$P422,0)</f>
        <v>0.63411012615069895</v>
      </c>
      <c r="U422" s="24">
        <f>U430+U440</f>
        <v>9739.68</v>
      </c>
      <c r="V422" s="25">
        <f>IFERROR(U422/$P422,0)</f>
        <v>0.83018070235254005</v>
      </c>
      <c r="W422" s="24">
        <f>W430+W440</f>
        <v>10184.290000000001</v>
      </c>
      <c r="X422" s="25">
        <f>IFERROR(W422/$P422,0)</f>
        <v>0.86807790658029327</v>
      </c>
      <c r="Y422" s="24">
        <f>Y430+Y440</f>
        <v>10374</v>
      </c>
      <c r="Z422" s="24">
        <f>Z430+Z440</f>
        <v>10374</v>
      </c>
    </row>
    <row r="423" spans="1:26" ht="13.9" customHeight="1" x14ac:dyDescent="0.25">
      <c r="A423" s="15">
        <v>6</v>
      </c>
      <c r="B423" s="15">
        <v>3</v>
      </c>
      <c r="D423" s="30"/>
      <c r="E423" s="31"/>
      <c r="F423" s="26" t="s">
        <v>120</v>
      </c>
      <c r="G423" s="27">
        <f t="shared" ref="G423:Q423" si="224">SUM(G421:G422)</f>
        <v>9940.2200000000012</v>
      </c>
      <c r="H423" s="27">
        <f t="shared" si="224"/>
        <v>11940.66</v>
      </c>
      <c r="I423" s="27">
        <f t="shared" si="224"/>
        <v>11601</v>
      </c>
      <c r="J423" s="27">
        <f t="shared" si="224"/>
        <v>10001</v>
      </c>
      <c r="K423" s="27">
        <f t="shared" si="224"/>
        <v>10374</v>
      </c>
      <c r="L423" s="27">
        <f t="shared" si="224"/>
        <v>629</v>
      </c>
      <c r="M423" s="27">
        <f t="shared" si="224"/>
        <v>514</v>
      </c>
      <c r="N423" s="27">
        <f t="shared" si="224"/>
        <v>122</v>
      </c>
      <c r="O423" s="27">
        <f t="shared" si="224"/>
        <v>93</v>
      </c>
      <c r="P423" s="27">
        <f t="shared" si="224"/>
        <v>11732</v>
      </c>
      <c r="Q423" s="27">
        <f t="shared" si="224"/>
        <v>3170.52</v>
      </c>
      <c r="R423" s="28">
        <f>IFERROR(Q423/$P423,0)</f>
        <v>0.27024548244118651</v>
      </c>
      <c r="S423" s="27">
        <f>SUM(S421:S422)</f>
        <v>7439.38</v>
      </c>
      <c r="T423" s="28">
        <f>IFERROR(S423/$P423,0)</f>
        <v>0.63411012615069895</v>
      </c>
      <c r="U423" s="27">
        <f>SUM(U421:U422)</f>
        <v>9739.68</v>
      </c>
      <c r="V423" s="28">
        <f>IFERROR(U423/$P423,0)</f>
        <v>0.83018070235254005</v>
      </c>
      <c r="W423" s="27">
        <f>SUM(W421:W422)</f>
        <v>10184.290000000001</v>
      </c>
      <c r="X423" s="28">
        <f>IFERROR(W423/$P423,0)</f>
        <v>0.86807790658029327</v>
      </c>
      <c r="Y423" s="27">
        <f>SUM(Y421:Y422)</f>
        <v>10374</v>
      </c>
      <c r="Z423" s="27">
        <f>SUM(Z421:Z422)</f>
        <v>10374</v>
      </c>
    </row>
    <row r="425" spans="1:26" ht="13.9" customHeight="1" x14ac:dyDescent="0.25">
      <c r="D425" s="73" t="s">
        <v>239</v>
      </c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4"/>
      <c r="S425" s="73"/>
      <c r="T425" s="74"/>
      <c r="U425" s="73"/>
      <c r="V425" s="74"/>
      <c r="W425" s="73"/>
      <c r="X425" s="74"/>
      <c r="Y425" s="73"/>
      <c r="Z425" s="73"/>
    </row>
    <row r="426" spans="1:26" ht="13.9" customHeight="1" x14ac:dyDescent="0.25">
      <c r="D426" s="21" t="s">
        <v>32</v>
      </c>
      <c r="E426" s="21" t="s">
        <v>33</v>
      </c>
      <c r="F426" s="21" t="s">
        <v>34</v>
      </c>
      <c r="G426" s="21" t="s">
        <v>1</v>
      </c>
      <c r="H426" s="21" t="s">
        <v>2</v>
      </c>
      <c r="I426" s="21" t="s">
        <v>3</v>
      </c>
      <c r="J426" s="21" t="s">
        <v>4</v>
      </c>
      <c r="K426" s="21" t="s">
        <v>5</v>
      </c>
      <c r="L426" s="21" t="s">
        <v>6</v>
      </c>
      <c r="M426" s="21" t="s">
        <v>7</v>
      </c>
      <c r="N426" s="21" t="s">
        <v>8</v>
      </c>
      <c r="O426" s="21" t="s">
        <v>9</v>
      </c>
      <c r="P426" s="21" t="s">
        <v>10</v>
      </c>
      <c r="Q426" s="21" t="s">
        <v>11</v>
      </c>
      <c r="R426" s="22" t="s">
        <v>12</v>
      </c>
      <c r="S426" s="21" t="s">
        <v>13</v>
      </c>
      <c r="T426" s="22" t="s">
        <v>14</v>
      </c>
      <c r="U426" s="21" t="s">
        <v>15</v>
      </c>
      <c r="V426" s="22" t="s">
        <v>16</v>
      </c>
      <c r="W426" s="21" t="s">
        <v>17</v>
      </c>
      <c r="X426" s="22" t="s">
        <v>18</v>
      </c>
      <c r="Y426" s="21" t="s">
        <v>19</v>
      </c>
      <c r="Z426" s="21" t="s">
        <v>20</v>
      </c>
    </row>
    <row r="427" spans="1:26" ht="13.9" hidden="1" customHeight="1" x14ac:dyDescent="0.25">
      <c r="A427" s="15">
        <v>6</v>
      </c>
      <c r="B427" s="15">
        <v>3</v>
      </c>
      <c r="C427" s="15">
        <v>1</v>
      </c>
      <c r="D427" s="84" t="s">
        <v>240</v>
      </c>
      <c r="E427" s="23">
        <v>630</v>
      </c>
      <c r="F427" s="23" t="s">
        <v>127</v>
      </c>
      <c r="G427" s="24">
        <v>0</v>
      </c>
      <c r="H427" s="24">
        <v>0</v>
      </c>
      <c r="I427" s="24">
        <v>0</v>
      </c>
      <c r="J427" s="24">
        <v>470</v>
      </c>
      <c r="K427" s="24">
        <v>0</v>
      </c>
      <c r="L427" s="24"/>
      <c r="M427" s="24"/>
      <c r="N427" s="24"/>
      <c r="O427" s="24"/>
      <c r="P427" s="24">
        <f>K427+SUM(L427:O427)</f>
        <v>0</v>
      </c>
      <c r="Q427" s="24"/>
      <c r="R427" s="25">
        <f>IFERROR(Q427/$P427,0)</f>
        <v>0</v>
      </c>
      <c r="S427" s="24"/>
      <c r="T427" s="25">
        <f>IFERROR(S427/$P427,0)</f>
        <v>0</v>
      </c>
      <c r="U427" s="24"/>
      <c r="V427" s="25">
        <f>IFERROR(U427/$P427,0)</f>
        <v>0</v>
      </c>
      <c r="W427" s="24"/>
      <c r="X427" s="25">
        <f>IFERROR(W427/$P427,0)</f>
        <v>0</v>
      </c>
      <c r="Y427" s="24">
        <v>0</v>
      </c>
      <c r="Z427" s="24">
        <f>Y427</f>
        <v>0</v>
      </c>
    </row>
    <row r="428" spans="1:26" ht="13.9" hidden="1" customHeight="1" x14ac:dyDescent="0.25">
      <c r="A428" s="15">
        <v>6</v>
      </c>
      <c r="B428" s="15">
        <v>3</v>
      </c>
      <c r="C428" s="15">
        <v>1</v>
      </c>
      <c r="D428" s="79" t="s">
        <v>21</v>
      </c>
      <c r="E428" s="85">
        <v>111</v>
      </c>
      <c r="F428" s="48" t="s">
        <v>130</v>
      </c>
      <c r="G428" s="49">
        <f t="shared" ref="G428:Q428" si="225">SUM(G427:G427)</f>
        <v>0</v>
      </c>
      <c r="H428" s="49">
        <f t="shared" si="225"/>
        <v>0</v>
      </c>
      <c r="I428" s="49">
        <f t="shared" si="225"/>
        <v>0</v>
      </c>
      <c r="J428" s="49">
        <f t="shared" si="225"/>
        <v>470</v>
      </c>
      <c r="K428" s="49">
        <f t="shared" si="225"/>
        <v>0</v>
      </c>
      <c r="L428" s="49">
        <f t="shared" si="225"/>
        <v>0</v>
      </c>
      <c r="M428" s="49">
        <f t="shared" si="225"/>
        <v>0</v>
      </c>
      <c r="N428" s="49">
        <f t="shared" si="225"/>
        <v>0</v>
      </c>
      <c r="O428" s="49">
        <f t="shared" si="225"/>
        <v>0</v>
      </c>
      <c r="P428" s="49">
        <f t="shared" si="225"/>
        <v>0</v>
      </c>
      <c r="Q428" s="49">
        <f t="shared" si="225"/>
        <v>0</v>
      </c>
      <c r="R428" s="50">
        <f>IFERROR(Q428/$P428,0)</f>
        <v>0</v>
      </c>
      <c r="S428" s="49">
        <f>SUM(S427:S427)</f>
        <v>0</v>
      </c>
      <c r="T428" s="50">
        <f>IFERROR(S428/$P428,0)</f>
        <v>0</v>
      </c>
      <c r="U428" s="49">
        <f>SUM(U427:U427)</f>
        <v>0</v>
      </c>
      <c r="V428" s="50">
        <f>IFERROR(U428/$P428,0)</f>
        <v>0</v>
      </c>
      <c r="W428" s="49">
        <f>SUM(W427:W427)</f>
        <v>0</v>
      </c>
      <c r="X428" s="50">
        <f>IFERROR(W428/$P428,0)</f>
        <v>0</v>
      </c>
      <c r="Y428" s="49">
        <f>SUM(Y427:Y427)</f>
        <v>0</v>
      </c>
      <c r="Z428" s="49">
        <f>SUM(Z427:Z427)</f>
        <v>0</v>
      </c>
    </row>
    <row r="429" spans="1:26" ht="13.9" customHeight="1" x14ac:dyDescent="0.25">
      <c r="A429" s="15">
        <v>6</v>
      </c>
      <c r="B429" s="15">
        <v>3</v>
      </c>
      <c r="C429" s="15">
        <v>1</v>
      </c>
      <c r="D429" s="84" t="s">
        <v>240</v>
      </c>
      <c r="E429" s="23">
        <v>630</v>
      </c>
      <c r="F429" s="23" t="s">
        <v>127</v>
      </c>
      <c r="G429" s="24">
        <v>4940.22</v>
      </c>
      <c r="H429" s="24">
        <v>7740.66</v>
      </c>
      <c r="I429" s="24">
        <v>7201</v>
      </c>
      <c r="J429" s="24">
        <v>5131</v>
      </c>
      <c r="K429" s="24">
        <v>5674</v>
      </c>
      <c r="L429" s="24">
        <v>479</v>
      </c>
      <c r="M429" s="24">
        <f>1170-656</f>
        <v>514</v>
      </c>
      <c r="N429" s="24">
        <v>122</v>
      </c>
      <c r="O429" s="24">
        <v>93</v>
      </c>
      <c r="P429" s="24">
        <f>K429+SUM(L429:O429)</f>
        <v>6882</v>
      </c>
      <c r="Q429" s="24">
        <v>320.52</v>
      </c>
      <c r="R429" s="25">
        <f>IFERROR(Q429/$P429,0)</f>
        <v>4.6573670444638185E-2</v>
      </c>
      <c r="S429" s="24">
        <v>2589.38</v>
      </c>
      <c r="T429" s="25">
        <f>IFERROR(S429/$P429,0)</f>
        <v>0.37625399593141529</v>
      </c>
      <c r="U429" s="24">
        <v>4889.68</v>
      </c>
      <c r="V429" s="25">
        <f>IFERROR(U429/$P429,0)</f>
        <v>0.71050276082534147</v>
      </c>
      <c r="W429" s="24">
        <v>5334.29</v>
      </c>
      <c r="X429" s="25">
        <f>IFERROR(W429/$P429,0)</f>
        <v>0.77510752688172047</v>
      </c>
      <c r="Y429" s="24">
        <f>K429</f>
        <v>5674</v>
      </c>
      <c r="Z429" s="24">
        <f>Y429</f>
        <v>5674</v>
      </c>
    </row>
    <row r="430" spans="1:26" ht="13.9" customHeight="1" x14ac:dyDescent="0.25">
      <c r="A430" s="15">
        <v>6</v>
      </c>
      <c r="B430" s="15">
        <v>3</v>
      </c>
      <c r="C430" s="15">
        <v>1</v>
      </c>
      <c r="D430" s="79" t="s">
        <v>21</v>
      </c>
      <c r="E430" s="48">
        <v>41</v>
      </c>
      <c r="F430" s="48" t="s">
        <v>23</v>
      </c>
      <c r="G430" s="49">
        <f t="shared" ref="G430:Q430" si="226">SUM(G429:G429)</f>
        <v>4940.22</v>
      </c>
      <c r="H430" s="49">
        <f t="shared" si="226"/>
        <v>7740.66</v>
      </c>
      <c r="I430" s="49">
        <f t="shared" si="226"/>
        <v>7201</v>
      </c>
      <c r="J430" s="49">
        <f t="shared" si="226"/>
        <v>5131</v>
      </c>
      <c r="K430" s="49">
        <f t="shared" si="226"/>
        <v>5674</v>
      </c>
      <c r="L430" s="49">
        <f t="shared" si="226"/>
        <v>479</v>
      </c>
      <c r="M430" s="49">
        <f t="shared" si="226"/>
        <v>514</v>
      </c>
      <c r="N430" s="49">
        <f t="shared" si="226"/>
        <v>122</v>
      </c>
      <c r="O430" s="49">
        <f t="shared" si="226"/>
        <v>93</v>
      </c>
      <c r="P430" s="49">
        <f t="shared" si="226"/>
        <v>6882</v>
      </c>
      <c r="Q430" s="49">
        <f t="shared" si="226"/>
        <v>320.52</v>
      </c>
      <c r="R430" s="50">
        <f>IFERROR(Q430/$P430,0)</f>
        <v>4.6573670444638185E-2</v>
      </c>
      <c r="S430" s="49">
        <f>SUM(S429:S429)</f>
        <v>2589.38</v>
      </c>
      <c r="T430" s="50">
        <f>IFERROR(S430/$P430,0)</f>
        <v>0.37625399593141529</v>
      </c>
      <c r="U430" s="49">
        <f>SUM(U429:U429)</f>
        <v>4889.68</v>
      </c>
      <c r="V430" s="50">
        <f>IFERROR(U430/$P430,0)</f>
        <v>0.71050276082534147</v>
      </c>
      <c r="W430" s="49">
        <f>SUM(W429:W429)</f>
        <v>5334.29</v>
      </c>
      <c r="X430" s="50">
        <f>IFERROR(W430/$P430,0)</f>
        <v>0.77510752688172047</v>
      </c>
      <c r="Y430" s="49">
        <f>SUM(Y429:Y429)</f>
        <v>5674</v>
      </c>
      <c r="Z430" s="49">
        <f>SUM(Z429:Z429)</f>
        <v>5674</v>
      </c>
    </row>
    <row r="431" spans="1:26" ht="13.9" customHeight="1" x14ac:dyDescent="0.25">
      <c r="A431" s="15">
        <v>6</v>
      </c>
      <c r="B431" s="15">
        <v>3</v>
      </c>
      <c r="C431" s="15">
        <v>1</v>
      </c>
      <c r="D431" s="86"/>
      <c r="E431" s="87"/>
      <c r="F431" s="26" t="s">
        <v>120</v>
      </c>
      <c r="G431" s="27">
        <f t="shared" ref="G431:Q431" si="227">G428+G430</f>
        <v>4940.22</v>
      </c>
      <c r="H431" s="27">
        <f t="shared" si="227"/>
        <v>7740.66</v>
      </c>
      <c r="I431" s="27">
        <f t="shared" si="227"/>
        <v>7201</v>
      </c>
      <c r="J431" s="27">
        <f t="shared" si="227"/>
        <v>5601</v>
      </c>
      <c r="K431" s="27">
        <f t="shared" si="227"/>
        <v>5674</v>
      </c>
      <c r="L431" s="27">
        <f t="shared" si="227"/>
        <v>479</v>
      </c>
      <c r="M431" s="27">
        <f t="shared" si="227"/>
        <v>514</v>
      </c>
      <c r="N431" s="27">
        <f t="shared" si="227"/>
        <v>122</v>
      </c>
      <c r="O431" s="27">
        <f t="shared" si="227"/>
        <v>93</v>
      </c>
      <c r="P431" s="27">
        <f t="shared" si="227"/>
        <v>6882</v>
      </c>
      <c r="Q431" s="27">
        <f t="shared" si="227"/>
        <v>320.52</v>
      </c>
      <c r="R431" s="28">
        <f>IFERROR(Q431/$P431,0)</f>
        <v>4.6573670444638185E-2</v>
      </c>
      <c r="S431" s="27">
        <f>S428+S430</f>
        <v>2589.38</v>
      </c>
      <c r="T431" s="28">
        <f>IFERROR(S431/$P431,0)</f>
        <v>0.37625399593141529</v>
      </c>
      <c r="U431" s="27">
        <f>U428+U430</f>
        <v>4889.68</v>
      </c>
      <c r="V431" s="28">
        <f>IFERROR(U431/$P431,0)</f>
        <v>0.71050276082534147</v>
      </c>
      <c r="W431" s="27">
        <f>W428+W430</f>
        <v>5334.29</v>
      </c>
      <c r="X431" s="28">
        <f>IFERROR(W431/$P431,0)</f>
        <v>0.77510752688172047</v>
      </c>
      <c r="Y431" s="27">
        <f>Y428+Y430</f>
        <v>5674</v>
      </c>
      <c r="Z431" s="27">
        <f>Z428+Z430</f>
        <v>5674</v>
      </c>
    </row>
    <row r="433" spans="1:26" ht="13.9" customHeight="1" x14ac:dyDescent="0.25">
      <c r="E433" s="52" t="s">
        <v>55</v>
      </c>
      <c r="F433" s="30" t="s">
        <v>143</v>
      </c>
      <c r="G433" s="53">
        <v>1232</v>
      </c>
      <c r="H433" s="53">
        <v>1694</v>
      </c>
      <c r="I433" s="53">
        <v>2640</v>
      </c>
      <c r="J433" s="53">
        <v>2296</v>
      </c>
      <c r="K433" s="53">
        <v>2296</v>
      </c>
      <c r="L433" s="53"/>
      <c r="M433" s="53">
        <v>-1014</v>
      </c>
      <c r="N433" s="53"/>
      <c r="O433" s="53"/>
      <c r="P433" s="53">
        <f>K433+SUM(L433:O433)</f>
        <v>1282</v>
      </c>
      <c r="Q433" s="53">
        <v>320.52</v>
      </c>
      <c r="R433" s="54">
        <f>IFERROR(Q433/$P433,0)</f>
        <v>0.25001560062402495</v>
      </c>
      <c r="S433" s="53">
        <v>641.04</v>
      </c>
      <c r="T433" s="54">
        <f>IFERROR(S433/$P433,0)</f>
        <v>0.50003120124804989</v>
      </c>
      <c r="U433" s="53">
        <v>961.56</v>
      </c>
      <c r="V433" s="54">
        <f>IFERROR(U433/$P433,0)</f>
        <v>0.75004680187207484</v>
      </c>
      <c r="W433" s="53">
        <v>1234.8399999999999</v>
      </c>
      <c r="X433" s="55">
        <f>IFERROR(W433/$P433,0)</f>
        <v>0.96321372854914189</v>
      </c>
      <c r="Y433" s="53">
        <f>K433</f>
        <v>2296</v>
      </c>
      <c r="Z433" s="56">
        <f>Y433</f>
        <v>2296</v>
      </c>
    </row>
    <row r="434" spans="1:26" ht="13.9" customHeight="1" x14ac:dyDescent="0.25">
      <c r="E434" s="57"/>
      <c r="F434" s="91" t="s">
        <v>241</v>
      </c>
      <c r="G434" s="82">
        <v>1500</v>
      </c>
      <c r="H434" s="82">
        <v>4500</v>
      </c>
      <c r="I434" s="82">
        <v>3000</v>
      </c>
      <c r="J434" s="82">
        <v>3000</v>
      </c>
      <c r="K434" s="82">
        <v>3000</v>
      </c>
      <c r="L434" s="82"/>
      <c r="M434" s="82"/>
      <c r="N434" s="82"/>
      <c r="O434" s="82"/>
      <c r="P434" s="82">
        <f>K434+SUM(L434:O434)</f>
        <v>3000</v>
      </c>
      <c r="Q434" s="82">
        <v>0</v>
      </c>
      <c r="R434" s="83">
        <f>IFERROR(Q434/$P434,0)</f>
        <v>0</v>
      </c>
      <c r="S434" s="82">
        <v>0</v>
      </c>
      <c r="T434" s="83">
        <f>IFERROR(S434/$P434,0)</f>
        <v>0</v>
      </c>
      <c r="U434" s="82">
        <v>1500</v>
      </c>
      <c r="V434" s="83">
        <f>IFERROR(U434/$P434,0)</f>
        <v>0.5</v>
      </c>
      <c r="W434" s="82">
        <v>1500</v>
      </c>
      <c r="X434" s="60">
        <f>IFERROR(W434/$P434,0)</f>
        <v>0.5</v>
      </c>
      <c r="Y434" s="82">
        <f>K434</f>
        <v>3000</v>
      </c>
      <c r="Z434" s="61">
        <f>Y434</f>
        <v>3000</v>
      </c>
    </row>
    <row r="435" spans="1:26" ht="13.9" customHeight="1" x14ac:dyDescent="0.25">
      <c r="E435" s="65"/>
      <c r="F435" s="94" t="s">
        <v>242</v>
      </c>
      <c r="G435" s="67">
        <v>1643.26</v>
      </c>
      <c r="H435" s="67">
        <v>1386.06</v>
      </c>
      <c r="I435" s="67">
        <v>1400</v>
      </c>
      <c r="J435" s="67">
        <v>227</v>
      </c>
      <c r="K435" s="67">
        <v>300</v>
      </c>
      <c r="L435" s="67"/>
      <c r="M435" s="67">
        <f>1170+358</f>
        <v>1528</v>
      </c>
      <c r="N435" s="67">
        <v>122</v>
      </c>
      <c r="O435" s="67">
        <v>93</v>
      </c>
      <c r="P435" s="67">
        <f>K435+SUM(L435:O435)</f>
        <v>2043</v>
      </c>
      <c r="Q435" s="67">
        <v>0</v>
      </c>
      <c r="R435" s="68">
        <f>IFERROR(Q435/$P435,0)</f>
        <v>0</v>
      </c>
      <c r="S435" s="67">
        <v>1469.83</v>
      </c>
      <c r="T435" s="68">
        <f>IFERROR(S435/$P435,0)</f>
        <v>0.71944689182574639</v>
      </c>
      <c r="U435" s="67">
        <v>1949.61</v>
      </c>
      <c r="V435" s="68">
        <f>IFERROR(U435/$P435,0)</f>
        <v>0.9542878120411159</v>
      </c>
      <c r="W435" s="67">
        <v>2042.7</v>
      </c>
      <c r="X435" s="69">
        <f>IFERROR(W435/$P435,0)</f>
        <v>0.99985315712187961</v>
      </c>
      <c r="Y435" s="67">
        <f>K435</f>
        <v>300</v>
      </c>
      <c r="Z435" s="70">
        <f>Y435</f>
        <v>300</v>
      </c>
    </row>
    <row r="437" spans="1:26" ht="13.9" customHeight="1" x14ac:dyDescent="0.25">
      <c r="D437" s="73" t="s">
        <v>243</v>
      </c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4"/>
      <c r="S437" s="73"/>
      <c r="T437" s="74"/>
      <c r="U437" s="73"/>
      <c r="V437" s="74"/>
      <c r="W437" s="73"/>
      <c r="X437" s="74"/>
      <c r="Y437" s="73"/>
      <c r="Z437" s="73"/>
    </row>
    <row r="438" spans="1:26" ht="13.9" customHeight="1" x14ac:dyDescent="0.25">
      <c r="D438" s="21" t="s">
        <v>32</v>
      </c>
      <c r="E438" s="21" t="s">
        <v>33</v>
      </c>
      <c r="F438" s="21" t="s">
        <v>34</v>
      </c>
      <c r="G438" s="21" t="s">
        <v>1</v>
      </c>
      <c r="H438" s="21" t="s">
        <v>2</v>
      </c>
      <c r="I438" s="21" t="s">
        <v>3</v>
      </c>
      <c r="J438" s="21" t="s">
        <v>4</v>
      </c>
      <c r="K438" s="21" t="s">
        <v>5</v>
      </c>
      <c r="L438" s="21" t="s">
        <v>6</v>
      </c>
      <c r="M438" s="21" t="s">
        <v>7</v>
      </c>
      <c r="N438" s="21" t="s">
        <v>8</v>
      </c>
      <c r="O438" s="21" t="s">
        <v>9</v>
      </c>
      <c r="P438" s="21" t="s">
        <v>10</v>
      </c>
      <c r="Q438" s="21" t="s">
        <v>11</v>
      </c>
      <c r="R438" s="22" t="s">
        <v>12</v>
      </c>
      <c r="S438" s="21" t="s">
        <v>13</v>
      </c>
      <c r="T438" s="22" t="s">
        <v>14</v>
      </c>
      <c r="U438" s="21" t="s">
        <v>15</v>
      </c>
      <c r="V438" s="22" t="s">
        <v>16</v>
      </c>
      <c r="W438" s="21" t="s">
        <v>17</v>
      </c>
      <c r="X438" s="22" t="s">
        <v>18</v>
      </c>
      <c r="Y438" s="21" t="s">
        <v>19</v>
      </c>
      <c r="Z438" s="21" t="s">
        <v>20</v>
      </c>
    </row>
    <row r="439" spans="1:26" ht="13.9" customHeight="1" x14ac:dyDescent="0.25">
      <c r="A439" s="15">
        <v>6</v>
      </c>
      <c r="B439" s="15">
        <v>3</v>
      </c>
      <c r="C439" s="15">
        <v>2</v>
      </c>
      <c r="D439" s="84" t="s">
        <v>240</v>
      </c>
      <c r="E439" s="23">
        <v>640</v>
      </c>
      <c r="F439" s="23" t="s">
        <v>128</v>
      </c>
      <c r="G439" s="24">
        <v>5000</v>
      </c>
      <c r="H439" s="24">
        <f>SUM(H443:H447)</f>
        <v>4200</v>
      </c>
      <c r="I439" s="24">
        <f>SUM(I443:I447)</f>
        <v>4400</v>
      </c>
      <c r="J439" s="24">
        <f>SUM(J443:J447)</f>
        <v>4400</v>
      </c>
      <c r="K439" s="24">
        <f>SUM(K443:K447)</f>
        <v>4700</v>
      </c>
      <c r="L439" s="24">
        <v>150</v>
      </c>
      <c r="M439" s="24"/>
      <c r="N439" s="24"/>
      <c r="O439" s="24"/>
      <c r="P439" s="24">
        <f>K439+SUM(L439:O439)</f>
        <v>4850</v>
      </c>
      <c r="Q439" s="24">
        <v>2850</v>
      </c>
      <c r="R439" s="25">
        <f>IFERROR(Q439/$P439,0)</f>
        <v>0.58762886597938147</v>
      </c>
      <c r="S439" s="24">
        <v>4850</v>
      </c>
      <c r="T439" s="25">
        <f>IFERROR(S439/$P439,0)</f>
        <v>1</v>
      </c>
      <c r="U439" s="24">
        <v>4850</v>
      </c>
      <c r="V439" s="25">
        <f>IFERROR(U439/$P439,0)</f>
        <v>1</v>
      </c>
      <c r="W439" s="24">
        <v>4850</v>
      </c>
      <c r="X439" s="25">
        <f>IFERROR(W439/$P439,0)</f>
        <v>1</v>
      </c>
      <c r="Y439" s="24">
        <f>SUM(Y443:Y447)</f>
        <v>4700</v>
      </c>
      <c r="Z439" s="24">
        <f>SUM(Z443:Z447)</f>
        <v>4700</v>
      </c>
    </row>
    <row r="440" spans="1:26" ht="13.9" customHeight="1" x14ac:dyDescent="0.25">
      <c r="A440" s="15">
        <v>6</v>
      </c>
      <c r="B440" s="15">
        <v>3</v>
      </c>
      <c r="C440" s="15">
        <v>2</v>
      </c>
      <c r="D440" s="79" t="s">
        <v>21</v>
      </c>
      <c r="E440" s="48">
        <v>41</v>
      </c>
      <c r="F440" s="48" t="s">
        <v>23</v>
      </c>
      <c r="G440" s="49">
        <f t="shared" ref="G440:Q440" si="228">SUM(G439:G439)</f>
        <v>5000</v>
      </c>
      <c r="H440" s="49">
        <f t="shared" si="228"/>
        <v>4200</v>
      </c>
      <c r="I440" s="49">
        <f t="shared" si="228"/>
        <v>4400</v>
      </c>
      <c r="J440" s="49">
        <f t="shared" si="228"/>
        <v>4400</v>
      </c>
      <c r="K440" s="49">
        <f t="shared" si="228"/>
        <v>4700</v>
      </c>
      <c r="L440" s="49">
        <f t="shared" si="228"/>
        <v>150</v>
      </c>
      <c r="M440" s="49">
        <f t="shared" si="228"/>
        <v>0</v>
      </c>
      <c r="N440" s="49">
        <f t="shared" si="228"/>
        <v>0</v>
      </c>
      <c r="O440" s="49">
        <f t="shared" si="228"/>
        <v>0</v>
      </c>
      <c r="P440" s="49">
        <f t="shared" si="228"/>
        <v>4850</v>
      </c>
      <c r="Q440" s="49">
        <f t="shared" si="228"/>
        <v>2850</v>
      </c>
      <c r="R440" s="50">
        <f>IFERROR(Q440/$P440,0)</f>
        <v>0.58762886597938147</v>
      </c>
      <c r="S440" s="49">
        <f>SUM(S439:S439)</f>
        <v>4850</v>
      </c>
      <c r="T440" s="50">
        <f>IFERROR(S440/$P440,0)</f>
        <v>1</v>
      </c>
      <c r="U440" s="49">
        <f>SUM(U439:U439)</f>
        <v>4850</v>
      </c>
      <c r="V440" s="50">
        <f>IFERROR(U440/$P440,0)</f>
        <v>1</v>
      </c>
      <c r="W440" s="49">
        <f>SUM(W439:W439)</f>
        <v>4850</v>
      </c>
      <c r="X440" s="50">
        <f>IFERROR(W440/$P440,0)</f>
        <v>1</v>
      </c>
      <c r="Y440" s="49">
        <f>SUM(Y439:Y439)</f>
        <v>4700</v>
      </c>
      <c r="Z440" s="49">
        <f>SUM(Z439:Z439)</f>
        <v>4700</v>
      </c>
    </row>
    <row r="441" spans="1:26" ht="13.9" customHeight="1" x14ac:dyDescent="0.25">
      <c r="A441" s="15">
        <v>6</v>
      </c>
      <c r="B441" s="15">
        <v>3</v>
      </c>
      <c r="C441" s="15">
        <v>2</v>
      </c>
      <c r="D441" s="86"/>
      <c r="E441" s="87"/>
      <c r="F441" s="26" t="s">
        <v>120</v>
      </c>
      <c r="G441" s="27">
        <f t="shared" ref="G441:Q441" si="229">G440</f>
        <v>5000</v>
      </c>
      <c r="H441" s="27">
        <f t="shared" si="229"/>
        <v>4200</v>
      </c>
      <c r="I441" s="27">
        <f t="shared" si="229"/>
        <v>4400</v>
      </c>
      <c r="J441" s="27">
        <f t="shared" si="229"/>
        <v>4400</v>
      </c>
      <c r="K441" s="27">
        <f t="shared" si="229"/>
        <v>4700</v>
      </c>
      <c r="L441" s="27">
        <f t="shared" si="229"/>
        <v>150</v>
      </c>
      <c r="M441" s="27">
        <f t="shared" si="229"/>
        <v>0</v>
      </c>
      <c r="N441" s="27">
        <f t="shared" si="229"/>
        <v>0</v>
      </c>
      <c r="O441" s="27">
        <f t="shared" si="229"/>
        <v>0</v>
      </c>
      <c r="P441" s="27">
        <f t="shared" si="229"/>
        <v>4850</v>
      </c>
      <c r="Q441" s="27">
        <f t="shared" si="229"/>
        <v>2850</v>
      </c>
      <c r="R441" s="28">
        <f>IFERROR(Q441/$P441,0)</f>
        <v>0.58762886597938147</v>
      </c>
      <c r="S441" s="27">
        <f>S440</f>
        <v>4850</v>
      </c>
      <c r="T441" s="28">
        <f>IFERROR(S441/$P441,0)</f>
        <v>1</v>
      </c>
      <c r="U441" s="27">
        <f>U440</f>
        <v>4850</v>
      </c>
      <c r="V441" s="28">
        <f>IFERROR(U441/$P441,0)</f>
        <v>1</v>
      </c>
      <c r="W441" s="27">
        <f>W440</f>
        <v>4850</v>
      </c>
      <c r="X441" s="28">
        <f>IFERROR(W441/$P441,0)</f>
        <v>1</v>
      </c>
      <c r="Y441" s="27">
        <f>Y440</f>
        <v>4700</v>
      </c>
      <c r="Z441" s="27">
        <f>Z440</f>
        <v>4700</v>
      </c>
    </row>
    <row r="443" spans="1:26" ht="13.9" customHeight="1" x14ac:dyDescent="0.25">
      <c r="E443" s="52" t="s">
        <v>55</v>
      </c>
      <c r="F443" s="30" t="s">
        <v>244</v>
      </c>
      <c r="G443" s="53">
        <v>1000</v>
      </c>
      <c r="H443" s="53">
        <v>1100</v>
      </c>
      <c r="I443" s="53">
        <v>1200</v>
      </c>
      <c r="J443" s="53">
        <v>1200</v>
      </c>
      <c r="K443" s="53">
        <v>1200</v>
      </c>
      <c r="L443" s="53"/>
      <c r="M443" s="53"/>
      <c r="N443" s="53"/>
      <c r="O443" s="53"/>
      <c r="P443" s="53">
        <f>K443+SUM(L443:O443)</f>
        <v>1200</v>
      </c>
      <c r="Q443" s="53">
        <v>1200</v>
      </c>
      <c r="R443" s="54">
        <f>IFERROR(Q443/$P443,0)</f>
        <v>1</v>
      </c>
      <c r="S443" s="53">
        <v>1200</v>
      </c>
      <c r="T443" s="54">
        <f>IFERROR(S443/$P443,0)</f>
        <v>1</v>
      </c>
      <c r="U443" s="53">
        <v>1200</v>
      </c>
      <c r="V443" s="54">
        <f>IFERROR(U443/$P443,0)</f>
        <v>1</v>
      </c>
      <c r="W443" s="53">
        <v>1200</v>
      </c>
      <c r="X443" s="55">
        <f>IFERROR(W443/$P443,0)</f>
        <v>1</v>
      </c>
      <c r="Y443" s="53">
        <f>K443</f>
        <v>1200</v>
      </c>
      <c r="Z443" s="56">
        <f>Y443</f>
        <v>1200</v>
      </c>
    </row>
    <row r="444" spans="1:26" ht="13.9" customHeight="1" x14ac:dyDescent="0.25">
      <c r="E444" s="57"/>
      <c r="F444" s="58" t="s">
        <v>245</v>
      </c>
      <c r="G444" s="59">
        <v>1300</v>
      </c>
      <c r="H444" s="59">
        <v>2000</v>
      </c>
      <c r="I444" s="59">
        <v>2000</v>
      </c>
      <c r="J444" s="59">
        <v>2000</v>
      </c>
      <c r="K444" s="59">
        <v>2000</v>
      </c>
      <c r="L444" s="59"/>
      <c r="M444" s="59"/>
      <c r="N444" s="59"/>
      <c r="O444" s="59"/>
      <c r="P444" s="59">
        <f>K444+SUM(L444:O444)</f>
        <v>2000</v>
      </c>
      <c r="Q444" s="59">
        <v>0</v>
      </c>
      <c r="R444" s="16">
        <f>IFERROR(Q444/$P444,0)</f>
        <v>0</v>
      </c>
      <c r="S444" s="59">
        <v>2000</v>
      </c>
      <c r="T444" s="16">
        <f>IFERROR(S444/$P444,0)</f>
        <v>1</v>
      </c>
      <c r="U444" s="59">
        <v>2000</v>
      </c>
      <c r="V444" s="16">
        <f>IFERROR(U444/$P444,0)</f>
        <v>1</v>
      </c>
      <c r="W444" s="59">
        <v>2000</v>
      </c>
      <c r="X444" s="60">
        <f>IFERROR(W444/$P444,0)</f>
        <v>1</v>
      </c>
      <c r="Y444" s="59">
        <f>K444</f>
        <v>2000</v>
      </c>
      <c r="Z444" s="61">
        <f>Y444</f>
        <v>2000</v>
      </c>
    </row>
    <row r="445" spans="1:26" ht="13.9" customHeight="1" x14ac:dyDescent="0.25">
      <c r="E445" s="57"/>
      <c r="F445" s="81" t="s">
        <v>246</v>
      </c>
      <c r="G445" s="82">
        <v>1000</v>
      </c>
      <c r="H445" s="82">
        <v>1100</v>
      </c>
      <c r="I445" s="82">
        <v>1200</v>
      </c>
      <c r="J445" s="82">
        <v>1200</v>
      </c>
      <c r="K445" s="82">
        <v>1500</v>
      </c>
      <c r="L445" s="82"/>
      <c r="M445" s="82"/>
      <c r="N445" s="82"/>
      <c r="O445" s="82"/>
      <c r="P445" s="82">
        <f>K445+SUM(L445:O445)</f>
        <v>1500</v>
      </c>
      <c r="Q445" s="82">
        <v>1500</v>
      </c>
      <c r="R445" s="83">
        <f>IFERROR(Q445/$P445,0)</f>
        <v>1</v>
      </c>
      <c r="S445" s="82">
        <v>1500</v>
      </c>
      <c r="T445" s="83">
        <f>IFERROR(S445/$P445,0)</f>
        <v>1</v>
      </c>
      <c r="U445" s="82">
        <v>1500</v>
      </c>
      <c r="V445" s="83">
        <f>IFERROR(U445/$P445,0)</f>
        <v>1</v>
      </c>
      <c r="W445" s="82">
        <v>1500</v>
      </c>
      <c r="X445" s="60">
        <f>IFERROR(W445/$P445,0)</f>
        <v>1</v>
      </c>
      <c r="Y445" s="82">
        <f>K445</f>
        <v>1500</v>
      </c>
      <c r="Z445" s="61">
        <f>Y445</f>
        <v>1500</v>
      </c>
    </row>
    <row r="446" spans="1:26" ht="13.9" customHeight="1" x14ac:dyDescent="0.25">
      <c r="E446" s="65"/>
      <c r="F446" s="66" t="s">
        <v>247</v>
      </c>
      <c r="G446" s="67">
        <v>200</v>
      </c>
      <c r="H446" s="67"/>
      <c r="I446" s="95"/>
      <c r="J446" s="67"/>
      <c r="K446" s="95"/>
      <c r="L446" s="67">
        <v>150</v>
      </c>
      <c r="M446" s="67"/>
      <c r="N446" s="67"/>
      <c r="O446" s="67"/>
      <c r="P446" s="67">
        <f>K446+SUM(L446:O446)</f>
        <v>150</v>
      </c>
      <c r="Q446" s="67">
        <v>150</v>
      </c>
      <c r="R446" s="68">
        <f>IFERROR(Q446/$P446,0)</f>
        <v>1</v>
      </c>
      <c r="S446" s="67">
        <v>150</v>
      </c>
      <c r="T446" s="68">
        <f>IFERROR(S446/$P446,0)</f>
        <v>1</v>
      </c>
      <c r="U446" s="67">
        <v>150</v>
      </c>
      <c r="V446" s="68">
        <f>IFERROR(U446/$P446,0)</f>
        <v>1</v>
      </c>
      <c r="W446" s="67">
        <v>150</v>
      </c>
      <c r="X446" s="69">
        <f>IFERROR(W446/$P446,0)</f>
        <v>1</v>
      </c>
      <c r="Y446" s="67"/>
      <c r="Z446" s="70"/>
    </row>
    <row r="447" spans="1:26" ht="13.9" hidden="1" customHeight="1" x14ac:dyDescent="0.25">
      <c r="E447" s="65"/>
      <c r="F447" s="66" t="s">
        <v>248</v>
      </c>
      <c r="G447" s="67">
        <v>1500</v>
      </c>
      <c r="H447" s="67"/>
      <c r="I447" s="95"/>
      <c r="J447" s="67"/>
      <c r="K447" s="95"/>
      <c r="L447" s="67"/>
      <c r="M447" s="67"/>
      <c r="N447" s="67"/>
      <c r="O447" s="67"/>
      <c r="P447" s="67">
        <f>K447+SUM(L447:O447)</f>
        <v>0</v>
      </c>
      <c r="Q447" s="67"/>
      <c r="R447" s="68">
        <f>IFERROR(Q447/$P447,0)</f>
        <v>0</v>
      </c>
      <c r="S447" s="67"/>
      <c r="T447" s="68">
        <f>IFERROR(S447/$P447,0)</f>
        <v>0</v>
      </c>
      <c r="U447" s="67"/>
      <c r="V447" s="68">
        <f>IFERROR(U447/$P447,0)</f>
        <v>0</v>
      </c>
      <c r="W447" s="67"/>
      <c r="X447" s="69">
        <f>IFERROR(W447/$P447,0)</f>
        <v>0</v>
      </c>
      <c r="Y447" s="67"/>
      <c r="Z447" s="70"/>
    </row>
    <row r="449" spans="1:26" ht="13.9" customHeight="1" x14ac:dyDescent="0.25">
      <c r="D449" s="32" t="s">
        <v>249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3"/>
      <c r="S449" s="32"/>
      <c r="T449" s="33"/>
      <c r="U449" s="32"/>
      <c r="V449" s="33"/>
      <c r="W449" s="32"/>
      <c r="X449" s="33"/>
      <c r="Y449" s="32"/>
      <c r="Z449" s="32"/>
    </row>
    <row r="450" spans="1:26" ht="13.9" customHeight="1" x14ac:dyDescent="0.25">
      <c r="D450" s="20"/>
      <c r="E450" s="20"/>
      <c r="F450" s="20"/>
      <c r="G450" s="21" t="s">
        <v>1</v>
      </c>
      <c r="H450" s="21" t="s">
        <v>2</v>
      </c>
      <c r="I450" s="21" t="s">
        <v>3</v>
      </c>
      <c r="J450" s="21" t="s">
        <v>4</v>
      </c>
      <c r="K450" s="21" t="s">
        <v>5</v>
      </c>
      <c r="L450" s="21" t="s">
        <v>6</v>
      </c>
      <c r="M450" s="21" t="s">
        <v>7</v>
      </c>
      <c r="N450" s="21" t="s">
        <v>8</v>
      </c>
      <c r="O450" s="21" t="s">
        <v>9</v>
      </c>
      <c r="P450" s="21" t="s">
        <v>10</v>
      </c>
      <c r="Q450" s="21" t="s">
        <v>11</v>
      </c>
      <c r="R450" s="22" t="s">
        <v>12</v>
      </c>
      <c r="S450" s="21" t="s">
        <v>13</v>
      </c>
      <c r="T450" s="22" t="s">
        <v>14</v>
      </c>
      <c r="U450" s="21" t="s">
        <v>15</v>
      </c>
      <c r="V450" s="22" t="s">
        <v>16</v>
      </c>
      <c r="W450" s="21" t="s">
        <v>17</v>
      </c>
      <c r="X450" s="22" t="s">
        <v>18</v>
      </c>
      <c r="Y450" s="21" t="s">
        <v>19</v>
      </c>
      <c r="Z450" s="21" t="s">
        <v>20</v>
      </c>
    </row>
    <row r="451" spans="1:26" ht="13.9" customHeight="1" x14ac:dyDescent="0.25">
      <c r="A451" s="15">
        <v>7</v>
      </c>
      <c r="D451" s="12" t="s">
        <v>21</v>
      </c>
      <c r="E451" s="35">
        <v>111</v>
      </c>
      <c r="F451" s="35" t="s">
        <v>45</v>
      </c>
      <c r="G451" s="36">
        <f t="shared" ref="G451:Q451" si="230">G458+G495</f>
        <v>83612.63</v>
      </c>
      <c r="H451" s="36">
        <f t="shared" si="230"/>
        <v>115462.67</v>
      </c>
      <c r="I451" s="36">
        <f t="shared" si="230"/>
        <v>56300</v>
      </c>
      <c r="J451" s="36">
        <f t="shared" si="230"/>
        <v>120815</v>
      </c>
      <c r="K451" s="36">
        <f t="shared" si="230"/>
        <v>65581</v>
      </c>
      <c r="L451" s="36">
        <f t="shared" si="230"/>
        <v>28893</v>
      </c>
      <c r="M451" s="36">
        <f t="shared" si="230"/>
        <v>23177</v>
      </c>
      <c r="N451" s="36">
        <f t="shared" si="230"/>
        <v>6905</v>
      </c>
      <c r="O451" s="36">
        <f t="shared" si="230"/>
        <v>2364</v>
      </c>
      <c r="P451" s="36">
        <f t="shared" si="230"/>
        <v>126920</v>
      </c>
      <c r="Q451" s="36">
        <f t="shared" si="230"/>
        <v>48754.840000000004</v>
      </c>
      <c r="R451" s="37">
        <f>IFERROR(Q451/$P451,0)</f>
        <v>0.384138354869209</v>
      </c>
      <c r="S451" s="36">
        <f>S458+S495</f>
        <v>85647.63</v>
      </c>
      <c r="T451" s="37">
        <f>IFERROR(S451/$P451,0)</f>
        <v>0.67481586826347306</v>
      </c>
      <c r="U451" s="36">
        <f>U458+U495</f>
        <v>105611.23000000001</v>
      </c>
      <c r="V451" s="37">
        <f>IFERROR(U451/$P451,0)</f>
        <v>0.83210865111881505</v>
      </c>
      <c r="W451" s="36">
        <f>W458+W495</f>
        <v>125393.25</v>
      </c>
      <c r="X451" s="37">
        <f>IFERROR(W451/$P451,0)</f>
        <v>0.98797076898833913</v>
      </c>
      <c r="Y451" s="36">
        <f>Y458+Y495</f>
        <v>60000</v>
      </c>
      <c r="Z451" s="36">
        <f>Z458+Z495</f>
        <v>60000</v>
      </c>
    </row>
    <row r="452" spans="1:26" ht="13.9" customHeight="1" x14ac:dyDescent="0.25">
      <c r="A452" s="15">
        <v>7</v>
      </c>
      <c r="D452" s="12"/>
      <c r="E452" s="35">
        <v>41</v>
      </c>
      <c r="F452" s="35" t="s">
        <v>23</v>
      </c>
      <c r="G452" s="36">
        <f t="shared" ref="G452:Q452" si="231">G459+G497</f>
        <v>107521.26</v>
      </c>
      <c r="H452" s="36">
        <f t="shared" si="231"/>
        <v>99582.87999999999</v>
      </c>
      <c r="I452" s="36">
        <f t="shared" si="231"/>
        <v>130467</v>
      </c>
      <c r="J452" s="36">
        <f t="shared" si="231"/>
        <v>115665</v>
      </c>
      <c r="K452" s="36">
        <f t="shared" si="231"/>
        <v>122869</v>
      </c>
      <c r="L452" s="36">
        <f t="shared" si="231"/>
        <v>-2879</v>
      </c>
      <c r="M452" s="36">
        <f t="shared" si="231"/>
        <v>-5289</v>
      </c>
      <c r="N452" s="36">
        <f t="shared" si="231"/>
        <v>1100</v>
      </c>
      <c r="O452" s="36">
        <f t="shared" si="231"/>
        <v>200</v>
      </c>
      <c r="P452" s="36">
        <f t="shared" si="231"/>
        <v>116001</v>
      </c>
      <c r="Q452" s="36">
        <f t="shared" si="231"/>
        <v>23492.019999999997</v>
      </c>
      <c r="R452" s="37">
        <f>IFERROR(Q452/$P452,0)</f>
        <v>0.20251566796837955</v>
      </c>
      <c r="S452" s="36">
        <f>S459+S497</f>
        <v>48739.850000000006</v>
      </c>
      <c r="T452" s="37">
        <f>IFERROR(S452/$P452,0)</f>
        <v>0.42016749855604696</v>
      </c>
      <c r="U452" s="36">
        <f>U459+U497</f>
        <v>78922.310000000012</v>
      </c>
      <c r="V452" s="37">
        <f>IFERROR(U452/$P452,0)</f>
        <v>0.68035887621658442</v>
      </c>
      <c r="W452" s="36">
        <f>W459+W497</f>
        <v>112564.47000000002</v>
      </c>
      <c r="X452" s="37">
        <f>IFERROR(W452/$P452,0)</f>
        <v>0.97037499676726935</v>
      </c>
      <c r="Y452" s="36">
        <f>Y459+Y497</f>
        <v>128090</v>
      </c>
      <c r="Z452" s="36">
        <f>Z459+Z497</f>
        <v>134064</v>
      </c>
    </row>
    <row r="453" spans="1:26" ht="13.9" customHeight="1" x14ac:dyDescent="0.25">
      <c r="A453" s="15">
        <v>7</v>
      </c>
      <c r="D453" s="12"/>
      <c r="E453" s="35">
        <v>72</v>
      </c>
      <c r="F453" s="35" t="s">
        <v>25</v>
      </c>
      <c r="G453" s="36">
        <f t="shared" ref="G453:Q453" si="232">G460</f>
        <v>1072.5</v>
      </c>
      <c r="H453" s="36">
        <f t="shared" si="232"/>
        <v>1221.0899999999999</v>
      </c>
      <c r="I453" s="36">
        <f t="shared" si="232"/>
        <v>1352</v>
      </c>
      <c r="J453" s="36">
        <f t="shared" si="232"/>
        <v>1167</v>
      </c>
      <c r="K453" s="36">
        <f t="shared" si="232"/>
        <v>1085</v>
      </c>
      <c r="L453" s="36">
        <f t="shared" si="232"/>
        <v>0</v>
      </c>
      <c r="M453" s="36">
        <f t="shared" si="232"/>
        <v>0</v>
      </c>
      <c r="N453" s="36">
        <f t="shared" si="232"/>
        <v>0</v>
      </c>
      <c r="O453" s="36">
        <f t="shared" si="232"/>
        <v>-132</v>
      </c>
      <c r="P453" s="36">
        <f t="shared" si="232"/>
        <v>953</v>
      </c>
      <c r="Q453" s="36">
        <f t="shared" si="232"/>
        <v>0</v>
      </c>
      <c r="R453" s="37">
        <f>IFERROR(Q453/$P453,0)</f>
        <v>0</v>
      </c>
      <c r="S453" s="36">
        <f>S460</f>
        <v>0</v>
      </c>
      <c r="T453" s="37">
        <f>IFERROR(S453/$P453,0)</f>
        <v>0</v>
      </c>
      <c r="U453" s="36">
        <f>U460</f>
        <v>0</v>
      </c>
      <c r="V453" s="37">
        <f>IFERROR(U453/$P453,0)</f>
        <v>0</v>
      </c>
      <c r="W453" s="36">
        <f>W460</f>
        <v>953.15</v>
      </c>
      <c r="X453" s="37">
        <f>IFERROR(W453/$P453,0)</f>
        <v>1.0001573976915006</v>
      </c>
      <c r="Y453" s="36">
        <f>Y460</f>
        <v>1071</v>
      </c>
      <c r="Z453" s="36">
        <f>Z460</f>
        <v>1078</v>
      </c>
    </row>
    <row r="454" spans="1:26" ht="13.9" customHeight="1" x14ac:dyDescent="0.25">
      <c r="A454" s="15">
        <v>7</v>
      </c>
      <c r="D454" s="30"/>
      <c r="E454" s="31"/>
      <c r="F454" s="38" t="s">
        <v>120</v>
      </c>
      <c r="G454" s="39">
        <f t="shared" ref="G454:Q454" si="233">SUM(G451:G453)</f>
        <v>192206.39</v>
      </c>
      <c r="H454" s="39">
        <f t="shared" si="233"/>
        <v>216266.63999999998</v>
      </c>
      <c r="I454" s="39">
        <f t="shared" si="233"/>
        <v>188119</v>
      </c>
      <c r="J454" s="39">
        <f t="shared" si="233"/>
        <v>237647</v>
      </c>
      <c r="K454" s="39">
        <f t="shared" si="233"/>
        <v>189535</v>
      </c>
      <c r="L454" s="39">
        <f t="shared" si="233"/>
        <v>26014</v>
      </c>
      <c r="M454" s="39">
        <f t="shared" si="233"/>
        <v>17888</v>
      </c>
      <c r="N454" s="39">
        <f t="shared" si="233"/>
        <v>8005</v>
      </c>
      <c r="O454" s="39">
        <f t="shared" si="233"/>
        <v>2432</v>
      </c>
      <c r="P454" s="39">
        <f t="shared" si="233"/>
        <v>243874</v>
      </c>
      <c r="Q454" s="39">
        <f t="shared" si="233"/>
        <v>72246.86</v>
      </c>
      <c r="R454" s="40">
        <f>IFERROR(Q454/$P454,0)</f>
        <v>0.29624666836153096</v>
      </c>
      <c r="S454" s="39">
        <f>SUM(S451:S453)</f>
        <v>134387.48000000001</v>
      </c>
      <c r="T454" s="40">
        <f>IFERROR(S454/$P454,0)</f>
        <v>0.55105292077056189</v>
      </c>
      <c r="U454" s="39">
        <f>SUM(U451:U453)</f>
        <v>184533.54000000004</v>
      </c>
      <c r="V454" s="40">
        <f>IFERROR(U454/$P454,0)</f>
        <v>0.75667574239156299</v>
      </c>
      <c r="W454" s="39">
        <f>SUM(W451:W453)</f>
        <v>238910.87000000002</v>
      </c>
      <c r="X454" s="40">
        <f>IFERROR(W454/$P454,0)</f>
        <v>0.97964879404938621</v>
      </c>
      <c r="Y454" s="39">
        <f>SUM(Y451:Y453)</f>
        <v>189161</v>
      </c>
      <c r="Z454" s="39">
        <f>SUM(Z451:Z453)</f>
        <v>195142</v>
      </c>
    </row>
    <row r="456" spans="1:26" ht="13.9" customHeight="1" x14ac:dyDescent="0.25">
      <c r="D456" s="41" t="s">
        <v>250</v>
      </c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2"/>
      <c r="S456" s="41"/>
      <c r="T456" s="42"/>
      <c r="U456" s="41"/>
      <c r="V456" s="42"/>
      <c r="W456" s="41"/>
      <c r="X456" s="42"/>
      <c r="Y456" s="41"/>
      <c r="Z456" s="41"/>
    </row>
    <row r="457" spans="1:26" ht="13.9" customHeight="1" x14ac:dyDescent="0.25">
      <c r="D457" s="121"/>
      <c r="E457" s="121"/>
      <c r="F457" s="121"/>
      <c r="G457" s="21" t="s">
        <v>1</v>
      </c>
      <c r="H457" s="21" t="s">
        <v>2</v>
      </c>
      <c r="I457" s="21" t="s">
        <v>3</v>
      </c>
      <c r="J457" s="21" t="s">
        <v>4</v>
      </c>
      <c r="K457" s="21" t="s">
        <v>5</v>
      </c>
      <c r="L457" s="21" t="s">
        <v>6</v>
      </c>
      <c r="M457" s="21" t="s">
        <v>7</v>
      </c>
      <c r="N457" s="21" t="s">
        <v>8</v>
      </c>
      <c r="O457" s="21" t="s">
        <v>9</v>
      </c>
      <c r="P457" s="21" t="s">
        <v>10</v>
      </c>
      <c r="Q457" s="21" t="s">
        <v>11</v>
      </c>
      <c r="R457" s="22" t="s">
        <v>12</v>
      </c>
      <c r="S457" s="21" t="s">
        <v>13</v>
      </c>
      <c r="T457" s="22" t="s">
        <v>14</v>
      </c>
      <c r="U457" s="21" t="s">
        <v>15</v>
      </c>
      <c r="V457" s="22" t="s">
        <v>16</v>
      </c>
      <c r="W457" s="21" t="s">
        <v>17</v>
      </c>
      <c r="X457" s="22" t="s">
        <v>18</v>
      </c>
      <c r="Y457" s="21" t="s">
        <v>19</v>
      </c>
      <c r="Z457" s="21" t="s">
        <v>20</v>
      </c>
    </row>
    <row r="458" spans="1:26" ht="13.9" customHeight="1" x14ac:dyDescent="0.25">
      <c r="A458" s="15">
        <v>7</v>
      </c>
      <c r="B458" s="15">
        <v>1</v>
      </c>
      <c r="D458" s="13" t="s">
        <v>21</v>
      </c>
      <c r="E458" s="23">
        <v>111</v>
      </c>
      <c r="F458" s="23" t="s">
        <v>45</v>
      </c>
      <c r="G458" s="24">
        <f t="shared" ref="G458:Q458" si="234">G468</f>
        <v>54229.729999999996</v>
      </c>
      <c r="H458" s="24">
        <f t="shared" si="234"/>
        <v>53712</v>
      </c>
      <c r="I458" s="24">
        <f t="shared" si="234"/>
        <v>44220</v>
      </c>
      <c r="J458" s="24">
        <f t="shared" si="234"/>
        <v>62483</v>
      </c>
      <c r="K458" s="24">
        <f t="shared" si="234"/>
        <v>58701</v>
      </c>
      <c r="L458" s="24">
        <f t="shared" si="234"/>
        <v>0</v>
      </c>
      <c r="M458" s="24">
        <f t="shared" si="234"/>
        <v>0</v>
      </c>
      <c r="N458" s="24">
        <f t="shared" si="234"/>
        <v>0</v>
      </c>
      <c r="O458" s="24">
        <f t="shared" si="234"/>
        <v>0</v>
      </c>
      <c r="P458" s="24">
        <f t="shared" si="234"/>
        <v>58701</v>
      </c>
      <c r="Q458" s="24">
        <f t="shared" si="234"/>
        <v>14786.94</v>
      </c>
      <c r="R458" s="25">
        <f>IFERROR(Q458/$P458,0)</f>
        <v>0.25190269331016507</v>
      </c>
      <c r="S458" s="24">
        <f>S468</f>
        <v>28083.730000000003</v>
      </c>
      <c r="T458" s="25">
        <f>IFERROR(S458/$P458,0)</f>
        <v>0.47841995877412657</v>
      </c>
      <c r="U458" s="24">
        <f>U468</f>
        <v>42816.33</v>
      </c>
      <c r="V458" s="25">
        <f>IFERROR(U458/$P458,0)</f>
        <v>0.72939694383400622</v>
      </c>
      <c r="W458" s="24">
        <f>W468</f>
        <v>57174.35</v>
      </c>
      <c r="X458" s="25">
        <f>IFERROR(W458/$P458,0)</f>
        <v>0.97399277695439601</v>
      </c>
      <c r="Y458" s="24">
        <f>Y468</f>
        <v>57120</v>
      </c>
      <c r="Z458" s="24">
        <f>Z468</f>
        <v>57120</v>
      </c>
    </row>
    <row r="459" spans="1:26" ht="13.9" customHeight="1" x14ac:dyDescent="0.25">
      <c r="A459" s="15">
        <v>7</v>
      </c>
      <c r="B459" s="15">
        <v>1</v>
      </c>
      <c r="D459" s="13"/>
      <c r="E459" s="23">
        <v>41</v>
      </c>
      <c r="F459" s="23" t="s">
        <v>23</v>
      </c>
      <c r="G459" s="24">
        <f t="shared" ref="G459:Q459" si="235">G473+G487</f>
        <v>103021.26</v>
      </c>
      <c r="H459" s="24">
        <f t="shared" si="235"/>
        <v>95982.87999999999</v>
      </c>
      <c r="I459" s="24">
        <f t="shared" si="235"/>
        <v>126867</v>
      </c>
      <c r="J459" s="24">
        <f t="shared" si="235"/>
        <v>112665</v>
      </c>
      <c r="K459" s="24">
        <f t="shared" si="235"/>
        <v>119869</v>
      </c>
      <c r="L459" s="24">
        <f t="shared" si="235"/>
        <v>-2879</v>
      </c>
      <c r="M459" s="24">
        <f t="shared" si="235"/>
        <v>-5289</v>
      </c>
      <c r="N459" s="24">
        <f t="shared" si="235"/>
        <v>1000</v>
      </c>
      <c r="O459" s="24">
        <f t="shared" si="235"/>
        <v>0</v>
      </c>
      <c r="P459" s="24">
        <f t="shared" si="235"/>
        <v>112701</v>
      </c>
      <c r="Q459" s="24">
        <f t="shared" si="235"/>
        <v>22292.019999999997</v>
      </c>
      <c r="R459" s="25">
        <f>IFERROR(Q459/$P459,0)</f>
        <v>0.19779788999210296</v>
      </c>
      <c r="S459" s="24">
        <f>S473+S487</f>
        <v>47339.850000000006</v>
      </c>
      <c r="T459" s="25">
        <f>IFERROR(S459/$P459,0)</f>
        <v>0.42004818058402327</v>
      </c>
      <c r="U459" s="24">
        <f>U473+U487</f>
        <v>76422.310000000012</v>
      </c>
      <c r="V459" s="25">
        <f>IFERROR(U459/$P459,0)</f>
        <v>0.67809788733019238</v>
      </c>
      <c r="W459" s="24">
        <f>W473+W487</f>
        <v>109264.47000000002</v>
      </c>
      <c r="X459" s="25">
        <f>IFERROR(W459/$P459,0)</f>
        <v>0.96950754651688997</v>
      </c>
      <c r="Y459" s="24">
        <f>Y473+Y487</f>
        <v>125090</v>
      </c>
      <c r="Z459" s="24">
        <f>Z473+Z487</f>
        <v>131064</v>
      </c>
    </row>
    <row r="460" spans="1:26" ht="13.9" customHeight="1" x14ac:dyDescent="0.25">
      <c r="A460" s="15">
        <v>7</v>
      </c>
      <c r="B460" s="15">
        <v>1</v>
      </c>
      <c r="D460" s="13"/>
      <c r="E460" s="23">
        <v>72</v>
      </c>
      <c r="F460" s="23" t="s">
        <v>25</v>
      </c>
      <c r="G460" s="24">
        <f t="shared" ref="G460:Q460" si="236">G475</f>
        <v>1072.5</v>
      </c>
      <c r="H460" s="24">
        <f t="shared" si="236"/>
        <v>1221.0899999999999</v>
      </c>
      <c r="I460" s="24">
        <f t="shared" si="236"/>
        <v>1352</v>
      </c>
      <c r="J460" s="24">
        <f t="shared" si="236"/>
        <v>1167</v>
      </c>
      <c r="K460" s="24">
        <f t="shared" si="236"/>
        <v>1085</v>
      </c>
      <c r="L460" s="24">
        <f t="shared" si="236"/>
        <v>0</v>
      </c>
      <c r="M460" s="24">
        <f t="shared" si="236"/>
        <v>0</v>
      </c>
      <c r="N460" s="24">
        <f t="shared" si="236"/>
        <v>0</v>
      </c>
      <c r="O460" s="24">
        <f t="shared" si="236"/>
        <v>-132</v>
      </c>
      <c r="P460" s="24">
        <f t="shared" si="236"/>
        <v>953</v>
      </c>
      <c r="Q460" s="24">
        <f t="shared" si="236"/>
        <v>0</v>
      </c>
      <c r="R460" s="25">
        <f>IFERROR(Q460/$P460,0)</f>
        <v>0</v>
      </c>
      <c r="S460" s="24">
        <f>S475</f>
        <v>0</v>
      </c>
      <c r="T460" s="25">
        <f>IFERROR(S460/$P460,0)</f>
        <v>0</v>
      </c>
      <c r="U460" s="24">
        <f>U475</f>
        <v>0</v>
      </c>
      <c r="V460" s="25">
        <f>IFERROR(U460/$P460,0)</f>
        <v>0</v>
      </c>
      <c r="W460" s="24">
        <f>W475</f>
        <v>953.15</v>
      </c>
      <c r="X460" s="25">
        <f>IFERROR(W460/$P460,0)</f>
        <v>1.0001573976915006</v>
      </c>
      <c r="Y460" s="24">
        <f>Y475</f>
        <v>1071</v>
      </c>
      <c r="Z460" s="24">
        <f>Z475</f>
        <v>1078</v>
      </c>
    </row>
    <row r="461" spans="1:26" ht="13.9" customHeight="1" x14ac:dyDescent="0.25">
      <c r="A461" s="15">
        <v>7</v>
      </c>
      <c r="B461" s="15">
        <v>1</v>
      </c>
      <c r="D461" s="30"/>
      <c r="E461" s="31"/>
      <c r="F461" s="26" t="s">
        <v>120</v>
      </c>
      <c r="G461" s="27">
        <f t="shared" ref="G461:Q461" si="237">SUM(G458:G460)</f>
        <v>158323.49</v>
      </c>
      <c r="H461" s="27">
        <f t="shared" si="237"/>
        <v>150915.97</v>
      </c>
      <c r="I461" s="27">
        <f t="shared" si="237"/>
        <v>172439</v>
      </c>
      <c r="J461" s="27">
        <f t="shared" si="237"/>
        <v>176315</v>
      </c>
      <c r="K461" s="27">
        <f t="shared" si="237"/>
        <v>179655</v>
      </c>
      <c r="L461" s="27">
        <f t="shared" si="237"/>
        <v>-2879</v>
      </c>
      <c r="M461" s="27">
        <f t="shared" si="237"/>
        <v>-5289</v>
      </c>
      <c r="N461" s="27">
        <f t="shared" si="237"/>
        <v>1000</v>
      </c>
      <c r="O461" s="27">
        <f t="shared" si="237"/>
        <v>-132</v>
      </c>
      <c r="P461" s="27">
        <f t="shared" si="237"/>
        <v>172355</v>
      </c>
      <c r="Q461" s="27">
        <f t="shared" si="237"/>
        <v>37078.959999999999</v>
      </c>
      <c r="R461" s="28">
        <f>IFERROR(Q461/$P461,0)</f>
        <v>0.21513132778277391</v>
      </c>
      <c r="S461" s="27">
        <f>SUM(S458:S460)</f>
        <v>75423.580000000016</v>
      </c>
      <c r="T461" s="28">
        <f>IFERROR(S461/$P461,0)</f>
        <v>0.43760598764178593</v>
      </c>
      <c r="U461" s="27">
        <f>SUM(U458:U460)</f>
        <v>119238.64000000001</v>
      </c>
      <c r="V461" s="28">
        <f>IFERROR(U461/$P461,0)</f>
        <v>0.69182002262771614</v>
      </c>
      <c r="W461" s="27">
        <f>SUM(W458:W460)</f>
        <v>167391.97</v>
      </c>
      <c r="X461" s="28">
        <f>IFERROR(W461/$P461,0)</f>
        <v>0.97120460677090892</v>
      </c>
      <c r="Y461" s="27">
        <f>SUM(Y458:Y460)</f>
        <v>183281</v>
      </c>
      <c r="Z461" s="27">
        <f>SUM(Z458:Z460)</f>
        <v>189262</v>
      </c>
    </row>
    <row r="463" spans="1:26" ht="13.9" customHeight="1" x14ac:dyDescent="0.25">
      <c r="D463" s="73" t="s">
        <v>251</v>
      </c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4"/>
      <c r="S463" s="73"/>
      <c r="T463" s="74"/>
      <c r="U463" s="73"/>
      <c r="V463" s="74"/>
      <c r="W463" s="73"/>
      <c r="X463" s="74"/>
      <c r="Y463" s="73"/>
      <c r="Z463" s="73"/>
    </row>
    <row r="464" spans="1:26" ht="13.9" customHeight="1" x14ac:dyDescent="0.25">
      <c r="D464" s="21" t="s">
        <v>32</v>
      </c>
      <c r="E464" s="21" t="s">
        <v>33</v>
      </c>
      <c r="F464" s="21" t="s">
        <v>34</v>
      </c>
      <c r="G464" s="21" t="s">
        <v>1</v>
      </c>
      <c r="H464" s="21" t="s">
        <v>2</v>
      </c>
      <c r="I464" s="21" t="s">
        <v>3</v>
      </c>
      <c r="J464" s="21" t="s">
        <v>4</v>
      </c>
      <c r="K464" s="21" t="s">
        <v>5</v>
      </c>
      <c r="L464" s="21" t="s">
        <v>6</v>
      </c>
      <c r="M464" s="21" t="s">
        <v>7</v>
      </c>
      <c r="N464" s="21" t="s">
        <v>8</v>
      </c>
      <c r="O464" s="21" t="s">
        <v>9</v>
      </c>
      <c r="P464" s="21" t="s">
        <v>10</v>
      </c>
      <c r="Q464" s="21" t="s">
        <v>11</v>
      </c>
      <c r="R464" s="22" t="s">
        <v>12</v>
      </c>
      <c r="S464" s="21" t="s">
        <v>13</v>
      </c>
      <c r="T464" s="22" t="s">
        <v>14</v>
      </c>
      <c r="U464" s="21" t="s">
        <v>15</v>
      </c>
      <c r="V464" s="22" t="s">
        <v>16</v>
      </c>
      <c r="W464" s="21" t="s">
        <v>17</v>
      </c>
      <c r="X464" s="22" t="s">
        <v>18</v>
      </c>
      <c r="Y464" s="21" t="s">
        <v>19</v>
      </c>
      <c r="Z464" s="21" t="s">
        <v>20</v>
      </c>
    </row>
    <row r="465" spans="1:26" ht="13.9" customHeight="1" x14ac:dyDescent="0.25">
      <c r="A465" s="15">
        <v>7</v>
      </c>
      <c r="B465" s="15">
        <v>1</v>
      </c>
      <c r="C465" s="15">
        <v>1</v>
      </c>
      <c r="D465" s="11" t="s">
        <v>252</v>
      </c>
      <c r="E465" s="23">
        <v>610</v>
      </c>
      <c r="F465" s="23" t="s">
        <v>125</v>
      </c>
      <c r="G465" s="24">
        <v>39601.25</v>
      </c>
      <c r="H465" s="24">
        <v>36838.400000000001</v>
      </c>
      <c r="I465" s="24">
        <v>32513</v>
      </c>
      <c r="J465" s="24">
        <v>30800</v>
      </c>
      <c r="K465" s="24">
        <v>42664</v>
      </c>
      <c r="L465" s="24">
        <v>-814</v>
      </c>
      <c r="M465" s="24">
        <v>-1811</v>
      </c>
      <c r="N465" s="24">
        <v>-1055</v>
      </c>
      <c r="O465" s="24"/>
      <c r="P465" s="24">
        <f>K465+SUM(L465:O465)</f>
        <v>38984</v>
      </c>
      <c r="Q465" s="24">
        <v>9767.84</v>
      </c>
      <c r="R465" s="25">
        <f t="shared" ref="R465:R476" si="238">IFERROR(Q465/$P465,0)</f>
        <v>0.25056022983788223</v>
      </c>
      <c r="S465" s="24">
        <v>18870.72</v>
      </c>
      <c r="T465" s="25">
        <f t="shared" ref="T465:T476" si="239">IFERROR(S465/$P465,0)</f>
        <v>0.48406320541760728</v>
      </c>
      <c r="U465" s="24">
        <v>28364.63</v>
      </c>
      <c r="V465" s="25">
        <f t="shared" ref="V465:V476" si="240">IFERROR(U465/$P465,0)</f>
        <v>0.72759670634106299</v>
      </c>
      <c r="W465" s="24">
        <v>37847.99</v>
      </c>
      <c r="X465" s="25">
        <f t="shared" ref="X465:X476" si="241">IFERROR(W465/$P465,0)</f>
        <v>0.97085958341883849</v>
      </c>
      <c r="Y465" s="24">
        <f>K465</f>
        <v>42664</v>
      </c>
      <c r="Z465" s="24">
        <f>Y465</f>
        <v>42664</v>
      </c>
    </row>
    <row r="466" spans="1:26" ht="13.9" customHeight="1" x14ac:dyDescent="0.25">
      <c r="A466" s="15">
        <v>7</v>
      </c>
      <c r="B466" s="15">
        <v>1</v>
      </c>
      <c r="C466" s="15">
        <v>1</v>
      </c>
      <c r="D466" s="11"/>
      <c r="E466" s="23">
        <v>620</v>
      </c>
      <c r="F466" s="23" t="s">
        <v>126</v>
      </c>
      <c r="G466" s="24">
        <v>14628.48</v>
      </c>
      <c r="H466" s="24">
        <v>13273.6</v>
      </c>
      <c r="I466" s="24">
        <v>11707</v>
      </c>
      <c r="J466" s="24">
        <v>10764</v>
      </c>
      <c r="K466" s="24">
        <v>14456</v>
      </c>
      <c r="L466" s="24"/>
      <c r="M466" s="24"/>
      <c r="N466" s="24">
        <v>-380</v>
      </c>
      <c r="O466" s="24"/>
      <c r="P466" s="24">
        <f>K466+SUM(L466:O466)</f>
        <v>14076</v>
      </c>
      <c r="Q466" s="24">
        <v>3528.95</v>
      </c>
      <c r="R466" s="25">
        <f t="shared" si="238"/>
        <v>0.25070687695367999</v>
      </c>
      <c r="S466" s="24">
        <v>6817.68</v>
      </c>
      <c r="T466" s="25">
        <f t="shared" si="239"/>
        <v>0.48434782608695653</v>
      </c>
      <c r="U466" s="24">
        <v>10246.01</v>
      </c>
      <c r="V466" s="25">
        <f t="shared" si="240"/>
        <v>0.72790636544472864</v>
      </c>
      <c r="W466" s="24">
        <v>13684.87</v>
      </c>
      <c r="X466" s="25">
        <f t="shared" si="241"/>
        <v>0.97221298664393296</v>
      </c>
      <c r="Y466" s="24">
        <f>K466</f>
        <v>14456</v>
      </c>
      <c r="Z466" s="24">
        <f>Y466</f>
        <v>14456</v>
      </c>
    </row>
    <row r="467" spans="1:26" ht="13.9" customHeight="1" x14ac:dyDescent="0.25">
      <c r="D467" s="11"/>
      <c r="E467" s="23">
        <v>630</v>
      </c>
      <c r="F467" s="23" t="s">
        <v>127</v>
      </c>
      <c r="G467" s="24">
        <v>0</v>
      </c>
      <c r="H467" s="24">
        <v>3600</v>
      </c>
      <c r="I467" s="24">
        <v>0</v>
      </c>
      <c r="J467" s="24">
        <v>20919</v>
      </c>
      <c r="K467" s="24">
        <v>1581</v>
      </c>
      <c r="L467" s="24">
        <v>814</v>
      </c>
      <c r="M467" s="24">
        <v>1811</v>
      </c>
      <c r="N467" s="24">
        <v>1435</v>
      </c>
      <c r="O467" s="24"/>
      <c r="P467" s="24">
        <f>K467+SUM(L467:O467)</f>
        <v>5641</v>
      </c>
      <c r="Q467" s="24">
        <v>1490.15</v>
      </c>
      <c r="R467" s="25">
        <f t="shared" si="238"/>
        <v>0.26416415529161497</v>
      </c>
      <c r="S467" s="24">
        <v>2395.33</v>
      </c>
      <c r="T467" s="25">
        <f t="shared" si="239"/>
        <v>0.42462861194823609</v>
      </c>
      <c r="U467" s="24">
        <v>4205.6899999999996</v>
      </c>
      <c r="V467" s="25">
        <f t="shared" si="240"/>
        <v>0.74555752526147834</v>
      </c>
      <c r="W467" s="24">
        <v>5641.49</v>
      </c>
      <c r="X467" s="25">
        <f t="shared" si="241"/>
        <v>1.0000868640312002</v>
      </c>
      <c r="Y467" s="24">
        <v>0</v>
      </c>
      <c r="Z467" s="24">
        <f>Y467</f>
        <v>0</v>
      </c>
    </row>
    <row r="468" spans="1:26" ht="13.9" customHeight="1" x14ac:dyDescent="0.25">
      <c r="A468" s="15">
        <v>7</v>
      </c>
      <c r="B468" s="15">
        <v>1</v>
      </c>
      <c r="C468" s="15">
        <v>1</v>
      </c>
      <c r="D468" s="79" t="s">
        <v>21</v>
      </c>
      <c r="E468" s="48">
        <v>111</v>
      </c>
      <c r="F468" s="48" t="s">
        <v>130</v>
      </c>
      <c r="G468" s="98">
        <f t="shared" ref="G468:Q468" si="242">SUM(G465:G467)</f>
        <v>54229.729999999996</v>
      </c>
      <c r="H468" s="98">
        <f t="shared" si="242"/>
        <v>53712</v>
      </c>
      <c r="I468" s="98">
        <f t="shared" si="242"/>
        <v>44220</v>
      </c>
      <c r="J468" s="98">
        <f t="shared" si="242"/>
        <v>62483</v>
      </c>
      <c r="K468" s="98">
        <f t="shared" si="242"/>
        <v>58701</v>
      </c>
      <c r="L468" s="98">
        <f t="shared" si="242"/>
        <v>0</v>
      </c>
      <c r="M468" s="98">
        <f t="shared" si="242"/>
        <v>0</v>
      </c>
      <c r="N468" s="98">
        <f t="shared" si="242"/>
        <v>0</v>
      </c>
      <c r="O468" s="98">
        <f t="shared" si="242"/>
        <v>0</v>
      </c>
      <c r="P468" s="98">
        <f t="shared" si="242"/>
        <v>58701</v>
      </c>
      <c r="Q468" s="98">
        <f t="shared" si="242"/>
        <v>14786.94</v>
      </c>
      <c r="R468" s="99">
        <f t="shared" si="238"/>
        <v>0.25190269331016507</v>
      </c>
      <c r="S468" s="98">
        <f>SUM(S465:S467)</f>
        <v>28083.730000000003</v>
      </c>
      <c r="T468" s="99">
        <f t="shared" si="239"/>
        <v>0.47841995877412657</v>
      </c>
      <c r="U468" s="98">
        <f>SUM(U465:U467)</f>
        <v>42816.33</v>
      </c>
      <c r="V468" s="99">
        <f t="shared" si="240"/>
        <v>0.72939694383400622</v>
      </c>
      <c r="W468" s="98">
        <f>SUM(W465:W467)</f>
        <v>57174.35</v>
      </c>
      <c r="X468" s="99">
        <f t="shared" si="241"/>
        <v>0.97399277695439601</v>
      </c>
      <c r="Y468" s="98">
        <f>SUM(Y465:Y467)</f>
        <v>57120</v>
      </c>
      <c r="Z468" s="98">
        <f>SUM(Z465:Z467)</f>
        <v>57120</v>
      </c>
    </row>
    <row r="469" spans="1:26" ht="13.9" customHeight="1" x14ac:dyDescent="0.25">
      <c r="A469" s="15">
        <v>7</v>
      </c>
      <c r="B469" s="15">
        <v>1</v>
      </c>
      <c r="C469" s="15">
        <v>1</v>
      </c>
      <c r="D469" s="5" t="s">
        <v>252</v>
      </c>
      <c r="E469" s="23">
        <v>610</v>
      </c>
      <c r="F469" s="23" t="s">
        <v>125</v>
      </c>
      <c r="G469" s="24">
        <v>47011.49</v>
      </c>
      <c r="H469" s="24">
        <v>39073.97</v>
      </c>
      <c r="I469" s="24">
        <v>52428</v>
      </c>
      <c r="J469" s="24">
        <v>46426</v>
      </c>
      <c r="K469" s="24">
        <v>47448</v>
      </c>
      <c r="L469" s="24">
        <v>-2378</v>
      </c>
      <c r="M469" s="24">
        <v>-100</v>
      </c>
      <c r="N469" s="24">
        <v>-113</v>
      </c>
      <c r="O469" s="24">
        <v>2350</v>
      </c>
      <c r="P469" s="24">
        <f>K469+SUM(L469:O469)</f>
        <v>47207</v>
      </c>
      <c r="Q469" s="24">
        <v>6799.79</v>
      </c>
      <c r="R469" s="25">
        <f t="shared" si="238"/>
        <v>0.14404198529879042</v>
      </c>
      <c r="S469" s="24">
        <v>18060.78</v>
      </c>
      <c r="T469" s="25">
        <f t="shared" si="239"/>
        <v>0.38258690448450439</v>
      </c>
      <c r="U469" s="24">
        <v>30329.88</v>
      </c>
      <c r="V469" s="25">
        <f t="shared" si="240"/>
        <v>0.64248691931281376</v>
      </c>
      <c r="W469" s="24">
        <v>47207.44</v>
      </c>
      <c r="X469" s="25">
        <f t="shared" si="241"/>
        <v>1.0000093206515983</v>
      </c>
      <c r="Y469" s="24">
        <v>51326</v>
      </c>
      <c r="Z469" s="24">
        <v>55592</v>
      </c>
    </row>
    <row r="470" spans="1:26" ht="13.9" customHeight="1" x14ac:dyDescent="0.25">
      <c r="A470" s="15">
        <v>7</v>
      </c>
      <c r="B470" s="15">
        <v>1</v>
      </c>
      <c r="C470" s="15">
        <v>1</v>
      </c>
      <c r="D470" s="5"/>
      <c r="E470" s="23">
        <v>620</v>
      </c>
      <c r="F470" s="23" t="s">
        <v>126</v>
      </c>
      <c r="G470" s="24">
        <v>18262.7</v>
      </c>
      <c r="H470" s="24">
        <v>14864.56</v>
      </c>
      <c r="I470" s="24">
        <v>20282</v>
      </c>
      <c r="J470" s="24">
        <v>17756</v>
      </c>
      <c r="K470" s="24">
        <v>18645</v>
      </c>
      <c r="L470" s="24"/>
      <c r="M470" s="24"/>
      <c r="N470" s="24"/>
      <c r="O470" s="24">
        <v>-12</v>
      </c>
      <c r="P470" s="24">
        <f>K470+SUM(L470:O470)</f>
        <v>18633</v>
      </c>
      <c r="Q470" s="24">
        <v>2991.99</v>
      </c>
      <c r="R470" s="25">
        <f t="shared" si="238"/>
        <v>0.16057478666881339</v>
      </c>
      <c r="S470" s="24">
        <v>7471.64</v>
      </c>
      <c r="T470" s="25">
        <f t="shared" si="239"/>
        <v>0.40098964203295229</v>
      </c>
      <c r="U470" s="24">
        <v>12216.59</v>
      </c>
      <c r="V470" s="25">
        <f t="shared" si="240"/>
        <v>0.65564267697096545</v>
      </c>
      <c r="W470" s="24">
        <v>18634.240000000002</v>
      </c>
      <c r="X470" s="25">
        <f t="shared" si="241"/>
        <v>1.0000665485965761</v>
      </c>
      <c r="Y470" s="24">
        <v>20079</v>
      </c>
      <c r="Z470" s="24">
        <v>21655</v>
      </c>
    </row>
    <row r="471" spans="1:26" ht="13.9" customHeight="1" x14ac:dyDescent="0.25">
      <c r="A471" s="15">
        <v>7</v>
      </c>
      <c r="B471" s="15">
        <v>1</v>
      </c>
      <c r="C471" s="15">
        <v>1</v>
      </c>
      <c r="D471" s="5"/>
      <c r="E471" s="23">
        <v>630</v>
      </c>
      <c r="F471" s="23" t="s">
        <v>127</v>
      </c>
      <c r="G471" s="24">
        <v>29423.03</v>
      </c>
      <c r="H471" s="24">
        <v>33659.120000000003</v>
      </c>
      <c r="I471" s="24">
        <v>50657</v>
      </c>
      <c r="J471" s="24">
        <v>45351</v>
      </c>
      <c r="K471" s="24">
        <f>10911+39865</f>
        <v>50776</v>
      </c>
      <c r="L471" s="24">
        <v>-653</v>
      </c>
      <c r="M471" s="24">
        <v>-5289</v>
      </c>
      <c r="N471" s="24">
        <v>1000</v>
      </c>
      <c r="O471" s="24">
        <v>-2338</v>
      </c>
      <c r="P471" s="24">
        <f>K471+SUM(L471:O471)</f>
        <v>43496</v>
      </c>
      <c r="Q471" s="24">
        <v>12387.28</v>
      </c>
      <c r="R471" s="25">
        <f t="shared" si="238"/>
        <v>0.28479124517196985</v>
      </c>
      <c r="S471" s="24">
        <v>21555.38</v>
      </c>
      <c r="T471" s="25">
        <f t="shared" si="239"/>
        <v>0.49557154680890197</v>
      </c>
      <c r="U471" s="24">
        <v>30898.19</v>
      </c>
      <c r="V471" s="25">
        <f t="shared" si="240"/>
        <v>0.71036853963582858</v>
      </c>
      <c r="W471" s="24">
        <v>40321.19</v>
      </c>
      <c r="X471" s="25">
        <f t="shared" si="241"/>
        <v>0.92700915026669128</v>
      </c>
      <c r="Y471" s="24">
        <f>10820+39865</f>
        <v>50685</v>
      </c>
      <c r="Z471" s="24">
        <f>10952+39865</f>
        <v>50817</v>
      </c>
    </row>
    <row r="472" spans="1:26" ht="13.9" customHeight="1" x14ac:dyDescent="0.25">
      <c r="A472" s="15">
        <v>7</v>
      </c>
      <c r="B472" s="15">
        <v>1</v>
      </c>
      <c r="C472" s="15">
        <v>1</v>
      </c>
      <c r="D472" s="5"/>
      <c r="E472" s="23">
        <v>640</v>
      </c>
      <c r="F472" s="23" t="s">
        <v>128</v>
      </c>
      <c r="G472" s="24">
        <v>6387.09</v>
      </c>
      <c r="H472" s="24">
        <v>6568.23</v>
      </c>
      <c r="I472" s="24">
        <v>0</v>
      </c>
      <c r="J472" s="24">
        <v>228</v>
      </c>
      <c r="K472" s="24">
        <v>0</v>
      </c>
      <c r="L472" s="24">
        <v>152</v>
      </c>
      <c r="M472" s="24">
        <v>100</v>
      </c>
      <c r="N472" s="24">
        <v>113</v>
      </c>
      <c r="O472" s="24"/>
      <c r="P472" s="24">
        <f>K472+SUM(L472:O472)</f>
        <v>365</v>
      </c>
      <c r="Q472" s="24">
        <v>112.96</v>
      </c>
      <c r="R472" s="25">
        <f t="shared" si="238"/>
        <v>0.30947945205479449</v>
      </c>
      <c r="S472" s="24">
        <v>252.05</v>
      </c>
      <c r="T472" s="25">
        <f t="shared" si="239"/>
        <v>0.69054794520547946</v>
      </c>
      <c r="U472" s="24">
        <v>252.05</v>
      </c>
      <c r="V472" s="25">
        <f t="shared" si="240"/>
        <v>0.69054794520547946</v>
      </c>
      <c r="W472" s="24">
        <v>365</v>
      </c>
      <c r="X472" s="25">
        <f t="shared" si="241"/>
        <v>1</v>
      </c>
      <c r="Y472" s="24">
        <v>0</v>
      </c>
      <c r="Z472" s="24">
        <v>0</v>
      </c>
    </row>
    <row r="473" spans="1:26" ht="13.9" customHeight="1" x14ac:dyDescent="0.25">
      <c r="A473" s="15">
        <v>7</v>
      </c>
      <c r="B473" s="15">
        <v>1</v>
      </c>
      <c r="C473" s="15">
        <v>1</v>
      </c>
      <c r="D473" s="79" t="s">
        <v>21</v>
      </c>
      <c r="E473" s="48">
        <v>41</v>
      </c>
      <c r="F473" s="48" t="s">
        <v>23</v>
      </c>
      <c r="G473" s="49">
        <f t="shared" ref="G473:Q473" si="243">SUM(G469:G472)</f>
        <v>101084.31</v>
      </c>
      <c r="H473" s="49">
        <f t="shared" si="243"/>
        <v>94165.87999999999</v>
      </c>
      <c r="I473" s="49">
        <f t="shared" si="243"/>
        <v>123367</v>
      </c>
      <c r="J473" s="49">
        <f t="shared" si="243"/>
        <v>109761</v>
      </c>
      <c r="K473" s="49">
        <f t="shared" si="243"/>
        <v>116869</v>
      </c>
      <c r="L473" s="49">
        <f t="shared" si="243"/>
        <v>-2879</v>
      </c>
      <c r="M473" s="49">
        <f t="shared" si="243"/>
        <v>-5289</v>
      </c>
      <c r="N473" s="49">
        <f t="shared" si="243"/>
        <v>1000</v>
      </c>
      <c r="O473" s="49">
        <f t="shared" si="243"/>
        <v>0</v>
      </c>
      <c r="P473" s="49">
        <f t="shared" si="243"/>
        <v>109701</v>
      </c>
      <c r="Q473" s="49">
        <f t="shared" si="243"/>
        <v>22292.019999999997</v>
      </c>
      <c r="R473" s="50">
        <f t="shared" si="238"/>
        <v>0.20320708106580612</v>
      </c>
      <c r="S473" s="49">
        <f>SUM(S469:S472)</f>
        <v>47339.850000000006</v>
      </c>
      <c r="T473" s="50">
        <f t="shared" si="239"/>
        <v>0.43153526403587938</v>
      </c>
      <c r="U473" s="49">
        <f>SUM(U469:U472)</f>
        <v>73696.710000000006</v>
      </c>
      <c r="V473" s="50">
        <f t="shared" si="240"/>
        <v>0.67179615500314493</v>
      </c>
      <c r="W473" s="49">
        <f>SUM(W469:W472)</f>
        <v>106527.87000000001</v>
      </c>
      <c r="X473" s="50">
        <f t="shared" si="241"/>
        <v>0.97107473951923873</v>
      </c>
      <c r="Y473" s="49">
        <f>SUM(Y469:Y472)</f>
        <v>122090</v>
      </c>
      <c r="Z473" s="49">
        <f>SUM(Z469:Z472)</f>
        <v>128064</v>
      </c>
    </row>
    <row r="474" spans="1:26" ht="13.9" customHeight="1" x14ac:dyDescent="0.25">
      <c r="A474" s="15">
        <v>7</v>
      </c>
      <c r="B474" s="15">
        <v>1</v>
      </c>
      <c r="C474" s="15">
        <v>1</v>
      </c>
      <c r="D474" s="51" t="s">
        <v>252</v>
      </c>
      <c r="E474" s="23">
        <v>640</v>
      </c>
      <c r="F474" s="23" t="s">
        <v>128</v>
      </c>
      <c r="G474" s="24">
        <v>1072.5</v>
      </c>
      <c r="H474" s="24">
        <v>1221.0899999999999</v>
      </c>
      <c r="I474" s="24">
        <v>1352</v>
      </c>
      <c r="J474" s="24">
        <v>1167</v>
      </c>
      <c r="K474" s="24">
        <v>1085</v>
      </c>
      <c r="L474" s="24"/>
      <c r="M474" s="24"/>
      <c r="N474" s="24"/>
      <c r="O474" s="24">
        <v>-132</v>
      </c>
      <c r="P474" s="24">
        <f>K474+SUM(L474:O474)</f>
        <v>953</v>
      </c>
      <c r="Q474" s="24">
        <v>0</v>
      </c>
      <c r="R474" s="25">
        <f t="shared" si="238"/>
        <v>0</v>
      </c>
      <c r="S474" s="24">
        <v>0</v>
      </c>
      <c r="T474" s="25">
        <f t="shared" si="239"/>
        <v>0</v>
      </c>
      <c r="U474" s="24">
        <v>0</v>
      </c>
      <c r="V474" s="25">
        <f t="shared" si="240"/>
        <v>0</v>
      </c>
      <c r="W474" s="24">
        <v>953.15</v>
      </c>
      <c r="X474" s="25">
        <f t="shared" si="241"/>
        <v>1.0001573976915006</v>
      </c>
      <c r="Y474" s="24">
        <v>1071</v>
      </c>
      <c r="Z474" s="24">
        <v>1078</v>
      </c>
    </row>
    <row r="475" spans="1:26" ht="13.9" customHeight="1" x14ac:dyDescent="0.25">
      <c r="A475" s="15">
        <v>7</v>
      </c>
      <c r="B475" s="15">
        <v>1</v>
      </c>
      <c r="C475" s="15">
        <v>1</v>
      </c>
      <c r="D475" s="79" t="s">
        <v>21</v>
      </c>
      <c r="E475" s="48">
        <v>72</v>
      </c>
      <c r="F475" s="48" t="s">
        <v>25</v>
      </c>
      <c r="G475" s="49">
        <f t="shared" ref="G475:Q475" si="244">SUM(G474:G474)</f>
        <v>1072.5</v>
      </c>
      <c r="H475" s="49">
        <f t="shared" si="244"/>
        <v>1221.0899999999999</v>
      </c>
      <c r="I475" s="49">
        <f t="shared" si="244"/>
        <v>1352</v>
      </c>
      <c r="J475" s="49">
        <f t="shared" si="244"/>
        <v>1167</v>
      </c>
      <c r="K475" s="49">
        <f t="shared" si="244"/>
        <v>1085</v>
      </c>
      <c r="L475" s="49">
        <f t="shared" si="244"/>
        <v>0</v>
      </c>
      <c r="M475" s="49">
        <f t="shared" si="244"/>
        <v>0</v>
      </c>
      <c r="N475" s="49">
        <f t="shared" si="244"/>
        <v>0</v>
      </c>
      <c r="O475" s="49">
        <f t="shared" si="244"/>
        <v>-132</v>
      </c>
      <c r="P475" s="49">
        <f t="shared" si="244"/>
        <v>953</v>
      </c>
      <c r="Q475" s="49">
        <f t="shared" si="244"/>
        <v>0</v>
      </c>
      <c r="R475" s="50">
        <f t="shared" si="238"/>
        <v>0</v>
      </c>
      <c r="S475" s="49">
        <f>SUM(S474:S474)</f>
        <v>0</v>
      </c>
      <c r="T475" s="50">
        <f t="shared" si="239"/>
        <v>0</v>
      </c>
      <c r="U475" s="49">
        <f>SUM(U474:U474)</f>
        <v>0</v>
      </c>
      <c r="V475" s="50">
        <f t="shared" si="240"/>
        <v>0</v>
      </c>
      <c r="W475" s="49">
        <f>SUM(W474:W474)</f>
        <v>953.15</v>
      </c>
      <c r="X475" s="50">
        <f t="shared" si="241"/>
        <v>1.0001573976915006</v>
      </c>
      <c r="Y475" s="49">
        <f>SUM(Y474:Y474)</f>
        <v>1071</v>
      </c>
      <c r="Z475" s="49">
        <f>SUM(Z474:Z474)</f>
        <v>1078</v>
      </c>
    </row>
    <row r="476" spans="1:26" ht="13.9" customHeight="1" x14ac:dyDescent="0.25">
      <c r="A476" s="15">
        <v>7</v>
      </c>
      <c r="B476" s="15">
        <v>1</v>
      </c>
      <c r="C476" s="15">
        <v>1</v>
      </c>
      <c r="D476" s="30"/>
      <c r="E476" s="31"/>
      <c r="F476" s="26" t="s">
        <v>120</v>
      </c>
      <c r="G476" s="27">
        <f t="shared" ref="G476:Q476" si="245">G468+G473+G475</f>
        <v>156386.53999999998</v>
      </c>
      <c r="H476" s="27">
        <f t="shared" si="245"/>
        <v>149098.97</v>
      </c>
      <c r="I476" s="27">
        <f t="shared" si="245"/>
        <v>168939</v>
      </c>
      <c r="J476" s="27">
        <f t="shared" si="245"/>
        <v>173411</v>
      </c>
      <c r="K476" s="27">
        <f t="shared" si="245"/>
        <v>176655</v>
      </c>
      <c r="L476" s="27">
        <f t="shared" si="245"/>
        <v>-2879</v>
      </c>
      <c r="M476" s="27">
        <f t="shared" si="245"/>
        <v>-5289</v>
      </c>
      <c r="N476" s="27">
        <f t="shared" si="245"/>
        <v>1000</v>
      </c>
      <c r="O476" s="27">
        <f t="shared" si="245"/>
        <v>-132</v>
      </c>
      <c r="P476" s="27">
        <f t="shared" si="245"/>
        <v>169355</v>
      </c>
      <c r="Q476" s="27">
        <f t="shared" si="245"/>
        <v>37078.959999999999</v>
      </c>
      <c r="R476" s="28">
        <f t="shared" si="238"/>
        <v>0.2189422219597886</v>
      </c>
      <c r="S476" s="27">
        <f>S468+S473+S475</f>
        <v>75423.580000000016</v>
      </c>
      <c r="T476" s="28">
        <f t="shared" si="239"/>
        <v>0.44535785775442127</v>
      </c>
      <c r="U476" s="27">
        <f>U468+U473+U475</f>
        <v>116513.04000000001</v>
      </c>
      <c r="V476" s="28">
        <f t="shared" si="240"/>
        <v>0.68798110477990027</v>
      </c>
      <c r="W476" s="27">
        <f>W468+W473+W475</f>
        <v>164655.37</v>
      </c>
      <c r="X476" s="28">
        <f t="shared" si="241"/>
        <v>0.97224983023825684</v>
      </c>
      <c r="Y476" s="27">
        <f>Y468+Y473+Y475</f>
        <v>180281</v>
      </c>
      <c r="Z476" s="27">
        <f>Z468+Z473+Z475</f>
        <v>186262</v>
      </c>
    </row>
    <row r="478" spans="1:26" ht="13.9" customHeight="1" x14ac:dyDescent="0.25">
      <c r="E478" s="52" t="s">
        <v>55</v>
      </c>
      <c r="F478" s="30" t="s">
        <v>143</v>
      </c>
      <c r="G478" s="53">
        <v>2585</v>
      </c>
      <c r="H478" s="53">
        <v>3960</v>
      </c>
      <c r="I478" s="53">
        <v>8723</v>
      </c>
      <c r="J478" s="53">
        <v>7363</v>
      </c>
      <c r="K478" s="53">
        <v>7363</v>
      </c>
      <c r="L478" s="53"/>
      <c r="M478" s="53">
        <v>-5289</v>
      </c>
      <c r="N478" s="53"/>
      <c r="O478" s="53">
        <v>-145</v>
      </c>
      <c r="P478" s="53">
        <f>K478+SUM(L478:O478)</f>
        <v>1929</v>
      </c>
      <c r="Q478" s="53">
        <v>804.46</v>
      </c>
      <c r="R478" s="54">
        <f>IFERROR(Q478/$P478,0)</f>
        <v>0.41703473302229138</v>
      </c>
      <c r="S478" s="53">
        <v>1140</v>
      </c>
      <c r="T478" s="54">
        <f>IFERROR(S478/$P478,0)</f>
        <v>0.59097978227060655</v>
      </c>
      <c r="U478" s="53">
        <v>1474.55</v>
      </c>
      <c r="V478" s="54">
        <f>IFERROR(U478/$P478,0)</f>
        <v>0.76441161223431831</v>
      </c>
      <c r="W478" s="53">
        <v>1928.71</v>
      </c>
      <c r="X478" s="55">
        <f>IFERROR(W478/$P478,0)</f>
        <v>0.99984966303784351</v>
      </c>
      <c r="Y478" s="53">
        <f>K478</f>
        <v>7363</v>
      </c>
      <c r="Z478" s="56">
        <f>Y478</f>
        <v>7363</v>
      </c>
    </row>
    <row r="479" spans="1:26" ht="13.9" customHeight="1" x14ac:dyDescent="0.25">
      <c r="E479" s="57"/>
      <c r="F479" s="91" t="s">
        <v>144</v>
      </c>
      <c r="G479" s="82">
        <v>1752</v>
      </c>
      <c r="H479" s="82">
        <v>4856.5</v>
      </c>
      <c r="I479" s="82">
        <v>6567</v>
      </c>
      <c r="J479" s="82">
        <v>6567</v>
      </c>
      <c r="K479" s="82">
        <v>6567</v>
      </c>
      <c r="L479" s="82">
        <v>-4356</v>
      </c>
      <c r="M479" s="82"/>
      <c r="N479" s="82"/>
      <c r="O479" s="82"/>
      <c r="P479" s="82">
        <f>K479+SUM(L479:O479)</f>
        <v>2211</v>
      </c>
      <c r="Q479" s="82">
        <v>402</v>
      </c>
      <c r="R479" s="83">
        <f>IFERROR(Q479/$P479,0)</f>
        <v>0.18181818181818182</v>
      </c>
      <c r="S479" s="82">
        <v>1005</v>
      </c>
      <c r="T479" s="83">
        <f>IFERROR(S479/$P479,0)</f>
        <v>0.45454545454545453</v>
      </c>
      <c r="U479" s="82">
        <v>1608</v>
      </c>
      <c r="V479" s="83">
        <f>IFERROR(U479/$P479,0)</f>
        <v>0.72727272727272729</v>
      </c>
      <c r="W479" s="82">
        <v>2211</v>
      </c>
      <c r="X479" s="60">
        <f>IFERROR(W479/$P479,0)</f>
        <v>1</v>
      </c>
      <c r="Y479" s="82">
        <f>K479</f>
        <v>6567</v>
      </c>
      <c r="Z479" s="61">
        <f>Y479</f>
        <v>6567</v>
      </c>
    </row>
    <row r="480" spans="1:26" ht="13.9" hidden="1" customHeight="1" x14ac:dyDescent="0.25">
      <c r="E480" s="57"/>
      <c r="F480" s="91" t="s">
        <v>253</v>
      </c>
      <c r="G480" s="82"/>
      <c r="H480" s="82"/>
      <c r="I480" s="82">
        <v>3000</v>
      </c>
      <c r="J480" s="82">
        <v>3000</v>
      </c>
      <c r="K480" s="82">
        <v>250</v>
      </c>
      <c r="L480" s="82"/>
      <c r="M480" s="82"/>
      <c r="N480" s="82"/>
      <c r="O480" s="82"/>
      <c r="P480" s="82">
        <f>K480+SUM(L480:O480)</f>
        <v>250</v>
      </c>
      <c r="Q480" s="82"/>
      <c r="R480" s="83">
        <f>IFERROR(Q480/$P480,0)</f>
        <v>0</v>
      </c>
      <c r="S480" s="82"/>
      <c r="T480" s="83">
        <f>IFERROR(S480/$P480,0)</f>
        <v>0</v>
      </c>
      <c r="U480" s="82"/>
      <c r="V480" s="83">
        <f>IFERROR(U480/$P480,0)</f>
        <v>0</v>
      </c>
      <c r="W480" s="82"/>
      <c r="X480" s="60">
        <f>IFERROR(W480/$P480,0)</f>
        <v>0</v>
      </c>
      <c r="Y480" s="82">
        <f>K480</f>
        <v>250</v>
      </c>
      <c r="Z480" s="61">
        <f>Y480</f>
        <v>250</v>
      </c>
    </row>
    <row r="481" spans="1:26" ht="13.9" customHeight="1" x14ac:dyDescent="0.25">
      <c r="E481" s="65"/>
      <c r="F481" s="94" t="s">
        <v>254</v>
      </c>
      <c r="G481" s="67">
        <v>12133.27</v>
      </c>
      <c r="H481" s="67">
        <v>14424.66</v>
      </c>
      <c r="I481" s="67">
        <v>17635</v>
      </c>
      <c r="J481" s="67">
        <v>15027</v>
      </c>
      <c r="K481" s="67">
        <v>19400</v>
      </c>
      <c r="L481" s="67"/>
      <c r="M481" s="67"/>
      <c r="N481" s="67"/>
      <c r="O481" s="67">
        <v>-2514</v>
      </c>
      <c r="P481" s="67">
        <f>K481+SUM(L481:O481)</f>
        <v>16886</v>
      </c>
      <c r="Q481" s="67">
        <v>3795.6</v>
      </c>
      <c r="R481" s="68">
        <f>IFERROR(Q481/$P481,0)</f>
        <v>0.22477792253938172</v>
      </c>
      <c r="S481" s="67">
        <v>7896.41</v>
      </c>
      <c r="T481" s="68">
        <f>IFERROR(S481/$P481,0)</f>
        <v>0.4676305815468435</v>
      </c>
      <c r="U481" s="67">
        <v>11783.4</v>
      </c>
      <c r="V481" s="68">
        <f>IFERROR(U481/$P481,0)</f>
        <v>0.69782067985313279</v>
      </c>
      <c r="W481" s="67">
        <v>15583.54</v>
      </c>
      <c r="X481" s="69">
        <f>IFERROR(W481/$P481,0)</f>
        <v>0.92286746417150312</v>
      </c>
      <c r="Y481" s="67">
        <f>K481</f>
        <v>19400</v>
      </c>
      <c r="Z481" s="70">
        <f>Y481</f>
        <v>19400</v>
      </c>
    </row>
    <row r="482" spans="1:26" ht="13.9" hidden="1" customHeight="1" x14ac:dyDescent="0.25">
      <c r="E482" s="65"/>
      <c r="F482" s="94" t="s">
        <v>255</v>
      </c>
      <c r="G482" s="67">
        <v>14582.1</v>
      </c>
      <c r="H482" s="67">
        <v>6469</v>
      </c>
      <c r="I482" s="67">
        <v>0</v>
      </c>
      <c r="J482" s="67">
        <v>0</v>
      </c>
      <c r="K482" s="67">
        <v>0</v>
      </c>
      <c r="L482" s="67"/>
      <c r="M482" s="67"/>
      <c r="N482" s="67"/>
      <c r="O482" s="67"/>
      <c r="P482" s="67">
        <f>K482+SUM(L482:O482)</f>
        <v>0</v>
      </c>
      <c r="Q482" s="67"/>
      <c r="R482" s="68">
        <f>IFERROR(Q482/$P482,0)</f>
        <v>0</v>
      </c>
      <c r="S482" s="67"/>
      <c r="T482" s="68">
        <f>IFERROR(S482/$P482,0)</f>
        <v>0</v>
      </c>
      <c r="U482" s="67"/>
      <c r="V482" s="68">
        <f>IFERROR(U482/$P482,0)</f>
        <v>0</v>
      </c>
      <c r="W482" s="67"/>
      <c r="X482" s="69">
        <f>IFERROR(W482/$P482,0)</f>
        <v>0</v>
      </c>
      <c r="Y482" s="67">
        <v>0</v>
      </c>
      <c r="Z482" s="70">
        <v>0</v>
      </c>
    </row>
    <row r="484" spans="1:26" ht="13.9" customHeight="1" x14ac:dyDescent="0.25">
      <c r="D484" s="73" t="s">
        <v>256</v>
      </c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4"/>
      <c r="S484" s="73"/>
      <c r="T484" s="74"/>
      <c r="U484" s="73"/>
      <c r="V484" s="74"/>
      <c r="W484" s="73"/>
      <c r="X484" s="74"/>
      <c r="Y484" s="73"/>
      <c r="Z484" s="73"/>
    </row>
    <row r="485" spans="1:26" ht="13.9" customHeight="1" x14ac:dyDescent="0.25">
      <c r="D485" s="21" t="s">
        <v>32</v>
      </c>
      <c r="E485" s="21" t="s">
        <v>33</v>
      </c>
      <c r="F485" s="21" t="s">
        <v>34</v>
      </c>
      <c r="G485" s="21" t="s">
        <v>1</v>
      </c>
      <c r="H485" s="21" t="s">
        <v>2</v>
      </c>
      <c r="I485" s="21" t="s">
        <v>3</v>
      </c>
      <c r="J485" s="21" t="s">
        <v>4</v>
      </c>
      <c r="K485" s="21" t="s">
        <v>5</v>
      </c>
      <c r="L485" s="21" t="s">
        <v>6</v>
      </c>
      <c r="M485" s="21" t="s">
        <v>7</v>
      </c>
      <c r="N485" s="21" t="s">
        <v>8</v>
      </c>
      <c r="O485" s="21" t="s">
        <v>9</v>
      </c>
      <c r="P485" s="21" t="s">
        <v>10</v>
      </c>
      <c r="Q485" s="21" t="s">
        <v>11</v>
      </c>
      <c r="R485" s="22" t="s">
        <v>12</v>
      </c>
      <c r="S485" s="21" t="s">
        <v>13</v>
      </c>
      <c r="T485" s="22" t="s">
        <v>14</v>
      </c>
      <c r="U485" s="21" t="s">
        <v>15</v>
      </c>
      <c r="V485" s="22" t="s">
        <v>16</v>
      </c>
      <c r="W485" s="21" t="s">
        <v>17</v>
      </c>
      <c r="X485" s="22" t="s">
        <v>18</v>
      </c>
      <c r="Y485" s="21" t="s">
        <v>19</v>
      </c>
      <c r="Z485" s="21" t="s">
        <v>20</v>
      </c>
    </row>
    <row r="486" spans="1:26" ht="13.9" customHeight="1" x14ac:dyDescent="0.25">
      <c r="A486" s="15">
        <v>7</v>
      </c>
      <c r="B486" s="15">
        <v>1</v>
      </c>
      <c r="C486" s="15">
        <v>2</v>
      </c>
      <c r="D486" s="84" t="s">
        <v>252</v>
      </c>
      <c r="E486" s="23">
        <v>630</v>
      </c>
      <c r="F486" s="23" t="s">
        <v>127</v>
      </c>
      <c r="G486" s="24">
        <v>1936.95</v>
      </c>
      <c r="H486" s="24">
        <v>1817</v>
      </c>
      <c r="I486" s="24">
        <v>3500</v>
      </c>
      <c r="J486" s="24">
        <v>2904</v>
      </c>
      <c r="K486" s="24">
        <v>3000</v>
      </c>
      <c r="L486" s="24"/>
      <c r="M486" s="24"/>
      <c r="N486" s="24"/>
      <c r="O486" s="24"/>
      <c r="P486" s="24">
        <f>K486+SUM(L486:O486)</f>
        <v>3000</v>
      </c>
      <c r="Q486" s="24">
        <v>0</v>
      </c>
      <c r="R486" s="25">
        <f>IFERROR(Q486/$P486,0)</f>
        <v>0</v>
      </c>
      <c r="S486" s="24">
        <v>0</v>
      </c>
      <c r="T486" s="25">
        <f>IFERROR(S486/$P486,0)</f>
        <v>0</v>
      </c>
      <c r="U486" s="24">
        <v>2725.6</v>
      </c>
      <c r="V486" s="25">
        <f>IFERROR(U486/$P486,0)</f>
        <v>0.9085333333333333</v>
      </c>
      <c r="W486" s="24">
        <v>2736.6</v>
      </c>
      <c r="X486" s="25">
        <f>IFERROR(W486/$P486,0)</f>
        <v>0.91220000000000001</v>
      </c>
      <c r="Y486" s="24">
        <f>K486</f>
        <v>3000</v>
      </c>
      <c r="Z486" s="24">
        <f>Y486</f>
        <v>3000</v>
      </c>
    </row>
    <row r="487" spans="1:26" ht="13.9" customHeight="1" x14ac:dyDescent="0.25">
      <c r="A487" s="15">
        <v>7</v>
      </c>
      <c r="B487" s="15">
        <v>1</v>
      </c>
      <c r="C487" s="15">
        <v>2</v>
      </c>
      <c r="D487" s="79" t="s">
        <v>21</v>
      </c>
      <c r="E487" s="48">
        <v>41</v>
      </c>
      <c r="F487" s="48" t="s">
        <v>23</v>
      </c>
      <c r="G487" s="49">
        <f t="shared" ref="G487:Q487" si="246">SUM(G486:G486)</f>
        <v>1936.95</v>
      </c>
      <c r="H487" s="49">
        <f t="shared" si="246"/>
        <v>1817</v>
      </c>
      <c r="I487" s="49">
        <f t="shared" si="246"/>
        <v>3500</v>
      </c>
      <c r="J487" s="49">
        <f t="shared" si="246"/>
        <v>2904</v>
      </c>
      <c r="K487" s="49">
        <f t="shared" si="246"/>
        <v>3000</v>
      </c>
      <c r="L487" s="49">
        <f t="shared" si="246"/>
        <v>0</v>
      </c>
      <c r="M487" s="49">
        <f t="shared" si="246"/>
        <v>0</v>
      </c>
      <c r="N487" s="49">
        <f t="shared" si="246"/>
        <v>0</v>
      </c>
      <c r="O487" s="49">
        <f t="shared" si="246"/>
        <v>0</v>
      </c>
      <c r="P487" s="49">
        <f t="shared" si="246"/>
        <v>3000</v>
      </c>
      <c r="Q487" s="49">
        <f t="shared" si="246"/>
        <v>0</v>
      </c>
      <c r="R487" s="50">
        <f>IFERROR(Q487/$P487,0)</f>
        <v>0</v>
      </c>
      <c r="S487" s="49">
        <f>SUM(S486:S486)</f>
        <v>0</v>
      </c>
      <c r="T487" s="50">
        <f>IFERROR(S487/$P487,0)</f>
        <v>0</v>
      </c>
      <c r="U487" s="49">
        <f>SUM(U486:U486)</f>
        <v>2725.6</v>
      </c>
      <c r="V487" s="50">
        <f>IFERROR(U487/$P487,0)</f>
        <v>0.9085333333333333</v>
      </c>
      <c r="W487" s="49">
        <f>SUM(W486:W486)</f>
        <v>2736.6</v>
      </c>
      <c r="X487" s="50">
        <f>IFERROR(W487/$P487,0)</f>
        <v>0.91220000000000001</v>
      </c>
      <c r="Y487" s="49">
        <f>SUM(Y486:Y486)</f>
        <v>3000</v>
      </c>
      <c r="Z487" s="49">
        <f>SUM(Z486:Z486)</f>
        <v>3000</v>
      </c>
    </row>
    <row r="488" spans="1:26" ht="13.9" customHeight="1" x14ac:dyDescent="0.25">
      <c r="A488" s="15">
        <v>7</v>
      </c>
      <c r="B488" s="15">
        <v>1</v>
      </c>
      <c r="C488" s="15">
        <v>2</v>
      </c>
      <c r="D488" s="86"/>
      <c r="E488" s="87"/>
      <c r="F488" s="26" t="s">
        <v>120</v>
      </c>
      <c r="G488" s="27">
        <f t="shared" ref="G488:Q488" si="247">G487</f>
        <v>1936.95</v>
      </c>
      <c r="H488" s="27">
        <f t="shared" si="247"/>
        <v>1817</v>
      </c>
      <c r="I488" s="27">
        <f t="shared" si="247"/>
        <v>3500</v>
      </c>
      <c r="J488" s="27">
        <f t="shared" si="247"/>
        <v>2904</v>
      </c>
      <c r="K488" s="27">
        <f t="shared" si="247"/>
        <v>3000</v>
      </c>
      <c r="L488" s="27">
        <f t="shared" si="247"/>
        <v>0</v>
      </c>
      <c r="M488" s="27">
        <f t="shared" si="247"/>
        <v>0</v>
      </c>
      <c r="N488" s="27">
        <f t="shared" si="247"/>
        <v>0</v>
      </c>
      <c r="O488" s="27">
        <f t="shared" si="247"/>
        <v>0</v>
      </c>
      <c r="P488" s="27">
        <f t="shared" si="247"/>
        <v>3000</v>
      </c>
      <c r="Q488" s="27">
        <f t="shared" si="247"/>
        <v>0</v>
      </c>
      <c r="R488" s="28">
        <f>IFERROR(Q488/$P488,0)</f>
        <v>0</v>
      </c>
      <c r="S488" s="27">
        <f>S487</f>
        <v>0</v>
      </c>
      <c r="T488" s="28">
        <f>IFERROR(S488/$P488,0)</f>
        <v>0</v>
      </c>
      <c r="U488" s="27">
        <f>U487</f>
        <v>2725.6</v>
      </c>
      <c r="V488" s="28">
        <f>IFERROR(U488/$P488,0)</f>
        <v>0.9085333333333333</v>
      </c>
      <c r="W488" s="27">
        <f>W487</f>
        <v>2736.6</v>
      </c>
      <c r="X488" s="28">
        <f>IFERROR(W488/$P488,0)</f>
        <v>0.91220000000000001</v>
      </c>
      <c r="Y488" s="27">
        <f>Y487</f>
        <v>3000</v>
      </c>
      <c r="Z488" s="27">
        <f>Z487</f>
        <v>3000</v>
      </c>
    </row>
    <row r="490" spans="1:26" ht="13.9" customHeight="1" x14ac:dyDescent="0.25">
      <c r="D490" s="41" t="s">
        <v>257</v>
      </c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2"/>
      <c r="S490" s="41"/>
      <c r="T490" s="42"/>
      <c r="U490" s="41"/>
      <c r="V490" s="42"/>
      <c r="W490" s="41"/>
      <c r="X490" s="42"/>
      <c r="Y490" s="41"/>
      <c r="Z490" s="41"/>
    </row>
    <row r="491" spans="1:26" ht="13.9" customHeight="1" x14ac:dyDescent="0.25">
      <c r="D491" s="21" t="s">
        <v>32</v>
      </c>
      <c r="E491" s="21" t="s">
        <v>33</v>
      </c>
      <c r="F491" s="21" t="s">
        <v>34</v>
      </c>
      <c r="G491" s="21" t="s">
        <v>1</v>
      </c>
      <c r="H491" s="21" t="s">
        <v>2</v>
      </c>
      <c r="I491" s="21" t="s">
        <v>3</v>
      </c>
      <c r="J491" s="21" t="s">
        <v>4</v>
      </c>
      <c r="K491" s="21" t="s">
        <v>5</v>
      </c>
      <c r="L491" s="21" t="s">
        <v>6</v>
      </c>
      <c r="M491" s="21" t="s">
        <v>7</v>
      </c>
      <c r="N491" s="21" t="s">
        <v>8</v>
      </c>
      <c r="O491" s="21" t="s">
        <v>9</v>
      </c>
      <c r="P491" s="21" t="s">
        <v>10</v>
      </c>
      <c r="Q491" s="21" t="s">
        <v>11</v>
      </c>
      <c r="R491" s="22" t="s">
        <v>12</v>
      </c>
      <c r="S491" s="21" t="s">
        <v>13</v>
      </c>
      <c r="T491" s="22" t="s">
        <v>14</v>
      </c>
      <c r="U491" s="21" t="s">
        <v>15</v>
      </c>
      <c r="V491" s="22" t="s">
        <v>16</v>
      </c>
      <c r="W491" s="21" t="s">
        <v>17</v>
      </c>
      <c r="X491" s="22" t="s">
        <v>18</v>
      </c>
      <c r="Y491" s="21" t="s">
        <v>19</v>
      </c>
      <c r="Z491" s="21" t="s">
        <v>20</v>
      </c>
    </row>
    <row r="492" spans="1:26" ht="13.9" customHeight="1" x14ac:dyDescent="0.25">
      <c r="A492" s="15">
        <v>7</v>
      </c>
      <c r="B492" s="15">
        <v>2</v>
      </c>
      <c r="D492" s="51" t="s">
        <v>258</v>
      </c>
      <c r="E492" s="23">
        <v>640</v>
      </c>
      <c r="F492" s="23" t="s">
        <v>128</v>
      </c>
      <c r="G492" s="46">
        <v>7154.1</v>
      </c>
      <c r="H492" s="46">
        <v>7865.77</v>
      </c>
      <c r="I492" s="46">
        <v>7880</v>
      </c>
      <c r="J492" s="46">
        <v>9209</v>
      </c>
      <c r="K492" s="46">
        <v>2880</v>
      </c>
      <c r="L492" s="46"/>
      <c r="M492" s="46"/>
      <c r="N492" s="46">
        <v>5</v>
      </c>
      <c r="O492" s="46">
        <v>600</v>
      </c>
      <c r="P492" s="46">
        <f>K492+SUM(L492:O492)</f>
        <v>3485</v>
      </c>
      <c r="Q492" s="46">
        <v>780</v>
      </c>
      <c r="R492" s="47">
        <f t="shared" ref="R492:R498" si="248">IFERROR(Q492/$P492,0)</f>
        <v>0.22381635581061693</v>
      </c>
      <c r="S492" s="46">
        <v>1494</v>
      </c>
      <c r="T492" s="47">
        <f t="shared" ref="T492:T498" si="249">IFERROR(S492/$P492,0)</f>
        <v>0.42869440459110475</v>
      </c>
      <c r="U492" s="46">
        <v>2585</v>
      </c>
      <c r="V492" s="47">
        <f t="shared" ref="V492:V498" si="250">IFERROR(U492/$P492,0)</f>
        <v>0.74175035868005734</v>
      </c>
      <c r="W492" s="46">
        <v>3485</v>
      </c>
      <c r="X492" s="47">
        <f t="shared" ref="X492:X498" si="251">IFERROR(W492/$P492,0)</f>
        <v>1</v>
      </c>
      <c r="Y492" s="24">
        <f>K492</f>
        <v>2880</v>
      </c>
      <c r="Z492" s="24">
        <f>Y492</f>
        <v>2880</v>
      </c>
    </row>
    <row r="493" spans="1:26" ht="13.9" customHeight="1" x14ac:dyDescent="0.25">
      <c r="A493" s="15">
        <v>7</v>
      </c>
      <c r="B493" s="15">
        <v>2</v>
      </c>
      <c r="D493" s="1" t="s">
        <v>259</v>
      </c>
      <c r="E493" s="23">
        <v>630</v>
      </c>
      <c r="F493" s="23" t="s">
        <v>127</v>
      </c>
      <c r="G493" s="46">
        <v>22228.799999999999</v>
      </c>
      <c r="H493" s="46">
        <v>30899.4</v>
      </c>
      <c r="I493" s="46">
        <v>2838</v>
      </c>
      <c r="J493" s="46">
        <v>2838</v>
      </c>
      <c r="K493" s="46">
        <v>0</v>
      </c>
      <c r="L493" s="46"/>
      <c r="M493" s="46">
        <v>8700</v>
      </c>
      <c r="N493" s="46"/>
      <c r="O493" s="46"/>
      <c r="P493" s="46">
        <f>K493+SUM(L493:O493)</f>
        <v>8700</v>
      </c>
      <c r="Q493" s="46">
        <v>8699.9</v>
      </c>
      <c r="R493" s="47">
        <f t="shared" si="248"/>
        <v>0.99998850574712639</v>
      </c>
      <c r="S493" s="46">
        <v>8699.9</v>
      </c>
      <c r="T493" s="47">
        <f t="shared" si="249"/>
        <v>0.99998850574712639</v>
      </c>
      <c r="U493" s="46">
        <v>8699.9</v>
      </c>
      <c r="V493" s="47">
        <f t="shared" si="250"/>
        <v>0.99998850574712639</v>
      </c>
      <c r="W493" s="46">
        <v>8699.9</v>
      </c>
      <c r="X493" s="47">
        <f t="shared" si="251"/>
        <v>0.99998850574712639</v>
      </c>
      <c r="Y493" s="24">
        <v>0</v>
      </c>
      <c r="Z493" s="24">
        <f>Y493</f>
        <v>0</v>
      </c>
    </row>
    <row r="494" spans="1:26" ht="13.9" customHeight="1" x14ac:dyDescent="0.25">
      <c r="D494" s="1"/>
      <c r="E494" s="23">
        <v>640</v>
      </c>
      <c r="F494" s="23" t="s">
        <v>128</v>
      </c>
      <c r="G494" s="46">
        <v>0</v>
      </c>
      <c r="H494" s="46">
        <v>22985.5</v>
      </c>
      <c r="I494" s="46">
        <v>1362</v>
      </c>
      <c r="J494" s="46">
        <v>46285</v>
      </c>
      <c r="K494" s="46">
        <v>4000</v>
      </c>
      <c r="L494" s="46">
        <v>28893</v>
      </c>
      <c r="M494" s="46">
        <f>7741+6736</f>
        <v>14477</v>
      </c>
      <c r="N494" s="46">
        <f>4140+2760</f>
        <v>6900</v>
      </c>
      <c r="O494" s="46">
        <v>1764</v>
      </c>
      <c r="P494" s="46">
        <f>K494+SUM(L494:O494)</f>
        <v>56034</v>
      </c>
      <c r="Q494" s="46">
        <v>24488</v>
      </c>
      <c r="R494" s="47">
        <f t="shared" si="248"/>
        <v>0.43702038048327801</v>
      </c>
      <c r="S494" s="46">
        <v>47370</v>
      </c>
      <c r="T494" s="47">
        <f t="shared" si="249"/>
        <v>0.84537959096262982</v>
      </c>
      <c r="U494" s="46">
        <v>51510</v>
      </c>
      <c r="V494" s="47">
        <f t="shared" si="250"/>
        <v>0.91926330442231508</v>
      </c>
      <c r="W494" s="46">
        <v>56034</v>
      </c>
      <c r="X494" s="47">
        <f t="shared" si="251"/>
        <v>1</v>
      </c>
      <c r="Y494" s="24">
        <v>0</v>
      </c>
      <c r="Z494" s="24">
        <f>Y494</f>
        <v>0</v>
      </c>
    </row>
    <row r="495" spans="1:26" ht="13.9" customHeight="1" x14ac:dyDescent="0.25">
      <c r="A495" s="15">
        <v>7</v>
      </c>
      <c r="B495" s="15">
        <v>2</v>
      </c>
      <c r="D495" s="79" t="s">
        <v>21</v>
      </c>
      <c r="E495" s="48" t="s">
        <v>260</v>
      </c>
      <c r="F495" s="48" t="s">
        <v>130</v>
      </c>
      <c r="G495" s="49">
        <f t="shared" ref="G495:Q495" si="252">SUM(G492:G494)</f>
        <v>29382.9</v>
      </c>
      <c r="H495" s="49">
        <f t="shared" si="252"/>
        <v>61750.67</v>
      </c>
      <c r="I495" s="49">
        <f t="shared" si="252"/>
        <v>12080</v>
      </c>
      <c r="J495" s="49">
        <f t="shared" si="252"/>
        <v>58332</v>
      </c>
      <c r="K495" s="49">
        <f t="shared" si="252"/>
        <v>6880</v>
      </c>
      <c r="L495" s="49">
        <f t="shared" si="252"/>
        <v>28893</v>
      </c>
      <c r="M495" s="49">
        <f t="shared" si="252"/>
        <v>23177</v>
      </c>
      <c r="N495" s="49">
        <f t="shared" si="252"/>
        <v>6905</v>
      </c>
      <c r="O495" s="49">
        <f t="shared" si="252"/>
        <v>2364</v>
      </c>
      <c r="P495" s="49">
        <f t="shared" si="252"/>
        <v>68219</v>
      </c>
      <c r="Q495" s="49">
        <f t="shared" si="252"/>
        <v>33967.9</v>
      </c>
      <c r="R495" s="50">
        <f t="shared" si="248"/>
        <v>0.49792433193098701</v>
      </c>
      <c r="S495" s="49">
        <f>SUM(S492:S494)</f>
        <v>57563.9</v>
      </c>
      <c r="T495" s="50">
        <f t="shared" si="249"/>
        <v>0.84381037540861048</v>
      </c>
      <c r="U495" s="49">
        <f>SUM(U492:U494)</f>
        <v>62794.9</v>
      </c>
      <c r="V495" s="50">
        <f t="shared" si="250"/>
        <v>0.92048989284510185</v>
      </c>
      <c r="W495" s="49">
        <f>SUM(W492:W494)</f>
        <v>68218.899999999994</v>
      </c>
      <c r="X495" s="50">
        <f t="shared" si="251"/>
        <v>0.99999853413271955</v>
      </c>
      <c r="Y495" s="49">
        <f>SUM(Y492:Y494)</f>
        <v>2880</v>
      </c>
      <c r="Z495" s="49">
        <f>SUM(Z492:Z494)</f>
        <v>2880</v>
      </c>
    </row>
    <row r="496" spans="1:26" ht="13.9" customHeight="1" x14ac:dyDescent="0.25">
      <c r="A496" s="15">
        <v>7</v>
      </c>
      <c r="B496" s="15">
        <v>2</v>
      </c>
      <c r="D496" s="136" t="s">
        <v>258</v>
      </c>
      <c r="E496" s="23">
        <v>640</v>
      </c>
      <c r="F496" s="23" t="s">
        <v>128</v>
      </c>
      <c r="G496" s="24">
        <v>4500</v>
      </c>
      <c r="H496" s="24">
        <v>3600</v>
      </c>
      <c r="I496" s="24">
        <v>3600</v>
      </c>
      <c r="J496" s="24">
        <v>3000</v>
      </c>
      <c r="K496" s="24">
        <v>3000</v>
      </c>
      <c r="L496" s="24"/>
      <c r="M496" s="24"/>
      <c r="N496" s="24">
        <v>100</v>
      </c>
      <c r="O496" s="24">
        <v>200</v>
      </c>
      <c r="P496" s="24">
        <f>K496+SUM(L496:O496)</f>
        <v>3300</v>
      </c>
      <c r="Q496" s="24">
        <v>1200</v>
      </c>
      <c r="R496" s="25">
        <f t="shared" si="248"/>
        <v>0.36363636363636365</v>
      </c>
      <c r="S496" s="24">
        <v>1400</v>
      </c>
      <c r="T496" s="25">
        <f t="shared" si="249"/>
        <v>0.42424242424242425</v>
      </c>
      <c r="U496" s="24">
        <v>2500</v>
      </c>
      <c r="V496" s="25">
        <f t="shared" si="250"/>
        <v>0.75757575757575757</v>
      </c>
      <c r="W496" s="24">
        <v>3300</v>
      </c>
      <c r="X496" s="25">
        <f t="shared" si="251"/>
        <v>1</v>
      </c>
      <c r="Y496" s="24">
        <f>K496</f>
        <v>3000</v>
      </c>
      <c r="Z496" s="24">
        <f>Y496</f>
        <v>3000</v>
      </c>
    </row>
    <row r="497" spans="1:26" ht="13.9" customHeight="1" x14ac:dyDescent="0.25">
      <c r="A497" s="15">
        <v>7</v>
      </c>
      <c r="B497" s="15">
        <v>2</v>
      </c>
      <c r="D497" s="79" t="s">
        <v>21</v>
      </c>
      <c r="E497" s="48">
        <v>41</v>
      </c>
      <c r="F497" s="48" t="s">
        <v>23</v>
      </c>
      <c r="G497" s="49">
        <f t="shared" ref="G497:Q497" si="253">SUM(G496:G496)</f>
        <v>4500</v>
      </c>
      <c r="H497" s="49">
        <f t="shared" si="253"/>
        <v>3600</v>
      </c>
      <c r="I497" s="49">
        <f t="shared" si="253"/>
        <v>3600</v>
      </c>
      <c r="J497" s="49">
        <f t="shared" si="253"/>
        <v>3000</v>
      </c>
      <c r="K497" s="49">
        <f t="shared" si="253"/>
        <v>3000</v>
      </c>
      <c r="L497" s="49">
        <f t="shared" si="253"/>
        <v>0</v>
      </c>
      <c r="M497" s="49">
        <f t="shared" si="253"/>
        <v>0</v>
      </c>
      <c r="N497" s="49">
        <f t="shared" si="253"/>
        <v>100</v>
      </c>
      <c r="O497" s="49">
        <f t="shared" si="253"/>
        <v>200</v>
      </c>
      <c r="P497" s="49">
        <f t="shared" si="253"/>
        <v>3300</v>
      </c>
      <c r="Q497" s="49">
        <f t="shared" si="253"/>
        <v>1200</v>
      </c>
      <c r="R497" s="50">
        <f t="shared" si="248"/>
        <v>0.36363636363636365</v>
      </c>
      <c r="S497" s="49">
        <f>SUM(S496:S496)</f>
        <v>1400</v>
      </c>
      <c r="T497" s="50">
        <f t="shared" si="249"/>
        <v>0.42424242424242425</v>
      </c>
      <c r="U497" s="49">
        <f>SUM(U496:U496)</f>
        <v>2500</v>
      </c>
      <c r="V497" s="50">
        <f t="shared" si="250"/>
        <v>0.75757575757575757</v>
      </c>
      <c r="W497" s="49">
        <f>SUM(W496:W496)</f>
        <v>3300</v>
      </c>
      <c r="X497" s="50">
        <f t="shared" si="251"/>
        <v>1</v>
      </c>
      <c r="Y497" s="49">
        <f>SUM(Y496:Y496)</f>
        <v>3000</v>
      </c>
      <c r="Z497" s="49">
        <f>SUM(Z496:Z496)</f>
        <v>3000</v>
      </c>
    </row>
    <row r="498" spans="1:26" ht="13.9" customHeight="1" x14ac:dyDescent="0.25">
      <c r="A498" s="15">
        <v>7</v>
      </c>
      <c r="B498" s="15">
        <v>2</v>
      </c>
      <c r="D498" s="30"/>
      <c r="E498" s="31"/>
      <c r="F498" s="26" t="s">
        <v>120</v>
      </c>
      <c r="G498" s="27">
        <f t="shared" ref="G498:Q498" si="254">G495+G497</f>
        <v>33882.9</v>
      </c>
      <c r="H498" s="27">
        <f t="shared" si="254"/>
        <v>65350.67</v>
      </c>
      <c r="I498" s="27">
        <f t="shared" si="254"/>
        <v>15680</v>
      </c>
      <c r="J498" s="27">
        <f t="shared" si="254"/>
        <v>61332</v>
      </c>
      <c r="K498" s="27">
        <f t="shared" si="254"/>
        <v>9880</v>
      </c>
      <c r="L498" s="27">
        <f t="shared" si="254"/>
        <v>28893</v>
      </c>
      <c r="M498" s="27">
        <f t="shared" si="254"/>
        <v>23177</v>
      </c>
      <c r="N498" s="27">
        <f t="shared" si="254"/>
        <v>7005</v>
      </c>
      <c r="O498" s="27">
        <f t="shared" si="254"/>
        <v>2564</v>
      </c>
      <c r="P498" s="27">
        <f t="shared" si="254"/>
        <v>71519</v>
      </c>
      <c r="Q498" s="27">
        <f t="shared" si="254"/>
        <v>35167.9</v>
      </c>
      <c r="R498" s="28">
        <f t="shared" si="248"/>
        <v>0.49172807226051818</v>
      </c>
      <c r="S498" s="27">
        <f>S495+S497</f>
        <v>58963.9</v>
      </c>
      <c r="T498" s="28">
        <f t="shared" si="249"/>
        <v>0.82445084522993894</v>
      </c>
      <c r="U498" s="27">
        <f>U495+U497</f>
        <v>65294.9</v>
      </c>
      <c r="V498" s="28">
        <f t="shared" si="250"/>
        <v>0.91297277646499531</v>
      </c>
      <c r="W498" s="27">
        <f>W495+W497</f>
        <v>71518.899999999994</v>
      </c>
      <c r="X498" s="28">
        <f t="shared" si="251"/>
        <v>0.99999860177015887</v>
      </c>
      <c r="Y498" s="27">
        <f>Y495+Y497</f>
        <v>5880</v>
      </c>
      <c r="Z498" s="27">
        <f>Z495+Z497</f>
        <v>5880</v>
      </c>
    </row>
    <row r="500" spans="1:26" ht="13.9" customHeight="1" x14ac:dyDescent="0.25">
      <c r="E500" s="52" t="s">
        <v>55</v>
      </c>
      <c r="F500" s="30" t="s">
        <v>261</v>
      </c>
      <c r="G500" s="53">
        <v>4500</v>
      </c>
      <c r="H500" s="53">
        <v>3600</v>
      </c>
      <c r="I500" s="53">
        <v>3600</v>
      </c>
      <c r="J500" s="53">
        <v>3000</v>
      </c>
      <c r="K500" s="53">
        <v>3000</v>
      </c>
      <c r="L500" s="53"/>
      <c r="M500" s="53"/>
      <c r="N500" s="53">
        <v>100</v>
      </c>
      <c r="O500" s="53">
        <v>200</v>
      </c>
      <c r="P500" s="53">
        <f>K500+SUM(L500:O500)</f>
        <v>3300</v>
      </c>
      <c r="Q500" s="53">
        <v>1200</v>
      </c>
      <c r="R500" s="54">
        <f>IFERROR(Q500/$P500,0)</f>
        <v>0.36363636363636365</v>
      </c>
      <c r="S500" s="53">
        <v>1400</v>
      </c>
      <c r="T500" s="54">
        <f>IFERROR(S500/$P500,0)</f>
        <v>0.42424242424242425</v>
      </c>
      <c r="U500" s="53">
        <v>2500</v>
      </c>
      <c r="V500" s="54">
        <f>IFERROR(U500/$P500,0)</f>
        <v>0.75757575757575757</v>
      </c>
      <c r="W500" s="53">
        <v>3300</v>
      </c>
      <c r="X500" s="55">
        <f>IFERROR(W500/$P500,0)</f>
        <v>1</v>
      </c>
      <c r="Y500" s="53">
        <f>K500</f>
        <v>3000</v>
      </c>
      <c r="Z500" s="56">
        <f>Y500</f>
        <v>3000</v>
      </c>
    </row>
    <row r="501" spans="1:26" ht="13.9" customHeight="1" x14ac:dyDescent="0.25">
      <c r="E501" s="57"/>
      <c r="F501" s="91" t="s">
        <v>78</v>
      </c>
      <c r="G501" s="82">
        <v>7120.9</v>
      </c>
      <c r="H501" s="82">
        <v>7865.27</v>
      </c>
      <c r="I501" s="82">
        <v>7880</v>
      </c>
      <c r="J501" s="82">
        <v>9209</v>
      </c>
      <c r="K501" s="82">
        <f>príjmy!H91</f>
        <v>2880</v>
      </c>
      <c r="L501" s="82"/>
      <c r="M501" s="82"/>
      <c r="N501" s="82">
        <v>5</v>
      </c>
      <c r="O501" s="82">
        <v>600</v>
      </c>
      <c r="P501" s="82">
        <f>K501+SUM(L501:O501)</f>
        <v>3485</v>
      </c>
      <c r="Q501" s="82">
        <v>780</v>
      </c>
      <c r="R501" s="83">
        <f>IFERROR(Q501/$P501,0)</f>
        <v>0.22381635581061693</v>
      </c>
      <c r="S501" s="82">
        <v>1494</v>
      </c>
      <c r="T501" s="83">
        <f>IFERROR(S501/$P501,0)</f>
        <v>0.42869440459110475</v>
      </c>
      <c r="U501" s="82">
        <v>2585</v>
      </c>
      <c r="V501" s="83">
        <f>IFERROR(U501/$P501,0)</f>
        <v>0.74175035868005734</v>
      </c>
      <c r="W501" s="82">
        <v>3485</v>
      </c>
      <c r="X501" s="60">
        <f>IFERROR(W501/$P501,0)</f>
        <v>1</v>
      </c>
      <c r="Y501" s="82">
        <f>K501</f>
        <v>2880</v>
      </c>
      <c r="Z501" s="61">
        <f>Y501</f>
        <v>2880</v>
      </c>
    </row>
    <row r="502" spans="1:26" ht="13.9" customHeight="1" x14ac:dyDescent="0.25">
      <c r="E502" s="57"/>
      <c r="F502" s="91" t="s">
        <v>262</v>
      </c>
      <c r="G502" s="82">
        <v>22228.799999999999</v>
      </c>
      <c r="H502" s="82">
        <v>30899.4</v>
      </c>
      <c r="I502" s="82">
        <v>2838</v>
      </c>
      <c r="J502" s="82">
        <v>2838</v>
      </c>
      <c r="K502" s="82">
        <v>0</v>
      </c>
      <c r="L502" s="82"/>
      <c r="M502" s="82">
        <v>8700</v>
      </c>
      <c r="N502" s="82"/>
      <c r="O502" s="82"/>
      <c r="P502" s="82">
        <f>K502+SUM(L502:O502)</f>
        <v>8700</v>
      </c>
      <c r="Q502" s="82">
        <v>8699.9</v>
      </c>
      <c r="R502" s="83">
        <f>IFERROR(Q502/$P502,0)</f>
        <v>0.99998850574712639</v>
      </c>
      <c r="S502" s="82">
        <v>8699.9</v>
      </c>
      <c r="T502" s="83">
        <f>IFERROR(S502/$P502,0)</f>
        <v>0.99998850574712639</v>
      </c>
      <c r="U502" s="82">
        <v>8699.9</v>
      </c>
      <c r="V502" s="83">
        <f>IFERROR(U502/$P502,0)</f>
        <v>0.99998850574712639</v>
      </c>
      <c r="W502" s="82">
        <v>8699.9</v>
      </c>
      <c r="X502" s="60">
        <f>IFERROR(W502/$P502,0)</f>
        <v>0.99998850574712639</v>
      </c>
      <c r="Y502" s="82">
        <f>K502</f>
        <v>0</v>
      </c>
      <c r="Z502" s="61">
        <f>Y502</f>
        <v>0</v>
      </c>
    </row>
    <row r="503" spans="1:26" ht="13.9" customHeight="1" x14ac:dyDescent="0.25">
      <c r="E503" s="65"/>
      <c r="F503" s="94" t="s">
        <v>84</v>
      </c>
      <c r="G503" s="67"/>
      <c r="H503" s="67">
        <v>22985.5</v>
      </c>
      <c r="I503" s="67">
        <v>1362</v>
      </c>
      <c r="J503" s="67">
        <v>46285</v>
      </c>
      <c r="K503" s="67">
        <f>príjmy!H97</f>
        <v>4000</v>
      </c>
      <c r="L503" s="67">
        <v>28893</v>
      </c>
      <c r="M503" s="67">
        <f>5819+8658</f>
        <v>14477</v>
      </c>
      <c r="N503" s="67"/>
      <c r="O503" s="67">
        <v>1764</v>
      </c>
      <c r="P503" s="67">
        <f>K503+SUM(L503:O503)</f>
        <v>49134</v>
      </c>
      <c r="Q503" s="67">
        <v>24488</v>
      </c>
      <c r="R503" s="68">
        <f>IFERROR(Q503/$P503,0)</f>
        <v>0.49839215207392029</v>
      </c>
      <c r="S503" s="67">
        <v>47370</v>
      </c>
      <c r="T503" s="68">
        <f>IFERROR(S503/$P503,0)</f>
        <v>0.96409818048601781</v>
      </c>
      <c r="U503" s="67">
        <v>51510</v>
      </c>
      <c r="V503" s="68">
        <f>IFERROR(U503/$P503,0)</f>
        <v>1.0483575528147515</v>
      </c>
      <c r="W503" s="67">
        <v>56034</v>
      </c>
      <c r="X503" s="69">
        <f>IFERROR(W503/$P503,0)</f>
        <v>1.140432287214556</v>
      </c>
      <c r="Y503" s="67">
        <f>K503</f>
        <v>4000</v>
      </c>
      <c r="Z503" s="70">
        <f>Y503</f>
        <v>4000</v>
      </c>
    </row>
    <row r="505" spans="1:26" ht="13.9" customHeight="1" x14ac:dyDescent="0.25">
      <c r="D505" s="32" t="s">
        <v>263</v>
      </c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3"/>
      <c r="S505" s="32"/>
      <c r="T505" s="33"/>
      <c r="U505" s="32"/>
      <c r="V505" s="33"/>
      <c r="W505" s="32"/>
      <c r="X505" s="33"/>
      <c r="Y505" s="32"/>
      <c r="Z505" s="32"/>
    </row>
    <row r="506" spans="1:26" ht="13.9" customHeight="1" x14ac:dyDescent="0.25">
      <c r="D506" s="20"/>
      <c r="E506" s="20"/>
      <c r="F506" s="20"/>
      <c r="G506" s="21" t="s">
        <v>1</v>
      </c>
      <c r="H506" s="21" t="s">
        <v>2</v>
      </c>
      <c r="I506" s="21" t="s">
        <v>3</v>
      </c>
      <c r="J506" s="21" t="s">
        <v>4</v>
      </c>
      <c r="K506" s="21" t="s">
        <v>5</v>
      </c>
      <c r="L506" s="21" t="s">
        <v>6</v>
      </c>
      <c r="M506" s="21" t="s">
        <v>7</v>
      </c>
      <c r="N506" s="21" t="s">
        <v>8</v>
      </c>
      <c r="O506" s="21" t="s">
        <v>9</v>
      </c>
      <c r="P506" s="21" t="s">
        <v>10</v>
      </c>
      <c r="Q506" s="21" t="s">
        <v>11</v>
      </c>
      <c r="R506" s="22" t="s">
        <v>12</v>
      </c>
      <c r="S506" s="21" t="s">
        <v>13</v>
      </c>
      <c r="T506" s="22" t="s">
        <v>14</v>
      </c>
      <c r="U506" s="21" t="s">
        <v>15</v>
      </c>
      <c r="V506" s="22" t="s">
        <v>16</v>
      </c>
      <c r="W506" s="21" t="s">
        <v>17</v>
      </c>
      <c r="X506" s="22" t="s">
        <v>18</v>
      </c>
      <c r="Y506" s="21" t="s">
        <v>19</v>
      </c>
      <c r="Z506" s="21" t="s">
        <v>20</v>
      </c>
    </row>
    <row r="507" spans="1:26" ht="13.9" customHeight="1" x14ac:dyDescent="0.25">
      <c r="A507" s="15">
        <v>8</v>
      </c>
      <c r="D507" s="12" t="s">
        <v>21</v>
      </c>
      <c r="E507" s="35">
        <v>111</v>
      </c>
      <c r="F507" s="35" t="s">
        <v>45</v>
      </c>
      <c r="G507" s="36">
        <f t="shared" ref="G507:Q507" si="255">G523+G552+G564+G579+G593</f>
        <v>89115.6</v>
      </c>
      <c r="H507" s="36">
        <f t="shared" si="255"/>
        <v>190577.56</v>
      </c>
      <c r="I507" s="36">
        <f t="shared" si="255"/>
        <v>400935</v>
      </c>
      <c r="J507" s="36">
        <f t="shared" si="255"/>
        <v>197762</v>
      </c>
      <c r="K507" s="36">
        <f t="shared" si="255"/>
        <v>962500</v>
      </c>
      <c r="L507" s="36">
        <f t="shared" si="255"/>
        <v>0</v>
      </c>
      <c r="M507" s="36">
        <f t="shared" si="255"/>
        <v>-319293</v>
      </c>
      <c r="N507" s="36">
        <f t="shared" si="255"/>
        <v>0</v>
      </c>
      <c r="O507" s="36">
        <f t="shared" si="255"/>
        <v>0</v>
      </c>
      <c r="P507" s="36">
        <f t="shared" si="255"/>
        <v>643207</v>
      </c>
      <c r="Q507" s="36">
        <f t="shared" si="255"/>
        <v>0</v>
      </c>
      <c r="R507" s="37">
        <f>IFERROR(Q507/$P507,0)</f>
        <v>0</v>
      </c>
      <c r="S507" s="36">
        <f>S523+S552+S564+S579+S593</f>
        <v>158793.26</v>
      </c>
      <c r="T507" s="37">
        <f>IFERROR(S507/$P507,0)</f>
        <v>0.24687738162053585</v>
      </c>
      <c r="U507" s="36">
        <f>U523+U552+U564+U579+U593</f>
        <v>199376</v>
      </c>
      <c r="V507" s="37">
        <f>IFERROR(U507/$P507,0)</f>
        <v>0.30997175092932755</v>
      </c>
      <c r="W507" s="36">
        <f>W523+W552+W564+W579+W593</f>
        <v>199376</v>
      </c>
      <c r="X507" s="37">
        <f>IFERROR(W507/$P507,0)</f>
        <v>0.30997175092932755</v>
      </c>
      <c r="Y507" s="36">
        <f>Y523+Y552+Y564+Y579+Y593</f>
        <v>0</v>
      </c>
      <c r="Z507" s="36">
        <f>Z523+Z552+Z564+Z579+Z593</f>
        <v>0</v>
      </c>
    </row>
    <row r="508" spans="1:26" ht="13.9" customHeight="1" x14ac:dyDescent="0.25">
      <c r="A508" s="15">
        <v>8</v>
      </c>
      <c r="D508" s="12"/>
      <c r="E508" s="35">
        <v>41</v>
      </c>
      <c r="F508" s="35" t="s">
        <v>23</v>
      </c>
      <c r="G508" s="36">
        <f t="shared" ref="G508:Q508" si="256">G513+G524+G540+G553+G565+G580+G594+G603</f>
        <v>885584.75</v>
      </c>
      <c r="H508" s="36">
        <f t="shared" si="256"/>
        <v>776952.59000000008</v>
      </c>
      <c r="I508" s="36">
        <f t="shared" si="256"/>
        <v>529835</v>
      </c>
      <c r="J508" s="36">
        <f t="shared" si="256"/>
        <v>572277</v>
      </c>
      <c r="K508" s="36">
        <f t="shared" si="256"/>
        <v>512000</v>
      </c>
      <c r="L508" s="36">
        <f t="shared" si="256"/>
        <v>0</v>
      </c>
      <c r="M508" s="36">
        <f t="shared" si="256"/>
        <v>30037</v>
      </c>
      <c r="N508" s="36">
        <f t="shared" si="256"/>
        <v>-1255</v>
      </c>
      <c r="O508" s="36">
        <f t="shared" si="256"/>
        <v>0</v>
      </c>
      <c r="P508" s="36">
        <f t="shared" si="256"/>
        <v>540782</v>
      </c>
      <c r="Q508" s="36">
        <f t="shared" si="256"/>
        <v>3548</v>
      </c>
      <c r="R508" s="37">
        <f>IFERROR(Q508/$P508,0)</f>
        <v>6.5608692597016911E-3</v>
      </c>
      <c r="S508" s="36">
        <f>S513+S524+S540+S553+S565+S580+S594+S603</f>
        <v>314849.09999999998</v>
      </c>
      <c r="T508" s="37">
        <f>IFERROR(S508/$P508,0)</f>
        <v>0.58221076145285899</v>
      </c>
      <c r="U508" s="36">
        <f>U513+U524+U540+U553+U565+U580+U594+U603</f>
        <v>362985.20999999996</v>
      </c>
      <c r="V508" s="37">
        <f>IFERROR(U508/$P508,0)</f>
        <v>0.67122280327377748</v>
      </c>
      <c r="W508" s="36">
        <f>W513+W524+W540+W553+W565+W580+W594+W603</f>
        <v>380343.20999999996</v>
      </c>
      <c r="X508" s="37">
        <f>IFERROR(W508/$P508,0)</f>
        <v>0.70332076511422337</v>
      </c>
      <c r="Y508" s="36">
        <f>Y513+Y524+Y540+Y553+Y565+Y580+Y594+Y603</f>
        <v>173529</v>
      </c>
      <c r="Z508" s="36">
        <f>Z513+Z524+Z540+Z553+Z565+Z580+Z594+Z603</f>
        <v>260299</v>
      </c>
    </row>
    <row r="509" spans="1:26" ht="13.9" customHeight="1" x14ac:dyDescent="0.25">
      <c r="A509" s="15">
        <v>8</v>
      </c>
      <c r="D509" s="30"/>
      <c r="E509" s="31"/>
      <c r="F509" s="38" t="s">
        <v>120</v>
      </c>
      <c r="G509" s="39">
        <f t="shared" ref="G509:Q509" si="257">SUM(G507:G508)</f>
        <v>974700.35</v>
      </c>
      <c r="H509" s="39">
        <f t="shared" si="257"/>
        <v>967530.15000000014</v>
      </c>
      <c r="I509" s="39">
        <f t="shared" si="257"/>
        <v>930770</v>
      </c>
      <c r="J509" s="39">
        <f t="shared" si="257"/>
        <v>770039</v>
      </c>
      <c r="K509" s="39">
        <f t="shared" si="257"/>
        <v>1474500</v>
      </c>
      <c r="L509" s="39">
        <f t="shared" si="257"/>
        <v>0</v>
      </c>
      <c r="M509" s="39">
        <f t="shared" si="257"/>
        <v>-289256</v>
      </c>
      <c r="N509" s="39">
        <f t="shared" si="257"/>
        <v>-1255</v>
      </c>
      <c r="O509" s="39">
        <f t="shared" si="257"/>
        <v>0</v>
      </c>
      <c r="P509" s="39">
        <f t="shared" si="257"/>
        <v>1183989</v>
      </c>
      <c r="Q509" s="39">
        <f t="shared" si="257"/>
        <v>3548</v>
      </c>
      <c r="R509" s="40">
        <f>IFERROR(Q509/$P509,0)</f>
        <v>2.9966494621149354E-3</v>
      </c>
      <c r="S509" s="39">
        <f>SUM(S507:S508)</f>
        <v>473642.36</v>
      </c>
      <c r="T509" s="40">
        <f>IFERROR(S509/$P509,0)</f>
        <v>0.40003949361016022</v>
      </c>
      <c r="U509" s="39">
        <f>SUM(U507:U508)</f>
        <v>562361.21</v>
      </c>
      <c r="V509" s="40">
        <f>IFERROR(U509/$P509,0)</f>
        <v>0.47497165091905413</v>
      </c>
      <c r="W509" s="39">
        <f>SUM(W507:W508)</f>
        <v>579719.21</v>
      </c>
      <c r="X509" s="40">
        <f>IFERROR(W509/$P509,0)</f>
        <v>0.489632260097011</v>
      </c>
      <c r="Y509" s="39">
        <f>SUM(Y507:Y508)</f>
        <v>173529</v>
      </c>
      <c r="Z509" s="39">
        <f>SUM(Z507:Z508)</f>
        <v>260299</v>
      </c>
    </row>
    <row r="511" spans="1:26" ht="13.9" hidden="1" customHeight="1" x14ac:dyDescent="0.25">
      <c r="D511" s="41" t="s">
        <v>264</v>
      </c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2"/>
      <c r="S511" s="41"/>
      <c r="T511" s="42"/>
      <c r="U511" s="41"/>
      <c r="V511" s="42"/>
      <c r="W511" s="41"/>
      <c r="X511" s="42"/>
      <c r="Y511" s="41"/>
      <c r="Z511" s="41"/>
    </row>
    <row r="512" spans="1:26" ht="13.9" hidden="1" customHeight="1" x14ac:dyDescent="0.25">
      <c r="D512" s="121"/>
      <c r="E512" s="21"/>
      <c r="F512" s="21"/>
      <c r="G512" s="21" t="s">
        <v>1</v>
      </c>
      <c r="H512" s="21" t="s">
        <v>2</v>
      </c>
      <c r="I512" s="21" t="s">
        <v>3</v>
      </c>
      <c r="J512" s="21" t="s">
        <v>4</v>
      </c>
      <c r="K512" s="21" t="s">
        <v>5</v>
      </c>
      <c r="L512" s="21" t="s">
        <v>6</v>
      </c>
      <c r="M512" s="21" t="s">
        <v>7</v>
      </c>
      <c r="N512" s="21" t="s">
        <v>8</v>
      </c>
      <c r="O512" s="21" t="s">
        <v>9</v>
      </c>
      <c r="P512" s="21" t="s">
        <v>10</v>
      </c>
      <c r="Q512" s="21" t="s">
        <v>11</v>
      </c>
      <c r="R512" s="22" t="s">
        <v>12</v>
      </c>
      <c r="S512" s="21" t="s">
        <v>13</v>
      </c>
      <c r="T512" s="22" t="s">
        <v>14</v>
      </c>
      <c r="U512" s="21" t="s">
        <v>15</v>
      </c>
      <c r="V512" s="22" t="s">
        <v>16</v>
      </c>
      <c r="W512" s="21" t="s">
        <v>17</v>
      </c>
      <c r="X512" s="22" t="s">
        <v>18</v>
      </c>
      <c r="Y512" s="21" t="s">
        <v>19</v>
      </c>
      <c r="Z512" s="21" t="s">
        <v>20</v>
      </c>
    </row>
    <row r="513" spans="1:26" ht="13.9" hidden="1" customHeight="1" x14ac:dyDescent="0.25">
      <c r="A513" s="15">
        <v>8</v>
      </c>
      <c r="B513" s="15">
        <v>1</v>
      </c>
      <c r="D513" s="43" t="s">
        <v>21</v>
      </c>
      <c r="E513" s="23">
        <v>41</v>
      </c>
      <c r="F513" s="23" t="s">
        <v>23</v>
      </c>
      <c r="G513" s="24">
        <f t="shared" ref="G513:Q513" si="258">SUM(G517:G519)</f>
        <v>57743.57</v>
      </c>
      <c r="H513" s="24">
        <f t="shared" si="258"/>
        <v>3862.5</v>
      </c>
      <c r="I513" s="24">
        <f t="shared" si="258"/>
        <v>10000</v>
      </c>
      <c r="J513" s="24">
        <f t="shared" si="258"/>
        <v>0</v>
      </c>
      <c r="K513" s="24">
        <f t="shared" si="258"/>
        <v>0</v>
      </c>
      <c r="L513" s="24">
        <f t="shared" si="258"/>
        <v>0</v>
      </c>
      <c r="M513" s="24">
        <f t="shared" si="258"/>
        <v>0</v>
      </c>
      <c r="N513" s="24">
        <f t="shared" si="258"/>
        <v>0</v>
      </c>
      <c r="O513" s="24">
        <f t="shared" si="258"/>
        <v>0</v>
      </c>
      <c r="P513" s="24">
        <f t="shared" si="258"/>
        <v>0</v>
      </c>
      <c r="Q513" s="24">
        <f t="shared" si="258"/>
        <v>0</v>
      </c>
      <c r="R513" s="25">
        <f>IFERROR(Q513/$P513,0)</f>
        <v>0</v>
      </c>
      <c r="S513" s="24">
        <f>SUM(S517:S519)</f>
        <v>0</v>
      </c>
      <c r="T513" s="25">
        <f>IFERROR(S513/$P513,0)</f>
        <v>0</v>
      </c>
      <c r="U513" s="24">
        <f>SUM(U517:U519)</f>
        <v>0</v>
      </c>
      <c r="V513" s="25">
        <f>IFERROR(U513/$P513,0)</f>
        <v>0</v>
      </c>
      <c r="W513" s="24">
        <f>SUM(W517:W519)</f>
        <v>0</v>
      </c>
      <c r="X513" s="25">
        <f>IFERROR(W513/$P513,0)</f>
        <v>0</v>
      </c>
      <c r="Y513" s="24">
        <f>SUM(Y517:Y519)</f>
        <v>0</v>
      </c>
      <c r="Z513" s="24">
        <f>SUM(Z517:Z519)</f>
        <v>0</v>
      </c>
    </row>
    <row r="514" spans="1:26" ht="13.9" hidden="1" customHeight="1" x14ac:dyDescent="0.25">
      <c r="A514" s="15">
        <v>8</v>
      </c>
      <c r="B514" s="15">
        <v>1</v>
      </c>
      <c r="D514" s="30"/>
      <c r="E514" s="31"/>
      <c r="F514" s="26" t="s">
        <v>120</v>
      </c>
      <c r="G514" s="27">
        <f t="shared" ref="G514:Q514" si="259">SUM(G513:G513)</f>
        <v>57743.57</v>
      </c>
      <c r="H514" s="27">
        <f t="shared" si="259"/>
        <v>3862.5</v>
      </c>
      <c r="I514" s="27">
        <f t="shared" si="259"/>
        <v>10000</v>
      </c>
      <c r="J514" s="27">
        <f t="shared" si="259"/>
        <v>0</v>
      </c>
      <c r="K514" s="27">
        <f t="shared" si="259"/>
        <v>0</v>
      </c>
      <c r="L514" s="27">
        <f t="shared" si="259"/>
        <v>0</v>
      </c>
      <c r="M514" s="27">
        <f t="shared" si="259"/>
        <v>0</v>
      </c>
      <c r="N514" s="27">
        <f t="shared" si="259"/>
        <v>0</v>
      </c>
      <c r="O514" s="27">
        <f t="shared" si="259"/>
        <v>0</v>
      </c>
      <c r="P514" s="27">
        <f t="shared" si="259"/>
        <v>0</v>
      </c>
      <c r="Q514" s="27">
        <f t="shared" si="259"/>
        <v>0</v>
      </c>
      <c r="R514" s="28">
        <f>IFERROR(Q514/$P514,0)</f>
        <v>0</v>
      </c>
      <c r="S514" s="27">
        <f>SUM(S513:S513)</f>
        <v>0</v>
      </c>
      <c r="T514" s="28">
        <f>IFERROR(S514/$P514,0)</f>
        <v>0</v>
      </c>
      <c r="U514" s="27">
        <f>SUM(U513:U513)</f>
        <v>0</v>
      </c>
      <c r="V514" s="28">
        <f>IFERROR(U514/$P514,0)</f>
        <v>0</v>
      </c>
      <c r="W514" s="27">
        <f>SUM(W513:W513)</f>
        <v>0</v>
      </c>
      <c r="X514" s="28">
        <f>IFERROR(W514/$P514,0)</f>
        <v>0</v>
      </c>
      <c r="Y514" s="27">
        <f>SUM(Y513:Y513)</f>
        <v>0</v>
      </c>
      <c r="Z514" s="27">
        <f>SUM(Z513:Z513)</f>
        <v>0</v>
      </c>
    </row>
    <row r="515" spans="1:26" ht="13.9" hidden="1" customHeight="1" x14ac:dyDescent="0.25"/>
    <row r="516" spans="1:26" ht="13.9" hidden="1" customHeight="1" x14ac:dyDescent="0.25">
      <c r="D516" s="15" t="s">
        <v>55</v>
      </c>
    </row>
    <row r="517" spans="1:26" ht="13.9" hidden="1" customHeight="1" x14ac:dyDescent="0.25">
      <c r="D517" s="13" t="s">
        <v>265</v>
      </c>
      <c r="E517" s="115" t="s">
        <v>266</v>
      </c>
      <c r="F517" s="122"/>
      <c r="G517" s="123">
        <v>370</v>
      </c>
      <c r="H517" s="123">
        <v>3862.5</v>
      </c>
      <c r="I517" s="123"/>
      <c r="J517" s="123"/>
      <c r="K517" s="123"/>
      <c r="L517" s="123"/>
      <c r="M517" s="123"/>
      <c r="N517" s="123"/>
      <c r="O517" s="123"/>
      <c r="P517" s="123">
        <f>K517+SUM(L517:O517)</f>
        <v>0</v>
      </c>
      <c r="Q517" s="123"/>
      <c r="R517" s="124">
        <f>IFERROR(Q517/$P517,0)</f>
        <v>0</v>
      </c>
      <c r="S517" s="123"/>
      <c r="T517" s="124">
        <f>IFERROR(S517/$P517,0)</f>
        <v>0</v>
      </c>
      <c r="U517" s="123"/>
      <c r="V517" s="124">
        <f>IFERROR(U517/$P517,0)</f>
        <v>0</v>
      </c>
      <c r="W517" s="123"/>
      <c r="X517" s="125">
        <f>IFERROR(W517/$P517,0)</f>
        <v>0</v>
      </c>
      <c r="Y517" s="123"/>
      <c r="Z517" s="126"/>
    </row>
    <row r="518" spans="1:26" ht="13.9" hidden="1" customHeight="1" x14ac:dyDescent="0.25">
      <c r="D518" s="13"/>
      <c r="E518" s="115" t="s">
        <v>267</v>
      </c>
      <c r="F518" s="122"/>
      <c r="G518" s="123"/>
      <c r="H518" s="123"/>
      <c r="I518" s="123">
        <v>10000</v>
      </c>
      <c r="J518" s="123">
        <v>0</v>
      </c>
      <c r="K518" s="123"/>
      <c r="L518" s="123"/>
      <c r="M518" s="123"/>
      <c r="N518" s="123"/>
      <c r="O518" s="123"/>
      <c r="P518" s="123"/>
      <c r="Q518" s="123"/>
      <c r="R518" s="124">
        <f>IFERROR(Q518/$P518,0)</f>
        <v>0</v>
      </c>
      <c r="S518" s="123"/>
      <c r="T518" s="124">
        <f>IFERROR(S518/$P518,0)</f>
        <v>0</v>
      </c>
      <c r="U518" s="123"/>
      <c r="V518" s="124">
        <f>IFERROR(U518/$P518,0)</f>
        <v>0</v>
      </c>
      <c r="W518" s="123"/>
      <c r="X518" s="125">
        <f>IFERROR(W518/$P518,0)</f>
        <v>0</v>
      </c>
      <c r="Y518" s="123"/>
      <c r="Z518" s="126"/>
    </row>
    <row r="519" spans="1:26" ht="13.9" hidden="1" customHeight="1" x14ac:dyDescent="0.25">
      <c r="D519" s="137" t="s">
        <v>268</v>
      </c>
      <c r="E519" s="115" t="s">
        <v>269</v>
      </c>
      <c r="F519" s="122"/>
      <c r="G519" s="123">
        <v>57373.57</v>
      </c>
      <c r="H519" s="123"/>
      <c r="I519" s="123"/>
      <c r="J519" s="123"/>
      <c r="K519" s="123"/>
      <c r="L519" s="123"/>
      <c r="M519" s="123"/>
      <c r="N519" s="123"/>
      <c r="O519" s="123"/>
      <c r="P519" s="123">
        <f>K519+SUM(L519:O519)</f>
        <v>0</v>
      </c>
      <c r="Q519" s="123"/>
      <c r="R519" s="124">
        <f>IFERROR(Q519/$P519,0)</f>
        <v>0</v>
      </c>
      <c r="S519" s="123"/>
      <c r="T519" s="124">
        <f>IFERROR(S519/$P519,0)</f>
        <v>0</v>
      </c>
      <c r="U519" s="123"/>
      <c r="V519" s="124">
        <f>IFERROR(U519/$P519,0)</f>
        <v>0</v>
      </c>
      <c r="W519" s="123"/>
      <c r="X519" s="125">
        <f>IFERROR(W519/$P519,0)</f>
        <v>0</v>
      </c>
      <c r="Y519" s="123"/>
      <c r="Z519" s="126"/>
    </row>
    <row r="520" spans="1:26" ht="13.9" hidden="1" customHeight="1" x14ac:dyDescent="0.25"/>
    <row r="521" spans="1:26" ht="13.9" customHeight="1" x14ac:dyDescent="0.25">
      <c r="D521" s="41" t="s">
        <v>270</v>
      </c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2"/>
      <c r="S521" s="41"/>
      <c r="T521" s="42"/>
      <c r="U521" s="41"/>
      <c r="V521" s="42"/>
      <c r="W521" s="41"/>
      <c r="X521" s="42"/>
      <c r="Y521" s="41"/>
      <c r="Z521" s="41"/>
    </row>
    <row r="522" spans="1:26" ht="13.9" customHeight="1" x14ac:dyDescent="0.25">
      <c r="D522" s="121"/>
      <c r="E522" s="21"/>
      <c r="F522" s="21"/>
      <c r="G522" s="21" t="s">
        <v>1</v>
      </c>
      <c r="H522" s="21" t="s">
        <v>2</v>
      </c>
      <c r="I522" s="21" t="s">
        <v>3</v>
      </c>
      <c r="J522" s="21" t="s">
        <v>4</v>
      </c>
      <c r="K522" s="21" t="s">
        <v>5</v>
      </c>
      <c r="L522" s="21" t="s">
        <v>6</v>
      </c>
      <c r="M522" s="21" t="s">
        <v>7</v>
      </c>
      <c r="N522" s="21" t="s">
        <v>8</v>
      </c>
      <c r="O522" s="21" t="s">
        <v>9</v>
      </c>
      <c r="P522" s="21" t="s">
        <v>10</v>
      </c>
      <c r="Q522" s="21" t="s">
        <v>11</v>
      </c>
      <c r="R522" s="22" t="s">
        <v>12</v>
      </c>
      <c r="S522" s="21" t="s">
        <v>13</v>
      </c>
      <c r="T522" s="22" t="s">
        <v>14</v>
      </c>
      <c r="U522" s="21" t="s">
        <v>15</v>
      </c>
      <c r="V522" s="22" t="s">
        <v>16</v>
      </c>
      <c r="W522" s="21" t="s">
        <v>17</v>
      </c>
      <c r="X522" s="22" t="s">
        <v>18</v>
      </c>
      <c r="Y522" s="21" t="s">
        <v>19</v>
      </c>
      <c r="Z522" s="21" t="s">
        <v>20</v>
      </c>
    </row>
    <row r="523" spans="1:26" ht="13.9" customHeight="1" x14ac:dyDescent="0.25">
      <c r="A523" s="15">
        <v>8</v>
      </c>
      <c r="B523" s="15">
        <v>2</v>
      </c>
      <c r="D523" s="158" t="s">
        <v>21</v>
      </c>
      <c r="E523" s="23">
        <v>111</v>
      </c>
      <c r="F523" s="23" t="s">
        <v>130</v>
      </c>
      <c r="G523" s="24">
        <f>G530</f>
        <v>89115.6</v>
      </c>
      <c r="H523" s="24">
        <f>10884.4+160778.08+18915.08</f>
        <v>190577.56</v>
      </c>
      <c r="I523" s="24">
        <v>250000</v>
      </c>
      <c r="J523" s="24">
        <v>46828</v>
      </c>
      <c r="K523" s="24">
        <f>250000+304000</f>
        <v>554000</v>
      </c>
      <c r="L523" s="24"/>
      <c r="M523" s="24">
        <f>-169366-50624-134634</f>
        <v>-354624</v>
      </c>
      <c r="N523" s="24"/>
      <c r="O523" s="24"/>
      <c r="P523" s="24">
        <f>K523+SUM(L523:O523)</f>
        <v>199376</v>
      </c>
      <c r="Q523" s="24">
        <v>0</v>
      </c>
      <c r="R523" s="25">
        <f>IFERROR(Q523/$P523,0)</f>
        <v>0</v>
      </c>
      <c r="S523" s="24">
        <v>158793.26</v>
      </c>
      <c r="T523" s="25">
        <f>IFERROR(S523/$P523,0)</f>
        <v>0.79645122783083222</v>
      </c>
      <c r="U523" s="24">
        <v>199376</v>
      </c>
      <c r="V523" s="25">
        <f>IFERROR(U523/$P523,0)</f>
        <v>1</v>
      </c>
      <c r="W523" s="24">
        <v>199376</v>
      </c>
      <c r="X523" s="25">
        <f>IFERROR(W523/$P523,0)</f>
        <v>1</v>
      </c>
      <c r="Y523" s="24">
        <v>0</v>
      </c>
      <c r="Z523" s="24">
        <v>0</v>
      </c>
    </row>
    <row r="524" spans="1:26" ht="13.9" customHeight="1" x14ac:dyDescent="0.25">
      <c r="A524" s="15">
        <v>8</v>
      </c>
      <c r="B524" s="15">
        <v>2</v>
      </c>
      <c r="D524" s="158" t="s">
        <v>21</v>
      </c>
      <c r="E524" s="23">
        <v>41</v>
      </c>
      <c r="F524" s="23" t="s">
        <v>23</v>
      </c>
      <c r="G524" s="24">
        <f t="shared" ref="G524:Q524" si="260">SUM(G528:G536)-G523</f>
        <v>222669.1</v>
      </c>
      <c r="H524" s="24">
        <f t="shared" si="260"/>
        <v>123299.20000000001</v>
      </c>
      <c r="I524" s="24">
        <f t="shared" si="260"/>
        <v>14000</v>
      </c>
      <c r="J524" s="24">
        <f t="shared" si="260"/>
        <v>50371</v>
      </c>
      <c r="K524" s="24">
        <f t="shared" si="260"/>
        <v>30000</v>
      </c>
      <c r="L524" s="24">
        <f t="shared" si="260"/>
        <v>0</v>
      </c>
      <c r="M524" s="24">
        <f t="shared" si="260"/>
        <v>6037</v>
      </c>
      <c r="N524" s="24">
        <f t="shared" si="260"/>
        <v>0</v>
      </c>
      <c r="O524" s="24">
        <f t="shared" si="260"/>
        <v>0</v>
      </c>
      <c r="P524" s="24">
        <f t="shared" si="260"/>
        <v>36037</v>
      </c>
      <c r="Q524" s="24">
        <f t="shared" si="260"/>
        <v>0</v>
      </c>
      <c r="R524" s="25">
        <f>IFERROR(Q524/$P524,0)</f>
        <v>0</v>
      </c>
      <c r="S524" s="24">
        <f>SUM(S528:S536)-S523</f>
        <v>0</v>
      </c>
      <c r="T524" s="25">
        <f>IFERROR(S524/$P524,0)</f>
        <v>0</v>
      </c>
      <c r="U524" s="24">
        <f>SUM(U528:U536)-U523</f>
        <v>20436.72</v>
      </c>
      <c r="V524" s="25">
        <f>IFERROR(U524/$P524,0)</f>
        <v>0.56710380997308329</v>
      </c>
      <c r="W524" s="24">
        <f>SUM(W528:W536)-W523</f>
        <v>20436.72</v>
      </c>
      <c r="X524" s="25">
        <f>IFERROR(W524/$P524,0)</f>
        <v>0.56710380997308329</v>
      </c>
      <c r="Y524" s="24">
        <f>SUM(Y528:Y536)-Y523</f>
        <v>0</v>
      </c>
      <c r="Z524" s="24">
        <f>SUM(Z528:Z536)-Z523</f>
        <v>0</v>
      </c>
    </row>
    <row r="525" spans="1:26" ht="13.9" customHeight="1" x14ac:dyDescent="0.25">
      <c r="A525" s="15">
        <v>8</v>
      </c>
      <c r="B525" s="15">
        <v>2</v>
      </c>
      <c r="D525" s="30"/>
      <c r="E525" s="31"/>
      <c r="F525" s="26" t="s">
        <v>120</v>
      </c>
      <c r="G525" s="27">
        <f t="shared" ref="G525:Q525" si="261">SUM(G523:G524)</f>
        <v>311784.7</v>
      </c>
      <c r="H525" s="27">
        <f t="shared" si="261"/>
        <v>313876.76</v>
      </c>
      <c r="I525" s="27">
        <f t="shared" si="261"/>
        <v>264000</v>
      </c>
      <c r="J525" s="27">
        <f t="shared" si="261"/>
        <v>97199</v>
      </c>
      <c r="K525" s="27">
        <f t="shared" si="261"/>
        <v>584000</v>
      </c>
      <c r="L525" s="27">
        <f t="shared" si="261"/>
        <v>0</v>
      </c>
      <c r="M525" s="27">
        <f t="shared" si="261"/>
        <v>-348587</v>
      </c>
      <c r="N525" s="27">
        <f t="shared" si="261"/>
        <v>0</v>
      </c>
      <c r="O525" s="27">
        <f t="shared" si="261"/>
        <v>0</v>
      </c>
      <c r="P525" s="27">
        <f t="shared" si="261"/>
        <v>235413</v>
      </c>
      <c r="Q525" s="27">
        <f t="shared" si="261"/>
        <v>0</v>
      </c>
      <c r="R525" s="28">
        <f>IFERROR(Q525/$P525,0)</f>
        <v>0</v>
      </c>
      <c r="S525" s="27">
        <f>SUM(S523:S524)</f>
        <v>158793.26</v>
      </c>
      <c r="T525" s="28">
        <f>IFERROR(S525/$P525,0)</f>
        <v>0.6745305484404005</v>
      </c>
      <c r="U525" s="27">
        <f>SUM(U523:U524)</f>
        <v>219812.72</v>
      </c>
      <c r="V525" s="28">
        <f>IFERROR(U525/$P525,0)</f>
        <v>0.9337322917595885</v>
      </c>
      <c r="W525" s="27">
        <f>SUM(W523:W524)</f>
        <v>219812.72</v>
      </c>
      <c r="X525" s="28">
        <f>IFERROR(W525/$P525,0)</f>
        <v>0.9337322917595885</v>
      </c>
      <c r="Y525" s="27">
        <f>SUM(Y523:Y524)</f>
        <v>0</v>
      </c>
      <c r="Z525" s="27">
        <f>SUM(Z523:Z524)</f>
        <v>0</v>
      </c>
    </row>
    <row r="527" spans="1:26" ht="13.9" customHeight="1" x14ac:dyDescent="0.25">
      <c r="D527" s="15" t="s">
        <v>55</v>
      </c>
    </row>
    <row r="528" spans="1:26" ht="13.9" hidden="1" customHeight="1" x14ac:dyDescent="0.25">
      <c r="D528" s="159" t="s">
        <v>271</v>
      </c>
      <c r="E528" s="52" t="s">
        <v>272</v>
      </c>
      <c r="F528" s="30"/>
      <c r="G528" s="53"/>
      <c r="H528" s="53"/>
      <c r="I528" s="53"/>
      <c r="J528" s="53">
        <v>91297</v>
      </c>
      <c r="K528" s="53"/>
      <c r="L528" s="53"/>
      <c r="M528" s="53"/>
      <c r="N528" s="53"/>
      <c r="O528" s="53"/>
      <c r="P528" s="53">
        <f t="shared" ref="P528:P536" si="262">K528+SUM(L528:O528)</f>
        <v>0</v>
      </c>
      <c r="Q528" s="53"/>
      <c r="R528" s="54">
        <f t="shared" ref="R528:R536" si="263">IFERROR(Q528/$P528,0)</f>
        <v>0</v>
      </c>
      <c r="S528" s="53"/>
      <c r="T528" s="54">
        <f t="shared" ref="T528:T536" si="264">IFERROR(S528/$P528,0)</f>
        <v>0</v>
      </c>
      <c r="U528" s="53"/>
      <c r="V528" s="54">
        <f t="shared" ref="V528:V536" si="265">IFERROR(U528/$P528,0)</f>
        <v>0</v>
      </c>
      <c r="W528" s="53"/>
      <c r="X528" s="55">
        <f t="shared" ref="X528:X536" si="266">IFERROR(W528/$P528,0)</f>
        <v>0</v>
      </c>
      <c r="Y528" s="53"/>
      <c r="Z528" s="56"/>
    </row>
    <row r="529" spans="1:28" ht="13.9" hidden="1" customHeight="1" x14ac:dyDescent="0.25">
      <c r="D529" s="159"/>
      <c r="E529" s="57" t="s">
        <v>273</v>
      </c>
      <c r="F529" s="91"/>
      <c r="G529" s="82"/>
      <c r="H529" s="82">
        <v>189150.68</v>
      </c>
      <c r="I529" s="82"/>
      <c r="J529" s="82"/>
      <c r="K529" s="82"/>
      <c r="L529" s="82"/>
      <c r="M529" s="82"/>
      <c r="N529" s="82"/>
      <c r="O529" s="82"/>
      <c r="P529" s="82">
        <f t="shared" si="262"/>
        <v>0</v>
      </c>
      <c r="Q529" s="82"/>
      <c r="R529" s="83">
        <f t="shared" si="263"/>
        <v>0</v>
      </c>
      <c r="S529" s="82"/>
      <c r="T529" s="83">
        <f t="shared" si="264"/>
        <v>0</v>
      </c>
      <c r="U529" s="82"/>
      <c r="V529" s="83">
        <f t="shared" si="265"/>
        <v>0</v>
      </c>
      <c r="W529" s="82"/>
      <c r="X529" s="60">
        <f t="shared" si="266"/>
        <v>0</v>
      </c>
      <c r="Y529" s="82"/>
      <c r="Z529" s="61"/>
    </row>
    <row r="530" spans="1:28" ht="13.9" hidden="1" customHeight="1" x14ac:dyDescent="0.25">
      <c r="D530" s="159"/>
      <c r="E530" s="139" t="s">
        <v>274</v>
      </c>
      <c r="F530" s="91"/>
      <c r="G530" s="82">
        <v>89115.6</v>
      </c>
      <c r="H530" s="82">
        <v>89115.6</v>
      </c>
      <c r="I530" s="82"/>
      <c r="J530" s="82"/>
      <c r="K530" s="82"/>
      <c r="L530" s="82"/>
      <c r="M530" s="82"/>
      <c r="N530" s="82"/>
      <c r="O530" s="82"/>
      <c r="P530" s="82">
        <f t="shared" si="262"/>
        <v>0</v>
      </c>
      <c r="Q530" s="82"/>
      <c r="R530" s="83">
        <f t="shared" si="263"/>
        <v>0</v>
      </c>
      <c r="S530" s="82"/>
      <c r="T530" s="83">
        <f t="shared" si="264"/>
        <v>0</v>
      </c>
      <c r="U530" s="82"/>
      <c r="V530" s="83">
        <f t="shared" si="265"/>
        <v>0</v>
      </c>
      <c r="W530" s="82"/>
      <c r="X530" s="60">
        <f t="shared" si="266"/>
        <v>0</v>
      </c>
      <c r="Y530" s="82"/>
      <c r="Z530" s="61"/>
      <c r="AB530"/>
    </row>
    <row r="531" spans="1:28" ht="13.9" hidden="1" customHeight="1" x14ac:dyDescent="0.25">
      <c r="D531" s="159"/>
      <c r="E531" s="139" t="s">
        <v>275</v>
      </c>
      <c r="F531" s="91"/>
      <c r="G531" s="82"/>
      <c r="H531" s="82">
        <v>35610.480000000003</v>
      </c>
      <c r="I531" s="82"/>
      <c r="J531" s="82"/>
      <c r="K531" s="82"/>
      <c r="L531" s="82"/>
      <c r="M531" s="82"/>
      <c r="N531" s="82"/>
      <c r="O531" s="82"/>
      <c r="P531" s="82">
        <f t="shared" si="262"/>
        <v>0</v>
      </c>
      <c r="Q531" s="82"/>
      <c r="R531" s="83">
        <f t="shared" si="263"/>
        <v>0</v>
      </c>
      <c r="S531" s="82"/>
      <c r="T531" s="83">
        <f t="shared" si="264"/>
        <v>0</v>
      </c>
      <c r="U531" s="82"/>
      <c r="V531" s="83">
        <f t="shared" si="265"/>
        <v>0</v>
      </c>
      <c r="W531" s="82"/>
      <c r="X531" s="60">
        <f t="shared" si="266"/>
        <v>0</v>
      </c>
      <c r="Y531" s="82"/>
      <c r="Z531" s="61"/>
    </row>
    <row r="532" spans="1:28" ht="13.9" hidden="1" customHeight="1" x14ac:dyDescent="0.25">
      <c r="D532" s="159"/>
      <c r="E532" s="139" t="s">
        <v>276</v>
      </c>
      <c r="F532" s="91"/>
      <c r="G532" s="82"/>
      <c r="H532" s="82"/>
      <c r="I532" s="82"/>
      <c r="J532" s="82">
        <v>4368</v>
      </c>
      <c r="K532" s="82"/>
      <c r="L532" s="82"/>
      <c r="M532" s="82"/>
      <c r="N532" s="82"/>
      <c r="O532" s="82"/>
      <c r="P532" s="82">
        <f t="shared" si="262"/>
        <v>0</v>
      </c>
      <c r="Q532" s="82"/>
      <c r="R532" s="83">
        <f t="shared" si="263"/>
        <v>0</v>
      </c>
      <c r="S532" s="82"/>
      <c r="T532" s="83">
        <f t="shared" si="264"/>
        <v>0</v>
      </c>
      <c r="U532" s="82"/>
      <c r="V532" s="83">
        <f t="shared" si="265"/>
        <v>0</v>
      </c>
      <c r="W532" s="82"/>
      <c r="X532" s="60">
        <f t="shared" si="266"/>
        <v>0</v>
      </c>
      <c r="Y532" s="82"/>
      <c r="Z532" s="61"/>
    </row>
    <row r="533" spans="1:28" ht="13.9" customHeight="1" x14ac:dyDescent="0.25">
      <c r="D533" s="159"/>
      <c r="E533" s="140" t="s">
        <v>277</v>
      </c>
      <c r="F533" s="30"/>
      <c r="G533" s="53"/>
      <c r="H533" s="53"/>
      <c r="I533" s="53"/>
      <c r="J533" s="53">
        <v>958</v>
      </c>
      <c r="K533" s="53">
        <v>320000</v>
      </c>
      <c r="L533" s="53"/>
      <c r="M533" s="53">
        <v>-320000</v>
      </c>
      <c r="N533" s="53"/>
      <c r="O533" s="53"/>
      <c r="P533" s="53">
        <f t="shared" si="262"/>
        <v>0</v>
      </c>
      <c r="Q533" s="53">
        <v>0</v>
      </c>
      <c r="R533" s="54">
        <f t="shared" si="263"/>
        <v>0</v>
      </c>
      <c r="S533" s="53">
        <v>0</v>
      </c>
      <c r="T533" s="54">
        <f t="shared" si="264"/>
        <v>0</v>
      </c>
      <c r="U533" s="53">
        <v>0</v>
      </c>
      <c r="V533" s="54">
        <f t="shared" si="265"/>
        <v>0</v>
      </c>
      <c r="W533" s="53">
        <v>0</v>
      </c>
      <c r="X533" s="55">
        <f t="shared" si="266"/>
        <v>0</v>
      </c>
      <c r="Y533" s="53"/>
      <c r="Z533" s="56"/>
    </row>
    <row r="534" spans="1:28" ht="13.9" customHeight="1" x14ac:dyDescent="0.25">
      <c r="D534" s="159"/>
      <c r="E534" s="139" t="s">
        <v>278</v>
      </c>
      <c r="F534" s="91"/>
      <c r="G534" s="82"/>
      <c r="H534" s="82"/>
      <c r="I534" s="82"/>
      <c r="J534" s="82">
        <v>432</v>
      </c>
      <c r="K534" s="82"/>
      <c r="L534" s="82"/>
      <c r="M534" s="82">
        <f>192334-192334</f>
        <v>0</v>
      </c>
      <c r="N534" s="82"/>
      <c r="O534" s="82"/>
      <c r="P534" s="82">
        <f t="shared" si="262"/>
        <v>0</v>
      </c>
      <c r="Q534" s="82">
        <v>0</v>
      </c>
      <c r="R534" s="83">
        <f t="shared" si="263"/>
        <v>0</v>
      </c>
      <c r="S534" s="82">
        <v>0</v>
      </c>
      <c r="T534" s="83">
        <f t="shared" si="264"/>
        <v>0</v>
      </c>
      <c r="U534" s="82">
        <v>0</v>
      </c>
      <c r="V534" s="83">
        <f t="shared" si="265"/>
        <v>0</v>
      </c>
      <c r="W534" s="82">
        <v>0</v>
      </c>
      <c r="X534" s="60">
        <f t="shared" si="266"/>
        <v>0</v>
      </c>
      <c r="Y534" s="82"/>
      <c r="Z534" s="61"/>
    </row>
    <row r="535" spans="1:28" ht="13.9" customHeight="1" x14ac:dyDescent="0.25">
      <c r="D535" s="159"/>
      <c r="E535" s="139" t="s">
        <v>279</v>
      </c>
      <c r="F535" s="91"/>
      <c r="G535" s="82">
        <v>222669.1</v>
      </c>
      <c r="H535" s="82"/>
      <c r="I535" s="82">
        <v>264000</v>
      </c>
      <c r="J535" s="82">
        <v>144</v>
      </c>
      <c r="K535" s="82">
        <v>264000</v>
      </c>
      <c r="L535" s="82"/>
      <c r="M535" s="82">
        <f>6037-50624</f>
        <v>-44587</v>
      </c>
      <c r="N535" s="82"/>
      <c r="O535" s="82"/>
      <c r="P535" s="82">
        <f t="shared" si="262"/>
        <v>219413</v>
      </c>
      <c r="Q535" s="82">
        <v>0</v>
      </c>
      <c r="R535" s="83">
        <f t="shared" si="263"/>
        <v>0</v>
      </c>
      <c r="S535" s="82">
        <v>158793.26</v>
      </c>
      <c r="T535" s="83">
        <f t="shared" si="264"/>
        <v>0.72371855815288977</v>
      </c>
      <c r="U535" s="82">
        <v>219412.72</v>
      </c>
      <c r="V535" s="83">
        <f t="shared" si="265"/>
        <v>0.99999872386777444</v>
      </c>
      <c r="W535" s="82">
        <v>219412.72</v>
      </c>
      <c r="X535" s="60">
        <f t="shared" si="266"/>
        <v>0.99999872386777444</v>
      </c>
      <c r="Y535" s="82"/>
      <c r="Z535" s="61"/>
    </row>
    <row r="536" spans="1:28" ht="13.9" customHeight="1" x14ac:dyDescent="0.25">
      <c r="D536" s="159"/>
      <c r="E536" s="141" t="s">
        <v>280</v>
      </c>
      <c r="F536" s="94"/>
      <c r="G536" s="67"/>
      <c r="H536" s="67"/>
      <c r="I536" s="67"/>
      <c r="J536" s="67"/>
      <c r="K536" s="67">
        <v>0</v>
      </c>
      <c r="L536" s="67"/>
      <c r="M536" s="67">
        <v>16000</v>
      </c>
      <c r="N536" s="67"/>
      <c r="O536" s="67"/>
      <c r="P536" s="67">
        <f t="shared" si="262"/>
        <v>16000</v>
      </c>
      <c r="Q536" s="67">
        <v>0</v>
      </c>
      <c r="R536" s="68">
        <f t="shared" si="263"/>
        <v>0</v>
      </c>
      <c r="S536" s="67">
        <v>0</v>
      </c>
      <c r="T536" s="68">
        <f t="shared" si="264"/>
        <v>0</v>
      </c>
      <c r="U536" s="67">
        <v>400</v>
      </c>
      <c r="V536" s="68">
        <f t="shared" si="265"/>
        <v>2.5000000000000001E-2</v>
      </c>
      <c r="W536" s="67">
        <v>400</v>
      </c>
      <c r="X536" s="69">
        <f t="shared" si="266"/>
        <v>2.5000000000000001E-2</v>
      </c>
      <c r="Y536" s="67"/>
      <c r="Z536" s="70"/>
    </row>
    <row r="538" spans="1:28" ht="13.9" customHeight="1" x14ac:dyDescent="0.25">
      <c r="D538" s="41" t="s">
        <v>281</v>
      </c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2"/>
      <c r="S538" s="41"/>
      <c r="T538" s="42"/>
      <c r="U538" s="41"/>
      <c r="V538" s="42"/>
      <c r="W538" s="41"/>
      <c r="X538" s="42"/>
      <c r="Y538" s="41"/>
      <c r="Z538" s="41"/>
    </row>
    <row r="539" spans="1:28" ht="13.9" customHeight="1" x14ac:dyDescent="0.25">
      <c r="D539" s="121"/>
      <c r="E539" s="21"/>
      <c r="F539" s="21"/>
      <c r="G539" s="21" t="s">
        <v>1</v>
      </c>
      <c r="H539" s="21" t="s">
        <v>2</v>
      </c>
      <c r="I539" s="21" t="s">
        <v>3</v>
      </c>
      <c r="J539" s="21" t="s">
        <v>4</v>
      </c>
      <c r="K539" s="21" t="s">
        <v>5</v>
      </c>
      <c r="L539" s="21" t="s">
        <v>6</v>
      </c>
      <c r="M539" s="21" t="s">
        <v>7</v>
      </c>
      <c r="N539" s="21" t="s">
        <v>8</v>
      </c>
      <c r="O539" s="21" t="s">
        <v>9</v>
      </c>
      <c r="P539" s="21" t="s">
        <v>10</v>
      </c>
      <c r="Q539" s="21" t="s">
        <v>11</v>
      </c>
      <c r="R539" s="22" t="s">
        <v>12</v>
      </c>
      <c r="S539" s="21" t="s">
        <v>13</v>
      </c>
      <c r="T539" s="22" t="s">
        <v>14</v>
      </c>
      <c r="U539" s="21" t="s">
        <v>15</v>
      </c>
      <c r="V539" s="22" t="s">
        <v>16</v>
      </c>
      <c r="W539" s="21" t="s">
        <v>17</v>
      </c>
      <c r="X539" s="22" t="s">
        <v>18</v>
      </c>
      <c r="Y539" s="21" t="s">
        <v>19</v>
      </c>
      <c r="Z539" s="21" t="s">
        <v>20</v>
      </c>
    </row>
    <row r="540" spans="1:28" ht="13.9" customHeight="1" x14ac:dyDescent="0.25">
      <c r="A540" s="15">
        <v>8</v>
      </c>
      <c r="B540" s="15">
        <v>3</v>
      </c>
      <c r="D540" s="138" t="s">
        <v>21</v>
      </c>
      <c r="E540" s="23">
        <v>41</v>
      </c>
      <c r="F540" s="23" t="s">
        <v>23</v>
      </c>
      <c r="G540" s="24">
        <f t="shared" ref="G540:Q540" si="267">SUM(G544:G548)</f>
        <v>271615.03000000003</v>
      </c>
      <c r="H540" s="24">
        <f t="shared" si="267"/>
        <v>425261.19</v>
      </c>
      <c r="I540" s="24">
        <f t="shared" si="267"/>
        <v>260000</v>
      </c>
      <c r="J540" s="24">
        <f t="shared" si="267"/>
        <v>202847</v>
      </c>
      <c r="K540" s="24">
        <f t="shared" si="267"/>
        <v>190000</v>
      </c>
      <c r="L540" s="24">
        <f t="shared" si="267"/>
        <v>0</v>
      </c>
      <c r="M540" s="24">
        <f t="shared" si="267"/>
        <v>0</v>
      </c>
      <c r="N540" s="24">
        <f t="shared" si="267"/>
        <v>0</v>
      </c>
      <c r="O540" s="24">
        <f t="shared" si="267"/>
        <v>0</v>
      </c>
      <c r="P540" s="24">
        <f t="shared" si="267"/>
        <v>190000</v>
      </c>
      <c r="Q540" s="24">
        <f t="shared" si="267"/>
        <v>200</v>
      </c>
      <c r="R540" s="25">
        <f>IFERROR(Q540/$P540,0)</f>
        <v>1.0526315789473684E-3</v>
      </c>
      <c r="S540" s="24">
        <f>SUM(S544:S548)</f>
        <v>173301.38</v>
      </c>
      <c r="T540" s="25">
        <f>IFERROR(S540/$P540,0)</f>
        <v>0.91211252631578954</v>
      </c>
      <c r="U540" s="24">
        <f>SUM(U544:U548)</f>
        <v>173301.38</v>
      </c>
      <c r="V540" s="25">
        <f>IFERROR(U540/$P540,0)</f>
        <v>0.91211252631578954</v>
      </c>
      <c r="W540" s="24">
        <f>SUM(W544:W548)</f>
        <v>173301.38</v>
      </c>
      <c r="X540" s="25">
        <f>IFERROR(W540/$P540,0)</f>
        <v>0.91211252631578954</v>
      </c>
      <c r="Y540" s="24">
        <f>SUM(Y544:Y548)</f>
        <v>173529</v>
      </c>
      <c r="Z540" s="24">
        <f>SUM(Z544:Z548)</f>
        <v>0</v>
      </c>
    </row>
    <row r="541" spans="1:28" ht="13.9" customHeight="1" x14ac:dyDescent="0.25">
      <c r="A541" s="15">
        <v>8</v>
      </c>
      <c r="B541" s="15">
        <v>3</v>
      </c>
      <c r="D541" s="30"/>
      <c r="E541" s="31"/>
      <c r="F541" s="26" t="s">
        <v>120</v>
      </c>
      <c r="G541" s="27">
        <f t="shared" ref="G541:Q541" si="268">SUM(G540:G540)</f>
        <v>271615.03000000003</v>
      </c>
      <c r="H541" s="27">
        <f t="shared" si="268"/>
        <v>425261.19</v>
      </c>
      <c r="I541" s="27">
        <f t="shared" si="268"/>
        <v>260000</v>
      </c>
      <c r="J541" s="27">
        <f t="shared" si="268"/>
        <v>202847</v>
      </c>
      <c r="K541" s="27">
        <f t="shared" si="268"/>
        <v>190000</v>
      </c>
      <c r="L541" s="27">
        <f t="shared" si="268"/>
        <v>0</v>
      </c>
      <c r="M541" s="27">
        <f t="shared" si="268"/>
        <v>0</v>
      </c>
      <c r="N541" s="27">
        <f t="shared" si="268"/>
        <v>0</v>
      </c>
      <c r="O541" s="27">
        <f t="shared" si="268"/>
        <v>0</v>
      </c>
      <c r="P541" s="27">
        <f t="shared" si="268"/>
        <v>190000</v>
      </c>
      <c r="Q541" s="27">
        <f t="shared" si="268"/>
        <v>200</v>
      </c>
      <c r="R541" s="28">
        <f>IFERROR(Q541/$P541,0)</f>
        <v>1.0526315789473684E-3</v>
      </c>
      <c r="S541" s="27">
        <f>SUM(S540:S540)</f>
        <v>173301.38</v>
      </c>
      <c r="T541" s="28">
        <f>IFERROR(S541/$P541,0)</f>
        <v>0.91211252631578954</v>
      </c>
      <c r="U541" s="27">
        <f>SUM(U540:U540)</f>
        <v>173301.38</v>
      </c>
      <c r="V541" s="28">
        <f>IFERROR(U541/$P541,0)</f>
        <v>0.91211252631578954</v>
      </c>
      <c r="W541" s="27">
        <f>SUM(W540:W540)</f>
        <v>173301.38</v>
      </c>
      <c r="X541" s="28">
        <f>IFERROR(W541/$P541,0)</f>
        <v>0.91211252631578954</v>
      </c>
      <c r="Y541" s="27">
        <f>SUM(Y540:Y540)</f>
        <v>173529</v>
      </c>
      <c r="Z541" s="27">
        <f>SUM(Z540:Z540)</f>
        <v>0</v>
      </c>
    </row>
    <row r="543" spans="1:28" ht="13.9" customHeight="1" x14ac:dyDescent="0.25">
      <c r="D543" s="15" t="s">
        <v>55</v>
      </c>
    </row>
    <row r="544" spans="1:28" ht="13.9" hidden="1" customHeight="1" x14ac:dyDescent="0.25">
      <c r="D544" s="13" t="s">
        <v>282</v>
      </c>
      <c r="E544" s="115" t="s">
        <v>283</v>
      </c>
      <c r="F544" s="122"/>
      <c r="G544" s="123">
        <v>4074</v>
      </c>
      <c r="H544" s="123"/>
      <c r="I544" s="123"/>
      <c r="J544" s="123"/>
      <c r="K544" s="123"/>
      <c r="L544" s="123"/>
      <c r="M544" s="123"/>
      <c r="N544" s="123"/>
      <c r="O544" s="123"/>
      <c r="P544" s="123">
        <f>K544+SUM(L544:O544)</f>
        <v>0</v>
      </c>
      <c r="Q544" s="123"/>
      <c r="R544" s="124">
        <f>IFERROR(Q544/$P544,0)</f>
        <v>0</v>
      </c>
      <c r="S544" s="123"/>
      <c r="T544" s="124">
        <f>IFERROR(S544/$P544,0)</f>
        <v>0</v>
      </c>
      <c r="U544" s="123"/>
      <c r="V544" s="124">
        <f>IFERROR(U544/$P544,0)</f>
        <v>0</v>
      </c>
      <c r="W544" s="123"/>
      <c r="X544" s="125">
        <f>IFERROR(W544/$P544,0)</f>
        <v>0</v>
      </c>
      <c r="Y544" s="123"/>
      <c r="Z544" s="126"/>
    </row>
    <row r="545" spans="4:26" ht="13.9" hidden="1" customHeight="1" x14ac:dyDescent="0.25">
      <c r="D545" s="13"/>
      <c r="E545" s="115" t="s">
        <v>284</v>
      </c>
      <c r="F545" s="122"/>
      <c r="G545" s="123">
        <v>19393.900000000001</v>
      </c>
      <c r="H545" s="123"/>
      <c r="I545" s="123"/>
      <c r="J545" s="123"/>
      <c r="K545" s="123"/>
      <c r="L545" s="123"/>
      <c r="M545" s="123"/>
      <c r="N545" s="123"/>
      <c r="O545" s="123"/>
      <c r="P545" s="123">
        <f>K545+SUM(L545:O545)</f>
        <v>0</v>
      </c>
      <c r="Q545" s="123"/>
      <c r="R545" s="124">
        <f>IFERROR(Q545/$P545,0)</f>
        <v>0</v>
      </c>
      <c r="S545" s="123"/>
      <c r="T545" s="124">
        <f>IFERROR(S545/$P545,0)</f>
        <v>0</v>
      </c>
      <c r="U545" s="123"/>
      <c r="V545" s="124">
        <f>IFERROR(U545/$P545,0)</f>
        <v>0</v>
      </c>
      <c r="W545" s="123"/>
      <c r="X545" s="125">
        <f>IFERROR(W545/$P545,0)</f>
        <v>0</v>
      </c>
      <c r="Y545" s="123"/>
      <c r="Z545" s="126"/>
    </row>
    <row r="546" spans="4:26" ht="13.9" hidden="1" customHeight="1" x14ac:dyDescent="0.25">
      <c r="D546" s="13"/>
      <c r="E546" s="115" t="s">
        <v>285</v>
      </c>
      <c r="F546" s="122"/>
      <c r="G546" s="123"/>
      <c r="H546" s="123"/>
      <c r="I546" s="123">
        <v>10000</v>
      </c>
      <c r="J546" s="123">
        <v>7800</v>
      </c>
      <c r="K546" s="123"/>
      <c r="L546" s="123"/>
      <c r="M546" s="123"/>
      <c r="N546" s="123"/>
      <c r="O546" s="123"/>
      <c r="P546" s="123">
        <f>K546+SUM(L546:O546)</f>
        <v>0</v>
      </c>
      <c r="Q546" s="123"/>
      <c r="R546" s="124">
        <f>IFERROR(Q546/$P546,0)</f>
        <v>0</v>
      </c>
      <c r="S546" s="123"/>
      <c r="T546" s="124">
        <f>IFERROR(S546/$P546,0)</f>
        <v>0</v>
      </c>
      <c r="U546" s="123"/>
      <c r="V546" s="124">
        <f>IFERROR(U546/$P546,0)</f>
        <v>0</v>
      </c>
      <c r="W546" s="123"/>
      <c r="X546" s="125">
        <f>IFERROR(W546/$P546,0)</f>
        <v>0</v>
      </c>
      <c r="Y546" s="123"/>
      <c r="Z546" s="126"/>
    </row>
    <row r="547" spans="4:26" ht="13.9" customHeight="1" x14ac:dyDescent="0.25">
      <c r="D547" s="13"/>
      <c r="E547" s="115" t="s">
        <v>286</v>
      </c>
      <c r="F547" s="122"/>
      <c r="G547" s="123">
        <v>248147.13</v>
      </c>
      <c r="H547" s="123">
        <v>425261.19</v>
      </c>
      <c r="I547" s="123">
        <v>250000</v>
      </c>
      <c r="J547" s="123">
        <v>195047</v>
      </c>
      <c r="K547" s="123">
        <v>190000</v>
      </c>
      <c r="L547" s="123"/>
      <c r="M547" s="123"/>
      <c r="N547" s="123"/>
      <c r="O547" s="123"/>
      <c r="P547" s="123">
        <f>K547+SUM(L547:O547)</f>
        <v>190000</v>
      </c>
      <c r="Q547" s="123">
        <v>200</v>
      </c>
      <c r="R547" s="124">
        <f>IFERROR(Q547/$P547,0)</f>
        <v>1.0526315789473684E-3</v>
      </c>
      <c r="S547" s="123">
        <v>173301.38</v>
      </c>
      <c r="T547" s="124">
        <f>IFERROR(S547/$P547,0)</f>
        <v>0.91211252631578954</v>
      </c>
      <c r="U547" s="123">
        <v>173301.38</v>
      </c>
      <c r="V547" s="124">
        <f>IFERROR(U547/$P547,0)</f>
        <v>0.91211252631578954</v>
      </c>
      <c r="W547" s="123">
        <v>173301.38</v>
      </c>
      <c r="X547" s="125">
        <f>IFERROR(W547/$P547,0)</f>
        <v>0.91211252631578954</v>
      </c>
      <c r="Y547" s="123"/>
      <c r="Z547" s="126"/>
    </row>
    <row r="548" spans="4:26" ht="13.9" hidden="1" customHeight="1" x14ac:dyDescent="0.25">
      <c r="D548" s="13"/>
      <c r="E548" s="115" t="s">
        <v>287</v>
      </c>
      <c r="F548" s="122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>
        <f>K548+SUM(L548:O548)</f>
        <v>0</v>
      </c>
      <c r="Q548" s="123"/>
      <c r="R548" s="124">
        <f>IFERROR(Q548/$P548,0)</f>
        <v>0</v>
      </c>
      <c r="S548" s="123"/>
      <c r="T548" s="124">
        <f>IFERROR(S548/$P548,0)</f>
        <v>0</v>
      </c>
      <c r="U548" s="123"/>
      <c r="V548" s="124">
        <f>IFERROR(U548/$P548,0)</f>
        <v>0</v>
      </c>
      <c r="W548" s="123"/>
      <c r="X548" s="125">
        <f>IFERROR(W548/$P548,0)</f>
        <v>0</v>
      </c>
      <c r="Y548" s="127">
        <v>173529</v>
      </c>
      <c r="Z548" s="126"/>
    </row>
    <row r="550" spans="4:26" ht="13.9" customHeight="1" x14ac:dyDescent="0.25">
      <c r="D550" s="41" t="s">
        <v>288</v>
      </c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2"/>
      <c r="S550" s="41"/>
      <c r="T550" s="42"/>
      <c r="U550" s="41"/>
      <c r="V550" s="42"/>
      <c r="W550" s="41"/>
      <c r="X550" s="42"/>
      <c r="Y550" s="41"/>
      <c r="Z550" s="41"/>
    </row>
    <row r="551" spans="4:26" ht="13.9" customHeight="1" x14ac:dyDescent="0.25">
      <c r="D551" s="121"/>
      <c r="E551" s="21"/>
      <c r="F551" s="21"/>
      <c r="G551" s="21" t="s">
        <v>1</v>
      </c>
      <c r="H551" s="21" t="s">
        <v>2</v>
      </c>
      <c r="I551" s="21" t="s">
        <v>3</v>
      </c>
      <c r="J551" s="21" t="s">
        <v>4</v>
      </c>
      <c r="K551" s="21" t="s">
        <v>5</v>
      </c>
      <c r="L551" s="21" t="s">
        <v>6</v>
      </c>
      <c r="M551" s="21" t="s">
        <v>7</v>
      </c>
      <c r="N551" s="21" t="s">
        <v>8</v>
      </c>
      <c r="O551" s="21" t="s">
        <v>9</v>
      </c>
      <c r="P551" s="21" t="s">
        <v>10</v>
      </c>
      <c r="Q551" s="21" t="s">
        <v>11</v>
      </c>
      <c r="R551" s="22" t="s">
        <v>12</v>
      </c>
      <c r="S551" s="21" t="s">
        <v>13</v>
      </c>
      <c r="T551" s="22" t="s">
        <v>14</v>
      </c>
      <c r="U551" s="21" t="s">
        <v>15</v>
      </c>
      <c r="V551" s="22" t="s">
        <v>16</v>
      </c>
      <c r="W551" s="21" t="s">
        <v>17</v>
      </c>
      <c r="X551" s="22" t="s">
        <v>18</v>
      </c>
      <c r="Y551" s="21" t="s">
        <v>19</v>
      </c>
      <c r="Z551" s="21" t="s">
        <v>20</v>
      </c>
    </row>
    <row r="552" spans="4:26" ht="13.9" customHeight="1" x14ac:dyDescent="0.25">
      <c r="D552" s="13" t="s">
        <v>21</v>
      </c>
      <c r="E552" s="23">
        <v>111</v>
      </c>
      <c r="F552" s="23" t="s">
        <v>45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0</v>
      </c>
      <c r="P552" s="24">
        <f>SUM(K552:O552)</f>
        <v>0</v>
      </c>
      <c r="Q552" s="24">
        <v>0</v>
      </c>
      <c r="R552" s="25">
        <f>IFERROR(Q552/$P552,0)</f>
        <v>0</v>
      </c>
      <c r="S552" s="24">
        <v>0</v>
      </c>
      <c r="T552" s="25">
        <f>IFERROR(S552/$P552,0)</f>
        <v>0</v>
      </c>
      <c r="U552" s="24">
        <v>0</v>
      </c>
      <c r="V552" s="25">
        <f>IFERROR(U552/$P552,0)</f>
        <v>0</v>
      </c>
      <c r="W552" s="24">
        <v>0</v>
      </c>
      <c r="X552" s="25">
        <f>IFERROR(W552/$P552,0)</f>
        <v>0</v>
      </c>
      <c r="Y552" s="24">
        <v>0</v>
      </c>
      <c r="Z552" s="24">
        <v>0</v>
      </c>
    </row>
    <row r="553" spans="4:26" ht="13.9" customHeight="1" x14ac:dyDescent="0.25">
      <c r="D553" s="13"/>
      <c r="E553" s="23">
        <v>41</v>
      </c>
      <c r="F553" s="23" t="s">
        <v>23</v>
      </c>
      <c r="G553" s="24">
        <f t="shared" ref="G553:Q553" si="269">SUM(G557:G560)-G552</f>
        <v>0</v>
      </c>
      <c r="H553" s="24">
        <f t="shared" si="269"/>
        <v>0</v>
      </c>
      <c r="I553" s="24">
        <f t="shared" si="269"/>
        <v>0</v>
      </c>
      <c r="J553" s="24">
        <f t="shared" si="269"/>
        <v>0</v>
      </c>
      <c r="K553" s="24">
        <f t="shared" si="269"/>
        <v>52500</v>
      </c>
      <c r="L553" s="24">
        <f t="shared" si="269"/>
        <v>0</v>
      </c>
      <c r="M553" s="24">
        <f t="shared" si="269"/>
        <v>18000</v>
      </c>
      <c r="N553" s="24">
        <f t="shared" si="269"/>
        <v>11100</v>
      </c>
      <c r="O553" s="24">
        <f t="shared" si="269"/>
        <v>0</v>
      </c>
      <c r="P553" s="24">
        <f t="shared" si="269"/>
        <v>81600</v>
      </c>
      <c r="Q553" s="24">
        <f t="shared" si="269"/>
        <v>0</v>
      </c>
      <c r="R553" s="25">
        <f>IFERROR(Q553/$P553,0)</f>
        <v>0</v>
      </c>
      <c r="S553" s="24">
        <f>SUM(S557:S560)-S552</f>
        <v>2439.35</v>
      </c>
      <c r="T553" s="25">
        <f>IFERROR(S553/$P553,0)</f>
        <v>2.9893995098039215E-2</v>
      </c>
      <c r="U553" s="24">
        <f>SUM(U557:U560)-U552</f>
        <v>7338.74</v>
      </c>
      <c r="V553" s="25">
        <f>IFERROR(U553/$P553,0)</f>
        <v>8.9935539215686269E-2</v>
      </c>
      <c r="W553" s="24">
        <f>SUM(W557:W560)-W552</f>
        <v>18426.739999999998</v>
      </c>
      <c r="X553" s="25">
        <f>IFERROR(W553/$P553,0)</f>
        <v>0.22581789215686271</v>
      </c>
      <c r="Y553" s="24">
        <f>SUM(Y557:Y560)-Y552</f>
        <v>0</v>
      </c>
      <c r="Z553" s="24">
        <f>SUM(Z557:Z560)-Z552</f>
        <v>0</v>
      </c>
    </row>
    <row r="554" spans="4:26" ht="13.9" customHeight="1" x14ac:dyDescent="0.25">
      <c r="D554" s="30"/>
      <c r="E554" s="31"/>
      <c r="F554" s="26" t="s">
        <v>120</v>
      </c>
      <c r="G554" s="27">
        <f t="shared" ref="G554:Q554" si="270">SUM(G552:G553)</f>
        <v>0</v>
      </c>
      <c r="H554" s="27">
        <f t="shared" si="270"/>
        <v>0</v>
      </c>
      <c r="I554" s="27">
        <f t="shared" si="270"/>
        <v>0</v>
      </c>
      <c r="J554" s="27">
        <f t="shared" si="270"/>
        <v>0</v>
      </c>
      <c r="K554" s="27">
        <f t="shared" si="270"/>
        <v>52500</v>
      </c>
      <c r="L554" s="27">
        <f t="shared" si="270"/>
        <v>0</v>
      </c>
      <c r="M554" s="27">
        <f t="shared" si="270"/>
        <v>18000</v>
      </c>
      <c r="N554" s="27">
        <f t="shared" si="270"/>
        <v>11100</v>
      </c>
      <c r="O554" s="27">
        <f t="shared" si="270"/>
        <v>0</v>
      </c>
      <c r="P554" s="27">
        <f t="shared" si="270"/>
        <v>81600</v>
      </c>
      <c r="Q554" s="27">
        <f t="shared" si="270"/>
        <v>0</v>
      </c>
      <c r="R554" s="28">
        <f>IFERROR(Q554/$P554,0)</f>
        <v>0</v>
      </c>
      <c r="S554" s="27">
        <f>SUM(S552:S553)</f>
        <v>2439.35</v>
      </c>
      <c r="T554" s="28">
        <f>IFERROR(S554/$P554,0)</f>
        <v>2.9893995098039215E-2</v>
      </c>
      <c r="U554" s="27">
        <f>SUM(U552:U553)</f>
        <v>7338.74</v>
      </c>
      <c r="V554" s="28">
        <f>IFERROR(U554/$P554,0)</f>
        <v>8.9935539215686269E-2</v>
      </c>
      <c r="W554" s="27">
        <f>SUM(W552:W553)</f>
        <v>18426.739999999998</v>
      </c>
      <c r="X554" s="28">
        <f>IFERROR(W554/$P554,0)</f>
        <v>0.22581789215686271</v>
      </c>
      <c r="Y554" s="27">
        <f>SUM(Y552:Y553)</f>
        <v>0</v>
      </c>
      <c r="Z554" s="27">
        <f>SUM(Z552:Z553)</f>
        <v>0</v>
      </c>
    </row>
    <row r="556" spans="4:26" ht="13.9" customHeight="1" x14ac:dyDescent="0.25">
      <c r="D556" s="15" t="s">
        <v>55</v>
      </c>
    </row>
    <row r="557" spans="4:26" ht="13.9" customHeight="1" x14ac:dyDescent="0.25">
      <c r="D557" s="13" t="s">
        <v>289</v>
      </c>
      <c r="E557" s="52" t="s">
        <v>290</v>
      </c>
      <c r="F557" s="30"/>
      <c r="G557" s="117"/>
      <c r="H557" s="117"/>
      <c r="I557" s="117"/>
      <c r="J557" s="117"/>
      <c r="K557" s="117">
        <v>2500</v>
      </c>
      <c r="L557" s="117"/>
      <c r="M557" s="117"/>
      <c r="N557" s="117"/>
      <c r="O557" s="117"/>
      <c r="P557" s="117">
        <f>K557+SUM(L557:O557)</f>
        <v>2500</v>
      </c>
      <c r="Q557" s="117">
        <v>0</v>
      </c>
      <c r="R557" s="119">
        <f>IFERROR(Q557/$P557,0)</f>
        <v>0</v>
      </c>
      <c r="S557" s="117">
        <v>0</v>
      </c>
      <c r="T557" s="119">
        <f>IFERROR(S557/$P557,0)</f>
        <v>0</v>
      </c>
      <c r="U557" s="117">
        <v>0</v>
      </c>
      <c r="V557" s="119">
        <f>IFERROR(U557/$P557,0)</f>
        <v>0</v>
      </c>
      <c r="W557" s="117">
        <v>0</v>
      </c>
      <c r="X557" s="120">
        <f>IFERROR(W557/$P557,0)</f>
        <v>0</v>
      </c>
      <c r="Y557" s="53"/>
      <c r="Z557" s="56"/>
    </row>
    <row r="558" spans="4:26" ht="13.9" customHeight="1" x14ac:dyDescent="0.25">
      <c r="D558" s="13"/>
      <c r="E558" s="65" t="s">
        <v>291</v>
      </c>
      <c r="F558" s="94"/>
      <c r="G558" s="67"/>
      <c r="H558" s="67"/>
      <c r="I558" s="67"/>
      <c r="J558" s="67"/>
      <c r="K558" s="67">
        <v>40000</v>
      </c>
      <c r="L558" s="67"/>
      <c r="M558" s="67"/>
      <c r="N558" s="67"/>
      <c r="O558" s="67"/>
      <c r="P558" s="67">
        <f>K558+SUM(L558:O558)</f>
        <v>40000</v>
      </c>
      <c r="Q558" s="67">
        <v>0</v>
      </c>
      <c r="R558" s="68">
        <f>IFERROR(Q558/$P558,0)</f>
        <v>0</v>
      </c>
      <c r="S558" s="67">
        <v>0</v>
      </c>
      <c r="T558" s="68">
        <f>IFERROR(S558/$P558,0)</f>
        <v>0</v>
      </c>
      <c r="U558" s="67">
        <v>0</v>
      </c>
      <c r="V558" s="68">
        <f>IFERROR(U558/$P558,0)</f>
        <v>0</v>
      </c>
      <c r="W558" s="67">
        <v>0</v>
      </c>
      <c r="X558" s="69">
        <f>IFERROR(W558/$P558,0)</f>
        <v>0</v>
      </c>
      <c r="Y558" s="67"/>
      <c r="Z558" s="70"/>
    </row>
    <row r="559" spans="4:26" ht="13.9" customHeight="1" x14ac:dyDescent="0.25">
      <c r="D559" s="13"/>
      <c r="E559" s="65" t="s">
        <v>292</v>
      </c>
      <c r="F559" s="94"/>
      <c r="G559" s="67"/>
      <c r="H559" s="67"/>
      <c r="I559" s="67"/>
      <c r="J559" s="67"/>
      <c r="K559" s="67">
        <v>0</v>
      </c>
      <c r="L559" s="67"/>
      <c r="M559" s="67">
        <v>8000</v>
      </c>
      <c r="N559" s="67">
        <v>11100</v>
      </c>
      <c r="O559" s="67"/>
      <c r="P559" s="67">
        <f>K559+SUM(L559:O559)</f>
        <v>19100</v>
      </c>
      <c r="Q559" s="67">
        <v>0</v>
      </c>
      <c r="R559" s="68">
        <f>IFERROR(Q559/$P559,0)</f>
        <v>0</v>
      </c>
      <c r="S559" s="67">
        <v>0</v>
      </c>
      <c r="T559" s="68">
        <f>IFERROR(S559/$P559,0)</f>
        <v>0</v>
      </c>
      <c r="U559" s="67">
        <v>0</v>
      </c>
      <c r="V559" s="68">
        <f>IFERROR(U559/$P559,0)</f>
        <v>0</v>
      </c>
      <c r="W559" s="67">
        <v>11088</v>
      </c>
      <c r="X559" s="69">
        <f>IFERROR(W559/$P559,0)</f>
        <v>0.58052356020942408</v>
      </c>
      <c r="Y559" s="67"/>
      <c r="Z559" s="70"/>
    </row>
    <row r="560" spans="4:26" ht="13.9" customHeight="1" x14ac:dyDescent="0.25">
      <c r="D560" s="43" t="s">
        <v>293</v>
      </c>
      <c r="E560" s="115" t="s">
        <v>294</v>
      </c>
      <c r="F560" s="122"/>
      <c r="G560" s="127"/>
      <c r="H560" s="127"/>
      <c r="I560" s="127"/>
      <c r="J560" s="127"/>
      <c r="K560" s="127">
        <v>10000</v>
      </c>
      <c r="L560" s="127"/>
      <c r="M560" s="127">
        <v>10000</v>
      </c>
      <c r="N560" s="127"/>
      <c r="O560" s="127"/>
      <c r="P560" s="127">
        <f>K560+SUM(L560:O560)</f>
        <v>20000</v>
      </c>
      <c r="Q560" s="127">
        <v>0</v>
      </c>
      <c r="R560" s="130">
        <f>IFERROR(Q560/$P560,0)</f>
        <v>0</v>
      </c>
      <c r="S560" s="127">
        <v>2439.35</v>
      </c>
      <c r="T560" s="130">
        <f>IFERROR(S560/$P560,0)</f>
        <v>0.12196749999999999</v>
      </c>
      <c r="U560" s="127">
        <v>7338.74</v>
      </c>
      <c r="V560" s="130">
        <f>IFERROR(U560/$P560,0)</f>
        <v>0.36693700000000001</v>
      </c>
      <c r="W560" s="127">
        <v>7338.74</v>
      </c>
      <c r="X560" s="131">
        <f>IFERROR(W560/$P560,0)</f>
        <v>0.36693700000000001</v>
      </c>
      <c r="Y560" s="123"/>
      <c r="Z560" s="126"/>
    </row>
    <row r="562" spans="1:26" ht="13.9" customHeight="1" x14ac:dyDescent="0.25">
      <c r="D562" s="41" t="s">
        <v>295</v>
      </c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2"/>
      <c r="S562" s="41"/>
      <c r="T562" s="42"/>
      <c r="U562" s="41"/>
      <c r="V562" s="42"/>
      <c r="W562" s="41"/>
      <c r="X562" s="42"/>
      <c r="Y562" s="41"/>
      <c r="Z562" s="41"/>
    </row>
    <row r="563" spans="1:26" ht="13.9" customHeight="1" x14ac:dyDescent="0.25">
      <c r="D563" s="121"/>
      <c r="E563" s="21"/>
      <c r="F563" s="21"/>
      <c r="G563" s="21" t="s">
        <v>1</v>
      </c>
      <c r="H563" s="21" t="s">
        <v>2</v>
      </c>
      <c r="I563" s="21" t="s">
        <v>3</v>
      </c>
      <c r="J563" s="21" t="s">
        <v>4</v>
      </c>
      <c r="K563" s="21" t="s">
        <v>5</v>
      </c>
      <c r="L563" s="21" t="s">
        <v>6</v>
      </c>
      <c r="M563" s="21" t="s">
        <v>7</v>
      </c>
      <c r="N563" s="21" t="s">
        <v>8</v>
      </c>
      <c r="O563" s="21" t="s">
        <v>9</v>
      </c>
      <c r="P563" s="21" t="s">
        <v>10</v>
      </c>
      <c r="Q563" s="21" t="s">
        <v>11</v>
      </c>
      <c r="R563" s="22" t="s">
        <v>12</v>
      </c>
      <c r="S563" s="21" t="s">
        <v>13</v>
      </c>
      <c r="T563" s="22" t="s">
        <v>14</v>
      </c>
      <c r="U563" s="21" t="s">
        <v>15</v>
      </c>
      <c r="V563" s="22" t="s">
        <v>16</v>
      </c>
      <c r="W563" s="21" t="s">
        <v>17</v>
      </c>
      <c r="X563" s="22" t="s">
        <v>18</v>
      </c>
      <c r="Y563" s="21" t="s">
        <v>19</v>
      </c>
      <c r="Z563" s="21" t="s">
        <v>20</v>
      </c>
    </row>
    <row r="564" spans="1:26" ht="13.9" customHeight="1" x14ac:dyDescent="0.25">
      <c r="A564" s="15">
        <v>8</v>
      </c>
      <c r="B564" s="15">
        <v>5</v>
      </c>
      <c r="D564" s="13" t="s">
        <v>21</v>
      </c>
      <c r="E564" s="23">
        <v>111</v>
      </c>
      <c r="F564" s="23" t="s">
        <v>45</v>
      </c>
      <c r="G564" s="24">
        <v>0</v>
      </c>
      <c r="H564" s="24">
        <v>0</v>
      </c>
      <c r="I564" s="24">
        <v>150935</v>
      </c>
      <c r="J564" s="24">
        <v>150934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5">
        <f>IFERROR(Q564/$P564,0)</f>
        <v>0</v>
      </c>
      <c r="S564" s="24">
        <v>0</v>
      </c>
      <c r="T564" s="25">
        <f>IFERROR(S564/$P564,0)</f>
        <v>0</v>
      </c>
      <c r="U564" s="24">
        <v>0</v>
      </c>
      <c r="V564" s="25">
        <f>IFERROR(U564/$P564,0)</f>
        <v>0</v>
      </c>
      <c r="W564" s="24">
        <v>0</v>
      </c>
      <c r="X564" s="25">
        <f>IFERROR(W564/$P564,0)</f>
        <v>0</v>
      </c>
      <c r="Y564" s="24">
        <v>0</v>
      </c>
      <c r="Z564" s="24">
        <v>0</v>
      </c>
    </row>
    <row r="565" spans="1:26" ht="13.9" customHeight="1" x14ac:dyDescent="0.25">
      <c r="A565" s="15">
        <v>8</v>
      </c>
      <c r="B565" s="15">
        <v>5</v>
      </c>
      <c r="D565" s="13"/>
      <c r="E565" s="23">
        <v>41</v>
      </c>
      <c r="F565" s="23" t="s">
        <v>23</v>
      </c>
      <c r="G565" s="24">
        <f t="shared" ref="G565:Q565" si="271">SUM(G569:G575)-G564</f>
        <v>226141.9</v>
      </c>
      <c r="H565" s="24">
        <f t="shared" si="271"/>
        <v>167391.96000000002</v>
      </c>
      <c r="I565" s="24">
        <f t="shared" si="271"/>
        <v>213835</v>
      </c>
      <c r="J565" s="24">
        <f t="shared" si="271"/>
        <v>198255</v>
      </c>
      <c r="K565" s="24">
        <f t="shared" si="271"/>
        <v>178000</v>
      </c>
      <c r="L565" s="24">
        <f t="shared" si="271"/>
        <v>0</v>
      </c>
      <c r="M565" s="24">
        <f t="shared" si="271"/>
        <v>6000</v>
      </c>
      <c r="N565" s="24">
        <f t="shared" si="271"/>
        <v>-12355</v>
      </c>
      <c r="O565" s="24">
        <f t="shared" si="271"/>
        <v>0</v>
      </c>
      <c r="P565" s="24">
        <f t="shared" si="271"/>
        <v>171645</v>
      </c>
      <c r="Q565" s="24">
        <f t="shared" si="271"/>
        <v>0</v>
      </c>
      <c r="R565" s="25">
        <f>IFERROR(Q565/$P565,0)</f>
        <v>0</v>
      </c>
      <c r="S565" s="24">
        <f>SUM(S569:S575)-S564</f>
        <v>135685.37</v>
      </c>
      <c r="T565" s="25">
        <f>IFERROR(S565/$P565,0)</f>
        <v>0.79049998543505484</v>
      </c>
      <c r="U565" s="24">
        <f>SUM(U569:U575)-U564</f>
        <v>135685.37</v>
      </c>
      <c r="V565" s="25">
        <f>IFERROR(U565/$P565,0)</f>
        <v>0.79049998543505484</v>
      </c>
      <c r="W565" s="24">
        <f>SUM(W569:W575)-W564</f>
        <v>140075.37</v>
      </c>
      <c r="X565" s="25">
        <f>IFERROR(W565/$P565,0)</f>
        <v>0.81607602901337062</v>
      </c>
      <c r="Y565" s="24">
        <f>SUM(Y569:Y575)</f>
        <v>0</v>
      </c>
      <c r="Z565" s="24">
        <f>SUM(Z569:Z575)</f>
        <v>260299</v>
      </c>
    </row>
    <row r="566" spans="1:26" ht="13.9" customHeight="1" x14ac:dyDescent="0.25">
      <c r="A566" s="15">
        <v>8</v>
      </c>
      <c r="B566" s="15">
        <v>5</v>
      </c>
      <c r="D566" s="30"/>
      <c r="E566" s="31"/>
      <c r="F566" s="26" t="s">
        <v>120</v>
      </c>
      <c r="G566" s="27">
        <f t="shared" ref="G566:Q566" si="272">SUM(G564:G565)</f>
        <v>226141.9</v>
      </c>
      <c r="H566" s="27">
        <f t="shared" si="272"/>
        <v>167391.96000000002</v>
      </c>
      <c r="I566" s="27">
        <f t="shared" si="272"/>
        <v>364770</v>
      </c>
      <c r="J566" s="27">
        <f t="shared" si="272"/>
        <v>349189</v>
      </c>
      <c r="K566" s="27">
        <f t="shared" si="272"/>
        <v>178000</v>
      </c>
      <c r="L566" s="27">
        <f t="shared" si="272"/>
        <v>0</v>
      </c>
      <c r="M566" s="27">
        <f t="shared" si="272"/>
        <v>6000</v>
      </c>
      <c r="N566" s="27">
        <f t="shared" si="272"/>
        <v>-12355</v>
      </c>
      <c r="O566" s="27">
        <f t="shared" si="272"/>
        <v>0</v>
      </c>
      <c r="P566" s="27">
        <f t="shared" si="272"/>
        <v>171645</v>
      </c>
      <c r="Q566" s="27">
        <f t="shared" si="272"/>
        <v>0</v>
      </c>
      <c r="R566" s="28">
        <f>IFERROR(Q566/$P566,0)</f>
        <v>0</v>
      </c>
      <c r="S566" s="27">
        <f>SUM(S564:S565)</f>
        <v>135685.37</v>
      </c>
      <c r="T566" s="28">
        <f>IFERROR(S566/$P566,0)</f>
        <v>0.79049998543505484</v>
      </c>
      <c r="U566" s="27">
        <f>SUM(U564:U565)</f>
        <v>135685.37</v>
      </c>
      <c r="V566" s="28">
        <f>IFERROR(U566/$P566,0)</f>
        <v>0.79049998543505484</v>
      </c>
      <c r="W566" s="27">
        <f>SUM(W564:W565)</f>
        <v>140075.37</v>
      </c>
      <c r="X566" s="28">
        <f>IFERROR(W566/$P566,0)</f>
        <v>0.81607602901337062</v>
      </c>
      <c r="Y566" s="27">
        <f>SUM(Y564:Y565)</f>
        <v>0</v>
      </c>
      <c r="Z566" s="27">
        <f>SUM(Z564:Z565)</f>
        <v>260299</v>
      </c>
    </row>
    <row r="568" spans="1:26" ht="13.9" customHeight="1" x14ac:dyDescent="0.25">
      <c r="D568" s="15" t="s">
        <v>55</v>
      </c>
    </row>
    <row r="569" spans="1:26" ht="13.9" customHeight="1" x14ac:dyDescent="0.25">
      <c r="D569" s="43" t="s">
        <v>296</v>
      </c>
      <c r="E569" s="115" t="s">
        <v>297</v>
      </c>
      <c r="F569" s="122"/>
      <c r="G569" s="127"/>
      <c r="H569" s="127">
        <v>112331.32</v>
      </c>
      <c r="I569" s="127">
        <v>150000</v>
      </c>
      <c r="J569" s="127">
        <v>128333</v>
      </c>
      <c r="K569" s="127">
        <v>178000</v>
      </c>
      <c r="L569" s="127"/>
      <c r="M569" s="127"/>
      <c r="N569" s="127">
        <f>-1255-16200</f>
        <v>-17455</v>
      </c>
      <c r="O569" s="127"/>
      <c r="P569" s="127">
        <f t="shared" ref="P569:P575" si="273">K569+SUM(L569:O569)</f>
        <v>160545</v>
      </c>
      <c r="Q569" s="127">
        <v>0</v>
      </c>
      <c r="R569" s="130">
        <f t="shared" ref="R569:R575" si="274">IFERROR(Q569/$P569,0)</f>
        <v>0</v>
      </c>
      <c r="S569" s="127">
        <v>129938.57</v>
      </c>
      <c r="T569" s="130">
        <f t="shared" ref="T569:T575" si="275">IFERROR(S569/$P569,0)</f>
        <v>0.80935918278364327</v>
      </c>
      <c r="U569" s="127">
        <v>129938.57</v>
      </c>
      <c r="V569" s="130">
        <f t="shared" ref="V569:V575" si="276">IFERROR(U569/$P569,0)</f>
        <v>0.80935918278364327</v>
      </c>
      <c r="W569" s="127">
        <v>129938.57</v>
      </c>
      <c r="X569" s="131">
        <f t="shared" ref="X569:X575" si="277">IFERROR(W569/$P569,0)</f>
        <v>0.80935918278364327</v>
      </c>
      <c r="Y569" s="123"/>
      <c r="Z569" s="126"/>
    </row>
    <row r="570" spans="1:26" ht="13.9" hidden="1" customHeight="1" x14ac:dyDescent="0.25">
      <c r="D570" s="13" t="s">
        <v>298</v>
      </c>
      <c r="E570" s="52" t="s">
        <v>299</v>
      </c>
      <c r="F570" s="30"/>
      <c r="G570" s="53">
        <v>5028</v>
      </c>
      <c r="H570" s="53">
        <v>1800</v>
      </c>
      <c r="I570" s="53"/>
      <c r="J570" s="53">
        <v>2604</v>
      </c>
      <c r="K570" s="53"/>
      <c r="L570" s="53"/>
      <c r="M570" s="53"/>
      <c r="N570" s="53"/>
      <c r="O570" s="53"/>
      <c r="P570" s="53">
        <f t="shared" si="273"/>
        <v>0</v>
      </c>
      <c r="Q570" s="53"/>
      <c r="R570" s="54">
        <f t="shared" si="274"/>
        <v>0</v>
      </c>
      <c r="S570" s="53"/>
      <c r="T570" s="54">
        <f t="shared" si="275"/>
        <v>0</v>
      </c>
      <c r="U570" s="53"/>
      <c r="V570" s="54">
        <f t="shared" si="276"/>
        <v>0</v>
      </c>
      <c r="W570" s="53"/>
      <c r="X570" s="55">
        <f t="shared" si="277"/>
        <v>0</v>
      </c>
      <c r="Y570" s="53"/>
      <c r="Z570" s="56"/>
    </row>
    <row r="571" spans="1:26" ht="13.9" hidden="1" customHeight="1" x14ac:dyDescent="0.25">
      <c r="D571" s="13"/>
      <c r="E571" s="65" t="s">
        <v>300</v>
      </c>
      <c r="F571" s="94"/>
      <c r="G571" s="67"/>
      <c r="H571" s="67"/>
      <c r="I571" s="67"/>
      <c r="J571" s="67"/>
      <c r="K571" s="67"/>
      <c r="L571" s="67"/>
      <c r="M571" s="67"/>
      <c r="N571" s="67"/>
      <c r="O571" s="67"/>
      <c r="P571" s="67">
        <f t="shared" si="273"/>
        <v>0</v>
      </c>
      <c r="Q571" s="67"/>
      <c r="R571" s="68">
        <f t="shared" si="274"/>
        <v>0</v>
      </c>
      <c r="S571" s="67"/>
      <c r="T571" s="68">
        <f t="shared" si="275"/>
        <v>0</v>
      </c>
      <c r="U571" s="67"/>
      <c r="V571" s="68">
        <f t="shared" si="276"/>
        <v>0</v>
      </c>
      <c r="W571" s="67"/>
      <c r="X571" s="69">
        <f t="shared" si="277"/>
        <v>0</v>
      </c>
      <c r="Y571" s="67"/>
      <c r="Z571" s="142">
        <v>260299</v>
      </c>
    </row>
    <row r="572" spans="1:26" ht="13.9" hidden="1" customHeight="1" x14ac:dyDescent="0.25">
      <c r="D572" s="13"/>
      <c r="E572" s="65" t="s">
        <v>301</v>
      </c>
      <c r="F572" s="94"/>
      <c r="G572" s="67"/>
      <c r="H572" s="67">
        <v>500</v>
      </c>
      <c r="I572" s="95">
        <v>162240</v>
      </c>
      <c r="J572" s="67">
        <v>162239</v>
      </c>
      <c r="K572" s="95"/>
      <c r="L572" s="67"/>
      <c r="M572" s="67"/>
      <c r="N572" s="67"/>
      <c r="O572" s="67"/>
      <c r="P572" s="67">
        <f t="shared" si="273"/>
        <v>0</v>
      </c>
      <c r="Q572" s="67"/>
      <c r="R572" s="68">
        <f t="shared" si="274"/>
        <v>0</v>
      </c>
      <c r="S572" s="67"/>
      <c r="T572" s="68">
        <f t="shared" si="275"/>
        <v>0</v>
      </c>
      <c r="U572" s="67"/>
      <c r="V572" s="68">
        <f t="shared" si="276"/>
        <v>0</v>
      </c>
      <c r="W572" s="67"/>
      <c r="X572" s="69">
        <f t="shared" si="277"/>
        <v>0</v>
      </c>
      <c r="Y572" s="127"/>
      <c r="Z572" s="143"/>
    </row>
    <row r="573" spans="1:26" ht="13.9" customHeight="1" x14ac:dyDescent="0.25">
      <c r="D573" s="13"/>
      <c r="E573" s="65" t="s">
        <v>302</v>
      </c>
      <c r="F573" s="94"/>
      <c r="G573" s="67"/>
      <c r="H573" s="67"/>
      <c r="I573" s="95"/>
      <c r="J573" s="67"/>
      <c r="K573" s="95"/>
      <c r="L573" s="67"/>
      <c r="M573" s="67">
        <v>6000</v>
      </c>
      <c r="N573" s="67">
        <v>5100</v>
      </c>
      <c r="O573" s="67"/>
      <c r="P573" s="67">
        <f t="shared" si="273"/>
        <v>11100</v>
      </c>
      <c r="Q573" s="67">
        <v>0</v>
      </c>
      <c r="R573" s="68">
        <f t="shared" si="274"/>
        <v>0</v>
      </c>
      <c r="S573" s="67">
        <v>5746.8</v>
      </c>
      <c r="T573" s="68">
        <f t="shared" si="275"/>
        <v>0.51772972972972975</v>
      </c>
      <c r="U573" s="67">
        <v>5746.8</v>
      </c>
      <c r="V573" s="68">
        <f t="shared" si="276"/>
        <v>0.51772972972972975</v>
      </c>
      <c r="W573" s="67">
        <v>10136.799999999999</v>
      </c>
      <c r="X573" s="69">
        <f t="shared" si="277"/>
        <v>0.9132252252252252</v>
      </c>
      <c r="Y573" s="127"/>
      <c r="Z573" s="143"/>
    </row>
    <row r="574" spans="1:26" ht="13.9" hidden="1" customHeight="1" x14ac:dyDescent="0.25">
      <c r="D574" s="144" t="s">
        <v>303</v>
      </c>
      <c r="E574" s="115" t="s">
        <v>304</v>
      </c>
      <c r="F574" s="122"/>
      <c r="G574" s="123">
        <v>215186.4</v>
      </c>
      <c r="H574" s="123">
        <v>17482.32</v>
      </c>
      <c r="I574" s="123"/>
      <c r="J574" s="123">
        <v>7438</v>
      </c>
      <c r="K574" s="123"/>
      <c r="L574" s="123"/>
      <c r="M574" s="123"/>
      <c r="N574" s="123"/>
      <c r="O574" s="123"/>
      <c r="P574" s="123">
        <f t="shared" si="273"/>
        <v>0</v>
      </c>
      <c r="Q574" s="123"/>
      <c r="R574" s="124">
        <f t="shared" si="274"/>
        <v>0</v>
      </c>
      <c r="S574" s="123"/>
      <c r="T574" s="124">
        <f t="shared" si="275"/>
        <v>0</v>
      </c>
      <c r="U574" s="123"/>
      <c r="V574" s="124">
        <f t="shared" si="276"/>
        <v>0</v>
      </c>
      <c r="W574" s="123"/>
      <c r="X574" s="125">
        <f t="shared" si="277"/>
        <v>0</v>
      </c>
      <c r="Y574" s="123"/>
      <c r="Z574" s="126"/>
    </row>
    <row r="575" spans="1:26" ht="13.9" hidden="1" customHeight="1" x14ac:dyDescent="0.25">
      <c r="D575" s="43" t="s">
        <v>305</v>
      </c>
      <c r="E575" s="145" t="s">
        <v>306</v>
      </c>
      <c r="F575" s="122"/>
      <c r="G575" s="123">
        <v>5927.5</v>
      </c>
      <c r="H575" s="123">
        <v>35278.32</v>
      </c>
      <c r="I575" s="123">
        <f>47530+5000</f>
        <v>52530</v>
      </c>
      <c r="J575" s="123">
        <v>48575</v>
      </c>
      <c r="K575" s="123"/>
      <c r="L575" s="123"/>
      <c r="M575" s="123"/>
      <c r="N575" s="123"/>
      <c r="O575" s="123"/>
      <c r="P575" s="123">
        <f t="shared" si="273"/>
        <v>0</v>
      </c>
      <c r="Q575" s="123"/>
      <c r="R575" s="124">
        <f t="shared" si="274"/>
        <v>0</v>
      </c>
      <c r="S575" s="123"/>
      <c r="T575" s="124">
        <f t="shared" si="275"/>
        <v>0</v>
      </c>
      <c r="U575" s="123"/>
      <c r="V575" s="124">
        <f t="shared" si="276"/>
        <v>0</v>
      </c>
      <c r="W575" s="123"/>
      <c r="X575" s="125">
        <f t="shared" si="277"/>
        <v>0</v>
      </c>
      <c r="Y575" s="122"/>
      <c r="Z575" s="146"/>
    </row>
    <row r="577" spans="1:26" ht="13.9" customHeight="1" x14ac:dyDescent="0.25">
      <c r="D577" s="41" t="s">
        <v>307</v>
      </c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2"/>
      <c r="S577" s="41"/>
      <c r="T577" s="42"/>
      <c r="U577" s="41"/>
      <c r="V577" s="42"/>
      <c r="W577" s="41"/>
      <c r="X577" s="42"/>
      <c r="Y577" s="41"/>
      <c r="Z577" s="41"/>
    </row>
    <row r="578" spans="1:26" ht="13.9" customHeight="1" x14ac:dyDescent="0.25">
      <c r="D578" s="121"/>
      <c r="E578" s="21"/>
      <c r="F578" s="21"/>
      <c r="G578" s="21" t="s">
        <v>1</v>
      </c>
      <c r="H578" s="21" t="s">
        <v>2</v>
      </c>
      <c r="I578" s="21" t="s">
        <v>3</v>
      </c>
      <c r="J578" s="21" t="s">
        <v>4</v>
      </c>
      <c r="K578" s="21" t="s">
        <v>5</v>
      </c>
      <c r="L578" s="21" t="s">
        <v>6</v>
      </c>
      <c r="M578" s="21" t="s">
        <v>7</v>
      </c>
      <c r="N578" s="21" t="s">
        <v>8</v>
      </c>
      <c r="O578" s="21" t="s">
        <v>9</v>
      </c>
      <c r="P578" s="21" t="s">
        <v>10</v>
      </c>
      <c r="Q578" s="21" t="s">
        <v>11</v>
      </c>
      <c r="R578" s="22" t="s">
        <v>12</v>
      </c>
      <c r="S578" s="21" t="s">
        <v>13</v>
      </c>
      <c r="T578" s="22" t="s">
        <v>14</v>
      </c>
      <c r="U578" s="21" t="s">
        <v>15</v>
      </c>
      <c r="V578" s="22" t="s">
        <v>16</v>
      </c>
      <c r="W578" s="21" t="s">
        <v>17</v>
      </c>
      <c r="X578" s="22" t="s">
        <v>18</v>
      </c>
      <c r="Y578" s="21" t="s">
        <v>19</v>
      </c>
      <c r="Z578" s="21" t="s">
        <v>20</v>
      </c>
    </row>
    <row r="579" spans="1:26" ht="13.9" customHeight="1" x14ac:dyDescent="0.25">
      <c r="A579" s="15">
        <v>8</v>
      </c>
      <c r="B579" s="15">
        <v>6</v>
      </c>
      <c r="D579" s="138" t="s">
        <v>21</v>
      </c>
      <c r="E579" s="23">
        <v>111</v>
      </c>
      <c r="F579" s="23" t="s">
        <v>130</v>
      </c>
      <c r="G579" s="24">
        <v>0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0</v>
      </c>
      <c r="P579" s="24">
        <v>0</v>
      </c>
      <c r="Q579" s="24">
        <v>0</v>
      </c>
      <c r="R579" s="25">
        <f>IFERROR(Q579/$P579,0)</f>
        <v>0</v>
      </c>
      <c r="S579" s="24">
        <v>0</v>
      </c>
      <c r="T579" s="25">
        <f>IFERROR(S579/$P579,0)</f>
        <v>0</v>
      </c>
      <c r="U579" s="24">
        <v>0</v>
      </c>
      <c r="V579" s="25">
        <f>IFERROR(U579/$P579,0)</f>
        <v>0</v>
      </c>
      <c r="W579" s="24">
        <v>0</v>
      </c>
      <c r="X579" s="25">
        <f>IFERROR(W579/$P579,0)</f>
        <v>0</v>
      </c>
      <c r="Y579" s="24">
        <f>SUM(Y583:Y583)</f>
        <v>0</v>
      </c>
      <c r="Z579" s="24">
        <f>SUM(Z583:Z583)</f>
        <v>0</v>
      </c>
    </row>
    <row r="580" spans="1:26" ht="13.9" customHeight="1" x14ac:dyDescent="0.25">
      <c r="A580" s="15">
        <v>8</v>
      </c>
      <c r="B580" s="15">
        <v>6</v>
      </c>
      <c r="D580" s="138" t="s">
        <v>21</v>
      </c>
      <c r="E580" s="23">
        <v>41</v>
      </c>
      <c r="F580" s="23" t="s">
        <v>23</v>
      </c>
      <c r="G580" s="24">
        <v>99049.39</v>
      </c>
      <c r="H580" s="24">
        <f t="shared" ref="H580:Q580" si="278">SUM(H584:H589)-H579</f>
        <v>51253.74</v>
      </c>
      <c r="I580" s="24">
        <f t="shared" si="278"/>
        <v>10000</v>
      </c>
      <c r="J580" s="24">
        <f t="shared" si="278"/>
        <v>98217</v>
      </c>
      <c r="K580" s="24">
        <f t="shared" si="278"/>
        <v>30000</v>
      </c>
      <c r="L580" s="24">
        <f t="shared" si="278"/>
        <v>0</v>
      </c>
      <c r="M580" s="24">
        <f t="shared" si="278"/>
        <v>0</v>
      </c>
      <c r="N580" s="24">
        <f t="shared" si="278"/>
        <v>0</v>
      </c>
      <c r="O580" s="24">
        <f t="shared" si="278"/>
        <v>0</v>
      </c>
      <c r="P580" s="24">
        <f t="shared" si="278"/>
        <v>30000</v>
      </c>
      <c r="Q580" s="24">
        <f t="shared" si="278"/>
        <v>0</v>
      </c>
      <c r="R580" s="25">
        <f>IFERROR(Q580/$P580,0)</f>
        <v>0</v>
      </c>
      <c r="S580" s="24">
        <f>SUM(S584:S589)-S579</f>
        <v>75</v>
      </c>
      <c r="T580" s="25">
        <f>IFERROR(S580/$P580,0)</f>
        <v>2.5000000000000001E-3</v>
      </c>
      <c r="U580" s="24">
        <f>SUM(U584:U589)-U579</f>
        <v>22875</v>
      </c>
      <c r="V580" s="25">
        <f>IFERROR(U580/$P580,0)</f>
        <v>0.76249999999999996</v>
      </c>
      <c r="W580" s="24">
        <f>SUM(W584:W589)-W579</f>
        <v>22875</v>
      </c>
      <c r="X580" s="25">
        <f>IFERROR(W580/$P580,0)</f>
        <v>0.76249999999999996</v>
      </c>
      <c r="Y580" s="24">
        <f>SUM(Y584:Y589)-Y579</f>
        <v>0</v>
      </c>
      <c r="Z580" s="24">
        <f>SUM(Z584:Z589)-Z579</f>
        <v>0</v>
      </c>
    </row>
    <row r="581" spans="1:26" ht="13.9" customHeight="1" x14ac:dyDescent="0.25">
      <c r="A581" s="15">
        <v>8</v>
      </c>
      <c r="B581" s="15">
        <v>6</v>
      </c>
      <c r="D581" s="30"/>
      <c r="E581" s="31"/>
      <c r="F581" s="26" t="s">
        <v>120</v>
      </c>
      <c r="G581" s="27">
        <f t="shared" ref="G581:Q581" si="279">SUM(G579:G580)</f>
        <v>99049.39</v>
      </c>
      <c r="H581" s="27">
        <f t="shared" si="279"/>
        <v>51253.74</v>
      </c>
      <c r="I581" s="27">
        <f t="shared" si="279"/>
        <v>10000</v>
      </c>
      <c r="J581" s="27">
        <f t="shared" si="279"/>
        <v>98217</v>
      </c>
      <c r="K581" s="27">
        <f t="shared" si="279"/>
        <v>30000</v>
      </c>
      <c r="L581" s="27">
        <f t="shared" si="279"/>
        <v>0</v>
      </c>
      <c r="M581" s="27">
        <f t="shared" si="279"/>
        <v>0</v>
      </c>
      <c r="N581" s="27">
        <f t="shared" si="279"/>
        <v>0</v>
      </c>
      <c r="O581" s="27">
        <f t="shared" si="279"/>
        <v>0</v>
      </c>
      <c r="P581" s="27">
        <f t="shared" si="279"/>
        <v>30000</v>
      </c>
      <c r="Q581" s="27">
        <f t="shared" si="279"/>
        <v>0</v>
      </c>
      <c r="R581" s="28">
        <f>IFERROR(Q581/$P581,0)</f>
        <v>0</v>
      </c>
      <c r="S581" s="27">
        <f>SUM(S579:S580)</f>
        <v>75</v>
      </c>
      <c r="T581" s="28">
        <f>IFERROR(S581/$P581,0)</f>
        <v>2.5000000000000001E-3</v>
      </c>
      <c r="U581" s="27">
        <f>SUM(U579:U580)</f>
        <v>22875</v>
      </c>
      <c r="V581" s="28">
        <f>IFERROR(U581/$P581,0)</f>
        <v>0.76249999999999996</v>
      </c>
      <c r="W581" s="27">
        <f>SUM(W579:W580)</f>
        <v>22875</v>
      </c>
      <c r="X581" s="28">
        <f>IFERROR(W581/$P581,0)</f>
        <v>0.76249999999999996</v>
      </c>
      <c r="Y581" s="27">
        <f>SUM(Y579:Y580)</f>
        <v>0</v>
      </c>
      <c r="Z581" s="27">
        <f>SUM(Z579:Z580)</f>
        <v>0</v>
      </c>
    </row>
    <row r="583" spans="1:26" ht="13.9" customHeight="1" x14ac:dyDescent="0.25">
      <c r="D583" s="15" t="s">
        <v>55</v>
      </c>
    </row>
    <row r="584" spans="1:26" ht="13.9" hidden="1" customHeight="1" x14ac:dyDescent="0.25">
      <c r="D584" s="13" t="s">
        <v>308</v>
      </c>
      <c r="E584" s="52" t="s">
        <v>309</v>
      </c>
      <c r="F584" s="30"/>
      <c r="G584" s="53">
        <v>99049.39</v>
      </c>
      <c r="H584" s="53">
        <v>15964.89</v>
      </c>
      <c r="I584" s="53">
        <v>10000</v>
      </c>
      <c r="J584" s="53">
        <v>5838</v>
      </c>
      <c r="K584" s="53"/>
      <c r="L584" s="53"/>
      <c r="M584" s="53"/>
      <c r="N584" s="53"/>
      <c r="O584" s="53"/>
      <c r="P584" s="53">
        <f t="shared" ref="P584:P589" si="280">K584+SUM(L584:O584)</f>
        <v>0</v>
      </c>
      <c r="Q584" s="53"/>
      <c r="R584" s="54">
        <f t="shared" ref="R584:R589" si="281">IFERROR(Q584/$P584,0)</f>
        <v>0</v>
      </c>
      <c r="S584" s="53"/>
      <c r="T584" s="54">
        <f t="shared" ref="T584:T589" si="282">IFERROR(S584/$P584,0)</f>
        <v>0</v>
      </c>
      <c r="U584" s="53"/>
      <c r="V584" s="54">
        <f t="shared" ref="V584:V589" si="283">IFERROR(U584/$P584,0)</f>
        <v>0</v>
      </c>
      <c r="W584" s="53"/>
      <c r="X584" s="55">
        <f t="shared" ref="X584:X589" si="284">IFERROR(W584/$P584,0)</f>
        <v>0</v>
      </c>
      <c r="Y584" s="53"/>
      <c r="Z584" s="56"/>
    </row>
    <row r="585" spans="1:26" ht="13.9" hidden="1" customHeight="1" x14ac:dyDescent="0.25">
      <c r="D585" s="13"/>
      <c r="E585" s="57" t="s">
        <v>310</v>
      </c>
      <c r="F585" s="91"/>
      <c r="G585" s="82"/>
      <c r="H585" s="82"/>
      <c r="I585" s="82"/>
      <c r="J585" s="82">
        <v>21947</v>
      </c>
      <c r="K585" s="82"/>
      <c r="L585" s="82"/>
      <c r="M585" s="82"/>
      <c r="N585" s="82"/>
      <c r="O585" s="82"/>
      <c r="P585" s="82">
        <f t="shared" si="280"/>
        <v>0</v>
      </c>
      <c r="Q585" s="82"/>
      <c r="R585" s="83">
        <f t="shared" si="281"/>
        <v>0</v>
      </c>
      <c r="S585" s="82"/>
      <c r="T585" s="83">
        <f t="shared" si="282"/>
        <v>0</v>
      </c>
      <c r="U585" s="82"/>
      <c r="V585" s="83">
        <f t="shared" si="283"/>
        <v>0</v>
      </c>
      <c r="W585" s="82"/>
      <c r="X585" s="60">
        <f t="shared" si="284"/>
        <v>0</v>
      </c>
      <c r="Y585" s="82"/>
      <c r="Z585" s="61"/>
    </row>
    <row r="586" spans="1:26" ht="13.9" hidden="1" customHeight="1" x14ac:dyDescent="0.25">
      <c r="D586" s="13"/>
      <c r="E586" s="65" t="s">
        <v>311</v>
      </c>
      <c r="F586" s="94"/>
      <c r="G586" s="67"/>
      <c r="H586" s="67"/>
      <c r="I586" s="67"/>
      <c r="J586" s="67">
        <v>432</v>
      </c>
      <c r="K586" s="67"/>
      <c r="L586" s="67"/>
      <c r="M586" s="67"/>
      <c r="N586" s="67"/>
      <c r="O586" s="67"/>
      <c r="P586" s="67">
        <f t="shared" si="280"/>
        <v>0</v>
      </c>
      <c r="Q586" s="67"/>
      <c r="R586" s="68">
        <f t="shared" si="281"/>
        <v>0</v>
      </c>
      <c r="S586" s="67"/>
      <c r="T586" s="68">
        <f t="shared" si="282"/>
        <v>0</v>
      </c>
      <c r="U586" s="67"/>
      <c r="V586" s="68">
        <f t="shared" si="283"/>
        <v>0</v>
      </c>
      <c r="W586" s="67"/>
      <c r="X586" s="69">
        <f t="shared" si="284"/>
        <v>0</v>
      </c>
      <c r="Y586" s="67"/>
      <c r="Z586" s="70"/>
    </row>
    <row r="587" spans="1:26" ht="13.9" customHeight="1" x14ac:dyDescent="0.25">
      <c r="D587" s="43" t="s">
        <v>312</v>
      </c>
      <c r="E587" s="115" t="s">
        <v>313</v>
      </c>
      <c r="F587" s="122"/>
      <c r="G587" s="123"/>
      <c r="H587" s="123"/>
      <c r="I587" s="123"/>
      <c r="J587" s="123">
        <v>70000</v>
      </c>
      <c r="K587" s="123">
        <v>30000</v>
      </c>
      <c r="L587" s="123"/>
      <c r="M587" s="123"/>
      <c r="N587" s="123"/>
      <c r="O587" s="123"/>
      <c r="P587" s="123">
        <f t="shared" si="280"/>
        <v>30000</v>
      </c>
      <c r="Q587" s="123">
        <v>0</v>
      </c>
      <c r="R587" s="124">
        <f t="shared" si="281"/>
        <v>0</v>
      </c>
      <c r="S587" s="123">
        <v>75</v>
      </c>
      <c r="T587" s="124">
        <f t="shared" si="282"/>
        <v>2.5000000000000001E-3</v>
      </c>
      <c r="U587" s="123">
        <v>22875</v>
      </c>
      <c r="V587" s="124">
        <f t="shared" si="283"/>
        <v>0.76249999999999996</v>
      </c>
      <c r="W587" s="123">
        <v>22875</v>
      </c>
      <c r="X587" s="125">
        <f t="shared" si="284"/>
        <v>0.76249999999999996</v>
      </c>
      <c r="Y587" s="123"/>
      <c r="Z587" s="126"/>
    </row>
    <row r="588" spans="1:26" ht="13.9" hidden="1" customHeight="1" x14ac:dyDescent="0.25">
      <c r="D588" s="160" t="s">
        <v>314</v>
      </c>
      <c r="E588" s="57" t="s">
        <v>315</v>
      </c>
      <c r="F588" s="91"/>
      <c r="G588" s="82"/>
      <c r="H588" s="82">
        <v>26384.85</v>
      </c>
      <c r="I588" s="82"/>
      <c r="J588" s="82"/>
      <c r="K588" s="82"/>
      <c r="L588" s="82"/>
      <c r="M588" s="82"/>
      <c r="N588" s="82"/>
      <c r="O588" s="82"/>
      <c r="P588" s="53">
        <f t="shared" si="280"/>
        <v>0</v>
      </c>
      <c r="Q588" s="82"/>
      <c r="R588" s="54">
        <f t="shared" si="281"/>
        <v>0</v>
      </c>
      <c r="S588" s="82"/>
      <c r="T588" s="54">
        <f t="shared" si="282"/>
        <v>0</v>
      </c>
      <c r="U588" s="82"/>
      <c r="V588" s="54">
        <f t="shared" si="283"/>
        <v>0</v>
      </c>
      <c r="W588" s="82"/>
      <c r="X588" s="55">
        <f t="shared" si="284"/>
        <v>0</v>
      </c>
      <c r="Y588" s="82"/>
      <c r="Z588" s="61"/>
    </row>
    <row r="589" spans="1:26" ht="13.9" hidden="1" customHeight="1" x14ac:dyDescent="0.25">
      <c r="D589" s="160"/>
      <c r="E589" s="100" t="s">
        <v>316</v>
      </c>
      <c r="F589" s="147"/>
      <c r="G589" s="105"/>
      <c r="H589" s="105">
        <v>8904</v>
      </c>
      <c r="I589" s="105"/>
      <c r="J589" s="105"/>
      <c r="K589" s="105"/>
      <c r="L589" s="105"/>
      <c r="M589" s="105"/>
      <c r="N589" s="105"/>
      <c r="O589" s="105"/>
      <c r="P589" s="105">
        <f t="shared" si="280"/>
        <v>0</v>
      </c>
      <c r="Q589" s="105"/>
      <c r="R589" s="132">
        <f t="shared" si="281"/>
        <v>0</v>
      </c>
      <c r="S589" s="105"/>
      <c r="T589" s="132">
        <f t="shared" si="282"/>
        <v>0</v>
      </c>
      <c r="U589" s="105"/>
      <c r="V589" s="132">
        <f t="shared" si="283"/>
        <v>0</v>
      </c>
      <c r="W589" s="105"/>
      <c r="X589" s="133">
        <f t="shared" si="284"/>
        <v>0</v>
      </c>
      <c r="Y589" s="105"/>
      <c r="Z589" s="106"/>
    </row>
    <row r="591" spans="1:26" ht="13.9" customHeight="1" x14ac:dyDescent="0.25">
      <c r="D591" s="41" t="s">
        <v>317</v>
      </c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2"/>
      <c r="S591" s="41"/>
      <c r="T591" s="42"/>
      <c r="U591" s="41"/>
      <c r="V591" s="42"/>
      <c r="W591" s="41"/>
      <c r="X591" s="42"/>
      <c r="Y591" s="41"/>
      <c r="Z591" s="41"/>
    </row>
    <row r="592" spans="1:26" ht="13.9" customHeight="1" x14ac:dyDescent="0.25">
      <c r="D592" s="121"/>
      <c r="E592" s="21"/>
      <c r="F592" s="21"/>
      <c r="G592" s="21" t="s">
        <v>1</v>
      </c>
      <c r="H592" s="21" t="s">
        <v>2</v>
      </c>
      <c r="I592" s="21" t="s">
        <v>3</v>
      </c>
      <c r="J592" s="21" t="s">
        <v>4</v>
      </c>
      <c r="K592" s="21" t="s">
        <v>5</v>
      </c>
      <c r="L592" s="21" t="s">
        <v>6</v>
      </c>
      <c r="M592" s="21" t="s">
        <v>7</v>
      </c>
      <c r="N592" s="21" t="s">
        <v>8</v>
      </c>
      <c r="O592" s="21" t="s">
        <v>9</v>
      </c>
      <c r="P592" s="21" t="s">
        <v>10</v>
      </c>
      <c r="Q592" s="21" t="s">
        <v>11</v>
      </c>
      <c r="R592" s="22" t="s">
        <v>12</v>
      </c>
      <c r="S592" s="21" t="s">
        <v>13</v>
      </c>
      <c r="T592" s="22" t="s">
        <v>14</v>
      </c>
      <c r="U592" s="21" t="s">
        <v>15</v>
      </c>
      <c r="V592" s="22" t="s">
        <v>16</v>
      </c>
      <c r="W592" s="21" t="s">
        <v>17</v>
      </c>
      <c r="X592" s="22" t="s">
        <v>18</v>
      </c>
      <c r="Y592" s="21" t="s">
        <v>19</v>
      </c>
      <c r="Z592" s="21" t="s">
        <v>20</v>
      </c>
    </row>
    <row r="593" spans="1:28" ht="13.9" customHeight="1" x14ac:dyDescent="0.25">
      <c r="A593" s="15">
        <v>8</v>
      </c>
      <c r="B593" s="15">
        <v>7</v>
      </c>
      <c r="D593" s="13" t="s">
        <v>21</v>
      </c>
      <c r="E593" s="23">
        <v>111</v>
      </c>
      <c r="F593" s="23" t="s">
        <v>45</v>
      </c>
      <c r="G593" s="24">
        <v>0</v>
      </c>
      <c r="H593" s="24">
        <v>0</v>
      </c>
      <c r="I593" s="24">
        <v>0</v>
      </c>
      <c r="J593" s="24">
        <v>0</v>
      </c>
      <c r="K593" s="24">
        <v>408500</v>
      </c>
      <c r="L593" s="24">
        <v>0</v>
      </c>
      <c r="M593" s="24">
        <v>35331</v>
      </c>
      <c r="N593" s="24">
        <v>0</v>
      </c>
      <c r="O593" s="24">
        <v>0</v>
      </c>
      <c r="P593" s="24">
        <f>K593+SUM(L593:O593)</f>
        <v>443831</v>
      </c>
      <c r="Q593" s="24">
        <v>0</v>
      </c>
      <c r="R593" s="25">
        <f>IFERROR(Q593/$P593,0)</f>
        <v>0</v>
      </c>
      <c r="S593" s="24">
        <v>0</v>
      </c>
      <c r="T593" s="25">
        <f>IFERROR(S593/$P593,0)</f>
        <v>0</v>
      </c>
      <c r="U593" s="24">
        <v>0</v>
      </c>
      <c r="V593" s="25">
        <f>IFERROR(U593/$P593,0)</f>
        <v>0</v>
      </c>
      <c r="W593" s="24">
        <v>0</v>
      </c>
      <c r="X593" s="25">
        <f>IFERROR(W593/$P593,0)</f>
        <v>0</v>
      </c>
      <c r="Y593" s="24">
        <v>0</v>
      </c>
      <c r="Z593" s="24">
        <v>0</v>
      </c>
    </row>
    <row r="594" spans="1:28" ht="13.9" customHeight="1" x14ac:dyDescent="0.25">
      <c r="A594" s="15">
        <v>8</v>
      </c>
      <c r="B594" s="15">
        <v>7</v>
      </c>
      <c r="D594" s="13"/>
      <c r="E594" s="23">
        <v>41</v>
      </c>
      <c r="F594" s="23" t="s">
        <v>23</v>
      </c>
      <c r="G594" s="24">
        <f>SUM(G598:G599)</f>
        <v>5341.76</v>
      </c>
      <c r="H594" s="24">
        <f>SUM(H598:H599)</f>
        <v>4000</v>
      </c>
      <c r="I594" s="24">
        <f>SUM(I598:I599)</f>
        <v>10000</v>
      </c>
      <c r="J594" s="24">
        <f>SUM(J598:J599)</f>
        <v>10087</v>
      </c>
      <c r="K594" s="24">
        <f t="shared" ref="K594:Q594" si="285">SUM(K598:K599)-K593</f>
        <v>21500</v>
      </c>
      <c r="L594" s="24">
        <f t="shared" si="285"/>
        <v>0</v>
      </c>
      <c r="M594" s="24">
        <f t="shared" si="285"/>
        <v>0</v>
      </c>
      <c r="N594" s="24">
        <f t="shared" si="285"/>
        <v>0</v>
      </c>
      <c r="O594" s="24">
        <f t="shared" si="285"/>
        <v>0</v>
      </c>
      <c r="P594" s="24">
        <f t="shared" si="285"/>
        <v>21500</v>
      </c>
      <c r="Q594" s="24">
        <f t="shared" si="285"/>
        <v>1500</v>
      </c>
      <c r="R594" s="25">
        <f>IFERROR(Q594/$P594,0)</f>
        <v>6.9767441860465115E-2</v>
      </c>
      <c r="S594" s="24">
        <f>SUM(S598:S599)-S593</f>
        <v>1500</v>
      </c>
      <c r="T594" s="25">
        <f>IFERROR(S594/$P594,0)</f>
        <v>6.9767441860465115E-2</v>
      </c>
      <c r="U594" s="24">
        <f>SUM(U598:U599)-U593</f>
        <v>1500</v>
      </c>
      <c r="V594" s="25">
        <f>IFERROR(U594/$P594,0)</f>
        <v>6.9767441860465115E-2</v>
      </c>
      <c r="W594" s="24">
        <f>SUM(W598:W599)-W593</f>
        <v>1500</v>
      </c>
      <c r="X594" s="25">
        <f>IFERROR(W594/$P594,0)</f>
        <v>6.9767441860465115E-2</v>
      </c>
      <c r="Y594" s="24">
        <f>SUM(Y598:Y599)-Y593</f>
        <v>0</v>
      </c>
      <c r="Z594" s="24">
        <f>SUM(Z598:Z599)-Z593</f>
        <v>0</v>
      </c>
    </row>
    <row r="595" spans="1:28" ht="13.9" customHeight="1" x14ac:dyDescent="0.25">
      <c r="A595" s="15">
        <v>8</v>
      </c>
      <c r="B595" s="15">
        <v>7</v>
      </c>
      <c r="D595" s="30"/>
      <c r="E595" s="31"/>
      <c r="F595" s="26" t="s">
        <v>120</v>
      </c>
      <c r="G595" s="27">
        <f t="shared" ref="G595:Q595" si="286">SUM(G593:G594)</f>
        <v>5341.76</v>
      </c>
      <c r="H595" s="27">
        <f t="shared" si="286"/>
        <v>4000</v>
      </c>
      <c r="I595" s="27">
        <f t="shared" si="286"/>
        <v>10000</v>
      </c>
      <c r="J595" s="27">
        <f t="shared" si="286"/>
        <v>10087</v>
      </c>
      <c r="K595" s="27">
        <f t="shared" si="286"/>
        <v>430000</v>
      </c>
      <c r="L595" s="27">
        <f t="shared" si="286"/>
        <v>0</v>
      </c>
      <c r="M595" s="27">
        <f t="shared" si="286"/>
        <v>35331</v>
      </c>
      <c r="N595" s="27">
        <f t="shared" si="286"/>
        <v>0</v>
      </c>
      <c r="O595" s="27">
        <f t="shared" si="286"/>
        <v>0</v>
      </c>
      <c r="P595" s="27">
        <f t="shared" si="286"/>
        <v>465331</v>
      </c>
      <c r="Q595" s="27">
        <f t="shared" si="286"/>
        <v>1500</v>
      </c>
      <c r="R595" s="28">
        <f>IFERROR(Q595/$P595,0)</f>
        <v>3.223511865747178E-3</v>
      </c>
      <c r="S595" s="27">
        <f>SUM(S593:S594)</f>
        <v>1500</v>
      </c>
      <c r="T595" s="28">
        <f>IFERROR(S595/$P595,0)</f>
        <v>3.223511865747178E-3</v>
      </c>
      <c r="U595" s="27">
        <f>SUM(U593:U594)</f>
        <v>1500</v>
      </c>
      <c r="V595" s="28">
        <f>IFERROR(U595/$P595,0)</f>
        <v>3.223511865747178E-3</v>
      </c>
      <c r="W595" s="27">
        <f>SUM(W593:W594)</f>
        <v>1500</v>
      </c>
      <c r="X595" s="28">
        <f>IFERROR(W595/$P595,0)</f>
        <v>3.223511865747178E-3</v>
      </c>
      <c r="Y595" s="27">
        <f>SUM(Y593:Y594)</f>
        <v>0</v>
      </c>
      <c r="Z595" s="27">
        <f>SUM(Z593:Z594)</f>
        <v>0</v>
      </c>
    </row>
    <row r="597" spans="1:28" ht="13.9" customHeight="1" x14ac:dyDescent="0.25">
      <c r="D597" s="15" t="s">
        <v>55</v>
      </c>
    </row>
    <row r="598" spans="1:28" ht="13.9" hidden="1" customHeight="1" x14ac:dyDescent="0.25">
      <c r="D598" s="161" t="s">
        <v>318</v>
      </c>
      <c r="E598" s="148" t="s">
        <v>319</v>
      </c>
      <c r="F598" s="149"/>
      <c r="G598" s="150">
        <v>5341.76</v>
      </c>
      <c r="H598" s="151">
        <v>4000</v>
      </c>
      <c r="I598" s="151"/>
      <c r="J598" s="151"/>
      <c r="K598" s="151"/>
      <c r="L598" s="151"/>
      <c r="M598" s="151"/>
      <c r="N598" s="151"/>
      <c r="O598" s="151"/>
      <c r="P598" s="151">
        <f>K598+SUM(L598:O598)</f>
        <v>0</v>
      </c>
      <c r="Q598" s="151"/>
      <c r="R598" s="152">
        <f>IFERROR(Q598/$P598,0)</f>
        <v>0</v>
      </c>
      <c r="S598" s="151"/>
      <c r="T598" s="152">
        <f>IFERROR(S598/$P598,0)</f>
        <v>0</v>
      </c>
      <c r="U598" s="151"/>
      <c r="V598" s="152">
        <f>IFERROR(U598/$P598,0)</f>
        <v>0</v>
      </c>
      <c r="W598" s="151"/>
      <c r="X598" s="153">
        <f>IFERROR(W598/$P598,0)</f>
        <v>0</v>
      </c>
      <c r="Y598" s="150"/>
      <c r="Z598" s="154"/>
      <c r="AB598" s="155"/>
    </row>
    <row r="599" spans="1:28" ht="13.9" customHeight="1" x14ac:dyDescent="0.25">
      <c r="D599" s="161" t="s">
        <v>318</v>
      </c>
      <c r="E599" s="115" t="s">
        <v>320</v>
      </c>
      <c r="F599" s="122"/>
      <c r="G599" s="123"/>
      <c r="H599" s="127"/>
      <c r="I599" s="127">
        <v>10000</v>
      </c>
      <c r="J599" s="127">
        <v>10087</v>
      </c>
      <c r="K599" s="127">
        <v>430000</v>
      </c>
      <c r="L599" s="127"/>
      <c r="M599" s="127">
        <v>35331</v>
      </c>
      <c r="N599" s="127"/>
      <c r="O599" s="127"/>
      <c r="P599" s="127">
        <f>K599+SUM(L599:O599)</f>
        <v>465331</v>
      </c>
      <c r="Q599" s="127">
        <v>1500</v>
      </c>
      <c r="R599" s="130">
        <f>IFERROR(Q599/$P599,0)</f>
        <v>3.223511865747178E-3</v>
      </c>
      <c r="S599" s="127">
        <v>1500</v>
      </c>
      <c r="T599" s="130">
        <f>IFERROR(S599/$P599,0)</f>
        <v>3.223511865747178E-3</v>
      </c>
      <c r="U599" s="127">
        <v>1500</v>
      </c>
      <c r="V599" s="130">
        <f>IFERROR(U599/$P599,0)</f>
        <v>3.223511865747178E-3</v>
      </c>
      <c r="W599" s="127">
        <v>1500</v>
      </c>
      <c r="X599" s="131">
        <f>IFERROR(W599/$P599,0)</f>
        <v>3.223511865747178E-3</v>
      </c>
      <c r="Y599" s="123"/>
      <c r="Z599" s="126"/>
      <c r="AB599" s="155"/>
    </row>
    <row r="601" spans="1:28" ht="13.9" customHeight="1" x14ac:dyDescent="0.25">
      <c r="D601" s="41" t="s">
        <v>321</v>
      </c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2"/>
      <c r="S601" s="41"/>
      <c r="T601" s="42"/>
      <c r="U601" s="41"/>
      <c r="V601" s="42"/>
      <c r="W601" s="41"/>
      <c r="X601" s="42"/>
      <c r="Y601" s="41"/>
      <c r="Z601" s="41"/>
    </row>
    <row r="602" spans="1:28" ht="13.9" customHeight="1" x14ac:dyDescent="0.25">
      <c r="D602" s="121"/>
      <c r="E602" s="21"/>
      <c r="F602" s="21"/>
      <c r="G602" s="21" t="s">
        <v>1</v>
      </c>
      <c r="H602" s="21" t="s">
        <v>2</v>
      </c>
      <c r="I602" s="21" t="s">
        <v>3</v>
      </c>
      <c r="J602" s="21" t="s">
        <v>4</v>
      </c>
      <c r="K602" s="21" t="s">
        <v>5</v>
      </c>
      <c r="L602" s="21" t="s">
        <v>6</v>
      </c>
      <c r="M602" s="21" t="s">
        <v>7</v>
      </c>
      <c r="N602" s="21" t="s">
        <v>8</v>
      </c>
      <c r="O602" s="21" t="s">
        <v>9</v>
      </c>
      <c r="P602" s="21" t="s">
        <v>10</v>
      </c>
      <c r="Q602" s="21" t="s">
        <v>11</v>
      </c>
      <c r="R602" s="22" t="s">
        <v>12</v>
      </c>
      <c r="S602" s="21" t="s">
        <v>13</v>
      </c>
      <c r="T602" s="22" t="s">
        <v>14</v>
      </c>
      <c r="U602" s="21" t="s">
        <v>15</v>
      </c>
      <c r="V602" s="22" t="s">
        <v>16</v>
      </c>
      <c r="W602" s="21" t="s">
        <v>17</v>
      </c>
      <c r="X602" s="22" t="s">
        <v>18</v>
      </c>
      <c r="Y602" s="21" t="s">
        <v>19</v>
      </c>
      <c r="Z602" s="21" t="s">
        <v>20</v>
      </c>
    </row>
    <row r="603" spans="1:28" ht="13.9" customHeight="1" x14ac:dyDescent="0.25">
      <c r="A603" s="15">
        <v>8</v>
      </c>
      <c r="B603" s="15">
        <v>8</v>
      </c>
      <c r="D603" s="134" t="s">
        <v>21</v>
      </c>
      <c r="E603" s="23">
        <v>41</v>
      </c>
      <c r="F603" s="23" t="s">
        <v>23</v>
      </c>
      <c r="G603" s="24">
        <f t="shared" ref="G603:Q603" si="287">SUM(G607:G608)</f>
        <v>3024</v>
      </c>
      <c r="H603" s="24">
        <f t="shared" si="287"/>
        <v>1884</v>
      </c>
      <c r="I603" s="24">
        <f t="shared" si="287"/>
        <v>12000</v>
      </c>
      <c r="J603" s="24">
        <f t="shared" si="287"/>
        <v>12500</v>
      </c>
      <c r="K603" s="24">
        <f t="shared" si="287"/>
        <v>10000</v>
      </c>
      <c r="L603" s="24">
        <f t="shared" si="287"/>
        <v>0</v>
      </c>
      <c r="M603" s="24">
        <f t="shared" si="287"/>
        <v>0</v>
      </c>
      <c r="N603" s="24">
        <f t="shared" si="287"/>
        <v>0</v>
      </c>
      <c r="O603" s="24">
        <f t="shared" si="287"/>
        <v>0</v>
      </c>
      <c r="P603" s="24">
        <f t="shared" si="287"/>
        <v>10000</v>
      </c>
      <c r="Q603" s="24">
        <f t="shared" si="287"/>
        <v>1848</v>
      </c>
      <c r="R603" s="25">
        <f>IFERROR(Q603/$P603,0)</f>
        <v>0.18479999999999999</v>
      </c>
      <c r="S603" s="24">
        <f>SUM(S607:S608)</f>
        <v>1848</v>
      </c>
      <c r="T603" s="25">
        <f>IFERROR(S603/$P603,0)</f>
        <v>0.18479999999999999</v>
      </c>
      <c r="U603" s="24">
        <f>SUM(U607:U608)</f>
        <v>1848</v>
      </c>
      <c r="V603" s="25">
        <f>IFERROR(U603/$P603,0)</f>
        <v>0.18479999999999999</v>
      </c>
      <c r="W603" s="24">
        <f>SUM(W607:W608)</f>
        <v>3728</v>
      </c>
      <c r="X603" s="25">
        <f>IFERROR(W603/$P603,0)</f>
        <v>0.37280000000000002</v>
      </c>
      <c r="Y603" s="24">
        <f>SUM(Y607:Y608)</f>
        <v>0</v>
      </c>
      <c r="Z603" s="24">
        <f>SUM(Z607:Z608)</f>
        <v>0</v>
      </c>
    </row>
    <row r="604" spans="1:28" ht="13.9" customHeight="1" x14ac:dyDescent="0.25">
      <c r="A604" s="15">
        <v>8</v>
      </c>
      <c r="B604" s="15">
        <v>8</v>
      </c>
      <c r="D604" s="30"/>
      <c r="E604" s="31"/>
      <c r="F604" s="26" t="s">
        <v>120</v>
      </c>
      <c r="G604" s="27">
        <f t="shared" ref="G604:Q604" si="288">SUM(G603)</f>
        <v>3024</v>
      </c>
      <c r="H604" s="27">
        <f t="shared" si="288"/>
        <v>1884</v>
      </c>
      <c r="I604" s="27">
        <f t="shared" si="288"/>
        <v>12000</v>
      </c>
      <c r="J604" s="27">
        <f t="shared" si="288"/>
        <v>12500</v>
      </c>
      <c r="K604" s="27">
        <f t="shared" si="288"/>
        <v>10000</v>
      </c>
      <c r="L604" s="27">
        <f t="shared" si="288"/>
        <v>0</v>
      </c>
      <c r="M604" s="27">
        <f t="shared" si="288"/>
        <v>0</v>
      </c>
      <c r="N604" s="27">
        <f t="shared" si="288"/>
        <v>0</v>
      </c>
      <c r="O604" s="27">
        <f t="shared" si="288"/>
        <v>0</v>
      </c>
      <c r="P604" s="27">
        <f t="shared" si="288"/>
        <v>10000</v>
      </c>
      <c r="Q604" s="27">
        <f t="shared" si="288"/>
        <v>1848</v>
      </c>
      <c r="R604" s="28">
        <f>IFERROR(Q604/$P604,0)</f>
        <v>0.18479999999999999</v>
      </c>
      <c r="S604" s="27">
        <f>SUM(S603)</f>
        <v>1848</v>
      </c>
      <c r="T604" s="28">
        <f>IFERROR(S604/$P604,0)</f>
        <v>0.18479999999999999</v>
      </c>
      <c r="U604" s="27">
        <f>SUM(U603)</f>
        <v>1848</v>
      </c>
      <c r="V604" s="28">
        <f>IFERROR(U604/$P604,0)</f>
        <v>0.18479999999999999</v>
      </c>
      <c r="W604" s="27">
        <f>SUM(W603)</f>
        <v>3728</v>
      </c>
      <c r="X604" s="28">
        <f>IFERROR(W604/$P604,0)</f>
        <v>0.37280000000000002</v>
      </c>
      <c r="Y604" s="27">
        <f>SUM(Y603)</f>
        <v>0</v>
      </c>
      <c r="Z604" s="27">
        <f>SUM(Z603)</f>
        <v>0</v>
      </c>
    </row>
    <row r="606" spans="1:28" ht="13.9" customHeight="1" x14ac:dyDescent="0.25">
      <c r="D606" s="15" t="s">
        <v>55</v>
      </c>
    </row>
    <row r="607" spans="1:28" ht="13.9" customHeight="1" x14ac:dyDescent="0.25">
      <c r="D607" s="162" t="s">
        <v>322</v>
      </c>
      <c r="E607" s="52" t="s">
        <v>323</v>
      </c>
      <c r="F607" s="30"/>
      <c r="G607" s="53">
        <v>3024</v>
      </c>
      <c r="H607" s="53">
        <v>1884</v>
      </c>
      <c r="I607" s="117">
        <v>12000</v>
      </c>
      <c r="J607" s="53">
        <v>12500</v>
      </c>
      <c r="K607" s="117"/>
      <c r="L607" s="53"/>
      <c r="M607" s="53"/>
      <c r="N607" s="53"/>
      <c r="O607" s="53"/>
      <c r="P607" s="53">
        <f>K607+SUM(L607:O607)</f>
        <v>0</v>
      </c>
      <c r="Q607" s="53">
        <v>1848</v>
      </c>
      <c r="R607" s="54">
        <f>IFERROR(Q607/$P607,0)</f>
        <v>0</v>
      </c>
      <c r="S607" s="53">
        <v>1848</v>
      </c>
      <c r="T607" s="54">
        <f>IFERROR(S607/$P607,0)</f>
        <v>0</v>
      </c>
      <c r="U607" s="53">
        <v>1848</v>
      </c>
      <c r="V607" s="54">
        <f>IFERROR(U607/$P607,0)</f>
        <v>0</v>
      </c>
      <c r="W607" s="53">
        <v>3728</v>
      </c>
      <c r="X607" s="55">
        <f>IFERROR(W607/$P607,0)</f>
        <v>0</v>
      </c>
      <c r="Y607" s="53"/>
      <c r="Z607" s="56"/>
    </row>
    <row r="608" spans="1:28" ht="13.9" customHeight="1" x14ac:dyDescent="0.25">
      <c r="D608" s="162"/>
      <c r="E608" s="65" t="s">
        <v>324</v>
      </c>
      <c r="F608" s="94"/>
      <c r="G608" s="67"/>
      <c r="H608" s="67"/>
      <c r="I608" s="95"/>
      <c r="J608" s="67"/>
      <c r="K608" s="95">
        <v>10000</v>
      </c>
      <c r="L608" s="67"/>
      <c r="M608" s="67"/>
      <c r="N608" s="67"/>
      <c r="O608" s="67"/>
      <c r="P608" s="67">
        <f>K608+SUM(L608:O608)</f>
        <v>10000</v>
      </c>
      <c r="Q608" s="67">
        <v>0</v>
      </c>
      <c r="R608" s="68">
        <f>IFERROR(Q608/$P608,0)</f>
        <v>0</v>
      </c>
      <c r="S608" s="67">
        <v>0</v>
      </c>
      <c r="T608" s="68">
        <f>IFERROR(S608/$P608,0)</f>
        <v>0</v>
      </c>
      <c r="U608" s="67">
        <v>0</v>
      </c>
      <c r="V608" s="68">
        <f>IFERROR(U608/$P608,0)</f>
        <v>0</v>
      </c>
      <c r="W608" s="67">
        <v>0</v>
      </c>
      <c r="X608" s="69">
        <f>IFERROR(W608/$P608,0)</f>
        <v>0</v>
      </c>
      <c r="Y608" s="67"/>
      <c r="Z608" s="70"/>
    </row>
    <row r="610" spans="1:26" ht="13.9" customHeight="1" x14ac:dyDescent="0.25">
      <c r="D610" s="32" t="s">
        <v>325</v>
      </c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3"/>
      <c r="S610" s="32"/>
      <c r="T610" s="33"/>
      <c r="U610" s="32"/>
      <c r="V610" s="33"/>
      <c r="W610" s="32"/>
      <c r="X610" s="33"/>
      <c r="Y610" s="32"/>
      <c r="Z610" s="32"/>
    </row>
    <row r="611" spans="1:26" ht="13.9" customHeight="1" x14ac:dyDescent="0.25">
      <c r="D611" s="20"/>
      <c r="E611" s="20"/>
      <c r="F611" s="20"/>
      <c r="G611" s="21" t="s">
        <v>1</v>
      </c>
      <c r="H611" s="21" t="s">
        <v>2</v>
      </c>
      <c r="I611" s="21" t="s">
        <v>3</v>
      </c>
      <c r="J611" s="21" t="s">
        <v>4</v>
      </c>
      <c r="K611" s="21" t="s">
        <v>5</v>
      </c>
      <c r="L611" s="21" t="s">
        <v>6</v>
      </c>
      <c r="M611" s="21" t="s">
        <v>7</v>
      </c>
      <c r="N611" s="21" t="s">
        <v>8</v>
      </c>
      <c r="O611" s="21" t="s">
        <v>9</v>
      </c>
      <c r="P611" s="21" t="s">
        <v>10</v>
      </c>
      <c r="Q611" s="21" t="s">
        <v>11</v>
      </c>
      <c r="R611" s="22" t="s">
        <v>12</v>
      </c>
      <c r="S611" s="21" t="s">
        <v>13</v>
      </c>
      <c r="T611" s="22" t="s">
        <v>14</v>
      </c>
      <c r="U611" s="21" t="s">
        <v>15</v>
      </c>
      <c r="V611" s="22" t="s">
        <v>16</v>
      </c>
      <c r="W611" s="21" t="s">
        <v>17</v>
      </c>
      <c r="X611" s="22" t="s">
        <v>18</v>
      </c>
      <c r="Y611" s="21" t="s">
        <v>19</v>
      </c>
      <c r="Z611" s="21" t="s">
        <v>20</v>
      </c>
    </row>
    <row r="612" spans="1:26" ht="13.9" customHeight="1" x14ac:dyDescent="0.25">
      <c r="A612" s="15">
        <v>9</v>
      </c>
      <c r="D612" s="34" t="s">
        <v>21</v>
      </c>
      <c r="E612" s="35">
        <v>71</v>
      </c>
      <c r="F612" s="35" t="s">
        <v>24</v>
      </c>
      <c r="G612" s="36">
        <f t="shared" ref="G612:Q612" si="289">G618</f>
        <v>0</v>
      </c>
      <c r="H612" s="36">
        <f t="shared" si="289"/>
        <v>300</v>
      </c>
      <c r="I612" s="36">
        <f t="shared" si="289"/>
        <v>3000</v>
      </c>
      <c r="J612" s="36">
        <f t="shared" si="289"/>
        <v>29770</v>
      </c>
      <c r="K612" s="36">
        <f t="shared" si="289"/>
        <v>0</v>
      </c>
      <c r="L612" s="36">
        <f t="shared" si="289"/>
        <v>26300</v>
      </c>
      <c r="M612" s="36">
        <f t="shared" si="289"/>
        <v>23000</v>
      </c>
      <c r="N612" s="36">
        <f t="shared" si="289"/>
        <v>1000</v>
      </c>
      <c r="O612" s="36">
        <f t="shared" si="289"/>
        <v>0</v>
      </c>
      <c r="P612" s="36">
        <f t="shared" si="289"/>
        <v>50300</v>
      </c>
      <c r="Q612" s="36">
        <f t="shared" si="289"/>
        <v>26100</v>
      </c>
      <c r="R612" s="37">
        <f>IFERROR(Q612/$P612,0)</f>
        <v>0.5188866799204771</v>
      </c>
      <c r="S612" s="36">
        <f>S618</f>
        <v>27100</v>
      </c>
      <c r="T612" s="37">
        <f>IFERROR(S612/$P612,0)</f>
        <v>0.53876739562624254</v>
      </c>
      <c r="U612" s="36">
        <f>U618</f>
        <v>45700</v>
      </c>
      <c r="V612" s="37">
        <f>IFERROR(U612/$P612,0)</f>
        <v>0.90854870775347918</v>
      </c>
      <c r="W612" s="36">
        <f>W618</f>
        <v>45900</v>
      </c>
      <c r="X612" s="37">
        <f>IFERROR(W612/$P612,0)</f>
        <v>0.9125248508946322</v>
      </c>
      <c r="Y612" s="36">
        <f>Y618</f>
        <v>0</v>
      </c>
      <c r="Z612" s="36">
        <f>Z618</f>
        <v>0</v>
      </c>
    </row>
    <row r="613" spans="1:26" ht="13.9" customHeight="1" x14ac:dyDescent="0.25">
      <c r="A613" s="15">
        <v>9</v>
      </c>
      <c r="D613" s="30"/>
      <c r="E613" s="31"/>
      <c r="F613" s="38" t="s">
        <v>120</v>
      </c>
      <c r="G613" s="39">
        <f t="shared" ref="G613:Q613" si="290">SUM(G612:G612)</f>
        <v>0</v>
      </c>
      <c r="H613" s="39">
        <f t="shared" si="290"/>
        <v>300</v>
      </c>
      <c r="I613" s="39">
        <f t="shared" si="290"/>
        <v>3000</v>
      </c>
      <c r="J613" s="39">
        <f t="shared" si="290"/>
        <v>29770</v>
      </c>
      <c r="K613" s="39">
        <f t="shared" si="290"/>
        <v>0</v>
      </c>
      <c r="L613" s="39">
        <f t="shared" si="290"/>
        <v>26300</v>
      </c>
      <c r="M613" s="39">
        <f t="shared" si="290"/>
        <v>23000</v>
      </c>
      <c r="N613" s="39">
        <f t="shared" si="290"/>
        <v>1000</v>
      </c>
      <c r="O613" s="39">
        <f t="shared" si="290"/>
        <v>0</v>
      </c>
      <c r="P613" s="39">
        <f t="shared" si="290"/>
        <v>50300</v>
      </c>
      <c r="Q613" s="39">
        <f t="shared" si="290"/>
        <v>26100</v>
      </c>
      <c r="R613" s="40">
        <f>IFERROR(Q613/$P613,0)</f>
        <v>0.5188866799204771</v>
      </c>
      <c r="S613" s="39">
        <f>SUM(S612:S612)</f>
        <v>27100</v>
      </c>
      <c r="T613" s="40">
        <f>IFERROR(S613/$P613,0)</f>
        <v>0.53876739562624254</v>
      </c>
      <c r="U613" s="39">
        <f>SUM(U612:U612)</f>
        <v>45700</v>
      </c>
      <c r="V613" s="40">
        <f>IFERROR(U613/$P613,0)</f>
        <v>0.90854870775347918</v>
      </c>
      <c r="W613" s="39">
        <f>SUM(W612:W612)</f>
        <v>45900</v>
      </c>
      <c r="X613" s="40">
        <f>IFERROR(W613/$P613,0)</f>
        <v>0.9125248508946322</v>
      </c>
      <c r="Y613" s="39">
        <f>SUM(Y612:Y612)</f>
        <v>0</v>
      </c>
      <c r="Z613" s="39">
        <f>SUM(Z612:Z612)</f>
        <v>0</v>
      </c>
    </row>
    <row r="615" spans="1:26" ht="13.9" customHeight="1" x14ac:dyDescent="0.25">
      <c r="D615" s="73" t="s">
        <v>326</v>
      </c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4"/>
      <c r="S615" s="73"/>
      <c r="T615" s="74"/>
      <c r="U615" s="73"/>
      <c r="V615" s="74"/>
      <c r="W615" s="73"/>
      <c r="X615" s="74"/>
      <c r="Y615" s="73"/>
      <c r="Z615" s="73"/>
    </row>
    <row r="616" spans="1:26" ht="13.9" customHeight="1" x14ac:dyDescent="0.25">
      <c r="D616" s="21" t="s">
        <v>32</v>
      </c>
      <c r="E616" s="21" t="s">
        <v>33</v>
      </c>
      <c r="F616" s="21" t="s">
        <v>34</v>
      </c>
      <c r="G616" s="21" t="s">
        <v>1</v>
      </c>
      <c r="H616" s="21" t="s">
        <v>2</v>
      </c>
      <c r="I616" s="21" t="s">
        <v>3</v>
      </c>
      <c r="J616" s="21" t="s">
        <v>4</v>
      </c>
      <c r="K616" s="21" t="s">
        <v>5</v>
      </c>
      <c r="L616" s="21" t="s">
        <v>6</v>
      </c>
      <c r="M616" s="21" t="s">
        <v>7</v>
      </c>
      <c r="N616" s="21" t="s">
        <v>8</v>
      </c>
      <c r="O616" s="21" t="s">
        <v>9</v>
      </c>
      <c r="P616" s="21" t="s">
        <v>10</v>
      </c>
      <c r="Q616" s="21" t="s">
        <v>11</v>
      </c>
      <c r="R616" s="22" t="s">
        <v>12</v>
      </c>
      <c r="S616" s="21" t="s">
        <v>13</v>
      </c>
      <c r="T616" s="22" t="s">
        <v>14</v>
      </c>
      <c r="U616" s="21" t="s">
        <v>15</v>
      </c>
      <c r="V616" s="22" t="s">
        <v>16</v>
      </c>
      <c r="W616" s="21" t="s">
        <v>17</v>
      </c>
      <c r="X616" s="22" t="s">
        <v>18</v>
      </c>
      <c r="Y616" s="21" t="s">
        <v>19</v>
      </c>
      <c r="Z616" s="21" t="s">
        <v>20</v>
      </c>
    </row>
    <row r="617" spans="1:26" ht="13.9" customHeight="1" x14ac:dyDescent="0.25">
      <c r="A617" s="15">
        <v>9</v>
      </c>
      <c r="B617" s="15">
        <v>1</v>
      </c>
      <c r="D617" s="84" t="s">
        <v>124</v>
      </c>
      <c r="E617" s="23">
        <v>810</v>
      </c>
      <c r="F617" s="23" t="s">
        <v>327</v>
      </c>
      <c r="G617" s="24">
        <v>0</v>
      </c>
      <c r="H617" s="24">
        <v>300</v>
      </c>
      <c r="I617" s="24">
        <v>3000</v>
      </c>
      <c r="J617" s="24">
        <v>29770</v>
      </c>
      <c r="K617" s="24">
        <v>0</v>
      </c>
      <c r="L617" s="24">
        <v>26300</v>
      </c>
      <c r="M617" s="24">
        <f>22300+700</f>
        <v>23000</v>
      </c>
      <c r="N617" s="24">
        <v>1000</v>
      </c>
      <c r="O617" s="24"/>
      <c r="P617" s="24">
        <f>K617+SUM(L617:O617)</f>
        <v>50300</v>
      </c>
      <c r="Q617" s="24">
        <v>26100</v>
      </c>
      <c r="R617" s="25">
        <f>IFERROR(Q617/$P617,0)</f>
        <v>0.5188866799204771</v>
      </c>
      <c r="S617" s="24">
        <v>27100</v>
      </c>
      <c r="T617" s="25">
        <f>IFERROR(S617/$P617,0)</f>
        <v>0.53876739562624254</v>
      </c>
      <c r="U617" s="24">
        <v>45700</v>
      </c>
      <c r="V617" s="25">
        <f>IFERROR(U617/$P617,0)</f>
        <v>0.90854870775347918</v>
      </c>
      <c r="W617" s="24">
        <v>45900</v>
      </c>
      <c r="X617" s="25">
        <f>IFERROR(W617/$P617,0)</f>
        <v>0.9125248508946322</v>
      </c>
      <c r="Y617" s="24">
        <v>0</v>
      </c>
      <c r="Z617" s="24">
        <v>0</v>
      </c>
    </row>
    <row r="618" spans="1:26" ht="13.9" customHeight="1" x14ac:dyDescent="0.25">
      <c r="A618" s="15">
        <v>9</v>
      </c>
      <c r="B618" s="15">
        <v>1</v>
      </c>
      <c r="D618" s="79" t="s">
        <v>21</v>
      </c>
      <c r="E618" s="48">
        <v>71</v>
      </c>
      <c r="F618" s="48" t="s">
        <v>24</v>
      </c>
      <c r="G618" s="49">
        <f t="shared" ref="G618:Q619" si="291">SUM(G617:G617)</f>
        <v>0</v>
      </c>
      <c r="H618" s="49">
        <f t="shared" si="291"/>
        <v>300</v>
      </c>
      <c r="I618" s="49">
        <f t="shared" si="291"/>
        <v>3000</v>
      </c>
      <c r="J618" s="49">
        <f t="shared" si="291"/>
        <v>29770</v>
      </c>
      <c r="K618" s="49">
        <f t="shared" si="291"/>
        <v>0</v>
      </c>
      <c r="L618" s="49">
        <f t="shared" si="291"/>
        <v>26300</v>
      </c>
      <c r="M618" s="49">
        <f t="shared" si="291"/>
        <v>23000</v>
      </c>
      <c r="N618" s="49">
        <f t="shared" si="291"/>
        <v>1000</v>
      </c>
      <c r="O618" s="49">
        <f t="shared" si="291"/>
        <v>0</v>
      </c>
      <c r="P618" s="49">
        <f t="shared" si="291"/>
        <v>50300</v>
      </c>
      <c r="Q618" s="49">
        <f t="shared" si="291"/>
        <v>26100</v>
      </c>
      <c r="R618" s="50">
        <f>IFERROR(Q618/$P618,0)</f>
        <v>0.5188866799204771</v>
      </c>
      <c r="S618" s="49">
        <f>SUM(S617:S617)</f>
        <v>27100</v>
      </c>
      <c r="T618" s="50">
        <f>IFERROR(S618/$P618,0)</f>
        <v>0.53876739562624254</v>
      </c>
      <c r="U618" s="49">
        <f>SUM(U617:U617)</f>
        <v>45700</v>
      </c>
      <c r="V618" s="50">
        <f>IFERROR(U618/$P618,0)</f>
        <v>0.90854870775347918</v>
      </c>
      <c r="W618" s="49">
        <f>SUM(W617:W617)</f>
        <v>45900</v>
      </c>
      <c r="X618" s="50">
        <f>IFERROR(W618/$P618,0)</f>
        <v>0.9125248508946322</v>
      </c>
      <c r="Y618" s="49">
        <f>SUM(Y617:Y617)</f>
        <v>0</v>
      </c>
      <c r="Z618" s="49">
        <f>SUM(Z617:Z617)</f>
        <v>0</v>
      </c>
    </row>
    <row r="619" spans="1:26" ht="13.9" customHeight="1" x14ac:dyDescent="0.25">
      <c r="A619" s="15">
        <v>9</v>
      </c>
      <c r="B619" s="15">
        <v>1</v>
      </c>
      <c r="D619" s="86"/>
      <c r="E619" s="87"/>
      <c r="F619" s="26" t="s">
        <v>120</v>
      </c>
      <c r="G619" s="27">
        <f t="shared" si="291"/>
        <v>0</v>
      </c>
      <c r="H619" s="27">
        <f t="shared" si="291"/>
        <v>300</v>
      </c>
      <c r="I619" s="27">
        <f t="shared" si="291"/>
        <v>3000</v>
      </c>
      <c r="J619" s="27">
        <f t="shared" si="291"/>
        <v>29770</v>
      </c>
      <c r="K619" s="27">
        <f t="shared" si="291"/>
        <v>0</v>
      </c>
      <c r="L619" s="27">
        <f t="shared" si="291"/>
        <v>26300</v>
      </c>
      <c r="M619" s="27">
        <f t="shared" si="291"/>
        <v>23000</v>
      </c>
      <c r="N619" s="27">
        <f t="shared" si="291"/>
        <v>1000</v>
      </c>
      <c r="O619" s="27">
        <f t="shared" si="291"/>
        <v>0</v>
      </c>
      <c r="P619" s="27">
        <f t="shared" si="291"/>
        <v>50300</v>
      </c>
      <c r="Q619" s="27">
        <f t="shared" si="291"/>
        <v>26100</v>
      </c>
      <c r="R619" s="28">
        <f>IFERROR(Q619/$P619,0)</f>
        <v>0.5188866799204771</v>
      </c>
      <c r="S619" s="27">
        <f>SUM(S618:S618)</f>
        <v>27100</v>
      </c>
      <c r="T619" s="28">
        <f>IFERROR(S619/$P619,0)</f>
        <v>0.53876739562624254</v>
      </c>
      <c r="U619" s="27">
        <f>SUM(U618:U618)</f>
        <v>45700</v>
      </c>
      <c r="V619" s="28">
        <f>IFERROR(U619/$P619,0)</f>
        <v>0.90854870775347918</v>
      </c>
      <c r="W619" s="27">
        <f>SUM(W618:W618)</f>
        <v>45900</v>
      </c>
      <c r="X619" s="28">
        <f>IFERROR(W619/$P619,0)</f>
        <v>0.9125248508946322</v>
      </c>
      <c r="Y619" s="27">
        <f>SUM(Y618:Y618)</f>
        <v>0</v>
      </c>
      <c r="Z619" s="27">
        <f>SUM(Z618:Z618)</f>
        <v>0</v>
      </c>
    </row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6">
    <mergeCell ref="D607:D608"/>
    <mergeCell ref="D570:D573"/>
    <mergeCell ref="D584:D586"/>
    <mergeCell ref="D588:D589"/>
    <mergeCell ref="D593:D594"/>
    <mergeCell ref="D598:D599"/>
    <mergeCell ref="D528:D536"/>
    <mergeCell ref="D544:D548"/>
    <mergeCell ref="D552:D553"/>
    <mergeCell ref="D557:D559"/>
    <mergeCell ref="D564:D565"/>
    <mergeCell ref="D469:D472"/>
    <mergeCell ref="D493:D494"/>
    <mergeCell ref="D507:D508"/>
    <mergeCell ref="D517:D518"/>
    <mergeCell ref="D523:D524"/>
    <mergeCell ref="D415:D416"/>
    <mergeCell ref="D421:D422"/>
    <mergeCell ref="D451:D453"/>
    <mergeCell ref="D458:D460"/>
    <mergeCell ref="D465:D467"/>
    <mergeCell ref="D351:D352"/>
    <mergeCell ref="D357:D358"/>
    <mergeCell ref="D365:D367"/>
    <mergeCell ref="D385:D386"/>
    <mergeCell ref="D402:D404"/>
    <mergeCell ref="D291:D292"/>
    <mergeCell ref="D307:D309"/>
    <mergeCell ref="D314:D315"/>
    <mergeCell ref="D338:D339"/>
    <mergeCell ref="D341:D343"/>
    <mergeCell ref="D232:D235"/>
    <mergeCell ref="D249:D252"/>
    <mergeCell ref="D257:D259"/>
    <mergeCell ref="D266:D267"/>
    <mergeCell ref="D277:D279"/>
    <mergeCell ref="D154:D156"/>
    <mergeCell ref="D166:D167"/>
    <mergeCell ref="D184:D186"/>
    <mergeCell ref="D193:D196"/>
    <mergeCell ref="D211:D213"/>
    <mergeCell ref="D122:Z122"/>
    <mergeCell ref="D131:Z131"/>
    <mergeCell ref="D144:Z144"/>
    <mergeCell ref="D146:D148"/>
    <mergeCell ref="D152:Z152"/>
    <mergeCell ref="D86:D88"/>
    <mergeCell ref="D101:Z101"/>
    <mergeCell ref="D107:Z107"/>
    <mergeCell ref="D109:D111"/>
    <mergeCell ref="D113:D116"/>
    <mergeCell ref="D58:Z58"/>
    <mergeCell ref="D60:D62"/>
    <mergeCell ref="D68:Z68"/>
    <mergeCell ref="D70:D71"/>
    <mergeCell ref="D82:Z82"/>
    <mergeCell ref="D33:Z33"/>
    <mergeCell ref="D35:D38"/>
    <mergeCell ref="D44:Z44"/>
    <mergeCell ref="D46:D47"/>
    <mergeCell ref="D49:D52"/>
    <mergeCell ref="D3:D16"/>
    <mergeCell ref="D19:Z19"/>
    <mergeCell ref="D21:D23"/>
    <mergeCell ref="D26:Z26"/>
    <mergeCell ref="D28:D30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3" manualBreakCount="13">
    <brk id="18" max="16383" man="1"/>
    <brk id="81" max="16383" man="1"/>
    <brk id="151" max="16383" man="1"/>
    <brk id="181" max="16383" man="1"/>
    <brk id="208" max="16383" man="1"/>
    <brk id="246" max="16383" man="1"/>
    <brk id="323" max="16383" man="1"/>
    <brk id="348" max="16383" man="1"/>
    <brk id="419" max="16383" man="1"/>
    <brk id="448" max="16383" man="1"/>
    <brk id="504" max="16383" man="1"/>
    <brk id="600" max="16383" man="1"/>
    <brk id="6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2"/>
  <sheetViews>
    <sheetView zoomScale="90" zoomScaleNormal="90" workbookViewId="0"/>
  </sheetViews>
  <sheetFormatPr defaultColWidth="11.5703125" defaultRowHeight="15" x14ac:dyDescent="0.25"/>
  <cols>
    <col min="1" max="1" width="16.42578125" style="156" customWidth="1"/>
    <col min="2" max="2" width="17.5703125" style="156" customWidth="1"/>
    <col min="3" max="64" width="8.7109375" style="157" customWidth="1"/>
  </cols>
  <sheetData>
    <row r="1" spans="1:2" x14ac:dyDescent="0.25">
      <c r="A1" s="156" t="s">
        <v>328</v>
      </c>
      <c r="B1" s="156" t="s">
        <v>329</v>
      </c>
    </row>
    <row r="2" spans="1:2" x14ac:dyDescent="0.25">
      <c r="A2" s="156" t="s">
        <v>1</v>
      </c>
      <c r="B2" s="156" t="s">
        <v>330</v>
      </c>
    </row>
    <row r="3" spans="1:2" x14ac:dyDescent="0.25">
      <c r="A3" s="156" t="s">
        <v>2</v>
      </c>
      <c r="B3" s="156" t="s">
        <v>331</v>
      </c>
    </row>
    <row r="4" spans="1:2" x14ac:dyDescent="0.25">
      <c r="A4" s="156" t="s">
        <v>3</v>
      </c>
      <c r="B4" s="156" t="s">
        <v>332</v>
      </c>
    </row>
    <row r="5" spans="1:2" x14ac:dyDescent="0.25">
      <c r="A5" s="156" t="s">
        <v>4</v>
      </c>
      <c r="B5" s="156" t="s">
        <v>333</v>
      </c>
    </row>
    <row r="6" spans="1:2" x14ac:dyDescent="0.25">
      <c r="A6" s="156" t="s">
        <v>5</v>
      </c>
      <c r="B6" s="156" t="s">
        <v>334</v>
      </c>
    </row>
    <row r="7" spans="1:2" x14ac:dyDescent="0.25">
      <c r="A7" s="156" t="s">
        <v>19</v>
      </c>
      <c r="B7" s="156" t="s">
        <v>335</v>
      </c>
    </row>
    <row r="8" spans="1:2" x14ac:dyDescent="0.25">
      <c r="A8" s="156" t="s">
        <v>20</v>
      </c>
      <c r="B8" s="156" t="s">
        <v>336</v>
      </c>
    </row>
    <row r="9" spans="1:2" x14ac:dyDescent="0.25">
      <c r="A9" s="156" t="s">
        <v>337</v>
      </c>
      <c r="B9" s="156" t="s">
        <v>338</v>
      </c>
    </row>
    <row r="10" spans="1:2" x14ac:dyDescent="0.25">
      <c r="A10" s="156" t="s">
        <v>339</v>
      </c>
      <c r="B10" s="156" t="s">
        <v>340</v>
      </c>
    </row>
    <row r="11" spans="1:2" x14ac:dyDescent="0.25">
      <c r="A11" s="156" t="s">
        <v>341</v>
      </c>
      <c r="B11" s="156" t="s">
        <v>342</v>
      </c>
    </row>
    <row r="12" spans="1:2" x14ac:dyDescent="0.25">
      <c r="A12" s="156" t="s">
        <v>343</v>
      </c>
      <c r="B12" s="156" t="s">
        <v>344</v>
      </c>
    </row>
    <row r="13" spans="1:2" x14ac:dyDescent="0.25">
      <c r="A13" s="156" t="s">
        <v>81</v>
      </c>
      <c r="B13" s="156" t="s">
        <v>345</v>
      </c>
    </row>
    <row r="14" spans="1:2" x14ac:dyDescent="0.25">
      <c r="A14" s="156" t="s">
        <v>33</v>
      </c>
      <c r="B14" s="156" t="s">
        <v>346</v>
      </c>
    </row>
    <row r="15" spans="1:2" x14ac:dyDescent="0.25">
      <c r="A15" s="156" t="s">
        <v>347</v>
      </c>
      <c r="B15" s="156" t="s">
        <v>220</v>
      </c>
    </row>
    <row r="16" spans="1:2" x14ac:dyDescent="0.25">
      <c r="A16" s="156" t="s">
        <v>32</v>
      </c>
      <c r="B16" s="156" t="s">
        <v>348</v>
      </c>
    </row>
    <row r="17" spans="1:2" x14ac:dyDescent="0.25">
      <c r="A17" s="156" t="s">
        <v>349</v>
      </c>
      <c r="B17" s="156" t="s">
        <v>350</v>
      </c>
    </row>
    <row r="18" spans="1:2" x14ac:dyDescent="0.25">
      <c r="A18" s="156" t="s">
        <v>351</v>
      </c>
      <c r="B18" s="156" t="s">
        <v>352</v>
      </c>
    </row>
    <row r="19" spans="1:2" x14ac:dyDescent="0.25">
      <c r="A19" s="156" t="s">
        <v>353</v>
      </c>
      <c r="B19" s="156" t="s">
        <v>354</v>
      </c>
    </row>
    <row r="20" spans="1:2" x14ac:dyDescent="0.25">
      <c r="A20" s="156" t="s">
        <v>355</v>
      </c>
      <c r="B20" s="156" t="s">
        <v>356</v>
      </c>
    </row>
    <row r="21" spans="1:2" x14ac:dyDescent="0.25">
      <c r="A21" s="156" t="s">
        <v>114</v>
      </c>
      <c r="B21" s="156" t="s">
        <v>357</v>
      </c>
    </row>
    <row r="22" spans="1:2" x14ac:dyDescent="0.25">
      <c r="A22" s="156" t="s">
        <v>115</v>
      </c>
      <c r="B22" s="156" t="s">
        <v>358</v>
      </c>
    </row>
    <row r="23" spans="1:2" x14ac:dyDescent="0.25">
      <c r="A23" s="156" t="s">
        <v>116</v>
      </c>
      <c r="B23" s="156" t="s">
        <v>359</v>
      </c>
    </row>
    <row r="24" spans="1:2" x14ac:dyDescent="0.25">
      <c r="A24" s="156" t="s">
        <v>49</v>
      </c>
      <c r="B24" s="156" t="s">
        <v>360</v>
      </c>
    </row>
    <row r="25" spans="1:2" x14ac:dyDescent="0.25">
      <c r="A25" s="156" t="s">
        <v>244</v>
      </c>
      <c r="B25" s="156" t="s">
        <v>361</v>
      </c>
    </row>
    <row r="26" spans="1:2" x14ac:dyDescent="0.25">
      <c r="A26" s="156" t="s">
        <v>362</v>
      </c>
      <c r="B26" s="156" t="s">
        <v>363</v>
      </c>
    </row>
    <row r="27" spans="1:2" x14ac:dyDescent="0.25">
      <c r="A27" s="156" t="s">
        <v>364</v>
      </c>
      <c r="B27" s="156" t="s">
        <v>365</v>
      </c>
    </row>
    <row r="28" spans="1:2" x14ac:dyDescent="0.25">
      <c r="A28" s="156" t="s">
        <v>366</v>
      </c>
      <c r="B28" s="156" t="s">
        <v>367</v>
      </c>
    </row>
    <row r="29" spans="1:2" x14ac:dyDescent="0.25">
      <c r="A29" s="156" t="s">
        <v>368</v>
      </c>
      <c r="B29" s="156" t="s">
        <v>369</v>
      </c>
    </row>
    <row r="30" spans="1:2" x14ac:dyDescent="0.25">
      <c r="A30" s="156" t="s">
        <v>370</v>
      </c>
      <c r="B30" s="156" t="s">
        <v>371</v>
      </c>
    </row>
    <row r="31" spans="1:2" x14ac:dyDescent="0.25">
      <c r="A31" s="156" t="s">
        <v>372</v>
      </c>
      <c r="B31" s="156" t="s">
        <v>373</v>
      </c>
    </row>
    <row r="32" spans="1:2" x14ac:dyDescent="0.25">
      <c r="A32" s="156" t="s">
        <v>374</v>
      </c>
      <c r="B32" s="156" t="s">
        <v>375</v>
      </c>
    </row>
  </sheetData>
  <pageMargins left="0.196527777777778" right="0" top="0" bottom="0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2024 - Obec Nesluša (čerpanie a úpravy)</dc:title>
  <dc:subject>Čerpanie a úpravy rozpočtu obce Nesluša</dc:subject>
  <dc:creator>Matej Tabaček</dc:creator>
  <cp:keywords>rozpočet čerpanie úpravy obec Nesluša 2024</cp:keywords>
  <dc:description>Schválený 08. 12. 2023 uznesením č. VI-4/2023
Úpravy:
RO č. 1-1/2024 z 01. 03. 2024 schválené starostkou obce,
RO č. 2-1/2024 z 22. 04. 2024 schválené uznesením č. II-8/2024,
RO č. 2-2/2024 z 29. 04. 2024 schválené starostkou obce.</dc:description>
  <cp:lastModifiedBy>Matej Tabaček</cp:lastModifiedBy>
  <cp:revision>427</cp:revision>
  <cp:lastPrinted>2025-02-27T11:49:52Z</cp:lastPrinted>
  <dcterms:created xsi:type="dcterms:W3CDTF">2016-11-16T13:19:48Z</dcterms:created>
  <dcterms:modified xsi:type="dcterms:W3CDTF">2025-02-27T10:52:35Z</dcterms:modified>
  <dc:language>sk-SK</dc:language>
</cp:coreProperties>
</file>