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mta72959\Documents\Účtovníctvo\rozpocet\2023\cerpanie\"/>
    </mc:Choice>
  </mc:AlternateContent>
  <xr:revisionPtr revIDLastSave="0" documentId="13_ncr:1_{00EAE6FD-3868-4CAA-B351-0071A4C752B0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príjmy" sheetId="1" r:id="rId1"/>
    <sheet name="výdaje" sheetId="2" r:id="rId2"/>
    <sheet name="skratky" sheetId="3" r:id="rId3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W606" i="2" l="1"/>
  <c r="O606" i="2"/>
  <c r="L606" i="2"/>
  <c r="J606" i="2"/>
  <c r="G606" i="2"/>
  <c r="Z605" i="2"/>
  <c r="Z606" i="2" s="1"/>
  <c r="Y605" i="2"/>
  <c r="Y606" i="2" s="1"/>
  <c r="W605" i="2"/>
  <c r="V605" i="2"/>
  <c r="U605" i="2"/>
  <c r="U606" i="2" s="1"/>
  <c r="V606" i="2" s="1"/>
  <c r="S605" i="2"/>
  <c r="S606" i="2" s="1"/>
  <c r="T606" i="2" s="1"/>
  <c r="Q605" i="2"/>
  <c r="Q606" i="2" s="1"/>
  <c r="P605" i="2"/>
  <c r="P606" i="2" s="1"/>
  <c r="X606" i="2" s="1"/>
  <c r="O605" i="2"/>
  <c r="N605" i="2"/>
  <c r="M605" i="2"/>
  <c r="M606" i="2" s="1"/>
  <c r="L605" i="2"/>
  <c r="K605" i="2"/>
  <c r="K606" i="2" s="1"/>
  <c r="J605" i="2"/>
  <c r="I605" i="2"/>
  <c r="I606" i="2" s="1"/>
  <c r="H605" i="2"/>
  <c r="H606" i="2" s="1"/>
  <c r="G605" i="2"/>
  <c r="X604" i="2"/>
  <c r="P604" i="2"/>
  <c r="V604" i="2" s="1"/>
  <c r="Y600" i="2"/>
  <c r="W600" i="2"/>
  <c r="Q600" i="2"/>
  <c r="O600" i="2"/>
  <c r="L600" i="2"/>
  <c r="I600" i="2"/>
  <c r="G600" i="2"/>
  <c r="Z599" i="2"/>
  <c r="Z600" i="2" s="1"/>
  <c r="Y599" i="2"/>
  <c r="W599" i="2"/>
  <c r="U599" i="2"/>
  <c r="U600" i="2" s="1"/>
  <c r="S599" i="2"/>
  <c r="Q599" i="2"/>
  <c r="O599" i="2"/>
  <c r="M599" i="2"/>
  <c r="M600" i="2" s="1"/>
  <c r="L599" i="2"/>
  <c r="K599" i="2"/>
  <c r="K600" i="2" s="1"/>
  <c r="J599" i="2"/>
  <c r="J600" i="2" s="1"/>
  <c r="I599" i="2"/>
  <c r="G599" i="2"/>
  <c r="V595" i="2"/>
  <c r="R595" i="2"/>
  <c r="P595" i="2"/>
  <c r="X595" i="2" s="1"/>
  <c r="Y592" i="2"/>
  <c r="S592" i="2"/>
  <c r="Q592" i="2"/>
  <c r="N592" i="2"/>
  <c r="L592" i="2"/>
  <c r="K592" i="2"/>
  <c r="I592" i="2"/>
  <c r="H592" i="2"/>
  <c r="Z591" i="2"/>
  <c r="Z592" i="2" s="1"/>
  <c r="Y591" i="2"/>
  <c r="W591" i="2"/>
  <c r="W592" i="2" s="1"/>
  <c r="U591" i="2"/>
  <c r="S591" i="2"/>
  <c r="Q591" i="2"/>
  <c r="P591" i="2"/>
  <c r="O591" i="2"/>
  <c r="O592" i="2" s="1"/>
  <c r="N591" i="2"/>
  <c r="M591" i="2"/>
  <c r="M592" i="2" s="1"/>
  <c r="L591" i="2"/>
  <c r="K591" i="2"/>
  <c r="J591" i="2"/>
  <c r="J592" i="2" s="1"/>
  <c r="I591" i="2"/>
  <c r="G591" i="2"/>
  <c r="G592" i="2" s="1"/>
  <c r="X587" i="2"/>
  <c r="T587" i="2"/>
  <c r="R587" i="2"/>
  <c r="P587" i="2"/>
  <c r="V587" i="2" s="1"/>
  <c r="X586" i="2"/>
  <c r="T586" i="2"/>
  <c r="R586" i="2"/>
  <c r="P586" i="2"/>
  <c r="V586" i="2" s="1"/>
  <c r="X585" i="2"/>
  <c r="V585" i="2"/>
  <c r="R585" i="2"/>
  <c r="P585" i="2"/>
  <c r="T585" i="2" s="1"/>
  <c r="Z582" i="2"/>
  <c r="Y582" i="2"/>
  <c r="W582" i="2"/>
  <c r="R582" i="2"/>
  <c r="Q582" i="2"/>
  <c r="O582" i="2"/>
  <c r="L582" i="2"/>
  <c r="J582" i="2"/>
  <c r="I582" i="2"/>
  <c r="H582" i="2"/>
  <c r="G582" i="2"/>
  <c r="Z581" i="2"/>
  <c r="Y581" i="2"/>
  <c r="W581" i="2"/>
  <c r="V581" i="2"/>
  <c r="U581" i="2"/>
  <c r="U582" i="2" s="1"/>
  <c r="S581" i="2"/>
  <c r="T581" i="2" s="1"/>
  <c r="Q581" i="2"/>
  <c r="P581" i="2"/>
  <c r="P582" i="2" s="1"/>
  <c r="O581" i="2"/>
  <c r="N581" i="2"/>
  <c r="M581" i="2"/>
  <c r="M582" i="2" s="1"/>
  <c r="L581" i="2"/>
  <c r="K581" i="2"/>
  <c r="K582" i="2" s="1"/>
  <c r="J581" i="2"/>
  <c r="I581" i="2"/>
  <c r="G581" i="2"/>
  <c r="X580" i="2"/>
  <c r="V580" i="2"/>
  <c r="T580" i="2"/>
  <c r="R580" i="2"/>
  <c r="P576" i="2"/>
  <c r="X575" i="2"/>
  <c r="V575" i="2"/>
  <c r="T575" i="2"/>
  <c r="R575" i="2"/>
  <c r="P575" i="2"/>
  <c r="T574" i="2"/>
  <c r="R574" i="2"/>
  <c r="P574" i="2"/>
  <c r="X574" i="2" s="1"/>
  <c r="X573" i="2"/>
  <c r="V573" i="2"/>
  <c r="P573" i="2"/>
  <c r="T573" i="2" s="1"/>
  <c r="X572" i="2"/>
  <c r="V572" i="2"/>
  <c r="T572" i="2"/>
  <c r="P572" i="2"/>
  <c r="R572" i="2" s="1"/>
  <c r="P571" i="2"/>
  <c r="X570" i="2"/>
  <c r="V570" i="2"/>
  <c r="T570" i="2"/>
  <c r="R570" i="2"/>
  <c r="P570" i="2"/>
  <c r="V569" i="2"/>
  <c r="T569" i="2"/>
  <c r="R569" i="2"/>
  <c r="P569" i="2"/>
  <c r="X569" i="2" s="1"/>
  <c r="G569" i="2"/>
  <c r="W566" i="2"/>
  <c r="U566" i="2"/>
  <c r="O566" i="2"/>
  <c r="N566" i="2"/>
  <c r="M566" i="2"/>
  <c r="L566" i="2"/>
  <c r="H566" i="2"/>
  <c r="G566" i="2"/>
  <c r="Z565" i="2"/>
  <c r="Y565" i="2"/>
  <c r="W565" i="2"/>
  <c r="U565" i="2"/>
  <c r="S565" i="2"/>
  <c r="Q565" i="2"/>
  <c r="Q566" i="2" s="1"/>
  <c r="O565" i="2"/>
  <c r="N565" i="2"/>
  <c r="M565" i="2"/>
  <c r="L565" i="2"/>
  <c r="K565" i="2"/>
  <c r="K566" i="2" s="1"/>
  <c r="J565" i="2"/>
  <c r="J566" i="2" s="1"/>
  <c r="I565" i="2"/>
  <c r="I566" i="2" s="1"/>
  <c r="G565" i="2"/>
  <c r="Z564" i="2"/>
  <c r="Z566" i="2" s="1"/>
  <c r="Y564" i="2"/>
  <c r="Y566" i="2" s="1"/>
  <c r="X564" i="2"/>
  <c r="V564" i="2"/>
  <c r="T564" i="2"/>
  <c r="R564" i="2"/>
  <c r="K560" i="2"/>
  <c r="P560" i="2" s="1"/>
  <c r="X559" i="2"/>
  <c r="V559" i="2"/>
  <c r="T559" i="2"/>
  <c r="P559" i="2"/>
  <c r="R559" i="2" s="1"/>
  <c r="R558" i="2"/>
  <c r="P558" i="2"/>
  <c r="X557" i="2"/>
  <c r="V557" i="2"/>
  <c r="T557" i="2"/>
  <c r="P557" i="2"/>
  <c r="R557" i="2" s="1"/>
  <c r="V556" i="2"/>
  <c r="T556" i="2"/>
  <c r="R556" i="2"/>
  <c r="P556" i="2"/>
  <c r="X556" i="2" s="1"/>
  <c r="P555" i="2"/>
  <c r="X554" i="2"/>
  <c r="V554" i="2"/>
  <c r="T554" i="2"/>
  <c r="R554" i="2"/>
  <c r="P554" i="2"/>
  <c r="W551" i="2"/>
  <c r="U551" i="2"/>
  <c r="O551" i="2"/>
  <c r="N551" i="2"/>
  <c r="M551" i="2"/>
  <c r="H551" i="2"/>
  <c r="G551" i="2"/>
  <c r="Z550" i="2"/>
  <c r="Z551" i="2" s="1"/>
  <c r="Y550" i="2"/>
  <c r="Y551" i="2" s="1"/>
  <c r="W550" i="2"/>
  <c r="U550" i="2"/>
  <c r="S550" i="2"/>
  <c r="Q550" i="2"/>
  <c r="Q551" i="2" s="1"/>
  <c r="O550" i="2"/>
  <c r="N550" i="2"/>
  <c r="M550" i="2"/>
  <c r="L550" i="2"/>
  <c r="K550" i="2"/>
  <c r="J550" i="2"/>
  <c r="J551" i="2" s="1"/>
  <c r="I550" i="2"/>
  <c r="I551" i="2" s="1"/>
  <c r="H550" i="2"/>
  <c r="G550" i="2"/>
  <c r="X549" i="2"/>
  <c r="V549" i="2"/>
  <c r="T549" i="2"/>
  <c r="R549" i="2"/>
  <c r="X545" i="2"/>
  <c r="V545" i="2"/>
  <c r="T545" i="2"/>
  <c r="P545" i="2"/>
  <c r="R545" i="2" s="1"/>
  <c r="V544" i="2"/>
  <c r="T544" i="2"/>
  <c r="R544" i="2"/>
  <c r="P544" i="2"/>
  <c r="X544" i="2" s="1"/>
  <c r="W543" i="2"/>
  <c r="P543" i="2"/>
  <c r="X542" i="2"/>
  <c r="V542" i="2"/>
  <c r="T542" i="2"/>
  <c r="P542" i="2"/>
  <c r="R542" i="2" s="1"/>
  <c r="V541" i="2"/>
  <c r="T541" i="2"/>
  <c r="R541" i="2"/>
  <c r="P541" i="2"/>
  <c r="X541" i="2" s="1"/>
  <c r="U538" i="2"/>
  <c r="S538" i="2"/>
  <c r="N538" i="2"/>
  <c r="M538" i="2"/>
  <c r="L538" i="2"/>
  <c r="K538" i="2"/>
  <c r="Z537" i="2"/>
  <c r="Z538" i="2" s="1"/>
  <c r="Y537" i="2"/>
  <c r="W537" i="2"/>
  <c r="W538" i="2" s="1"/>
  <c r="U537" i="2"/>
  <c r="S537" i="2"/>
  <c r="Q537" i="2"/>
  <c r="O537" i="2"/>
  <c r="O538" i="2" s="1"/>
  <c r="N537" i="2"/>
  <c r="M537" i="2"/>
  <c r="L537" i="2"/>
  <c r="K537" i="2"/>
  <c r="J537" i="2"/>
  <c r="J538" i="2" s="1"/>
  <c r="I537" i="2"/>
  <c r="I538" i="2" s="1"/>
  <c r="H537" i="2"/>
  <c r="H538" i="2" s="1"/>
  <c r="G537" i="2"/>
  <c r="G538" i="2" s="1"/>
  <c r="P533" i="2"/>
  <c r="X532" i="2"/>
  <c r="V532" i="2"/>
  <c r="T532" i="2"/>
  <c r="R532" i="2"/>
  <c r="P532" i="2"/>
  <c r="T531" i="2"/>
  <c r="R531" i="2"/>
  <c r="P531" i="2"/>
  <c r="X531" i="2" s="1"/>
  <c r="X530" i="2"/>
  <c r="V530" i="2"/>
  <c r="R530" i="2"/>
  <c r="P530" i="2"/>
  <c r="T530" i="2" s="1"/>
  <c r="X529" i="2"/>
  <c r="V529" i="2"/>
  <c r="T529" i="2"/>
  <c r="P529" i="2"/>
  <c r="R529" i="2" s="1"/>
  <c r="R528" i="2"/>
  <c r="P528" i="2"/>
  <c r="X527" i="2"/>
  <c r="V527" i="2"/>
  <c r="T527" i="2"/>
  <c r="P527" i="2"/>
  <c r="R527" i="2" s="1"/>
  <c r="V526" i="2"/>
  <c r="T526" i="2"/>
  <c r="R526" i="2"/>
  <c r="P526" i="2"/>
  <c r="X526" i="2" s="1"/>
  <c r="Y523" i="2"/>
  <c r="V523" i="2"/>
  <c r="U523" i="2"/>
  <c r="S523" i="2"/>
  <c r="N523" i="2"/>
  <c r="M523" i="2"/>
  <c r="L523" i="2"/>
  <c r="K523" i="2"/>
  <c r="Z522" i="2"/>
  <c r="X522" i="2"/>
  <c r="W522" i="2"/>
  <c r="W523" i="2" s="1"/>
  <c r="U522" i="2"/>
  <c r="V522" i="2" s="1"/>
  <c r="S522" i="2"/>
  <c r="Q522" i="2"/>
  <c r="P522" i="2"/>
  <c r="P523" i="2" s="1"/>
  <c r="T523" i="2" s="1"/>
  <c r="O522" i="2"/>
  <c r="O523" i="2" s="1"/>
  <c r="N522" i="2"/>
  <c r="M522" i="2"/>
  <c r="L522" i="2"/>
  <c r="K522" i="2"/>
  <c r="H522" i="2"/>
  <c r="H506" i="2" s="1"/>
  <c r="G522" i="2"/>
  <c r="G523" i="2" s="1"/>
  <c r="X521" i="2"/>
  <c r="V521" i="2"/>
  <c r="R521" i="2"/>
  <c r="P521" i="2"/>
  <c r="T521" i="2" s="1"/>
  <c r="J521" i="2"/>
  <c r="I521" i="2"/>
  <c r="H521" i="2"/>
  <c r="H523" i="2" s="1"/>
  <c r="X517" i="2"/>
  <c r="V517" i="2"/>
  <c r="R517" i="2"/>
  <c r="P517" i="2"/>
  <c r="T517" i="2" s="1"/>
  <c r="X516" i="2"/>
  <c r="V516" i="2"/>
  <c r="T516" i="2"/>
  <c r="P516" i="2"/>
  <c r="R516" i="2" s="1"/>
  <c r="R515" i="2"/>
  <c r="P515" i="2"/>
  <c r="Z512" i="2"/>
  <c r="Y512" i="2"/>
  <c r="S512" i="2"/>
  <c r="Q512" i="2"/>
  <c r="L512" i="2"/>
  <c r="K512" i="2"/>
  <c r="J512" i="2"/>
  <c r="I512" i="2"/>
  <c r="Z511" i="2"/>
  <c r="Y511" i="2"/>
  <c r="X511" i="2"/>
  <c r="W511" i="2"/>
  <c r="W512" i="2" s="1"/>
  <c r="U511" i="2"/>
  <c r="U512" i="2" s="1"/>
  <c r="S511" i="2"/>
  <c r="Q511" i="2"/>
  <c r="P511" i="2"/>
  <c r="O511" i="2"/>
  <c r="O512" i="2" s="1"/>
  <c r="N511" i="2"/>
  <c r="N512" i="2" s="1"/>
  <c r="M511" i="2"/>
  <c r="M512" i="2" s="1"/>
  <c r="L511" i="2"/>
  <c r="K511" i="2"/>
  <c r="J511" i="2"/>
  <c r="I511" i="2"/>
  <c r="H511" i="2"/>
  <c r="H512" i="2" s="1"/>
  <c r="G511" i="2"/>
  <c r="G512" i="2" s="1"/>
  <c r="U506" i="2"/>
  <c r="M506" i="2"/>
  <c r="Z505" i="2"/>
  <c r="Y505" i="2"/>
  <c r="W505" i="2"/>
  <c r="U505" i="2"/>
  <c r="U507" i="2" s="1"/>
  <c r="S505" i="2"/>
  <c r="T505" i="2" s="1"/>
  <c r="Q505" i="2"/>
  <c r="R505" i="2" s="1"/>
  <c r="P505" i="2"/>
  <c r="O505" i="2"/>
  <c r="N505" i="2"/>
  <c r="M505" i="2"/>
  <c r="M507" i="2" s="1"/>
  <c r="L505" i="2"/>
  <c r="K505" i="2"/>
  <c r="H505" i="2"/>
  <c r="G505" i="2"/>
  <c r="R501" i="2"/>
  <c r="P501" i="2"/>
  <c r="N501" i="2"/>
  <c r="V500" i="2"/>
  <c r="T500" i="2"/>
  <c r="P500" i="2"/>
  <c r="R500" i="2" s="1"/>
  <c r="Y499" i="2"/>
  <c r="Z499" i="2" s="1"/>
  <c r="X499" i="2"/>
  <c r="V499" i="2"/>
  <c r="T499" i="2"/>
  <c r="R499" i="2"/>
  <c r="P499" i="2"/>
  <c r="Z498" i="2"/>
  <c r="Y498" i="2"/>
  <c r="X498" i="2"/>
  <c r="V498" i="2"/>
  <c r="T498" i="2"/>
  <c r="R498" i="2"/>
  <c r="P498" i="2"/>
  <c r="W496" i="2"/>
  <c r="O496" i="2"/>
  <c r="N496" i="2"/>
  <c r="G496" i="2"/>
  <c r="Y495" i="2"/>
  <c r="W495" i="2"/>
  <c r="U495" i="2"/>
  <c r="S495" i="2"/>
  <c r="Q495" i="2"/>
  <c r="O495" i="2"/>
  <c r="N495" i="2"/>
  <c r="M495" i="2"/>
  <c r="L495" i="2"/>
  <c r="K495" i="2"/>
  <c r="J495" i="2"/>
  <c r="I495" i="2"/>
  <c r="H495" i="2"/>
  <c r="G495" i="2"/>
  <c r="Y494" i="2"/>
  <c r="Z494" i="2" s="1"/>
  <c r="Z495" i="2" s="1"/>
  <c r="V494" i="2"/>
  <c r="T494" i="2"/>
  <c r="P494" i="2"/>
  <c r="R494" i="2" s="1"/>
  <c r="W493" i="2"/>
  <c r="U493" i="2"/>
  <c r="S493" i="2"/>
  <c r="Q493" i="2"/>
  <c r="Q496" i="2" s="1"/>
  <c r="O493" i="2"/>
  <c r="N493" i="2"/>
  <c r="N449" i="2" s="1"/>
  <c r="N452" i="2" s="1"/>
  <c r="M493" i="2"/>
  <c r="M496" i="2" s="1"/>
  <c r="L493" i="2"/>
  <c r="L496" i="2" s="1"/>
  <c r="K493" i="2"/>
  <c r="J493" i="2"/>
  <c r="J496" i="2" s="1"/>
  <c r="I493" i="2"/>
  <c r="I496" i="2" s="1"/>
  <c r="H493" i="2"/>
  <c r="H496" i="2" s="1"/>
  <c r="G493" i="2"/>
  <c r="Z492" i="2"/>
  <c r="X492" i="2"/>
  <c r="P492" i="2"/>
  <c r="V492" i="2" s="1"/>
  <c r="N492" i="2"/>
  <c r="Z491" i="2"/>
  <c r="X491" i="2"/>
  <c r="V491" i="2"/>
  <c r="R491" i="2"/>
  <c r="P491" i="2"/>
  <c r="T491" i="2" s="1"/>
  <c r="Z490" i="2"/>
  <c r="Z493" i="2" s="1"/>
  <c r="Y490" i="2"/>
  <c r="Y493" i="2" s="1"/>
  <c r="Y496" i="2" s="1"/>
  <c r="V490" i="2"/>
  <c r="T490" i="2"/>
  <c r="P490" i="2"/>
  <c r="R490" i="2" s="1"/>
  <c r="V486" i="2"/>
  <c r="U486" i="2"/>
  <c r="S486" i="2"/>
  <c r="N486" i="2"/>
  <c r="M486" i="2"/>
  <c r="L486" i="2"/>
  <c r="K486" i="2"/>
  <c r="Y485" i="2"/>
  <c r="W485" i="2"/>
  <c r="X485" i="2" s="1"/>
  <c r="U485" i="2"/>
  <c r="S485" i="2"/>
  <c r="T485" i="2" s="1"/>
  <c r="R485" i="2"/>
  <c r="Q485" i="2"/>
  <c r="O485" i="2"/>
  <c r="O486" i="2" s="1"/>
  <c r="N485" i="2"/>
  <c r="M485" i="2"/>
  <c r="L485" i="2"/>
  <c r="K485" i="2"/>
  <c r="J485" i="2"/>
  <c r="J486" i="2" s="1"/>
  <c r="I485" i="2"/>
  <c r="H485" i="2"/>
  <c r="H486" i="2" s="1"/>
  <c r="G485" i="2"/>
  <c r="G486" i="2" s="1"/>
  <c r="Y484" i="2"/>
  <c r="Z484" i="2" s="1"/>
  <c r="Z485" i="2" s="1"/>
  <c r="Z486" i="2" s="1"/>
  <c r="T484" i="2"/>
  <c r="R484" i="2"/>
  <c r="P484" i="2"/>
  <c r="P485" i="2" s="1"/>
  <c r="P486" i="2" s="1"/>
  <c r="X480" i="2"/>
  <c r="V480" i="2"/>
  <c r="T480" i="2"/>
  <c r="P480" i="2"/>
  <c r="R480" i="2" s="1"/>
  <c r="Y479" i="2"/>
  <c r="Z479" i="2" s="1"/>
  <c r="X479" i="2"/>
  <c r="V479" i="2"/>
  <c r="T479" i="2"/>
  <c r="R479" i="2"/>
  <c r="P479" i="2"/>
  <c r="V478" i="2"/>
  <c r="T478" i="2"/>
  <c r="P478" i="2"/>
  <c r="R478" i="2" s="1"/>
  <c r="Y477" i="2"/>
  <c r="Z477" i="2" s="1"/>
  <c r="T477" i="2"/>
  <c r="R477" i="2"/>
  <c r="P477" i="2"/>
  <c r="X477" i="2" s="1"/>
  <c r="Z476" i="2"/>
  <c r="Y476" i="2"/>
  <c r="P476" i="2"/>
  <c r="L474" i="2"/>
  <c r="K474" i="2"/>
  <c r="W473" i="2"/>
  <c r="U473" i="2"/>
  <c r="S473" i="2"/>
  <c r="Q473" i="2"/>
  <c r="O473" i="2"/>
  <c r="O458" i="2" s="1"/>
  <c r="O451" i="2" s="1"/>
  <c r="N473" i="2"/>
  <c r="M473" i="2"/>
  <c r="L473" i="2"/>
  <c r="K473" i="2"/>
  <c r="J473" i="2"/>
  <c r="I473" i="2"/>
  <c r="H473" i="2"/>
  <c r="G473" i="2"/>
  <c r="G458" i="2" s="1"/>
  <c r="G451" i="2" s="1"/>
  <c r="Y472" i="2"/>
  <c r="Z472" i="2" s="1"/>
  <c r="Z473" i="2" s="1"/>
  <c r="Z458" i="2" s="1"/>
  <c r="Z451" i="2" s="1"/>
  <c r="P472" i="2"/>
  <c r="Z471" i="2"/>
  <c r="Y471" i="2"/>
  <c r="W471" i="2"/>
  <c r="U471" i="2"/>
  <c r="S471" i="2"/>
  <c r="Q471" i="2"/>
  <c r="O471" i="2"/>
  <c r="N471" i="2"/>
  <c r="M471" i="2"/>
  <c r="L471" i="2"/>
  <c r="K471" i="2"/>
  <c r="K457" i="2" s="1"/>
  <c r="K450" i="2" s="1"/>
  <c r="J471" i="2"/>
  <c r="I471" i="2"/>
  <c r="H471" i="2"/>
  <c r="G471" i="2"/>
  <c r="R470" i="2"/>
  <c r="P470" i="2"/>
  <c r="V469" i="2"/>
  <c r="R469" i="2"/>
  <c r="P469" i="2"/>
  <c r="X469" i="2" s="1"/>
  <c r="V468" i="2"/>
  <c r="T468" i="2"/>
  <c r="P468" i="2"/>
  <c r="R468" i="2" s="1"/>
  <c r="P467" i="2"/>
  <c r="W466" i="2"/>
  <c r="U466" i="2"/>
  <c r="U474" i="2" s="1"/>
  <c r="S466" i="2"/>
  <c r="Q466" i="2"/>
  <c r="Q474" i="2" s="1"/>
  <c r="O466" i="2"/>
  <c r="N466" i="2"/>
  <c r="N474" i="2" s="1"/>
  <c r="L466" i="2"/>
  <c r="K466" i="2"/>
  <c r="K456" i="2" s="1"/>
  <c r="J466" i="2"/>
  <c r="I466" i="2"/>
  <c r="I474" i="2" s="1"/>
  <c r="H466" i="2"/>
  <c r="H474" i="2" s="1"/>
  <c r="G466" i="2"/>
  <c r="G474" i="2" s="1"/>
  <c r="Z465" i="2"/>
  <c r="Y465" i="2"/>
  <c r="V465" i="2"/>
  <c r="T465" i="2"/>
  <c r="P465" i="2"/>
  <c r="R465" i="2" s="1"/>
  <c r="M465" i="2"/>
  <c r="M466" i="2" s="1"/>
  <c r="Z464" i="2"/>
  <c r="Y464" i="2"/>
  <c r="V464" i="2"/>
  <c r="T464" i="2"/>
  <c r="P464" i="2"/>
  <c r="R464" i="2" s="1"/>
  <c r="Y463" i="2"/>
  <c r="Y466" i="2" s="1"/>
  <c r="T463" i="2"/>
  <c r="R463" i="2"/>
  <c r="P463" i="2"/>
  <c r="P466" i="2" s="1"/>
  <c r="U458" i="2"/>
  <c r="S458" i="2"/>
  <c r="Q458" i="2"/>
  <c r="N458" i="2"/>
  <c r="M458" i="2"/>
  <c r="L458" i="2"/>
  <c r="K458" i="2"/>
  <c r="J458" i="2"/>
  <c r="I458" i="2"/>
  <c r="H458" i="2"/>
  <c r="H451" i="2" s="1"/>
  <c r="W457" i="2"/>
  <c r="U457" i="2"/>
  <c r="O457" i="2"/>
  <c r="N457" i="2"/>
  <c r="M457" i="2"/>
  <c r="L457" i="2"/>
  <c r="L459" i="2" s="1"/>
  <c r="H457" i="2"/>
  <c r="G457" i="2"/>
  <c r="Y456" i="2"/>
  <c r="W456" i="2"/>
  <c r="U456" i="2"/>
  <c r="V456" i="2" s="1"/>
  <c r="Q456" i="2"/>
  <c r="P456" i="2"/>
  <c r="O456" i="2"/>
  <c r="O459" i="2" s="1"/>
  <c r="N456" i="2"/>
  <c r="N459" i="2" s="1"/>
  <c r="L456" i="2"/>
  <c r="I456" i="2"/>
  <c r="H456" i="2"/>
  <c r="G456" i="2"/>
  <c r="G459" i="2" s="1"/>
  <c r="U451" i="2"/>
  <c r="S451" i="2"/>
  <c r="N451" i="2"/>
  <c r="M451" i="2"/>
  <c r="L451" i="2"/>
  <c r="K451" i="2"/>
  <c r="J451" i="2"/>
  <c r="I451" i="2"/>
  <c r="W450" i="2"/>
  <c r="O450" i="2"/>
  <c r="N450" i="2"/>
  <c r="M450" i="2"/>
  <c r="L450" i="2"/>
  <c r="L452" i="2" s="1"/>
  <c r="H450" i="2"/>
  <c r="G450" i="2"/>
  <c r="W449" i="2"/>
  <c r="Q449" i="2"/>
  <c r="O449" i="2"/>
  <c r="O452" i="2" s="1"/>
  <c r="L449" i="2"/>
  <c r="I449" i="2"/>
  <c r="H449" i="2"/>
  <c r="G449" i="2"/>
  <c r="Z445" i="2"/>
  <c r="V445" i="2"/>
  <c r="T445" i="2"/>
  <c r="R445" i="2"/>
  <c r="P445" i="2"/>
  <c r="X445" i="2" s="1"/>
  <c r="Y444" i="2"/>
  <c r="Z444" i="2" s="1"/>
  <c r="V444" i="2"/>
  <c r="P444" i="2"/>
  <c r="T444" i="2" s="1"/>
  <c r="Y443" i="2"/>
  <c r="Z443" i="2" s="1"/>
  <c r="X443" i="2"/>
  <c r="T443" i="2"/>
  <c r="P443" i="2"/>
  <c r="R443" i="2" s="1"/>
  <c r="Z442" i="2"/>
  <c r="Y442" i="2"/>
  <c r="X442" i="2"/>
  <c r="V442" i="2"/>
  <c r="R442" i="2"/>
  <c r="P442" i="2"/>
  <c r="T442" i="2" s="1"/>
  <c r="Y441" i="2"/>
  <c r="Z441" i="2" s="1"/>
  <c r="P441" i="2"/>
  <c r="Y440" i="2"/>
  <c r="Z440" i="2" s="1"/>
  <c r="Z436" i="2" s="1"/>
  <c r="Z437" i="2" s="1"/>
  <c r="Z438" i="2" s="1"/>
  <c r="X440" i="2"/>
  <c r="V440" i="2"/>
  <c r="T440" i="2"/>
  <c r="R440" i="2"/>
  <c r="P440" i="2"/>
  <c r="W438" i="2"/>
  <c r="O438" i="2"/>
  <c r="L438" i="2"/>
  <c r="J438" i="2"/>
  <c r="G438" i="2"/>
  <c r="W437" i="2"/>
  <c r="U437" i="2"/>
  <c r="U438" i="2" s="1"/>
  <c r="S437" i="2"/>
  <c r="Q437" i="2"/>
  <c r="Q438" i="2" s="1"/>
  <c r="O437" i="2"/>
  <c r="N437" i="2"/>
  <c r="N438" i="2" s="1"/>
  <c r="M437" i="2"/>
  <c r="M438" i="2" s="1"/>
  <c r="L437" i="2"/>
  <c r="K437" i="2"/>
  <c r="K438" i="2" s="1"/>
  <c r="I437" i="2"/>
  <c r="I438" i="2" s="1"/>
  <c r="H437" i="2"/>
  <c r="H438" i="2" s="1"/>
  <c r="G437" i="2"/>
  <c r="P436" i="2"/>
  <c r="X436" i="2" s="1"/>
  <c r="K436" i="2"/>
  <c r="J436" i="2"/>
  <c r="J437" i="2" s="1"/>
  <c r="J419" i="2" s="1"/>
  <c r="Y432" i="2"/>
  <c r="Z432" i="2" s="1"/>
  <c r="X432" i="2"/>
  <c r="T432" i="2"/>
  <c r="R432" i="2"/>
  <c r="P432" i="2"/>
  <c r="V432" i="2" s="1"/>
  <c r="Z431" i="2"/>
  <c r="Y431" i="2"/>
  <c r="P431" i="2"/>
  <c r="X431" i="2" s="1"/>
  <c r="Y430" i="2"/>
  <c r="Z430" i="2" s="1"/>
  <c r="V430" i="2"/>
  <c r="T430" i="2"/>
  <c r="P430" i="2"/>
  <c r="X430" i="2" s="1"/>
  <c r="J428" i="2"/>
  <c r="H428" i="2"/>
  <c r="Y427" i="2"/>
  <c r="W427" i="2"/>
  <c r="V427" i="2"/>
  <c r="U427" i="2"/>
  <c r="T427" i="2"/>
  <c r="S427" i="2"/>
  <c r="S428" i="2" s="1"/>
  <c r="Q427" i="2"/>
  <c r="O427" i="2"/>
  <c r="N427" i="2"/>
  <c r="M427" i="2"/>
  <c r="L427" i="2"/>
  <c r="L419" i="2" s="1"/>
  <c r="K427" i="2"/>
  <c r="K428" i="2" s="1"/>
  <c r="J427" i="2"/>
  <c r="I427" i="2"/>
  <c r="I419" i="2" s="1"/>
  <c r="H427" i="2"/>
  <c r="G427" i="2"/>
  <c r="Z426" i="2"/>
  <c r="Z427" i="2" s="1"/>
  <c r="Y426" i="2"/>
  <c r="X426" i="2"/>
  <c r="V426" i="2"/>
  <c r="T426" i="2"/>
  <c r="R426" i="2"/>
  <c r="P426" i="2"/>
  <c r="P427" i="2" s="1"/>
  <c r="Y425" i="2"/>
  <c r="Y428" i="2" s="1"/>
  <c r="W425" i="2"/>
  <c r="U425" i="2"/>
  <c r="S425" i="2"/>
  <c r="Q425" i="2"/>
  <c r="O425" i="2"/>
  <c r="N425" i="2"/>
  <c r="M425" i="2"/>
  <c r="M428" i="2" s="1"/>
  <c r="L425" i="2"/>
  <c r="K425" i="2"/>
  <c r="J425" i="2"/>
  <c r="J418" i="2" s="1"/>
  <c r="I425" i="2"/>
  <c r="H425" i="2"/>
  <c r="G425" i="2"/>
  <c r="Z424" i="2"/>
  <c r="Z425" i="2" s="1"/>
  <c r="P424" i="2"/>
  <c r="S420" i="2"/>
  <c r="K420" i="2"/>
  <c r="W419" i="2"/>
  <c r="U419" i="2"/>
  <c r="S419" i="2"/>
  <c r="O419" i="2"/>
  <c r="M419" i="2"/>
  <c r="K419" i="2"/>
  <c r="G419" i="2"/>
  <c r="S418" i="2"/>
  <c r="Q418" i="2"/>
  <c r="N418" i="2"/>
  <c r="K418" i="2"/>
  <c r="H418" i="2"/>
  <c r="W414" i="2"/>
  <c r="U414" i="2"/>
  <c r="O414" i="2"/>
  <c r="M414" i="2"/>
  <c r="J414" i="2"/>
  <c r="G414" i="2"/>
  <c r="Y413" i="2"/>
  <c r="Y414" i="2" s="1"/>
  <c r="W413" i="2"/>
  <c r="U413" i="2"/>
  <c r="S413" i="2"/>
  <c r="Q413" i="2"/>
  <c r="O413" i="2"/>
  <c r="N413" i="2"/>
  <c r="N414" i="2" s="1"/>
  <c r="M413" i="2"/>
  <c r="L413" i="2"/>
  <c r="L414" i="2" s="1"/>
  <c r="K413" i="2"/>
  <c r="K414" i="2" s="1"/>
  <c r="J413" i="2"/>
  <c r="I413" i="2"/>
  <c r="I414" i="2" s="1"/>
  <c r="H413" i="2"/>
  <c r="H414" i="2" s="1"/>
  <c r="G413" i="2"/>
  <c r="Z412" i="2"/>
  <c r="Y412" i="2"/>
  <c r="V412" i="2"/>
  <c r="R412" i="2"/>
  <c r="P412" i="2"/>
  <c r="X412" i="2" s="1"/>
  <c r="Z411" i="2"/>
  <c r="Z413" i="2" s="1"/>
  <c r="Z414" i="2" s="1"/>
  <c r="Y411" i="2"/>
  <c r="T411" i="2"/>
  <c r="P411" i="2"/>
  <c r="Y407" i="2"/>
  <c r="Z407" i="2" s="1"/>
  <c r="X407" i="2"/>
  <c r="T407" i="2"/>
  <c r="R407" i="2"/>
  <c r="P407" i="2"/>
  <c r="V407" i="2" s="1"/>
  <c r="Z406" i="2"/>
  <c r="Y406" i="2"/>
  <c r="P406" i="2"/>
  <c r="Y405" i="2"/>
  <c r="Z405" i="2" s="1"/>
  <c r="V405" i="2"/>
  <c r="T405" i="2"/>
  <c r="P405" i="2"/>
  <c r="X405" i="2" s="1"/>
  <c r="Z404" i="2"/>
  <c r="Y404" i="2"/>
  <c r="X404" i="2"/>
  <c r="V404" i="2"/>
  <c r="T404" i="2"/>
  <c r="R404" i="2"/>
  <c r="P404" i="2"/>
  <c r="W402" i="2"/>
  <c r="Q402" i="2"/>
  <c r="O402" i="2"/>
  <c r="L402" i="2"/>
  <c r="I402" i="2"/>
  <c r="G402" i="2"/>
  <c r="W401" i="2"/>
  <c r="U401" i="2"/>
  <c r="S401" i="2"/>
  <c r="Q401" i="2"/>
  <c r="O401" i="2"/>
  <c r="N401" i="2"/>
  <c r="N402" i="2" s="1"/>
  <c r="M401" i="2"/>
  <c r="L401" i="2"/>
  <c r="K401" i="2"/>
  <c r="J401" i="2"/>
  <c r="J402" i="2" s="1"/>
  <c r="I401" i="2"/>
  <c r="H401" i="2"/>
  <c r="H382" i="2" s="1"/>
  <c r="G401" i="2"/>
  <c r="Y400" i="2"/>
  <c r="V400" i="2"/>
  <c r="P400" i="2"/>
  <c r="T400" i="2" s="1"/>
  <c r="Y399" i="2"/>
  <c r="Z399" i="2" s="1"/>
  <c r="X399" i="2"/>
  <c r="T399" i="2"/>
  <c r="P399" i="2"/>
  <c r="R399" i="2" s="1"/>
  <c r="Z398" i="2"/>
  <c r="Y398" i="2"/>
  <c r="V398" i="2"/>
  <c r="R398" i="2"/>
  <c r="P398" i="2"/>
  <c r="X398" i="2" s="1"/>
  <c r="Z394" i="2"/>
  <c r="X394" i="2"/>
  <c r="T394" i="2"/>
  <c r="R394" i="2"/>
  <c r="P394" i="2"/>
  <c r="V394" i="2" s="1"/>
  <c r="Z393" i="2"/>
  <c r="X393" i="2"/>
  <c r="V393" i="2"/>
  <c r="T393" i="2"/>
  <c r="P393" i="2"/>
  <c r="R393" i="2" s="1"/>
  <c r="U391" i="2"/>
  <c r="O391" i="2"/>
  <c r="M391" i="2"/>
  <c r="J391" i="2"/>
  <c r="G391" i="2"/>
  <c r="Y390" i="2"/>
  <c r="W390" i="2"/>
  <c r="W391" i="2" s="1"/>
  <c r="U390" i="2"/>
  <c r="S390" i="2"/>
  <c r="Q390" i="2"/>
  <c r="O390" i="2"/>
  <c r="N390" i="2"/>
  <c r="N382" i="2" s="1"/>
  <c r="M390" i="2"/>
  <c r="L390" i="2"/>
  <c r="K390" i="2"/>
  <c r="J390" i="2"/>
  <c r="I390" i="2"/>
  <c r="H390" i="2"/>
  <c r="G390" i="2"/>
  <c r="Z389" i="2"/>
  <c r="Z390" i="2" s="1"/>
  <c r="V389" i="2"/>
  <c r="P389" i="2"/>
  <c r="T389" i="2" s="1"/>
  <c r="Y388" i="2"/>
  <c r="Y391" i="2" s="1"/>
  <c r="X388" i="2"/>
  <c r="W388" i="2"/>
  <c r="U388" i="2"/>
  <c r="S388" i="2"/>
  <c r="Q388" i="2"/>
  <c r="P388" i="2"/>
  <c r="O388" i="2"/>
  <c r="N388" i="2"/>
  <c r="M388" i="2"/>
  <c r="L388" i="2"/>
  <c r="K388" i="2"/>
  <c r="J388" i="2"/>
  <c r="I388" i="2"/>
  <c r="I391" i="2" s="1"/>
  <c r="H388" i="2"/>
  <c r="H381" i="2" s="1"/>
  <c r="G388" i="2"/>
  <c r="Z387" i="2"/>
  <c r="Z388" i="2" s="1"/>
  <c r="X387" i="2"/>
  <c r="V387" i="2"/>
  <c r="T387" i="2"/>
  <c r="P387" i="2"/>
  <c r="R387" i="2" s="1"/>
  <c r="W382" i="2"/>
  <c r="Q382" i="2"/>
  <c r="O382" i="2"/>
  <c r="L382" i="2"/>
  <c r="J382" i="2"/>
  <c r="I382" i="2"/>
  <c r="G382" i="2"/>
  <c r="W381" i="2"/>
  <c r="W383" i="2" s="1"/>
  <c r="U381" i="2"/>
  <c r="O381" i="2"/>
  <c r="O383" i="2" s="1"/>
  <c r="M381" i="2"/>
  <c r="J381" i="2"/>
  <c r="J383" i="2" s="1"/>
  <c r="G381" i="2"/>
  <c r="G383" i="2" s="1"/>
  <c r="P377" i="2"/>
  <c r="Y376" i="2"/>
  <c r="Z376" i="2" s="1"/>
  <c r="V376" i="2"/>
  <c r="T376" i="2"/>
  <c r="P376" i="2"/>
  <c r="X376" i="2" s="1"/>
  <c r="Z375" i="2"/>
  <c r="Z371" i="2" s="1"/>
  <c r="Z372" i="2" s="1"/>
  <c r="Z373" i="2" s="1"/>
  <c r="Y375" i="2"/>
  <c r="X375" i="2"/>
  <c r="V375" i="2"/>
  <c r="T375" i="2"/>
  <c r="R375" i="2"/>
  <c r="P375" i="2"/>
  <c r="W373" i="2"/>
  <c r="O373" i="2"/>
  <c r="M373" i="2"/>
  <c r="L373" i="2"/>
  <c r="G373" i="2"/>
  <c r="W372" i="2"/>
  <c r="U372" i="2"/>
  <c r="S372" i="2"/>
  <c r="Q372" i="2"/>
  <c r="O372" i="2"/>
  <c r="N372" i="2"/>
  <c r="N373" i="2" s="1"/>
  <c r="M372" i="2"/>
  <c r="L372" i="2"/>
  <c r="K372" i="2"/>
  <c r="K373" i="2" s="1"/>
  <c r="J372" i="2"/>
  <c r="J373" i="2" s="1"/>
  <c r="I372" i="2"/>
  <c r="I373" i="2" s="1"/>
  <c r="H372" i="2"/>
  <c r="H373" i="2" s="1"/>
  <c r="G372" i="2"/>
  <c r="T371" i="2"/>
  <c r="P371" i="2"/>
  <c r="X371" i="2" s="1"/>
  <c r="K371" i="2"/>
  <c r="Y367" i="2"/>
  <c r="Z367" i="2" s="1"/>
  <c r="T367" i="2"/>
  <c r="R367" i="2"/>
  <c r="P367" i="2"/>
  <c r="X367" i="2" s="1"/>
  <c r="U365" i="2"/>
  <c r="S365" i="2"/>
  <c r="N365" i="2"/>
  <c r="M365" i="2"/>
  <c r="K365" i="2"/>
  <c r="H365" i="2"/>
  <c r="Z364" i="2"/>
  <c r="Z354" i="2" s="1"/>
  <c r="W364" i="2"/>
  <c r="U364" i="2"/>
  <c r="S364" i="2"/>
  <c r="Q364" i="2"/>
  <c r="O364" i="2"/>
  <c r="N364" i="2"/>
  <c r="M364" i="2"/>
  <c r="L364" i="2"/>
  <c r="K364" i="2"/>
  <c r="J364" i="2"/>
  <c r="J354" i="2" s="1"/>
  <c r="I364" i="2"/>
  <c r="H364" i="2"/>
  <c r="G364" i="2"/>
  <c r="Y363" i="2"/>
  <c r="Z363" i="2" s="1"/>
  <c r="T363" i="2"/>
  <c r="P363" i="2"/>
  <c r="V363" i="2" s="1"/>
  <c r="Z362" i="2"/>
  <c r="Y362" i="2"/>
  <c r="P362" i="2"/>
  <c r="Y361" i="2"/>
  <c r="Z361" i="2" s="1"/>
  <c r="V361" i="2"/>
  <c r="P361" i="2"/>
  <c r="Z360" i="2"/>
  <c r="Y360" i="2"/>
  <c r="W360" i="2"/>
  <c r="U360" i="2"/>
  <c r="S360" i="2"/>
  <c r="Q360" i="2"/>
  <c r="O360" i="2"/>
  <c r="O365" i="2" s="1"/>
  <c r="N360" i="2"/>
  <c r="M360" i="2"/>
  <c r="M353" i="2" s="1"/>
  <c r="L360" i="2"/>
  <c r="K360" i="2"/>
  <c r="K353" i="2" s="1"/>
  <c r="J360" i="2"/>
  <c r="J365" i="2" s="1"/>
  <c r="I360" i="2"/>
  <c r="H360" i="2"/>
  <c r="G360" i="2"/>
  <c r="G365" i="2" s="1"/>
  <c r="Z359" i="2"/>
  <c r="T359" i="2"/>
  <c r="P359" i="2"/>
  <c r="V359" i="2" s="1"/>
  <c r="O355" i="2"/>
  <c r="H355" i="2"/>
  <c r="S354" i="2"/>
  <c r="O354" i="2"/>
  <c r="O348" i="2" s="1"/>
  <c r="N354" i="2"/>
  <c r="K354" i="2"/>
  <c r="G354" i="2"/>
  <c r="G348" i="2" s="1"/>
  <c r="Y353" i="2"/>
  <c r="W353" i="2"/>
  <c r="S353" i="2"/>
  <c r="O353" i="2"/>
  <c r="N353" i="2"/>
  <c r="L353" i="2"/>
  <c r="J353" i="2"/>
  <c r="G353" i="2"/>
  <c r="G355" i="2" s="1"/>
  <c r="J348" i="2"/>
  <c r="M343" i="2"/>
  <c r="J343" i="2"/>
  <c r="H343" i="2"/>
  <c r="Z342" i="2"/>
  <c r="Y342" i="2"/>
  <c r="Y307" i="2" s="1"/>
  <c r="W342" i="2"/>
  <c r="U342" i="2"/>
  <c r="S342" i="2"/>
  <c r="Q342" i="2"/>
  <c r="O342" i="2"/>
  <c r="N342" i="2"/>
  <c r="N307" i="2" s="1"/>
  <c r="M342" i="2"/>
  <c r="L342" i="2"/>
  <c r="L307" i="2" s="1"/>
  <c r="K342" i="2"/>
  <c r="J342" i="2"/>
  <c r="I342" i="2"/>
  <c r="I307" i="2" s="1"/>
  <c r="I250" i="2" s="1"/>
  <c r="H342" i="2"/>
  <c r="G342" i="2"/>
  <c r="X341" i="2"/>
  <c r="T341" i="2"/>
  <c r="P341" i="2"/>
  <c r="V341" i="2" s="1"/>
  <c r="W340" i="2"/>
  <c r="U340" i="2"/>
  <c r="S340" i="2"/>
  <c r="Q340" i="2"/>
  <c r="O340" i="2"/>
  <c r="N340" i="2"/>
  <c r="M340" i="2"/>
  <c r="L340" i="2"/>
  <c r="K340" i="2"/>
  <c r="K343" i="2" s="1"/>
  <c r="J340" i="2"/>
  <c r="I340" i="2"/>
  <c r="H340" i="2"/>
  <c r="G340" i="2"/>
  <c r="P339" i="2"/>
  <c r="Y338" i="2"/>
  <c r="Z338" i="2" s="1"/>
  <c r="Z340" i="2" s="1"/>
  <c r="X338" i="2"/>
  <c r="T338" i="2"/>
  <c r="P338" i="2"/>
  <c r="V338" i="2" s="1"/>
  <c r="Z337" i="2"/>
  <c r="Y337" i="2"/>
  <c r="Y340" i="2" s="1"/>
  <c r="X337" i="2"/>
  <c r="V337" i="2"/>
  <c r="R337" i="2"/>
  <c r="P337" i="2"/>
  <c r="T337" i="2" s="1"/>
  <c r="Y336" i="2"/>
  <c r="W336" i="2"/>
  <c r="U336" i="2"/>
  <c r="S336" i="2"/>
  <c r="Q336" i="2"/>
  <c r="O336" i="2"/>
  <c r="O343" i="2" s="1"/>
  <c r="N336" i="2"/>
  <c r="M336" i="2"/>
  <c r="L336" i="2"/>
  <c r="K336" i="2"/>
  <c r="J336" i="2"/>
  <c r="I336" i="2"/>
  <c r="H336" i="2"/>
  <c r="G336" i="2"/>
  <c r="G343" i="2" s="1"/>
  <c r="Z335" i="2"/>
  <c r="Z336" i="2" s="1"/>
  <c r="Z343" i="2" s="1"/>
  <c r="V335" i="2"/>
  <c r="P335" i="2"/>
  <c r="Z334" i="2"/>
  <c r="X334" i="2"/>
  <c r="V334" i="2"/>
  <c r="R334" i="2"/>
  <c r="P334" i="2"/>
  <c r="T334" i="2" s="1"/>
  <c r="Y329" i="2"/>
  <c r="Z329" i="2" s="1"/>
  <c r="T329" i="2"/>
  <c r="P329" i="2"/>
  <c r="U327" i="2"/>
  <c r="S327" i="2"/>
  <c r="N327" i="2"/>
  <c r="M327" i="2"/>
  <c r="K327" i="2"/>
  <c r="H327" i="2"/>
  <c r="Y326" i="2"/>
  <c r="Y327" i="2" s="1"/>
  <c r="W326" i="2"/>
  <c r="U326" i="2"/>
  <c r="S326" i="2"/>
  <c r="Q326" i="2"/>
  <c r="O326" i="2"/>
  <c r="N326" i="2"/>
  <c r="M326" i="2"/>
  <c r="L326" i="2"/>
  <c r="K326" i="2"/>
  <c r="J326" i="2"/>
  <c r="I326" i="2"/>
  <c r="H326" i="2"/>
  <c r="G326" i="2"/>
  <c r="Y325" i="2"/>
  <c r="Z325" i="2" s="1"/>
  <c r="Z326" i="2" s="1"/>
  <c r="X325" i="2"/>
  <c r="V325" i="2"/>
  <c r="T325" i="2"/>
  <c r="R325" i="2"/>
  <c r="P325" i="2"/>
  <c r="P326" i="2" s="1"/>
  <c r="T326" i="2" s="1"/>
  <c r="Z324" i="2"/>
  <c r="Y324" i="2"/>
  <c r="W324" i="2"/>
  <c r="U324" i="2"/>
  <c r="S324" i="2"/>
  <c r="Q324" i="2"/>
  <c r="O324" i="2"/>
  <c r="N324" i="2"/>
  <c r="M324" i="2"/>
  <c r="L324" i="2"/>
  <c r="K324" i="2"/>
  <c r="J324" i="2"/>
  <c r="I324" i="2"/>
  <c r="H324" i="2"/>
  <c r="H305" i="2" s="1"/>
  <c r="G324" i="2"/>
  <c r="T323" i="2"/>
  <c r="P323" i="2"/>
  <c r="Z319" i="2"/>
  <c r="P319" i="2"/>
  <c r="K319" i="2"/>
  <c r="Z318" i="2"/>
  <c r="T318" i="2"/>
  <c r="P318" i="2"/>
  <c r="X318" i="2" s="1"/>
  <c r="Z317" i="2"/>
  <c r="Y317" i="2"/>
  <c r="X317" i="2"/>
  <c r="V317" i="2"/>
  <c r="T317" i="2"/>
  <c r="R317" i="2"/>
  <c r="P317" i="2"/>
  <c r="Y316" i="2"/>
  <c r="Z316" i="2" s="1"/>
  <c r="P316" i="2"/>
  <c r="Y314" i="2"/>
  <c r="S314" i="2"/>
  <c r="T314" i="2" s="1"/>
  <c r="Q314" i="2"/>
  <c r="P314" i="2"/>
  <c r="N314" i="2"/>
  <c r="K314" i="2"/>
  <c r="I314" i="2"/>
  <c r="H314" i="2"/>
  <c r="Z313" i="2"/>
  <c r="Y313" i="2"/>
  <c r="W313" i="2"/>
  <c r="U313" i="2"/>
  <c r="T313" i="2"/>
  <c r="S313" i="2"/>
  <c r="R313" i="2"/>
  <c r="Q313" i="2"/>
  <c r="P313" i="2"/>
  <c r="O313" i="2"/>
  <c r="N313" i="2"/>
  <c r="M313" i="2"/>
  <c r="L313" i="2"/>
  <c r="L314" i="2" s="1"/>
  <c r="K313" i="2"/>
  <c r="J313" i="2"/>
  <c r="I313" i="2"/>
  <c r="H313" i="2"/>
  <c r="G313" i="2"/>
  <c r="Z312" i="2"/>
  <c r="X312" i="2"/>
  <c r="V312" i="2"/>
  <c r="R312" i="2"/>
  <c r="P312" i="2"/>
  <c r="T312" i="2" s="1"/>
  <c r="Y308" i="2"/>
  <c r="Z307" i="2"/>
  <c r="W307" i="2"/>
  <c r="U307" i="2"/>
  <c r="S307" i="2"/>
  <c r="O307" i="2"/>
  <c r="M307" i="2"/>
  <c r="K307" i="2"/>
  <c r="J307" i="2"/>
  <c r="H307" i="2"/>
  <c r="H250" i="2" s="1"/>
  <c r="G307" i="2"/>
  <c r="Y306" i="2"/>
  <c r="S306" i="2"/>
  <c r="Q306" i="2"/>
  <c r="N306" i="2"/>
  <c r="L306" i="2"/>
  <c r="K306" i="2"/>
  <c r="Y305" i="2"/>
  <c r="W305" i="2"/>
  <c r="U305" i="2"/>
  <c r="S305" i="2"/>
  <c r="S308" i="2" s="1"/>
  <c r="O305" i="2"/>
  <c r="M305" i="2"/>
  <c r="L305" i="2"/>
  <c r="K305" i="2"/>
  <c r="K308" i="2" s="1"/>
  <c r="G305" i="2"/>
  <c r="U301" i="2"/>
  <c r="S301" i="2"/>
  <c r="N301" i="2"/>
  <c r="M301" i="2"/>
  <c r="K301" i="2"/>
  <c r="H301" i="2"/>
  <c r="Y300" i="2"/>
  <c r="Y301" i="2" s="1"/>
  <c r="W300" i="2"/>
  <c r="U300" i="2"/>
  <c r="S300" i="2"/>
  <c r="Q300" i="2"/>
  <c r="O300" i="2"/>
  <c r="O301" i="2" s="1"/>
  <c r="N300" i="2"/>
  <c r="M300" i="2"/>
  <c r="L300" i="2"/>
  <c r="L301" i="2" s="1"/>
  <c r="K300" i="2"/>
  <c r="J300" i="2"/>
  <c r="J301" i="2" s="1"/>
  <c r="I300" i="2"/>
  <c r="I301" i="2" s="1"/>
  <c r="H300" i="2"/>
  <c r="G300" i="2"/>
  <c r="G301" i="2" s="1"/>
  <c r="Y299" i="2"/>
  <c r="Z299" i="2" s="1"/>
  <c r="Z300" i="2" s="1"/>
  <c r="Z301" i="2" s="1"/>
  <c r="X299" i="2"/>
  <c r="T299" i="2"/>
  <c r="R299" i="2"/>
  <c r="P299" i="2"/>
  <c r="P300" i="2" s="1"/>
  <c r="P301" i="2" s="1"/>
  <c r="Z295" i="2"/>
  <c r="Y295" i="2"/>
  <c r="P295" i="2"/>
  <c r="Y294" i="2"/>
  <c r="Z294" i="2" s="1"/>
  <c r="T294" i="2"/>
  <c r="P294" i="2"/>
  <c r="X294" i="2" s="1"/>
  <c r="U292" i="2"/>
  <c r="M292" i="2"/>
  <c r="J292" i="2"/>
  <c r="Y291" i="2"/>
  <c r="W291" i="2"/>
  <c r="U291" i="2"/>
  <c r="S291" i="2"/>
  <c r="Q291" i="2"/>
  <c r="O291" i="2"/>
  <c r="N291" i="2"/>
  <c r="M291" i="2"/>
  <c r="L291" i="2"/>
  <c r="K291" i="2"/>
  <c r="J291" i="2"/>
  <c r="I291" i="2"/>
  <c r="I256" i="2" s="1"/>
  <c r="H291" i="2"/>
  <c r="G291" i="2"/>
  <c r="Z290" i="2"/>
  <c r="Y290" i="2"/>
  <c r="X290" i="2"/>
  <c r="V290" i="2"/>
  <c r="T290" i="2"/>
  <c r="R290" i="2"/>
  <c r="P290" i="2"/>
  <c r="Y289" i="2"/>
  <c r="Z289" i="2" s="1"/>
  <c r="V289" i="2"/>
  <c r="P289" i="2"/>
  <c r="Z288" i="2"/>
  <c r="Y288" i="2"/>
  <c r="Y292" i="2" s="1"/>
  <c r="X288" i="2"/>
  <c r="W288" i="2"/>
  <c r="W292" i="2" s="1"/>
  <c r="V288" i="2"/>
  <c r="U288" i="2"/>
  <c r="S288" i="2"/>
  <c r="Q288" i="2"/>
  <c r="P288" i="2"/>
  <c r="O288" i="2"/>
  <c r="O292" i="2" s="1"/>
  <c r="N288" i="2"/>
  <c r="N292" i="2" s="1"/>
  <c r="M288" i="2"/>
  <c r="L288" i="2"/>
  <c r="L292" i="2" s="1"/>
  <c r="K288" i="2"/>
  <c r="K292" i="2" s="1"/>
  <c r="J288" i="2"/>
  <c r="I288" i="2"/>
  <c r="H288" i="2"/>
  <c r="H292" i="2" s="1"/>
  <c r="G288" i="2"/>
  <c r="G292" i="2" s="1"/>
  <c r="X287" i="2"/>
  <c r="T287" i="2"/>
  <c r="R287" i="2"/>
  <c r="P287" i="2"/>
  <c r="V287" i="2" s="1"/>
  <c r="X283" i="2"/>
  <c r="V283" i="2"/>
  <c r="R283" i="2"/>
  <c r="P283" i="2"/>
  <c r="T283" i="2" s="1"/>
  <c r="W281" i="2"/>
  <c r="I281" i="2"/>
  <c r="Y280" i="2"/>
  <c r="X280" i="2"/>
  <c r="W280" i="2"/>
  <c r="U280" i="2"/>
  <c r="V280" i="2" s="1"/>
  <c r="S280" i="2"/>
  <c r="R280" i="2"/>
  <c r="Q280" i="2"/>
  <c r="P280" i="2"/>
  <c r="O280" i="2"/>
  <c r="N280" i="2"/>
  <c r="N281" i="2" s="1"/>
  <c r="M280" i="2"/>
  <c r="L280" i="2"/>
  <c r="K280" i="2"/>
  <c r="K256" i="2" s="1"/>
  <c r="J280" i="2"/>
  <c r="I280" i="2"/>
  <c r="H280" i="2"/>
  <c r="G280" i="2"/>
  <c r="Z279" i="2"/>
  <c r="Z280" i="2" s="1"/>
  <c r="X279" i="2"/>
  <c r="T279" i="2"/>
  <c r="R279" i="2"/>
  <c r="P279" i="2"/>
  <c r="V279" i="2" s="1"/>
  <c r="W278" i="2"/>
  <c r="U278" i="2"/>
  <c r="S278" i="2"/>
  <c r="S281" i="2" s="1"/>
  <c r="Q278" i="2"/>
  <c r="Q281" i="2" s="1"/>
  <c r="O278" i="2"/>
  <c r="O281" i="2" s="1"/>
  <c r="N278" i="2"/>
  <c r="M278" i="2"/>
  <c r="L278" i="2"/>
  <c r="L281" i="2" s="1"/>
  <c r="K278" i="2"/>
  <c r="K281" i="2" s="1"/>
  <c r="J278" i="2"/>
  <c r="J281" i="2" s="1"/>
  <c r="I278" i="2"/>
  <c r="H278" i="2"/>
  <c r="H281" i="2" s="1"/>
  <c r="G278" i="2"/>
  <c r="G281" i="2" s="1"/>
  <c r="Y277" i="2"/>
  <c r="Z277" i="2" s="1"/>
  <c r="P277" i="2"/>
  <c r="Z276" i="2"/>
  <c r="Y276" i="2"/>
  <c r="P276" i="2"/>
  <c r="T276" i="2" s="1"/>
  <c r="Y275" i="2"/>
  <c r="V275" i="2"/>
  <c r="T275" i="2"/>
  <c r="P275" i="2"/>
  <c r="Y271" i="2"/>
  <c r="Z271" i="2" s="1"/>
  <c r="X271" i="2"/>
  <c r="V271" i="2"/>
  <c r="T271" i="2"/>
  <c r="P271" i="2"/>
  <c r="R271" i="2" s="1"/>
  <c r="W268" i="2"/>
  <c r="U268" i="2"/>
  <c r="V268" i="2" s="1"/>
  <c r="S268" i="2"/>
  <c r="Q268" i="2"/>
  <c r="Q257" i="2" s="1"/>
  <c r="Q249" i="2" s="1"/>
  <c r="R249" i="2" s="1"/>
  <c r="O268" i="2"/>
  <c r="N268" i="2"/>
  <c r="M268" i="2"/>
  <c r="L268" i="2"/>
  <c r="K268" i="2"/>
  <c r="J268" i="2"/>
  <c r="I268" i="2"/>
  <c r="I257" i="2" s="1"/>
  <c r="I249" i="2" s="1"/>
  <c r="H268" i="2"/>
  <c r="G268" i="2"/>
  <c r="X267" i="2"/>
  <c r="V267" i="2"/>
  <c r="T267" i="2"/>
  <c r="R267" i="2"/>
  <c r="P267" i="2"/>
  <c r="P268" i="2" s="1"/>
  <c r="P257" i="2" s="1"/>
  <c r="P249" i="2" s="1"/>
  <c r="W266" i="2"/>
  <c r="X266" i="2" s="1"/>
  <c r="U266" i="2"/>
  <c r="S266" i="2"/>
  <c r="Q266" i="2"/>
  <c r="O266" i="2"/>
  <c r="N266" i="2"/>
  <c r="M266" i="2"/>
  <c r="M256" i="2" s="1"/>
  <c r="L266" i="2"/>
  <c r="L256" i="2" s="1"/>
  <c r="L248" i="2" s="1"/>
  <c r="K266" i="2"/>
  <c r="J266" i="2"/>
  <c r="I266" i="2"/>
  <c r="H266" i="2"/>
  <c r="G266" i="2"/>
  <c r="Y265" i="2"/>
  <c r="X265" i="2"/>
  <c r="R265" i="2"/>
  <c r="P265" i="2"/>
  <c r="V265" i="2" s="1"/>
  <c r="Z264" i="2"/>
  <c r="X264" i="2"/>
  <c r="V264" i="2"/>
  <c r="T264" i="2"/>
  <c r="R264" i="2"/>
  <c r="P264" i="2"/>
  <c r="P266" i="2" s="1"/>
  <c r="T266" i="2" s="1"/>
  <c r="Z263" i="2"/>
  <c r="Y263" i="2"/>
  <c r="W263" i="2"/>
  <c r="W255" i="2" s="1"/>
  <c r="V263" i="2"/>
  <c r="U263" i="2"/>
  <c r="U255" i="2" s="1"/>
  <c r="S263" i="2"/>
  <c r="S269" i="2" s="1"/>
  <c r="Q263" i="2"/>
  <c r="Q269" i="2" s="1"/>
  <c r="P263" i="2"/>
  <c r="T263" i="2" s="1"/>
  <c r="O263" i="2"/>
  <c r="O255" i="2" s="1"/>
  <c r="N263" i="2"/>
  <c r="N255" i="2" s="1"/>
  <c r="N258" i="2" s="1"/>
  <c r="M263" i="2"/>
  <c r="M255" i="2" s="1"/>
  <c r="L263" i="2"/>
  <c r="L269" i="2" s="1"/>
  <c r="K263" i="2"/>
  <c r="K269" i="2" s="1"/>
  <c r="J263" i="2"/>
  <c r="I263" i="2"/>
  <c r="I269" i="2" s="1"/>
  <c r="H263" i="2"/>
  <c r="H255" i="2" s="1"/>
  <c r="H258" i="2" s="1"/>
  <c r="G263" i="2"/>
  <c r="G255" i="2" s="1"/>
  <c r="X262" i="2"/>
  <c r="V262" i="2"/>
  <c r="P262" i="2"/>
  <c r="T262" i="2" s="1"/>
  <c r="O258" i="2"/>
  <c r="G258" i="2"/>
  <c r="W257" i="2"/>
  <c r="X257" i="2" s="1"/>
  <c r="U257" i="2"/>
  <c r="U249" i="2" s="1"/>
  <c r="V249" i="2" s="1"/>
  <c r="S257" i="2"/>
  <c r="O257" i="2"/>
  <c r="N257" i="2"/>
  <c r="M257" i="2"/>
  <c r="M249" i="2" s="1"/>
  <c r="L257" i="2"/>
  <c r="L249" i="2" s="1"/>
  <c r="K257" i="2"/>
  <c r="K249" i="2" s="1"/>
  <c r="J257" i="2"/>
  <c r="J249" i="2" s="1"/>
  <c r="H257" i="2"/>
  <c r="G257" i="2"/>
  <c r="W256" i="2"/>
  <c r="O256" i="2"/>
  <c r="N256" i="2"/>
  <c r="N248" i="2" s="1"/>
  <c r="J256" i="2"/>
  <c r="H256" i="2"/>
  <c r="H248" i="2" s="1"/>
  <c r="G256" i="2"/>
  <c r="S255" i="2"/>
  <c r="Q255" i="2"/>
  <c r="L255" i="2"/>
  <c r="L258" i="2" s="1"/>
  <c r="K255" i="2"/>
  <c r="J255" i="2"/>
  <c r="I255" i="2"/>
  <c r="Z250" i="2"/>
  <c r="Y250" i="2"/>
  <c r="W250" i="2"/>
  <c r="S250" i="2"/>
  <c r="O250" i="2"/>
  <c r="N250" i="2"/>
  <c r="M250" i="2"/>
  <c r="L250" i="2"/>
  <c r="K250" i="2"/>
  <c r="J250" i="2"/>
  <c r="G250" i="2"/>
  <c r="W249" i="2"/>
  <c r="X249" i="2" s="1"/>
  <c r="O249" i="2"/>
  <c r="N249" i="2"/>
  <c r="H249" i="2"/>
  <c r="G249" i="2"/>
  <c r="K248" i="2"/>
  <c r="W247" i="2"/>
  <c r="O247" i="2"/>
  <c r="H247" i="2"/>
  <c r="G247" i="2"/>
  <c r="X243" i="2"/>
  <c r="P243" i="2"/>
  <c r="V243" i="2" s="1"/>
  <c r="Y242" i="2"/>
  <c r="Z242" i="2" s="1"/>
  <c r="X242" i="2"/>
  <c r="V242" i="2"/>
  <c r="P242" i="2"/>
  <c r="T242" i="2" s="1"/>
  <c r="Y241" i="2"/>
  <c r="Z241" i="2" s="1"/>
  <c r="X241" i="2"/>
  <c r="V241" i="2"/>
  <c r="T241" i="2"/>
  <c r="P241" i="2"/>
  <c r="R241" i="2" s="1"/>
  <c r="Y240" i="2"/>
  <c r="Z240" i="2" s="1"/>
  <c r="X240" i="2"/>
  <c r="V240" i="2"/>
  <c r="T240" i="2"/>
  <c r="R240" i="2"/>
  <c r="P240" i="2"/>
  <c r="Y239" i="2"/>
  <c r="Z239" i="2" s="1"/>
  <c r="P239" i="2"/>
  <c r="U237" i="2"/>
  <c r="S237" i="2"/>
  <c r="N237" i="2"/>
  <c r="M237" i="2"/>
  <c r="Z236" i="2"/>
  <c r="Z211" i="2" s="1"/>
  <c r="Y236" i="2"/>
  <c r="Y211" i="2" s="1"/>
  <c r="W236" i="2"/>
  <c r="W211" i="2" s="1"/>
  <c r="U236" i="2"/>
  <c r="S236" i="2"/>
  <c r="Q236" i="2"/>
  <c r="O236" i="2"/>
  <c r="O211" i="2" s="1"/>
  <c r="N236" i="2"/>
  <c r="M236" i="2"/>
  <c r="L236" i="2"/>
  <c r="K236" i="2"/>
  <c r="J236" i="2"/>
  <c r="J211" i="2" s="1"/>
  <c r="I236" i="2"/>
  <c r="I211" i="2" s="1"/>
  <c r="H236" i="2"/>
  <c r="H211" i="2" s="1"/>
  <c r="G236" i="2"/>
  <c r="G211" i="2" s="1"/>
  <c r="Z235" i="2"/>
  <c r="Y235" i="2"/>
  <c r="R235" i="2"/>
  <c r="P235" i="2"/>
  <c r="W234" i="2"/>
  <c r="U234" i="2"/>
  <c r="S234" i="2"/>
  <c r="Q234" i="2"/>
  <c r="O234" i="2"/>
  <c r="N234" i="2"/>
  <c r="M234" i="2"/>
  <c r="L234" i="2"/>
  <c r="L210" i="2" s="1"/>
  <c r="K234" i="2"/>
  <c r="K210" i="2" s="1"/>
  <c r="K212" i="2" s="1"/>
  <c r="J234" i="2"/>
  <c r="H234" i="2"/>
  <c r="G234" i="2"/>
  <c r="T233" i="2"/>
  <c r="R233" i="2"/>
  <c r="P233" i="2"/>
  <c r="Z232" i="2"/>
  <c r="Y232" i="2"/>
  <c r="P232" i="2"/>
  <c r="I232" i="2"/>
  <c r="I234" i="2" s="1"/>
  <c r="Z231" i="2"/>
  <c r="Y231" i="2"/>
  <c r="P231" i="2"/>
  <c r="Z230" i="2"/>
  <c r="Z234" i="2" s="1"/>
  <c r="Y230" i="2"/>
  <c r="Y234" i="2" s="1"/>
  <c r="P230" i="2"/>
  <c r="Z229" i="2"/>
  <c r="Y229" i="2"/>
  <c r="W229" i="2"/>
  <c r="W237" i="2" s="1"/>
  <c r="U229" i="2"/>
  <c r="S229" i="2"/>
  <c r="Q229" i="2"/>
  <c r="O229" i="2"/>
  <c r="N229" i="2"/>
  <c r="M229" i="2"/>
  <c r="L229" i="2"/>
  <c r="K229" i="2"/>
  <c r="K209" i="2" s="1"/>
  <c r="J229" i="2"/>
  <c r="I229" i="2"/>
  <c r="H229" i="2"/>
  <c r="H237" i="2" s="1"/>
  <c r="G229" i="2"/>
  <c r="R228" i="2"/>
  <c r="P228" i="2"/>
  <c r="Z224" i="2"/>
  <c r="U224" i="2"/>
  <c r="S224" i="2"/>
  <c r="M224" i="2"/>
  <c r="L224" i="2"/>
  <c r="K224" i="2"/>
  <c r="J224" i="2"/>
  <c r="Y223" i="2"/>
  <c r="Y224" i="2" s="1"/>
  <c r="W223" i="2"/>
  <c r="U223" i="2"/>
  <c r="S223" i="2"/>
  <c r="Q223" i="2"/>
  <c r="Q224" i="2" s="1"/>
  <c r="P223" i="2"/>
  <c r="O223" i="2"/>
  <c r="O224" i="2" s="1"/>
  <c r="N223" i="2"/>
  <c r="N224" i="2" s="1"/>
  <c r="M223" i="2"/>
  <c r="L223" i="2"/>
  <c r="K223" i="2"/>
  <c r="J223" i="2"/>
  <c r="I223" i="2"/>
  <c r="I224" i="2" s="1"/>
  <c r="H223" i="2"/>
  <c r="G223" i="2"/>
  <c r="G224" i="2" s="1"/>
  <c r="Z222" i="2"/>
  <c r="Z223" i="2" s="1"/>
  <c r="Y222" i="2"/>
  <c r="P222" i="2"/>
  <c r="S218" i="2"/>
  <c r="Q218" i="2"/>
  <c r="L218" i="2"/>
  <c r="K218" i="2"/>
  <c r="J218" i="2"/>
  <c r="I218" i="2"/>
  <c r="W217" i="2"/>
  <c r="U217" i="2"/>
  <c r="S217" i="2"/>
  <c r="Q217" i="2"/>
  <c r="O217" i="2"/>
  <c r="N217" i="2"/>
  <c r="M217" i="2"/>
  <c r="L217" i="2"/>
  <c r="K217" i="2"/>
  <c r="J217" i="2"/>
  <c r="I217" i="2"/>
  <c r="H217" i="2"/>
  <c r="H218" i="2" s="1"/>
  <c r="G217" i="2"/>
  <c r="Y216" i="2"/>
  <c r="Y217" i="2" s="1"/>
  <c r="Y218" i="2" s="1"/>
  <c r="P216" i="2"/>
  <c r="U211" i="2"/>
  <c r="S211" i="2"/>
  <c r="N211" i="2"/>
  <c r="M211" i="2"/>
  <c r="L211" i="2"/>
  <c r="K211" i="2"/>
  <c r="Y210" i="2"/>
  <c r="S210" i="2"/>
  <c r="Q210" i="2"/>
  <c r="J210" i="2"/>
  <c r="I210" i="2"/>
  <c r="W209" i="2"/>
  <c r="U209" i="2"/>
  <c r="O209" i="2"/>
  <c r="N209" i="2"/>
  <c r="M209" i="2"/>
  <c r="L209" i="2"/>
  <c r="L212" i="2" s="1"/>
  <c r="H209" i="2"/>
  <c r="G209" i="2"/>
  <c r="Y205" i="2"/>
  <c r="Z205" i="2" s="1"/>
  <c r="X205" i="2"/>
  <c r="V205" i="2"/>
  <c r="R205" i="2"/>
  <c r="P205" i="2"/>
  <c r="T205" i="2" s="1"/>
  <c r="Z204" i="2"/>
  <c r="Y204" i="2"/>
  <c r="X204" i="2"/>
  <c r="V204" i="2"/>
  <c r="P204" i="2"/>
  <c r="T204" i="2" s="1"/>
  <c r="Z203" i="2"/>
  <c r="X203" i="2"/>
  <c r="V203" i="2"/>
  <c r="T203" i="2"/>
  <c r="R203" i="2"/>
  <c r="P203" i="2"/>
  <c r="Y202" i="2"/>
  <c r="Z202" i="2" s="1"/>
  <c r="T202" i="2"/>
  <c r="R202" i="2"/>
  <c r="P202" i="2"/>
  <c r="X202" i="2" s="1"/>
  <c r="Z201" i="2"/>
  <c r="Y201" i="2"/>
  <c r="R201" i="2"/>
  <c r="P201" i="2"/>
  <c r="U199" i="2"/>
  <c r="L199" i="2"/>
  <c r="Y198" i="2"/>
  <c r="W198" i="2"/>
  <c r="U198" i="2"/>
  <c r="S198" i="2"/>
  <c r="T198" i="2" s="1"/>
  <c r="Q198" i="2"/>
  <c r="P198" i="2"/>
  <c r="V198" i="2" s="1"/>
  <c r="O198" i="2"/>
  <c r="O185" i="2" s="1"/>
  <c r="N198" i="2"/>
  <c r="M198" i="2"/>
  <c r="L198" i="2"/>
  <c r="K198" i="2"/>
  <c r="J198" i="2"/>
  <c r="I198" i="2"/>
  <c r="H198" i="2"/>
  <c r="G198" i="2"/>
  <c r="G185" i="2" s="1"/>
  <c r="Z197" i="2"/>
  <c r="Z198" i="2" s="1"/>
  <c r="Y197" i="2"/>
  <c r="P197" i="2"/>
  <c r="Z196" i="2"/>
  <c r="Z199" i="2" s="1"/>
  <c r="Y196" i="2"/>
  <c r="Y184" i="2" s="1"/>
  <c r="W196" i="2"/>
  <c r="U196" i="2"/>
  <c r="S196" i="2"/>
  <c r="Q196" i="2"/>
  <c r="R196" i="2" s="1"/>
  <c r="O196" i="2"/>
  <c r="N196" i="2"/>
  <c r="M196" i="2"/>
  <c r="L196" i="2"/>
  <c r="K196" i="2"/>
  <c r="J196" i="2"/>
  <c r="J199" i="2" s="1"/>
  <c r="H196" i="2"/>
  <c r="G196" i="2"/>
  <c r="T195" i="2"/>
  <c r="R195" i="2"/>
  <c r="P195" i="2"/>
  <c r="V195" i="2" s="1"/>
  <c r="X194" i="2"/>
  <c r="V194" i="2"/>
  <c r="R194" i="2"/>
  <c r="P194" i="2"/>
  <c r="T194" i="2" s="1"/>
  <c r="I194" i="2"/>
  <c r="I196" i="2" s="1"/>
  <c r="I184" i="2" s="1"/>
  <c r="X193" i="2"/>
  <c r="V193" i="2"/>
  <c r="T193" i="2"/>
  <c r="R193" i="2"/>
  <c r="P193" i="2"/>
  <c r="V192" i="2"/>
  <c r="P192" i="2"/>
  <c r="P196" i="2" s="1"/>
  <c r="Z191" i="2"/>
  <c r="Y191" i="2"/>
  <c r="W191" i="2"/>
  <c r="U191" i="2"/>
  <c r="U183" i="2" s="1"/>
  <c r="U186" i="2" s="1"/>
  <c r="S191" i="2"/>
  <c r="T191" i="2" s="1"/>
  <c r="Q191" i="2"/>
  <c r="O191" i="2"/>
  <c r="N191" i="2"/>
  <c r="N199" i="2" s="1"/>
  <c r="M191" i="2"/>
  <c r="M183" i="2" s="1"/>
  <c r="M186" i="2" s="1"/>
  <c r="L191" i="2"/>
  <c r="L183" i="2" s="1"/>
  <c r="L186" i="2" s="1"/>
  <c r="K191" i="2"/>
  <c r="K199" i="2" s="1"/>
  <c r="J191" i="2"/>
  <c r="I191" i="2"/>
  <c r="H191" i="2"/>
  <c r="G191" i="2"/>
  <c r="X190" i="2"/>
  <c r="T190" i="2"/>
  <c r="R190" i="2"/>
  <c r="P190" i="2"/>
  <c r="P191" i="2" s="1"/>
  <c r="O186" i="2"/>
  <c r="G186" i="2"/>
  <c r="Z185" i="2"/>
  <c r="Y185" i="2"/>
  <c r="V185" i="2"/>
  <c r="U185" i="2"/>
  <c r="S185" i="2"/>
  <c r="T185" i="2" s="1"/>
  <c r="Q185" i="2"/>
  <c r="R185" i="2" s="1"/>
  <c r="P185" i="2"/>
  <c r="N185" i="2"/>
  <c r="M185" i="2"/>
  <c r="L185" i="2"/>
  <c r="K185" i="2"/>
  <c r="J185" i="2"/>
  <c r="I185" i="2"/>
  <c r="H185" i="2"/>
  <c r="Z184" i="2"/>
  <c r="Z186" i="2" s="1"/>
  <c r="W184" i="2"/>
  <c r="U184" i="2"/>
  <c r="Q184" i="2"/>
  <c r="O184" i="2"/>
  <c r="N184" i="2"/>
  <c r="M184" i="2"/>
  <c r="L184" i="2"/>
  <c r="K184" i="2"/>
  <c r="J184" i="2"/>
  <c r="J186" i="2" s="1"/>
  <c r="H184" i="2"/>
  <c r="G184" i="2"/>
  <c r="Z183" i="2"/>
  <c r="W183" i="2"/>
  <c r="S183" i="2"/>
  <c r="O183" i="2"/>
  <c r="N183" i="2"/>
  <c r="N186" i="2" s="1"/>
  <c r="K183" i="2"/>
  <c r="J183" i="2"/>
  <c r="H183" i="2"/>
  <c r="H186" i="2" s="1"/>
  <c r="G183" i="2"/>
  <c r="Z179" i="2"/>
  <c r="Y179" i="2"/>
  <c r="V179" i="2"/>
  <c r="P179" i="2"/>
  <c r="X179" i="2" s="1"/>
  <c r="P178" i="2"/>
  <c r="Y177" i="2"/>
  <c r="Z177" i="2" s="1"/>
  <c r="X177" i="2"/>
  <c r="V177" i="2"/>
  <c r="T177" i="2"/>
  <c r="P177" i="2"/>
  <c r="R177" i="2" s="1"/>
  <c r="Z176" i="2"/>
  <c r="Y176" i="2"/>
  <c r="X176" i="2"/>
  <c r="V176" i="2"/>
  <c r="T176" i="2"/>
  <c r="R176" i="2"/>
  <c r="P176" i="2"/>
  <c r="Y175" i="2"/>
  <c r="Z175" i="2" s="1"/>
  <c r="P175" i="2"/>
  <c r="Y174" i="2"/>
  <c r="Z174" i="2" s="1"/>
  <c r="X174" i="2"/>
  <c r="T174" i="2"/>
  <c r="R174" i="2"/>
  <c r="P174" i="2"/>
  <c r="V174" i="2" s="1"/>
  <c r="W172" i="2"/>
  <c r="O172" i="2"/>
  <c r="L172" i="2"/>
  <c r="J172" i="2"/>
  <c r="Y171" i="2"/>
  <c r="W171" i="2"/>
  <c r="U171" i="2"/>
  <c r="S171" i="2"/>
  <c r="Q171" i="2"/>
  <c r="O171" i="2"/>
  <c r="N171" i="2"/>
  <c r="N155" i="2" s="1"/>
  <c r="M171" i="2"/>
  <c r="L171" i="2"/>
  <c r="K171" i="2"/>
  <c r="K155" i="2" s="1"/>
  <c r="J171" i="2"/>
  <c r="I171" i="2"/>
  <c r="H171" i="2"/>
  <c r="H155" i="2" s="1"/>
  <c r="Z170" i="2"/>
  <c r="Z171" i="2" s="1"/>
  <c r="Z155" i="2" s="1"/>
  <c r="Y170" i="2"/>
  <c r="V170" i="2"/>
  <c r="P170" i="2"/>
  <c r="X170" i="2" s="1"/>
  <c r="H170" i="2"/>
  <c r="G170" i="2"/>
  <c r="G171" i="2" s="1"/>
  <c r="G155" i="2" s="1"/>
  <c r="W169" i="2"/>
  <c r="U169" i="2"/>
  <c r="S169" i="2"/>
  <c r="Q169" i="2"/>
  <c r="P169" i="2"/>
  <c r="X169" i="2" s="1"/>
  <c r="O169" i="2"/>
  <c r="N169" i="2"/>
  <c r="N154" i="2" s="1"/>
  <c r="M169" i="2"/>
  <c r="L169" i="2"/>
  <c r="K169" i="2"/>
  <c r="K154" i="2" s="1"/>
  <c r="J169" i="2"/>
  <c r="I169" i="2"/>
  <c r="H169" i="2"/>
  <c r="H154" i="2" s="1"/>
  <c r="Y168" i="2"/>
  <c r="Z168" i="2" s="1"/>
  <c r="V168" i="2"/>
  <c r="P168" i="2"/>
  <c r="H168" i="2"/>
  <c r="G168" i="2"/>
  <c r="G169" i="2" s="1"/>
  <c r="G154" i="2" s="1"/>
  <c r="Z167" i="2"/>
  <c r="Y167" i="2"/>
  <c r="X167" i="2"/>
  <c r="R167" i="2"/>
  <c r="P167" i="2"/>
  <c r="V167" i="2" s="1"/>
  <c r="Y166" i="2"/>
  <c r="Z166" i="2" s="1"/>
  <c r="V166" i="2"/>
  <c r="P166" i="2"/>
  <c r="Y165" i="2"/>
  <c r="Z165" i="2" s="1"/>
  <c r="X165" i="2"/>
  <c r="V165" i="2"/>
  <c r="T165" i="2"/>
  <c r="P165" i="2"/>
  <c r="R165" i="2" s="1"/>
  <c r="Z164" i="2"/>
  <c r="Y164" i="2"/>
  <c r="X164" i="2"/>
  <c r="V164" i="2"/>
  <c r="T164" i="2"/>
  <c r="R164" i="2"/>
  <c r="P164" i="2"/>
  <c r="Y163" i="2"/>
  <c r="P163" i="2"/>
  <c r="W162" i="2"/>
  <c r="U162" i="2"/>
  <c r="U172" i="2" s="1"/>
  <c r="S162" i="2"/>
  <c r="Q162" i="2"/>
  <c r="Q172" i="2" s="1"/>
  <c r="O162" i="2"/>
  <c r="M162" i="2"/>
  <c r="M172" i="2" s="1"/>
  <c r="L162" i="2"/>
  <c r="K162" i="2"/>
  <c r="J162" i="2"/>
  <c r="I162" i="2"/>
  <c r="I172" i="2" s="1"/>
  <c r="H162" i="2"/>
  <c r="Y161" i="2"/>
  <c r="Z161" i="2" s="1"/>
  <c r="V161" i="2"/>
  <c r="P161" i="2"/>
  <c r="H161" i="2"/>
  <c r="G161" i="2"/>
  <c r="G162" i="2" s="1"/>
  <c r="G153" i="2" s="1"/>
  <c r="Z160" i="2"/>
  <c r="Y160" i="2"/>
  <c r="Y162" i="2" s="1"/>
  <c r="N160" i="2"/>
  <c r="P160" i="2" s="1"/>
  <c r="Y155" i="2"/>
  <c r="W155" i="2"/>
  <c r="U155" i="2"/>
  <c r="Q155" i="2"/>
  <c r="O155" i="2"/>
  <c r="M155" i="2"/>
  <c r="L155" i="2"/>
  <c r="J155" i="2"/>
  <c r="I155" i="2"/>
  <c r="W154" i="2"/>
  <c r="U154" i="2"/>
  <c r="Q154" i="2"/>
  <c r="O154" i="2"/>
  <c r="M154" i="2"/>
  <c r="L154" i="2"/>
  <c r="J154" i="2"/>
  <c r="J156" i="2" s="1"/>
  <c r="I154" i="2"/>
  <c r="W153" i="2"/>
  <c r="W156" i="2" s="1"/>
  <c r="Q153" i="2"/>
  <c r="O153" i="2"/>
  <c r="O156" i="2" s="1"/>
  <c r="L153" i="2"/>
  <c r="L156" i="2" s="1"/>
  <c r="J153" i="2"/>
  <c r="I153" i="2"/>
  <c r="Z149" i="2"/>
  <c r="U149" i="2"/>
  <c r="S149" i="2"/>
  <c r="T149" i="2" s="1"/>
  <c r="P149" i="2"/>
  <c r="M149" i="2"/>
  <c r="K149" i="2"/>
  <c r="J149" i="2"/>
  <c r="H149" i="2"/>
  <c r="Z148" i="2"/>
  <c r="W148" i="2"/>
  <c r="W149" i="2" s="1"/>
  <c r="X149" i="2" s="1"/>
  <c r="U148" i="2"/>
  <c r="T148" i="2"/>
  <c r="S148" i="2"/>
  <c r="Q148" i="2"/>
  <c r="O148" i="2"/>
  <c r="O149" i="2" s="1"/>
  <c r="N148" i="2"/>
  <c r="N149" i="2" s="1"/>
  <c r="M148" i="2"/>
  <c r="L148" i="2"/>
  <c r="L149" i="2" s="1"/>
  <c r="K148" i="2"/>
  <c r="J148" i="2"/>
  <c r="I148" i="2"/>
  <c r="I149" i="2" s="1"/>
  <c r="H148" i="2"/>
  <c r="G148" i="2"/>
  <c r="G149" i="2" s="1"/>
  <c r="P147" i="2"/>
  <c r="G147" i="2"/>
  <c r="R146" i="2"/>
  <c r="P146" i="2"/>
  <c r="X146" i="2" s="1"/>
  <c r="Y145" i="2"/>
  <c r="X145" i="2"/>
  <c r="T145" i="2"/>
  <c r="R145" i="2"/>
  <c r="P145" i="2"/>
  <c r="P148" i="2" s="1"/>
  <c r="V148" i="2" s="1"/>
  <c r="Z141" i="2"/>
  <c r="T141" i="2"/>
  <c r="P141" i="2"/>
  <c r="X141" i="2" s="1"/>
  <c r="Z140" i="2"/>
  <c r="Y140" i="2"/>
  <c r="X140" i="2"/>
  <c r="V140" i="2"/>
  <c r="R140" i="2"/>
  <c r="P140" i="2"/>
  <c r="T140" i="2" s="1"/>
  <c r="Z139" i="2"/>
  <c r="Y139" i="2"/>
  <c r="P139" i="2"/>
  <c r="S137" i="2"/>
  <c r="N137" i="2"/>
  <c r="W136" i="2"/>
  <c r="U136" i="2"/>
  <c r="S136" i="2"/>
  <c r="Q136" i="2"/>
  <c r="Q137" i="2" s="1"/>
  <c r="O136" i="2"/>
  <c r="N136" i="2"/>
  <c r="M136" i="2"/>
  <c r="L136" i="2"/>
  <c r="K136" i="2"/>
  <c r="J136" i="2"/>
  <c r="I136" i="2"/>
  <c r="I137" i="2" s="1"/>
  <c r="H136" i="2"/>
  <c r="G136" i="2"/>
  <c r="Z135" i="2"/>
  <c r="X135" i="2"/>
  <c r="R135" i="2"/>
  <c r="P135" i="2"/>
  <c r="V135" i="2" s="1"/>
  <c r="Y134" i="2"/>
  <c r="P134" i="2"/>
  <c r="Z133" i="2"/>
  <c r="Y133" i="2"/>
  <c r="X133" i="2"/>
  <c r="W133" i="2"/>
  <c r="U133" i="2"/>
  <c r="U137" i="2" s="1"/>
  <c r="S133" i="2"/>
  <c r="Q133" i="2"/>
  <c r="P133" i="2"/>
  <c r="O133" i="2"/>
  <c r="N133" i="2"/>
  <c r="M133" i="2"/>
  <c r="M137" i="2" s="1"/>
  <c r="L133" i="2"/>
  <c r="L137" i="2" s="1"/>
  <c r="K133" i="2"/>
  <c r="K137" i="2" s="1"/>
  <c r="J133" i="2"/>
  <c r="I133" i="2"/>
  <c r="H133" i="2"/>
  <c r="G133" i="2"/>
  <c r="X132" i="2"/>
  <c r="R132" i="2"/>
  <c r="P132" i="2"/>
  <c r="V132" i="2" s="1"/>
  <c r="Q128" i="2"/>
  <c r="N128" i="2"/>
  <c r="L128" i="2"/>
  <c r="I128" i="2"/>
  <c r="W127" i="2"/>
  <c r="U127" i="2"/>
  <c r="S127" i="2"/>
  <c r="S128" i="2" s="1"/>
  <c r="Q127" i="2"/>
  <c r="O127" i="2"/>
  <c r="N127" i="2"/>
  <c r="M127" i="2"/>
  <c r="L127" i="2"/>
  <c r="K127" i="2"/>
  <c r="K128" i="2" s="1"/>
  <c r="J127" i="2"/>
  <c r="I127" i="2"/>
  <c r="H127" i="2"/>
  <c r="G127" i="2"/>
  <c r="Y126" i="2"/>
  <c r="Z126" i="2" s="1"/>
  <c r="P126" i="2"/>
  <c r="Z125" i="2"/>
  <c r="Z127" i="2" s="1"/>
  <c r="Y125" i="2"/>
  <c r="Y127" i="2" s="1"/>
  <c r="X125" i="2"/>
  <c r="T125" i="2"/>
  <c r="R125" i="2"/>
  <c r="P125" i="2"/>
  <c r="V125" i="2" s="1"/>
  <c r="W124" i="2"/>
  <c r="U124" i="2"/>
  <c r="S124" i="2"/>
  <c r="Q124" i="2"/>
  <c r="O124" i="2"/>
  <c r="O128" i="2" s="1"/>
  <c r="N124" i="2"/>
  <c r="M124" i="2"/>
  <c r="L124" i="2"/>
  <c r="K124" i="2"/>
  <c r="J124" i="2"/>
  <c r="J128" i="2" s="1"/>
  <c r="I124" i="2"/>
  <c r="H124" i="2"/>
  <c r="H128" i="2" s="1"/>
  <c r="G124" i="2"/>
  <c r="G128" i="2" s="1"/>
  <c r="X123" i="2"/>
  <c r="T123" i="2"/>
  <c r="R123" i="2"/>
  <c r="P123" i="2"/>
  <c r="P124" i="2" s="1"/>
  <c r="U119" i="2"/>
  <c r="M119" i="2"/>
  <c r="J119" i="2"/>
  <c r="Y118" i="2"/>
  <c r="W118" i="2"/>
  <c r="U118" i="2"/>
  <c r="S118" i="2"/>
  <c r="Q118" i="2"/>
  <c r="O118" i="2"/>
  <c r="N118" i="2"/>
  <c r="M118" i="2"/>
  <c r="L118" i="2"/>
  <c r="K118" i="2"/>
  <c r="J118" i="2"/>
  <c r="I118" i="2"/>
  <c r="H118" i="2"/>
  <c r="H119" i="2" s="1"/>
  <c r="G118" i="2"/>
  <c r="Z117" i="2"/>
  <c r="Z118" i="2" s="1"/>
  <c r="Y117" i="2"/>
  <c r="X117" i="2"/>
  <c r="R117" i="2"/>
  <c r="P117" i="2"/>
  <c r="P118" i="2" s="1"/>
  <c r="Y116" i="2"/>
  <c r="W116" i="2"/>
  <c r="X116" i="2" s="1"/>
  <c r="U116" i="2"/>
  <c r="T116" i="2"/>
  <c r="S116" i="2"/>
  <c r="Q116" i="2"/>
  <c r="R116" i="2" s="1"/>
  <c r="O116" i="2"/>
  <c r="N116" i="2"/>
  <c r="M116" i="2"/>
  <c r="L116" i="2"/>
  <c r="K116" i="2"/>
  <c r="J116" i="2"/>
  <c r="I116" i="2"/>
  <c r="H116" i="2"/>
  <c r="G116" i="2"/>
  <c r="Z115" i="2"/>
  <c r="Z116" i="2" s="1"/>
  <c r="Y115" i="2"/>
  <c r="X115" i="2"/>
  <c r="V115" i="2"/>
  <c r="T115" i="2"/>
  <c r="R115" i="2"/>
  <c r="P115" i="2"/>
  <c r="X114" i="2"/>
  <c r="R114" i="2"/>
  <c r="P114" i="2"/>
  <c r="V114" i="2" s="1"/>
  <c r="I114" i="2"/>
  <c r="X113" i="2"/>
  <c r="T113" i="2"/>
  <c r="R113" i="2"/>
  <c r="P113" i="2"/>
  <c r="V113" i="2" s="1"/>
  <c r="X112" i="2"/>
  <c r="V112" i="2"/>
  <c r="T112" i="2"/>
  <c r="R112" i="2"/>
  <c r="P112" i="2"/>
  <c r="P116" i="2" s="1"/>
  <c r="V116" i="2" s="1"/>
  <c r="W111" i="2"/>
  <c r="U111" i="2"/>
  <c r="S111" i="2"/>
  <c r="S119" i="2" s="1"/>
  <c r="Q111" i="2"/>
  <c r="Q119" i="2" s="1"/>
  <c r="O111" i="2"/>
  <c r="O119" i="2" s="1"/>
  <c r="N111" i="2"/>
  <c r="N119" i="2" s="1"/>
  <c r="M111" i="2"/>
  <c r="L111" i="2"/>
  <c r="L119" i="2" s="1"/>
  <c r="K111" i="2"/>
  <c r="K119" i="2" s="1"/>
  <c r="J111" i="2"/>
  <c r="I111" i="2"/>
  <c r="I119" i="2" s="1"/>
  <c r="H111" i="2"/>
  <c r="G111" i="2"/>
  <c r="G119" i="2" s="1"/>
  <c r="Z110" i="2"/>
  <c r="Y110" i="2"/>
  <c r="X110" i="2"/>
  <c r="T110" i="2"/>
  <c r="R110" i="2"/>
  <c r="P110" i="2"/>
  <c r="V110" i="2" s="1"/>
  <c r="Z109" i="2"/>
  <c r="Y109" i="2"/>
  <c r="V109" i="2"/>
  <c r="R109" i="2"/>
  <c r="P109" i="2"/>
  <c r="X109" i="2" s="1"/>
  <c r="Y108" i="2"/>
  <c r="T108" i="2"/>
  <c r="P108" i="2"/>
  <c r="X108" i="2" s="1"/>
  <c r="U104" i="2"/>
  <c r="S104" i="2"/>
  <c r="M104" i="2"/>
  <c r="K104" i="2"/>
  <c r="J104" i="2"/>
  <c r="H104" i="2"/>
  <c r="Y103" i="2"/>
  <c r="Y104" i="2" s="1"/>
  <c r="W103" i="2"/>
  <c r="W104" i="2" s="1"/>
  <c r="U103" i="2"/>
  <c r="S103" i="2"/>
  <c r="Q103" i="2"/>
  <c r="O103" i="2"/>
  <c r="O104" i="2" s="1"/>
  <c r="N103" i="2"/>
  <c r="N104" i="2" s="1"/>
  <c r="M103" i="2"/>
  <c r="L103" i="2"/>
  <c r="L104" i="2" s="1"/>
  <c r="K103" i="2"/>
  <c r="J103" i="2"/>
  <c r="I103" i="2"/>
  <c r="I104" i="2" s="1"/>
  <c r="H103" i="2"/>
  <c r="G103" i="2"/>
  <c r="G104" i="2" s="1"/>
  <c r="Z102" i="2"/>
  <c r="Z103" i="2" s="1"/>
  <c r="Z104" i="2" s="1"/>
  <c r="Y102" i="2"/>
  <c r="X102" i="2"/>
  <c r="V102" i="2"/>
  <c r="T102" i="2"/>
  <c r="R102" i="2"/>
  <c r="P102" i="2"/>
  <c r="P103" i="2" s="1"/>
  <c r="V103" i="2" s="1"/>
  <c r="Z98" i="2"/>
  <c r="X98" i="2"/>
  <c r="T98" i="2"/>
  <c r="R98" i="2"/>
  <c r="P98" i="2"/>
  <c r="V98" i="2" s="1"/>
  <c r="Z97" i="2"/>
  <c r="Y97" i="2"/>
  <c r="X97" i="2"/>
  <c r="R97" i="2"/>
  <c r="P97" i="2"/>
  <c r="V97" i="2" s="1"/>
  <c r="Y96" i="2"/>
  <c r="Z96" i="2" s="1"/>
  <c r="P96" i="2"/>
  <c r="Z95" i="2"/>
  <c r="Y95" i="2"/>
  <c r="X95" i="2"/>
  <c r="T95" i="2"/>
  <c r="R95" i="2"/>
  <c r="P95" i="2"/>
  <c r="V95" i="2" s="1"/>
  <c r="Z94" i="2"/>
  <c r="Y94" i="2"/>
  <c r="W94" i="2"/>
  <c r="X94" i="2" s="1"/>
  <c r="T94" i="2"/>
  <c r="R94" i="2"/>
  <c r="P94" i="2"/>
  <c r="V94" i="2" s="1"/>
  <c r="Z93" i="2"/>
  <c r="Y93" i="2"/>
  <c r="W93" i="2"/>
  <c r="X93" i="2" s="1"/>
  <c r="T93" i="2"/>
  <c r="R93" i="2"/>
  <c r="P93" i="2"/>
  <c r="V93" i="2" s="1"/>
  <c r="Z91" i="2"/>
  <c r="W91" i="2"/>
  <c r="O91" i="2"/>
  <c r="J91" i="2"/>
  <c r="G91" i="2"/>
  <c r="Y90" i="2"/>
  <c r="W90" i="2"/>
  <c r="U90" i="2"/>
  <c r="S90" i="2"/>
  <c r="Q90" i="2"/>
  <c r="O90" i="2"/>
  <c r="N90" i="2"/>
  <c r="M90" i="2"/>
  <c r="L90" i="2"/>
  <c r="K90" i="2"/>
  <c r="J90" i="2"/>
  <c r="I90" i="2"/>
  <c r="H90" i="2"/>
  <c r="G90" i="2"/>
  <c r="Z89" i="2"/>
  <c r="Z90" i="2" s="1"/>
  <c r="Y89" i="2"/>
  <c r="V89" i="2"/>
  <c r="R89" i="2"/>
  <c r="P89" i="2"/>
  <c r="X89" i="2" s="1"/>
  <c r="Z88" i="2"/>
  <c r="Y88" i="2"/>
  <c r="Y91" i="2" s="1"/>
  <c r="W88" i="2"/>
  <c r="U88" i="2"/>
  <c r="S88" i="2"/>
  <c r="Q88" i="2"/>
  <c r="O88" i="2"/>
  <c r="N88" i="2"/>
  <c r="M88" i="2"/>
  <c r="L88" i="2"/>
  <c r="K88" i="2"/>
  <c r="J88" i="2"/>
  <c r="H88" i="2"/>
  <c r="G88" i="2"/>
  <c r="X87" i="2"/>
  <c r="T87" i="2"/>
  <c r="R87" i="2"/>
  <c r="P87" i="2"/>
  <c r="V87" i="2" s="1"/>
  <c r="I87" i="2"/>
  <c r="I88" i="2" s="1"/>
  <c r="I91" i="2" s="1"/>
  <c r="T86" i="2"/>
  <c r="P86" i="2"/>
  <c r="P88" i="2" s="1"/>
  <c r="X85" i="2"/>
  <c r="T85" i="2"/>
  <c r="R85" i="2"/>
  <c r="P85" i="2"/>
  <c r="V85" i="2" s="1"/>
  <c r="Z84" i="2"/>
  <c r="Y84" i="2"/>
  <c r="W84" i="2"/>
  <c r="U84" i="2"/>
  <c r="S84" i="2"/>
  <c r="Q84" i="2"/>
  <c r="O84" i="2"/>
  <c r="N84" i="2"/>
  <c r="M84" i="2"/>
  <c r="M91" i="2" s="1"/>
  <c r="L84" i="2"/>
  <c r="L91" i="2" s="1"/>
  <c r="K84" i="2"/>
  <c r="K91" i="2" s="1"/>
  <c r="J84" i="2"/>
  <c r="I84" i="2"/>
  <c r="H84" i="2"/>
  <c r="H91" i="2" s="1"/>
  <c r="G84" i="2"/>
  <c r="P83" i="2"/>
  <c r="Y79" i="2"/>
  <c r="Z79" i="2" s="1"/>
  <c r="X79" i="2"/>
  <c r="T79" i="2"/>
  <c r="R79" i="2"/>
  <c r="P79" i="2"/>
  <c r="V79" i="2" s="1"/>
  <c r="Z78" i="2"/>
  <c r="Y78" i="2"/>
  <c r="X78" i="2"/>
  <c r="V78" i="2"/>
  <c r="R78" i="2"/>
  <c r="P78" i="2"/>
  <c r="T78" i="2" s="1"/>
  <c r="Z77" i="2"/>
  <c r="X77" i="2"/>
  <c r="T77" i="2"/>
  <c r="R77" i="2"/>
  <c r="P77" i="2"/>
  <c r="V77" i="2" s="1"/>
  <c r="Z76" i="2"/>
  <c r="Y76" i="2"/>
  <c r="V76" i="2"/>
  <c r="P76" i="2"/>
  <c r="X76" i="2" s="1"/>
  <c r="S74" i="2"/>
  <c r="Q74" i="2"/>
  <c r="N74" i="2"/>
  <c r="L74" i="2"/>
  <c r="K74" i="2"/>
  <c r="I74" i="2"/>
  <c r="W73" i="2"/>
  <c r="W74" i="2" s="1"/>
  <c r="U73" i="2"/>
  <c r="S73" i="2"/>
  <c r="Q73" i="2"/>
  <c r="O73" i="2"/>
  <c r="O74" i="2" s="1"/>
  <c r="N73" i="2"/>
  <c r="M73" i="2"/>
  <c r="M74" i="2" s="1"/>
  <c r="L73" i="2"/>
  <c r="K73" i="2"/>
  <c r="J73" i="2"/>
  <c r="J74" i="2" s="1"/>
  <c r="I73" i="2"/>
  <c r="H73" i="2"/>
  <c r="H74" i="2" s="1"/>
  <c r="G73" i="2"/>
  <c r="G74" i="2" s="1"/>
  <c r="Y72" i="2"/>
  <c r="Z72" i="2" s="1"/>
  <c r="T72" i="2"/>
  <c r="P72" i="2"/>
  <c r="X72" i="2" s="1"/>
  <c r="Z71" i="2"/>
  <c r="Y71" i="2"/>
  <c r="X71" i="2"/>
  <c r="V71" i="2"/>
  <c r="R71" i="2"/>
  <c r="P71" i="2"/>
  <c r="T71" i="2" s="1"/>
  <c r="Y70" i="2"/>
  <c r="V70" i="2"/>
  <c r="P70" i="2"/>
  <c r="M70" i="2"/>
  <c r="W66" i="2"/>
  <c r="O66" i="2"/>
  <c r="L66" i="2"/>
  <c r="J66" i="2"/>
  <c r="G66" i="2"/>
  <c r="W65" i="2"/>
  <c r="U65" i="2"/>
  <c r="S65" i="2"/>
  <c r="Q65" i="2"/>
  <c r="P65" i="2"/>
  <c r="O65" i="2"/>
  <c r="N65" i="2"/>
  <c r="M65" i="2"/>
  <c r="L65" i="2"/>
  <c r="K65" i="2"/>
  <c r="J65" i="2"/>
  <c r="I65" i="2"/>
  <c r="H65" i="2"/>
  <c r="G65" i="2"/>
  <c r="Y64" i="2"/>
  <c r="Y65" i="2" s="1"/>
  <c r="Y30" i="2" s="1"/>
  <c r="Y23" i="2" s="1"/>
  <c r="P64" i="2"/>
  <c r="Z63" i="2"/>
  <c r="Y63" i="2"/>
  <c r="W63" i="2"/>
  <c r="V63" i="2"/>
  <c r="U63" i="2"/>
  <c r="U66" i="2" s="1"/>
  <c r="S63" i="2"/>
  <c r="Q63" i="2"/>
  <c r="R63" i="2" s="1"/>
  <c r="P63" i="2"/>
  <c r="X63" i="2" s="1"/>
  <c r="O63" i="2"/>
  <c r="N63" i="2"/>
  <c r="N66" i="2" s="1"/>
  <c r="M63" i="2"/>
  <c r="M66" i="2" s="1"/>
  <c r="L63" i="2"/>
  <c r="K63" i="2"/>
  <c r="K66" i="2" s="1"/>
  <c r="J63" i="2"/>
  <c r="H63" i="2"/>
  <c r="G63" i="2"/>
  <c r="X62" i="2"/>
  <c r="V62" i="2"/>
  <c r="T62" i="2"/>
  <c r="R62" i="2"/>
  <c r="P62" i="2"/>
  <c r="I62" i="2"/>
  <c r="I63" i="2" s="1"/>
  <c r="I66" i="2" s="1"/>
  <c r="X61" i="2"/>
  <c r="T61" i="2"/>
  <c r="R61" i="2"/>
  <c r="P61" i="2"/>
  <c r="V61" i="2" s="1"/>
  <c r="X60" i="2"/>
  <c r="T60" i="2"/>
  <c r="R60" i="2"/>
  <c r="P60" i="2"/>
  <c r="V60" i="2" s="1"/>
  <c r="O56" i="2"/>
  <c r="M56" i="2"/>
  <c r="J56" i="2"/>
  <c r="Y55" i="2"/>
  <c r="W55" i="2"/>
  <c r="U55" i="2"/>
  <c r="U30" i="2" s="1"/>
  <c r="S55" i="2"/>
  <c r="Q55" i="2"/>
  <c r="O55" i="2"/>
  <c r="N55" i="2"/>
  <c r="M55" i="2"/>
  <c r="M30" i="2" s="1"/>
  <c r="M23" i="2" s="1"/>
  <c r="L55" i="2"/>
  <c r="K55" i="2"/>
  <c r="K30" i="2" s="1"/>
  <c r="K23" i="2" s="1"/>
  <c r="K6" i="2" s="1"/>
  <c r="K16" i="2" s="1"/>
  <c r="J55" i="2"/>
  <c r="I55" i="2"/>
  <c r="I30" i="2" s="1"/>
  <c r="I23" i="2" s="1"/>
  <c r="I6" i="2" s="1"/>
  <c r="I16" i="2" s="1"/>
  <c r="H55" i="2"/>
  <c r="G55" i="2"/>
  <c r="Z54" i="2"/>
  <c r="Z55" i="2" s="1"/>
  <c r="Y54" i="2"/>
  <c r="R54" i="2"/>
  <c r="P54" i="2"/>
  <c r="Z53" i="2"/>
  <c r="Y53" i="2"/>
  <c r="W53" i="2"/>
  <c r="V53" i="2"/>
  <c r="U53" i="2"/>
  <c r="S53" i="2"/>
  <c r="Q53" i="2"/>
  <c r="R53" i="2" s="1"/>
  <c r="P53" i="2"/>
  <c r="X53" i="2" s="1"/>
  <c r="O53" i="2"/>
  <c r="N53" i="2"/>
  <c r="M53" i="2"/>
  <c r="L53" i="2"/>
  <c r="K53" i="2"/>
  <c r="J53" i="2"/>
  <c r="I53" i="2"/>
  <c r="H53" i="2"/>
  <c r="G53" i="2"/>
  <c r="X52" i="2"/>
  <c r="T52" i="2"/>
  <c r="R52" i="2"/>
  <c r="P52" i="2"/>
  <c r="V52" i="2" s="1"/>
  <c r="X51" i="2"/>
  <c r="V51" i="2"/>
  <c r="T51" i="2"/>
  <c r="R51" i="2"/>
  <c r="P51" i="2"/>
  <c r="I51" i="2"/>
  <c r="X50" i="2"/>
  <c r="T50" i="2"/>
  <c r="R50" i="2"/>
  <c r="P50" i="2"/>
  <c r="V50" i="2" s="1"/>
  <c r="X49" i="2"/>
  <c r="T49" i="2"/>
  <c r="R49" i="2"/>
  <c r="P49" i="2"/>
  <c r="V49" i="2" s="1"/>
  <c r="W48" i="2"/>
  <c r="U48" i="2"/>
  <c r="S48" i="2"/>
  <c r="S56" i="2" s="1"/>
  <c r="Q48" i="2"/>
  <c r="O48" i="2"/>
  <c r="N48" i="2"/>
  <c r="N56" i="2" s="1"/>
  <c r="M48" i="2"/>
  <c r="M28" i="2" s="1"/>
  <c r="M21" i="2" s="1"/>
  <c r="L48" i="2"/>
  <c r="J48" i="2"/>
  <c r="I48" i="2"/>
  <c r="I56" i="2" s="1"/>
  <c r="H48" i="2"/>
  <c r="H56" i="2" s="1"/>
  <c r="G48" i="2"/>
  <c r="G56" i="2" s="1"/>
  <c r="P47" i="2"/>
  <c r="K46" i="2"/>
  <c r="S42" i="2"/>
  <c r="N42" i="2"/>
  <c r="M42" i="2"/>
  <c r="K42" i="2"/>
  <c r="H42" i="2"/>
  <c r="Y41" i="2"/>
  <c r="W41" i="2"/>
  <c r="U41" i="2"/>
  <c r="S41" i="2"/>
  <c r="Q41" i="2"/>
  <c r="O41" i="2"/>
  <c r="N41" i="2"/>
  <c r="M41" i="2"/>
  <c r="L41" i="2"/>
  <c r="L30" i="2" s="1"/>
  <c r="L23" i="2" s="1"/>
  <c r="L6" i="2" s="1"/>
  <c r="L16" i="2" s="1"/>
  <c r="K41" i="2"/>
  <c r="J41" i="2"/>
  <c r="I41" i="2"/>
  <c r="H41" i="2"/>
  <c r="G41" i="2"/>
  <c r="Z40" i="2"/>
  <c r="Z41" i="2" s="1"/>
  <c r="Y40" i="2"/>
  <c r="X40" i="2"/>
  <c r="T40" i="2"/>
  <c r="R40" i="2"/>
  <c r="P40" i="2"/>
  <c r="V40" i="2" s="1"/>
  <c r="Z39" i="2"/>
  <c r="Y39" i="2"/>
  <c r="W39" i="2"/>
  <c r="U39" i="2"/>
  <c r="S39" i="2"/>
  <c r="Q39" i="2"/>
  <c r="O39" i="2"/>
  <c r="N39" i="2"/>
  <c r="M39" i="2"/>
  <c r="M29" i="2" s="1"/>
  <c r="M22" i="2" s="1"/>
  <c r="L39" i="2"/>
  <c r="K39" i="2"/>
  <c r="J39" i="2"/>
  <c r="I39" i="2"/>
  <c r="H39" i="2"/>
  <c r="G39" i="2"/>
  <c r="P38" i="2"/>
  <c r="X37" i="2"/>
  <c r="P37" i="2"/>
  <c r="I37" i="2"/>
  <c r="P36" i="2"/>
  <c r="T35" i="2"/>
  <c r="P35" i="2"/>
  <c r="M31" i="2"/>
  <c r="W30" i="2"/>
  <c r="O30" i="2"/>
  <c r="N30" i="2"/>
  <c r="J30" i="2"/>
  <c r="J23" i="2" s="1"/>
  <c r="J6" i="2" s="1"/>
  <c r="J16" i="2" s="1"/>
  <c r="G30" i="2"/>
  <c r="G23" i="2" s="1"/>
  <c r="G6" i="2" s="1"/>
  <c r="G16" i="2" s="1"/>
  <c r="N29" i="2"/>
  <c r="N22" i="2" s="1"/>
  <c r="K29" i="2"/>
  <c r="H29" i="2"/>
  <c r="W28" i="2"/>
  <c r="S28" i="2"/>
  <c r="Q28" i="2"/>
  <c r="O28" i="2"/>
  <c r="N28" i="2"/>
  <c r="J28" i="2"/>
  <c r="I28" i="2"/>
  <c r="H28" i="2"/>
  <c r="G28" i="2"/>
  <c r="O23" i="2"/>
  <c r="N23" i="2"/>
  <c r="K22" i="2"/>
  <c r="H22" i="2"/>
  <c r="Q21" i="2"/>
  <c r="O21" i="2"/>
  <c r="I21" i="2"/>
  <c r="G21" i="2"/>
  <c r="N16" i="2"/>
  <c r="Y12" i="2"/>
  <c r="W12" i="2"/>
  <c r="Q12" i="2"/>
  <c r="O12" i="2"/>
  <c r="I12" i="2"/>
  <c r="G12" i="2"/>
  <c r="Z11" i="2"/>
  <c r="Z12" i="2" s="1"/>
  <c r="Y11" i="2"/>
  <c r="W11" i="2"/>
  <c r="U11" i="2"/>
  <c r="U12" i="2" s="1"/>
  <c r="S11" i="2"/>
  <c r="S12" i="2" s="1"/>
  <c r="Q11" i="2"/>
  <c r="O11" i="2"/>
  <c r="M11" i="2"/>
  <c r="M12" i="2" s="1"/>
  <c r="L11" i="2"/>
  <c r="L12" i="2" s="1"/>
  <c r="K11" i="2"/>
  <c r="K12" i="2" s="1"/>
  <c r="J11" i="2"/>
  <c r="J12" i="2" s="1"/>
  <c r="I11" i="2"/>
  <c r="G11" i="2"/>
  <c r="U9" i="2"/>
  <c r="M9" i="2"/>
  <c r="H9" i="2"/>
  <c r="Z8" i="2"/>
  <c r="Y8" i="2"/>
  <c r="W8" i="2"/>
  <c r="U8" i="2"/>
  <c r="U10" i="2" s="1"/>
  <c r="S8" i="2"/>
  <c r="Q8" i="2"/>
  <c r="P8" i="2"/>
  <c r="X8" i="2" s="1"/>
  <c r="O8" i="2"/>
  <c r="N8" i="2"/>
  <c r="M8" i="2"/>
  <c r="M10" i="2" s="1"/>
  <c r="L8" i="2"/>
  <c r="K8" i="2"/>
  <c r="H8" i="2"/>
  <c r="H10" i="2" s="1"/>
  <c r="G8" i="2"/>
  <c r="O6" i="2"/>
  <c r="O16" i="2" s="1"/>
  <c r="N6" i="2"/>
  <c r="M6" i="2"/>
  <c r="M16" i="2" s="1"/>
  <c r="W5" i="2"/>
  <c r="X5" i="2" s="1"/>
  <c r="U5" i="2"/>
  <c r="V5" i="2" s="1"/>
  <c r="R5" i="2"/>
  <c r="Q5" i="2"/>
  <c r="Q15" i="2" s="1"/>
  <c r="P5" i="2"/>
  <c r="O5" i="2"/>
  <c r="O15" i="2" s="1"/>
  <c r="N5" i="2"/>
  <c r="M5" i="2"/>
  <c r="M15" i="2" s="1"/>
  <c r="L5" i="2"/>
  <c r="L15" i="2" s="1"/>
  <c r="K5" i="2"/>
  <c r="K15" i="2" s="1"/>
  <c r="J5" i="2"/>
  <c r="J15" i="2" s="1"/>
  <c r="I5" i="2"/>
  <c r="I15" i="2" s="1"/>
  <c r="H5" i="2"/>
  <c r="G5" i="2"/>
  <c r="G15" i="2" s="1"/>
  <c r="U132" i="1"/>
  <c r="M132" i="1"/>
  <c r="S132" i="1" s="1"/>
  <c r="S131" i="1"/>
  <c r="Q131" i="1"/>
  <c r="O131" i="1"/>
  <c r="M131" i="1"/>
  <c r="U131" i="1" s="1"/>
  <c r="M130" i="1"/>
  <c r="U129" i="1"/>
  <c r="S129" i="1"/>
  <c r="Q129" i="1"/>
  <c r="M129" i="1"/>
  <c r="O129" i="1" s="1"/>
  <c r="Q128" i="1"/>
  <c r="M128" i="1"/>
  <c r="M127" i="1"/>
  <c r="U127" i="1" s="1"/>
  <c r="U126" i="1"/>
  <c r="S126" i="1"/>
  <c r="Q126" i="1"/>
  <c r="O126" i="1"/>
  <c r="M126" i="1"/>
  <c r="T124" i="1"/>
  <c r="J124" i="1"/>
  <c r="W123" i="1"/>
  <c r="V123" i="1"/>
  <c r="T123" i="1"/>
  <c r="U123" i="1" s="1"/>
  <c r="R123" i="1"/>
  <c r="S123" i="1" s="1"/>
  <c r="P123" i="1"/>
  <c r="Q123" i="1" s="1"/>
  <c r="N123" i="1"/>
  <c r="O123" i="1" s="1"/>
  <c r="M123" i="1"/>
  <c r="L123" i="1"/>
  <c r="K123" i="1"/>
  <c r="J123" i="1"/>
  <c r="I123" i="1"/>
  <c r="H123" i="1"/>
  <c r="H14" i="1" s="1"/>
  <c r="H19" i="1" s="1"/>
  <c r="G123" i="1"/>
  <c r="F123" i="1"/>
  <c r="F14" i="1" s="1"/>
  <c r="E123" i="1"/>
  <c r="D123" i="1"/>
  <c r="W122" i="1"/>
  <c r="V122" i="1"/>
  <c r="T122" i="1"/>
  <c r="U122" i="1" s="1"/>
  <c r="R122" i="1"/>
  <c r="S122" i="1" s="1"/>
  <c r="P122" i="1"/>
  <c r="Q122" i="1" s="1"/>
  <c r="N122" i="1"/>
  <c r="O122" i="1" s="1"/>
  <c r="M122" i="1"/>
  <c r="L122" i="1"/>
  <c r="K122" i="1"/>
  <c r="J122" i="1"/>
  <c r="I122" i="1"/>
  <c r="H122" i="1"/>
  <c r="G122" i="1"/>
  <c r="F122" i="1"/>
  <c r="E122" i="1"/>
  <c r="D122" i="1"/>
  <c r="W121" i="1"/>
  <c r="V121" i="1"/>
  <c r="T121" i="1"/>
  <c r="R121" i="1"/>
  <c r="P121" i="1"/>
  <c r="N121" i="1"/>
  <c r="L121" i="1"/>
  <c r="K121" i="1"/>
  <c r="J121" i="1"/>
  <c r="I121" i="1"/>
  <c r="H121" i="1"/>
  <c r="G121" i="1"/>
  <c r="F121" i="1"/>
  <c r="E121" i="1"/>
  <c r="D121" i="1"/>
  <c r="W120" i="1"/>
  <c r="W124" i="1" s="1"/>
  <c r="V120" i="1"/>
  <c r="V124" i="1" s="1"/>
  <c r="T120" i="1"/>
  <c r="R120" i="1"/>
  <c r="R124" i="1" s="1"/>
  <c r="P120" i="1"/>
  <c r="N120" i="1"/>
  <c r="L120" i="1"/>
  <c r="L11" i="1" s="1"/>
  <c r="L15" i="1" s="1"/>
  <c r="K120" i="1"/>
  <c r="K124" i="1" s="1"/>
  <c r="J120" i="1"/>
  <c r="I120" i="1"/>
  <c r="I124" i="1" s="1"/>
  <c r="H120" i="1"/>
  <c r="G120" i="1"/>
  <c r="G124" i="1" s="1"/>
  <c r="F120" i="1"/>
  <c r="E120" i="1"/>
  <c r="E124" i="1" s="1"/>
  <c r="D120" i="1"/>
  <c r="D124" i="1" s="1"/>
  <c r="V116" i="1"/>
  <c r="T116" i="1"/>
  <c r="R116" i="1"/>
  <c r="P116" i="1"/>
  <c r="N116" i="1"/>
  <c r="L116" i="1"/>
  <c r="K116" i="1"/>
  <c r="J116" i="1"/>
  <c r="I116" i="1"/>
  <c r="H116" i="1"/>
  <c r="G116" i="1"/>
  <c r="F116" i="1"/>
  <c r="E116" i="1"/>
  <c r="D116" i="1"/>
  <c r="V115" i="1"/>
  <c r="W115" i="1" s="1"/>
  <c r="S115" i="1"/>
  <c r="O115" i="1"/>
  <c r="M115" i="1"/>
  <c r="U115" i="1" s="1"/>
  <c r="W114" i="1"/>
  <c r="W116" i="1" s="1"/>
  <c r="V114" i="1"/>
  <c r="M114" i="1"/>
  <c r="T113" i="1"/>
  <c r="R113" i="1"/>
  <c r="P113" i="1"/>
  <c r="P75" i="1" s="1"/>
  <c r="N113" i="1"/>
  <c r="L113" i="1"/>
  <c r="K113" i="1"/>
  <c r="J113" i="1"/>
  <c r="I113" i="1"/>
  <c r="H113" i="1"/>
  <c r="G113" i="1"/>
  <c r="F113" i="1"/>
  <c r="E113" i="1"/>
  <c r="D113" i="1"/>
  <c r="V112" i="1"/>
  <c r="S112" i="1"/>
  <c r="Q112" i="1"/>
  <c r="O112" i="1"/>
  <c r="M112" i="1"/>
  <c r="M113" i="1" s="1"/>
  <c r="M75" i="1" s="1"/>
  <c r="T111" i="1"/>
  <c r="R111" i="1"/>
  <c r="P111" i="1"/>
  <c r="N111" i="1"/>
  <c r="J111" i="1"/>
  <c r="I111" i="1"/>
  <c r="H111" i="1"/>
  <c r="U110" i="1"/>
  <c r="S110" i="1"/>
  <c r="O110" i="1"/>
  <c r="M110" i="1"/>
  <c r="Q110" i="1" s="1"/>
  <c r="S109" i="1"/>
  <c r="O109" i="1"/>
  <c r="M109" i="1"/>
  <c r="U109" i="1" s="1"/>
  <c r="M108" i="1"/>
  <c r="S107" i="1"/>
  <c r="Q107" i="1"/>
  <c r="M107" i="1"/>
  <c r="V106" i="1"/>
  <c r="W106" i="1" s="1"/>
  <c r="U106" i="1"/>
  <c r="Q106" i="1"/>
  <c r="O106" i="1"/>
  <c r="M106" i="1"/>
  <c r="S106" i="1" s="1"/>
  <c r="V105" i="1"/>
  <c r="W105" i="1" s="1"/>
  <c r="S105" i="1"/>
  <c r="Q105" i="1"/>
  <c r="M105" i="1"/>
  <c r="O105" i="1" s="1"/>
  <c r="V104" i="1"/>
  <c r="W104" i="1" s="1"/>
  <c r="U104" i="1"/>
  <c r="Q104" i="1"/>
  <c r="O104" i="1"/>
  <c r="M104" i="1"/>
  <c r="S104" i="1" s="1"/>
  <c r="W103" i="1"/>
  <c r="Z46" i="2" s="1"/>
  <c r="Z48" i="2" s="1"/>
  <c r="V103" i="1"/>
  <c r="Y46" i="2" s="1"/>
  <c r="Y48" i="2" s="1"/>
  <c r="Y56" i="2" s="1"/>
  <c r="O103" i="1"/>
  <c r="M103" i="1"/>
  <c r="U103" i="1" s="1"/>
  <c r="V102" i="1"/>
  <c r="W102" i="1" s="1"/>
  <c r="M102" i="1"/>
  <c r="Q102" i="1" s="1"/>
  <c r="W101" i="1"/>
  <c r="V101" i="1"/>
  <c r="U101" i="1"/>
  <c r="S101" i="1"/>
  <c r="Q101" i="1"/>
  <c r="O101" i="1"/>
  <c r="M101" i="1"/>
  <c r="U100" i="1"/>
  <c r="S100" i="1"/>
  <c r="Q100" i="1"/>
  <c r="O100" i="1"/>
  <c r="M100" i="1"/>
  <c r="V99" i="1"/>
  <c r="W99" i="1" s="1"/>
  <c r="S99" i="1"/>
  <c r="Q99" i="1"/>
  <c r="M99" i="1"/>
  <c r="O99" i="1" s="1"/>
  <c r="W98" i="1"/>
  <c r="O98" i="1"/>
  <c r="M98" i="1"/>
  <c r="U98" i="1" s="1"/>
  <c r="W97" i="1"/>
  <c r="K97" i="1"/>
  <c r="M97" i="1" s="1"/>
  <c r="W96" i="1"/>
  <c r="V96" i="1"/>
  <c r="U96" i="1"/>
  <c r="S96" i="1"/>
  <c r="Q96" i="1"/>
  <c r="O96" i="1"/>
  <c r="M96" i="1"/>
  <c r="W95" i="1"/>
  <c r="V95" i="1"/>
  <c r="M95" i="1"/>
  <c r="U95" i="1" s="1"/>
  <c r="V94" i="1"/>
  <c r="W94" i="1" s="1"/>
  <c r="U94" i="1"/>
  <c r="M94" i="1"/>
  <c r="S94" i="1" s="1"/>
  <c r="W93" i="1"/>
  <c r="V93" i="1"/>
  <c r="U93" i="1"/>
  <c r="S93" i="1"/>
  <c r="Q93" i="1"/>
  <c r="O93" i="1"/>
  <c r="M93" i="1"/>
  <c r="G93" i="1"/>
  <c r="V92" i="1"/>
  <c r="Y147" i="2" s="1"/>
  <c r="Y148" i="2" s="1"/>
  <c r="Y149" i="2" s="1"/>
  <c r="S92" i="1"/>
  <c r="Q92" i="1"/>
  <c r="M92" i="1"/>
  <c r="O92" i="1" s="1"/>
  <c r="M91" i="1"/>
  <c r="Q91" i="1" s="1"/>
  <c r="W90" i="1"/>
  <c r="V90" i="1"/>
  <c r="U90" i="1"/>
  <c r="S90" i="1"/>
  <c r="Q90" i="1"/>
  <c r="O90" i="1"/>
  <c r="M90" i="1"/>
  <c r="W89" i="1"/>
  <c r="V89" i="1"/>
  <c r="M89" i="1"/>
  <c r="U89" i="1" s="1"/>
  <c r="V88" i="1"/>
  <c r="W88" i="1" s="1"/>
  <c r="L88" i="1"/>
  <c r="L111" i="1" s="1"/>
  <c r="L74" i="1" s="1"/>
  <c r="L77" i="1" s="1"/>
  <c r="G88" i="1"/>
  <c r="W87" i="1"/>
  <c r="V87" i="1"/>
  <c r="M87" i="1"/>
  <c r="U87" i="1" s="1"/>
  <c r="V86" i="1"/>
  <c r="W86" i="1" s="1"/>
  <c r="U86" i="1"/>
  <c r="M86" i="1"/>
  <c r="S86" i="1" s="1"/>
  <c r="W85" i="1"/>
  <c r="V85" i="1"/>
  <c r="U85" i="1"/>
  <c r="S85" i="1"/>
  <c r="Q85" i="1"/>
  <c r="O85" i="1"/>
  <c r="M85" i="1"/>
  <c r="F85" i="1"/>
  <c r="F111" i="1" s="1"/>
  <c r="E85" i="1"/>
  <c r="E111" i="1" s="1"/>
  <c r="E74" i="1" s="1"/>
  <c r="E77" i="1" s="1"/>
  <c r="D85" i="1"/>
  <c r="D111" i="1" s="1"/>
  <c r="W84" i="1"/>
  <c r="V84" i="1"/>
  <c r="M84" i="1"/>
  <c r="U84" i="1" s="1"/>
  <c r="V83" i="1"/>
  <c r="W83" i="1" s="1"/>
  <c r="U83" i="1"/>
  <c r="M83" i="1"/>
  <c r="S83" i="1" s="1"/>
  <c r="W82" i="1"/>
  <c r="V82" i="1"/>
  <c r="U82" i="1"/>
  <c r="S82" i="1"/>
  <c r="Q82" i="1"/>
  <c r="O82" i="1"/>
  <c r="M82" i="1"/>
  <c r="V81" i="1"/>
  <c r="W81" i="1" s="1"/>
  <c r="S81" i="1"/>
  <c r="Q81" i="1"/>
  <c r="M81" i="1"/>
  <c r="O81" i="1" s="1"/>
  <c r="W76" i="1"/>
  <c r="V76" i="1"/>
  <c r="T76" i="1"/>
  <c r="R76" i="1"/>
  <c r="P76" i="1"/>
  <c r="N76" i="1"/>
  <c r="L76" i="1"/>
  <c r="K76" i="1"/>
  <c r="J76" i="1"/>
  <c r="I76" i="1"/>
  <c r="I6" i="1" s="1"/>
  <c r="I19" i="1" s="1"/>
  <c r="H76" i="1"/>
  <c r="G76" i="1"/>
  <c r="G6" i="1" s="1"/>
  <c r="G19" i="1" s="1"/>
  <c r="F76" i="1"/>
  <c r="E76" i="1"/>
  <c r="D76" i="1"/>
  <c r="T75" i="1"/>
  <c r="N75" i="1"/>
  <c r="L75" i="1"/>
  <c r="K75" i="1"/>
  <c r="K5" i="1" s="1"/>
  <c r="K18" i="1" s="1"/>
  <c r="J75" i="1"/>
  <c r="J77" i="1" s="1"/>
  <c r="I75" i="1"/>
  <c r="H75" i="1"/>
  <c r="H77" i="1" s="1"/>
  <c r="G75" i="1"/>
  <c r="F75" i="1"/>
  <c r="E75" i="1"/>
  <c r="E5" i="1" s="1"/>
  <c r="E18" i="1" s="1"/>
  <c r="D75" i="1"/>
  <c r="T74" i="1"/>
  <c r="R74" i="1"/>
  <c r="P74" i="1"/>
  <c r="N74" i="1"/>
  <c r="N77" i="1" s="1"/>
  <c r="J74" i="1"/>
  <c r="I74" i="1"/>
  <c r="I77" i="1" s="1"/>
  <c r="H74" i="1"/>
  <c r="F74" i="1"/>
  <c r="F77" i="1" s="1"/>
  <c r="D74" i="1"/>
  <c r="D77" i="1" s="1"/>
  <c r="V70" i="1"/>
  <c r="W70" i="1" s="1"/>
  <c r="U70" i="1"/>
  <c r="Q70" i="1"/>
  <c r="O70" i="1"/>
  <c r="M70" i="1"/>
  <c r="S70" i="1" s="1"/>
  <c r="W69" i="1"/>
  <c r="M69" i="1"/>
  <c r="U69" i="1" s="1"/>
  <c r="U68" i="1"/>
  <c r="M68" i="1"/>
  <c r="S68" i="1" s="1"/>
  <c r="W67" i="1"/>
  <c r="V67" i="1"/>
  <c r="U67" i="1"/>
  <c r="S67" i="1"/>
  <c r="Q67" i="1"/>
  <c r="O67" i="1"/>
  <c r="M67" i="1"/>
  <c r="V66" i="1"/>
  <c r="W66" i="1" s="1"/>
  <c r="S66" i="1"/>
  <c r="Q66" i="1"/>
  <c r="M66" i="1"/>
  <c r="O66" i="1" s="1"/>
  <c r="V65" i="1"/>
  <c r="W65" i="1" s="1"/>
  <c r="U65" i="1"/>
  <c r="Q65" i="1"/>
  <c r="O65" i="1"/>
  <c r="M65" i="1"/>
  <c r="S65" i="1" s="1"/>
  <c r="W64" i="1"/>
  <c r="M64" i="1"/>
  <c r="U64" i="1" s="1"/>
  <c r="W63" i="1"/>
  <c r="V63" i="1"/>
  <c r="U63" i="1"/>
  <c r="Q63" i="1"/>
  <c r="O63" i="1"/>
  <c r="M63" i="1"/>
  <c r="S63" i="1" s="1"/>
  <c r="W62" i="1"/>
  <c r="V62" i="1"/>
  <c r="M62" i="1"/>
  <c r="U62" i="1" s="1"/>
  <c r="V61" i="1"/>
  <c r="W61" i="1" s="1"/>
  <c r="U61" i="1"/>
  <c r="M61" i="1"/>
  <c r="S61" i="1" s="1"/>
  <c r="W60" i="1"/>
  <c r="V60" i="1"/>
  <c r="U60" i="1"/>
  <c r="S60" i="1"/>
  <c r="Q60" i="1"/>
  <c r="O60" i="1"/>
  <c r="M60" i="1"/>
  <c r="V58" i="1"/>
  <c r="V43" i="1" s="1"/>
  <c r="V6" i="1" s="1"/>
  <c r="V19" i="1" s="1"/>
  <c r="T58" i="1"/>
  <c r="T43" i="1" s="1"/>
  <c r="R58" i="1"/>
  <c r="P58" i="1"/>
  <c r="N58" i="1"/>
  <c r="L58" i="1"/>
  <c r="L43" i="1" s="1"/>
  <c r="L6" i="1" s="1"/>
  <c r="L19" i="1" s="1"/>
  <c r="K58" i="1"/>
  <c r="K43" i="1" s="1"/>
  <c r="K6" i="1" s="1"/>
  <c r="K19" i="1" s="1"/>
  <c r="J58" i="1"/>
  <c r="I58" i="1"/>
  <c r="H58" i="1"/>
  <c r="G58" i="1"/>
  <c r="F58" i="1"/>
  <c r="F43" i="1" s="1"/>
  <c r="F6" i="1" s="1"/>
  <c r="F19" i="1" s="1"/>
  <c r="D58" i="1"/>
  <c r="D43" i="1" s="1"/>
  <c r="D6" i="1" s="1"/>
  <c r="D19" i="1" s="1"/>
  <c r="W57" i="1"/>
  <c r="V57" i="1"/>
  <c r="U57" i="1"/>
  <c r="Q57" i="1"/>
  <c r="O57" i="1"/>
  <c r="M57" i="1"/>
  <c r="S57" i="1" s="1"/>
  <c r="E57" i="1"/>
  <c r="E58" i="1" s="1"/>
  <c r="E43" i="1" s="1"/>
  <c r="E6" i="1" s="1"/>
  <c r="E19" i="1" s="1"/>
  <c r="W56" i="1"/>
  <c r="W58" i="1" s="1"/>
  <c r="W43" i="1" s="1"/>
  <c r="W6" i="1" s="1"/>
  <c r="W19" i="1" s="1"/>
  <c r="V56" i="1"/>
  <c r="U56" i="1"/>
  <c r="Q56" i="1"/>
  <c r="O56" i="1"/>
  <c r="M56" i="1"/>
  <c r="S56" i="1" s="1"/>
  <c r="T55" i="1"/>
  <c r="U55" i="1" s="1"/>
  <c r="R55" i="1"/>
  <c r="S55" i="1" s="1"/>
  <c r="P55" i="1"/>
  <c r="N55" i="1"/>
  <c r="N42" i="1" s="1"/>
  <c r="L55" i="1"/>
  <c r="K55" i="1"/>
  <c r="J55" i="1"/>
  <c r="J42" i="1" s="1"/>
  <c r="I55" i="1"/>
  <c r="G55" i="1"/>
  <c r="G42" i="1" s="1"/>
  <c r="F55" i="1"/>
  <c r="F42" i="1" s="1"/>
  <c r="E55" i="1"/>
  <c r="D55" i="1"/>
  <c r="V54" i="1"/>
  <c r="W54" i="1" s="1"/>
  <c r="H54" i="1"/>
  <c r="M54" i="1" s="1"/>
  <c r="V53" i="1"/>
  <c r="W53" i="1" s="1"/>
  <c r="U53" i="1"/>
  <c r="Q53" i="1"/>
  <c r="O53" i="1"/>
  <c r="M53" i="1"/>
  <c r="S53" i="1" s="1"/>
  <c r="W52" i="1"/>
  <c r="V52" i="1"/>
  <c r="O52" i="1"/>
  <c r="M52" i="1"/>
  <c r="M9" i="1" s="1"/>
  <c r="W51" i="1"/>
  <c r="U51" i="1"/>
  <c r="Q51" i="1"/>
  <c r="O51" i="1"/>
  <c r="M51" i="1"/>
  <c r="S51" i="1" s="1"/>
  <c r="W50" i="1"/>
  <c r="W55" i="1" s="1"/>
  <c r="W42" i="1" s="1"/>
  <c r="W44" i="1" s="1"/>
  <c r="V50" i="1"/>
  <c r="V55" i="1" s="1"/>
  <c r="V42" i="1" s="1"/>
  <c r="V44" i="1" s="1"/>
  <c r="M50" i="1"/>
  <c r="M55" i="1" s="1"/>
  <c r="V49" i="1"/>
  <c r="V41" i="1" s="1"/>
  <c r="T49" i="1"/>
  <c r="R49" i="1"/>
  <c r="P49" i="1"/>
  <c r="Q49" i="1" s="1"/>
  <c r="N49" i="1"/>
  <c r="O49" i="1" s="1"/>
  <c r="L49" i="1"/>
  <c r="K49" i="1"/>
  <c r="J49" i="1"/>
  <c r="I49" i="1"/>
  <c r="I41" i="1" s="1"/>
  <c r="I3" i="1" s="1"/>
  <c r="H49" i="1"/>
  <c r="H41" i="1" s="1"/>
  <c r="H3" i="1" s="1"/>
  <c r="G49" i="1"/>
  <c r="F49" i="1"/>
  <c r="F41" i="1" s="1"/>
  <c r="F3" i="1" s="1"/>
  <c r="E49" i="1"/>
  <c r="D49" i="1"/>
  <c r="W48" i="1"/>
  <c r="W49" i="1" s="1"/>
  <c r="W41" i="1" s="1"/>
  <c r="V48" i="1"/>
  <c r="O48" i="1"/>
  <c r="M48" i="1"/>
  <c r="M49" i="1" s="1"/>
  <c r="R43" i="1"/>
  <c r="P43" i="1"/>
  <c r="J43" i="1"/>
  <c r="I43" i="1"/>
  <c r="H43" i="1"/>
  <c r="G43" i="1"/>
  <c r="T42" i="1"/>
  <c r="P42" i="1"/>
  <c r="P44" i="1" s="1"/>
  <c r="L42" i="1"/>
  <c r="K42" i="1"/>
  <c r="I42" i="1"/>
  <c r="I44" i="1" s="1"/>
  <c r="E42" i="1"/>
  <c r="E44" i="1" s="1"/>
  <c r="D42" i="1"/>
  <c r="T41" i="1"/>
  <c r="T3" i="1" s="1"/>
  <c r="R41" i="1"/>
  <c r="L41" i="1"/>
  <c r="L3" i="1" s="1"/>
  <c r="K41" i="1"/>
  <c r="J41" i="1"/>
  <c r="G41" i="1"/>
  <c r="E41" i="1"/>
  <c r="E3" i="1" s="1"/>
  <c r="D41" i="1"/>
  <c r="D3" i="1" s="1"/>
  <c r="T37" i="1"/>
  <c r="R37" i="1"/>
  <c r="P37" i="1"/>
  <c r="N37" i="1"/>
  <c r="L37" i="1"/>
  <c r="K37" i="1"/>
  <c r="J37" i="1"/>
  <c r="I37" i="1"/>
  <c r="H37" i="1"/>
  <c r="G37" i="1"/>
  <c r="F37" i="1"/>
  <c r="E37" i="1"/>
  <c r="D37" i="1"/>
  <c r="W36" i="1"/>
  <c r="V36" i="1"/>
  <c r="U36" i="1"/>
  <c r="S36" i="1"/>
  <c r="Q36" i="1"/>
  <c r="O36" i="1"/>
  <c r="M36" i="1"/>
  <c r="V35" i="1"/>
  <c r="W35" i="1" s="1"/>
  <c r="S35" i="1"/>
  <c r="Q35" i="1"/>
  <c r="M35" i="1"/>
  <c r="O35" i="1" s="1"/>
  <c r="V34" i="1"/>
  <c r="W34" i="1" s="1"/>
  <c r="U34" i="1"/>
  <c r="Q34" i="1"/>
  <c r="O34" i="1"/>
  <c r="M34" i="1"/>
  <c r="S34" i="1" s="1"/>
  <c r="W33" i="1"/>
  <c r="V33" i="1"/>
  <c r="O33" i="1"/>
  <c r="M33" i="1"/>
  <c r="S33" i="1" s="1"/>
  <c r="W32" i="1"/>
  <c r="V32" i="1"/>
  <c r="M32" i="1"/>
  <c r="U32" i="1" s="1"/>
  <c r="W31" i="1"/>
  <c r="V31" i="1"/>
  <c r="U31" i="1"/>
  <c r="Q31" i="1"/>
  <c r="O31" i="1"/>
  <c r="M31" i="1"/>
  <c r="S31" i="1" s="1"/>
  <c r="W30" i="1"/>
  <c r="V30" i="1"/>
  <c r="M30" i="1"/>
  <c r="U30" i="1" s="1"/>
  <c r="V29" i="1"/>
  <c r="V37" i="1" s="1"/>
  <c r="V24" i="1" s="1"/>
  <c r="U29" i="1"/>
  <c r="M29" i="1"/>
  <c r="S29" i="1" s="1"/>
  <c r="T25" i="1"/>
  <c r="R25" i="1"/>
  <c r="L25" i="1"/>
  <c r="J25" i="1"/>
  <c r="G25" i="1"/>
  <c r="E25" i="1"/>
  <c r="D25" i="1"/>
  <c r="T24" i="1"/>
  <c r="R24" i="1"/>
  <c r="P24" i="1"/>
  <c r="P4" i="1" s="1"/>
  <c r="N24" i="1"/>
  <c r="L24" i="1"/>
  <c r="K24" i="1"/>
  <c r="K25" i="1" s="1"/>
  <c r="J24" i="1"/>
  <c r="I24" i="1"/>
  <c r="I25" i="1" s="1"/>
  <c r="H24" i="1"/>
  <c r="G24" i="1"/>
  <c r="F24" i="1"/>
  <c r="F25" i="1" s="1"/>
  <c r="E24" i="1"/>
  <c r="D24" i="1"/>
  <c r="P19" i="1"/>
  <c r="T18" i="1"/>
  <c r="L18" i="1"/>
  <c r="G18" i="1"/>
  <c r="D18" i="1"/>
  <c r="I15" i="1"/>
  <c r="W14" i="1"/>
  <c r="V14" i="1"/>
  <c r="T14" i="1"/>
  <c r="R14" i="1"/>
  <c r="S14" i="1" s="1"/>
  <c r="P14" i="1"/>
  <c r="Q14" i="1" s="1"/>
  <c r="M14" i="1"/>
  <c r="U14" i="1" s="1"/>
  <c r="L14" i="1"/>
  <c r="K14" i="1"/>
  <c r="J14" i="1"/>
  <c r="I14" i="1"/>
  <c r="G14" i="1"/>
  <c r="E14" i="1"/>
  <c r="D14" i="1"/>
  <c r="W13" i="1"/>
  <c r="V13" i="1"/>
  <c r="T13" i="1"/>
  <c r="U13" i="1" s="1"/>
  <c r="Q13" i="1"/>
  <c r="P13" i="1"/>
  <c r="N13" i="1"/>
  <c r="O13" i="1" s="1"/>
  <c r="M13" i="1"/>
  <c r="L13" i="1"/>
  <c r="K13" i="1"/>
  <c r="J13" i="1"/>
  <c r="I13" i="1"/>
  <c r="H13" i="1"/>
  <c r="G13" i="1"/>
  <c r="F13" i="1"/>
  <c r="E13" i="1"/>
  <c r="D13" i="1"/>
  <c r="W12" i="1"/>
  <c r="V12" i="1"/>
  <c r="T12" i="1"/>
  <c r="R12" i="1"/>
  <c r="P12" i="1"/>
  <c r="L12" i="1"/>
  <c r="K12" i="1"/>
  <c r="J12" i="1"/>
  <c r="I12" i="1"/>
  <c r="H12" i="1"/>
  <c r="G12" i="1"/>
  <c r="F12" i="1"/>
  <c r="E12" i="1"/>
  <c r="D12" i="1"/>
  <c r="W11" i="1"/>
  <c r="W15" i="1" s="1"/>
  <c r="V11" i="1"/>
  <c r="V15" i="1" s="1"/>
  <c r="T11" i="1"/>
  <c r="R11" i="1"/>
  <c r="P11" i="1"/>
  <c r="P15" i="1" s="1"/>
  <c r="N11" i="1"/>
  <c r="K11" i="1"/>
  <c r="K15" i="1" s="1"/>
  <c r="J11" i="1"/>
  <c r="J15" i="1" s="1"/>
  <c r="I11" i="1"/>
  <c r="H11" i="1"/>
  <c r="H15" i="1" s="1"/>
  <c r="G11" i="1"/>
  <c r="G15" i="1" s="1"/>
  <c r="F11" i="1"/>
  <c r="F15" i="1" s="1"/>
  <c r="E11" i="1"/>
  <c r="E15" i="1" s="1"/>
  <c r="W9" i="1"/>
  <c r="V9" i="1"/>
  <c r="T9" i="1"/>
  <c r="U9" i="1" s="1"/>
  <c r="R9" i="1"/>
  <c r="P9" i="1"/>
  <c r="N9" i="1"/>
  <c r="L9" i="1"/>
  <c r="K9" i="1"/>
  <c r="J9" i="1"/>
  <c r="I9" i="1"/>
  <c r="H9" i="1"/>
  <c r="G9" i="1"/>
  <c r="F9" i="1"/>
  <c r="E9" i="1"/>
  <c r="D9" i="1"/>
  <c r="W8" i="1"/>
  <c r="W10" i="1" s="1"/>
  <c r="V8" i="1"/>
  <c r="V10" i="1" s="1"/>
  <c r="T8" i="1"/>
  <c r="T10" i="1" s="1"/>
  <c r="U10" i="1" s="1"/>
  <c r="R8" i="1"/>
  <c r="S8" i="1" s="1"/>
  <c r="P8" i="1"/>
  <c r="Q8" i="1" s="1"/>
  <c r="N8" i="1"/>
  <c r="N10" i="1" s="1"/>
  <c r="O10" i="1" s="1"/>
  <c r="M8" i="1"/>
  <c r="M10" i="1" s="1"/>
  <c r="L8" i="1"/>
  <c r="L10" i="1" s="1"/>
  <c r="K8" i="1"/>
  <c r="K10" i="1" s="1"/>
  <c r="J8" i="1"/>
  <c r="J10" i="1" s="1"/>
  <c r="I8" i="1"/>
  <c r="I10" i="1" s="1"/>
  <c r="H8" i="1"/>
  <c r="H10" i="1" s="1"/>
  <c r="G8" i="1"/>
  <c r="G10" i="1" s="1"/>
  <c r="F8" i="1"/>
  <c r="F10" i="1" s="1"/>
  <c r="E8" i="1"/>
  <c r="E10" i="1" s="1"/>
  <c r="D8" i="1"/>
  <c r="D10" i="1" s="1"/>
  <c r="R6" i="1"/>
  <c r="P6" i="1"/>
  <c r="J6" i="1"/>
  <c r="J19" i="1" s="1"/>
  <c r="H6" i="1"/>
  <c r="T5" i="1"/>
  <c r="N5" i="1"/>
  <c r="L5" i="1"/>
  <c r="I5" i="1"/>
  <c r="I18" i="1" s="1"/>
  <c r="H5" i="1"/>
  <c r="H18" i="1" s="1"/>
  <c r="G5" i="1"/>
  <c r="F5" i="1"/>
  <c r="F18" i="1" s="1"/>
  <c r="D5" i="1"/>
  <c r="T4" i="1"/>
  <c r="T17" i="1" s="1"/>
  <c r="L4" i="1"/>
  <c r="L17" i="1" s="1"/>
  <c r="E4" i="1"/>
  <c r="E17" i="1" s="1"/>
  <c r="D4" i="1"/>
  <c r="D17" i="1" s="1"/>
  <c r="R3" i="1"/>
  <c r="R16" i="1" s="1"/>
  <c r="J3" i="1"/>
  <c r="J16" i="1" s="1"/>
  <c r="K44" i="1" l="1"/>
  <c r="F16" i="1"/>
  <c r="P5" i="1"/>
  <c r="Q75" i="1"/>
  <c r="P77" i="1"/>
  <c r="L44" i="1"/>
  <c r="W111" i="1"/>
  <c r="W74" i="1" s="1"/>
  <c r="U75" i="1"/>
  <c r="M5" i="1"/>
  <c r="M18" i="1" s="1"/>
  <c r="U18" i="1" s="1"/>
  <c r="E7" i="1"/>
  <c r="E16" i="1"/>
  <c r="E20" i="1" s="1"/>
  <c r="S12" i="1"/>
  <c r="L16" i="1"/>
  <c r="L20" i="1" s="1"/>
  <c r="L7" i="1"/>
  <c r="U49" i="1"/>
  <c r="S49" i="1"/>
  <c r="M41" i="1"/>
  <c r="H7" i="1"/>
  <c r="H16" i="1"/>
  <c r="H20" i="1" s="1"/>
  <c r="G44" i="1"/>
  <c r="G4" i="1"/>
  <c r="G17" i="1" s="1"/>
  <c r="N4" i="1"/>
  <c r="Q12" i="1"/>
  <c r="P17" i="1"/>
  <c r="T6" i="1"/>
  <c r="V25" i="1"/>
  <c r="V4" i="1"/>
  <c r="V17" i="1" s="1"/>
  <c r="F44" i="1"/>
  <c r="F4" i="1"/>
  <c r="F17" i="1" s="1"/>
  <c r="I16" i="1"/>
  <c r="R15" i="1"/>
  <c r="U37" i="1"/>
  <c r="T16" i="1"/>
  <c r="M42" i="1"/>
  <c r="Q55" i="1"/>
  <c r="O55" i="1"/>
  <c r="O9" i="1"/>
  <c r="Q9" i="1"/>
  <c r="S9" i="1"/>
  <c r="J4" i="1"/>
  <c r="J17" i="1" s="1"/>
  <c r="J20" i="1" s="1"/>
  <c r="J44" i="1"/>
  <c r="O97" i="1"/>
  <c r="U97" i="1"/>
  <c r="S97" i="1"/>
  <c r="Q97" i="1"/>
  <c r="H4" i="1"/>
  <c r="H17" i="1" s="1"/>
  <c r="D16" i="1"/>
  <c r="D20" i="1" s="1"/>
  <c r="D7" i="1"/>
  <c r="D44" i="1"/>
  <c r="O54" i="1"/>
  <c r="Q54" i="1"/>
  <c r="U54" i="1"/>
  <c r="S54" i="1"/>
  <c r="O75" i="1"/>
  <c r="K111" i="1"/>
  <c r="K74" i="1" s="1"/>
  <c r="S113" i="1"/>
  <c r="O121" i="1"/>
  <c r="L124" i="1"/>
  <c r="U28" i="2"/>
  <c r="U56" i="2"/>
  <c r="T236" i="2"/>
  <c r="J5" i="1"/>
  <c r="J18" i="1" s="1"/>
  <c r="J7" i="1"/>
  <c r="N12" i="1"/>
  <c r="O12" i="1" s="1"/>
  <c r="R13" i="1"/>
  <c r="S13" i="1" s="1"/>
  <c r="N14" i="1"/>
  <c r="O14" i="1" s="1"/>
  <c r="N18" i="1"/>
  <c r="O18" i="1" s="1"/>
  <c r="R19" i="1"/>
  <c r="N25" i="1"/>
  <c r="W29" i="1"/>
  <c r="W37" i="1" s="1"/>
  <c r="W24" i="1" s="1"/>
  <c r="O32" i="1"/>
  <c r="Q33" i="1"/>
  <c r="U35" i="1"/>
  <c r="N41" i="1"/>
  <c r="R42" i="1"/>
  <c r="N43" i="1"/>
  <c r="Q48" i="1"/>
  <c r="Q52" i="1"/>
  <c r="H55" i="1"/>
  <c r="H42" i="1" s="1"/>
  <c r="H44" i="1" s="1"/>
  <c r="M58" i="1"/>
  <c r="O58" i="1" s="1"/>
  <c r="U58" i="1"/>
  <c r="O64" i="1"/>
  <c r="U66" i="1"/>
  <c r="O69" i="1"/>
  <c r="T77" i="1"/>
  <c r="U81" i="1"/>
  <c r="G111" i="1"/>
  <c r="G74" i="1" s="1"/>
  <c r="G77" i="1" s="1"/>
  <c r="O91" i="1"/>
  <c r="U92" i="1"/>
  <c r="Q98" i="1"/>
  <c r="U99" i="1"/>
  <c r="O102" i="1"/>
  <c r="Q103" i="1"/>
  <c r="U105" i="1"/>
  <c r="O107" i="1"/>
  <c r="U107" i="1"/>
  <c r="U113" i="1"/>
  <c r="O120" i="1"/>
  <c r="Q121" i="1"/>
  <c r="M121" i="1"/>
  <c r="M12" i="1" s="1"/>
  <c r="U12" i="1" s="1"/>
  <c r="U128" i="1"/>
  <c r="S128" i="1"/>
  <c r="O128" i="1"/>
  <c r="R8" i="2"/>
  <c r="I42" i="2"/>
  <c r="I29" i="2"/>
  <c r="I22" i="2" s="1"/>
  <c r="I24" i="2" s="1"/>
  <c r="U8" i="1"/>
  <c r="Q32" i="1"/>
  <c r="Q69" i="1"/>
  <c r="S103" i="1"/>
  <c r="M116" i="1"/>
  <c r="M76" i="1" s="1"/>
  <c r="U114" i="1"/>
  <c r="S114" i="1"/>
  <c r="O114" i="1"/>
  <c r="S121" i="1"/>
  <c r="T8" i="2"/>
  <c r="L56" i="2"/>
  <c r="L28" i="2"/>
  <c r="Q30" i="2"/>
  <c r="T63" i="2"/>
  <c r="S66" i="2"/>
  <c r="V160" i="2"/>
  <c r="T160" i="2"/>
  <c r="X160" i="2"/>
  <c r="P162" i="2"/>
  <c r="T162" i="2" s="1"/>
  <c r="R160" i="2"/>
  <c r="X175" i="2"/>
  <c r="V175" i="2"/>
  <c r="T175" i="2"/>
  <c r="R175" i="2"/>
  <c r="X198" i="2"/>
  <c r="W185" i="2"/>
  <c r="X185" i="2" s="1"/>
  <c r="S48" i="1"/>
  <c r="S98" i="1"/>
  <c r="P10" i="1"/>
  <c r="Q10" i="1" s="1"/>
  <c r="D11" i="1"/>
  <c r="D15" i="1" s="1"/>
  <c r="T15" i="1"/>
  <c r="H25" i="1"/>
  <c r="P25" i="1"/>
  <c r="O30" i="1"/>
  <c r="S32" i="1"/>
  <c r="U33" i="1"/>
  <c r="P41" i="1"/>
  <c r="T44" i="1"/>
  <c r="U48" i="1"/>
  <c r="O50" i="1"/>
  <c r="U52" i="1"/>
  <c r="O62" i="1"/>
  <c r="S64" i="1"/>
  <c r="S69" i="1"/>
  <c r="O84" i="1"/>
  <c r="O87" i="1"/>
  <c r="M88" i="1"/>
  <c r="O89" i="1"/>
  <c r="S91" i="1"/>
  <c r="O95" i="1"/>
  <c r="S102" i="1"/>
  <c r="Q114" i="1"/>
  <c r="U121" i="1"/>
  <c r="J21" i="2"/>
  <c r="R65" i="2"/>
  <c r="X65" i="2"/>
  <c r="X118" i="2"/>
  <c r="T118" i="2"/>
  <c r="V118" i="2"/>
  <c r="H224" i="2"/>
  <c r="H210" i="2"/>
  <c r="P224" i="2"/>
  <c r="R224" i="2" s="1"/>
  <c r="V223" i="2"/>
  <c r="O8" i="1"/>
  <c r="S52" i="1"/>
  <c r="Q64" i="1"/>
  <c r="F124" i="1"/>
  <c r="I4" i="1"/>
  <c r="I17" i="1" s="1"/>
  <c r="O29" i="1"/>
  <c r="Q30" i="1"/>
  <c r="M37" i="1"/>
  <c r="O37" i="1" s="1"/>
  <c r="Q50" i="1"/>
  <c r="O61" i="1"/>
  <c r="Q62" i="1"/>
  <c r="O68" i="1"/>
  <c r="O83" i="1"/>
  <c r="Q84" i="1"/>
  <c r="O86" i="1"/>
  <c r="Q87" i="1"/>
  <c r="Q89" i="1"/>
  <c r="U91" i="1"/>
  <c r="O94" i="1"/>
  <c r="Q95" i="1"/>
  <c r="U102" i="1"/>
  <c r="U108" i="1"/>
  <c r="S108" i="1"/>
  <c r="Q108" i="1"/>
  <c r="O108" i="1"/>
  <c r="Y267" i="2"/>
  <c r="Y268" i="2" s="1"/>
  <c r="Y257" i="2" s="1"/>
  <c r="Y249" i="2" s="1"/>
  <c r="Y5" i="2" s="1"/>
  <c r="Y15" i="2" s="1"/>
  <c r="V113" i="1"/>
  <c r="V75" i="1" s="1"/>
  <c r="V5" i="1" s="1"/>
  <c r="V18" i="1" s="1"/>
  <c r="W112" i="1"/>
  <c r="H124" i="1"/>
  <c r="L10" i="2"/>
  <c r="V8" i="2"/>
  <c r="N21" i="2"/>
  <c r="N31" i="2"/>
  <c r="W23" i="2"/>
  <c r="V37" i="2"/>
  <c r="R37" i="2"/>
  <c r="T37" i="2"/>
  <c r="U23" i="2"/>
  <c r="G210" i="2"/>
  <c r="G218" i="2"/>
  <c r="O210" i="2"/>
  <c r="O212" i="2" s="1"/>
  <c r="O218" i="2"/>
  <c r="R10" i="1"/>
  <c r="S10" i="1" s="1"/>
  <c r="Q29" i="1"/>
  <c r="S30" i="1"/>
  <c r="S50" i="1"/>
  <c r="Q61" i="1"/>
  <c r="S62" i="1"/>
  <c r="Q68" i="1"/>
  <c r="Q83" i="1"/>
  <c r="S84" i="1"/>
  <c r="Q86" i="1"/>
  <c r="S87" i="1"/>
  <c r="S89" i="1"/>
  <c r="Q94" i="1"/>
  <c r="S95" i="1"/>
  <c r="Z56" i="2"/>
  <c r="M24" i="2"/>
  <c r="Z30" i="2"/>
  <c r="Z23" i="2" s="1"/>
  <c r="Z6" i="2" s="1"/>
  <c r="Z16" i="2" s="1"/>
  <c r="V111" i="1"/>
  <c r="V74" i="1" s="1"/>
  <c r="V77" i="1" s="1"/>
  <c r="K4" i="1"/>
  <c r="K17" i="1" s="1"/>
  <c r="U50" i="1"/>
  <c r="Y123" i="2"/>
  <c r="Y124" i="2" s="1"/>
  <c r="Y128" i="2" s="1"/>
  <c r="O113" i="1"/>
  <c r="U116" i="1"/>
  <c r="Y169" i="2"/>
  <c r="Y154" i="2" s="1"/>
  <c r="Z163" i="2"/>
  <c r="Z169" i="2" s="1"/>
  <c r="Z154" i="2" s="1"/>
  <c r="R75" i="1"/>
  <c r="Z123" i="2"/>
  <c r="Z124" i="2" s="1"/>
  <c r="Z128" i="2" s="1"/>
  <c r="Q113" i="1"/>
  <c r="U130" i="1"/>
  <c r="S130" i="1"/>
  <c r="Q130" i="1"/>
  <c r="O130" i="1"/>
  <c r="M120" i="1"/>
  <c r="U120" i="1" s="1"/>
  <c r="T53" i="2"/>
  <c r="S29" i="2"/>
  <c r="Q109" i="1"/>
  <c r="U112" i="1"/>
  <c r="Q115" i="1"/>
  <c r="W31" i="2"/>
  <c r="P39" i="2"/>
  <c r="X35" i="2"/>
  <c r="R35" i="2"/>
  <c r="J42" i="2"/>
  <c r="X54" i="2"/>
  <c r="T54" i="2"/>
  <c r="S30" i="2"/>
  <c r="Y73" i="2"/>
  <c r="Y74" i="2" s="1"/>
  <c r="R90" i="2"/>
  <c r="T124" i="2"/>
  <c r="V124" i="2"/>
  <c r="W137" i="2"/>
  <c r="X184" i="2"/>
  <c r="Y199" i="2"/>
  <c r="Y183" i="2"/>
  <c r="Y186" i="2" s="1"/>
  <c r="I237" i="2"/>
  <c r="I209" i="2"/>
  <c r="I212" i="2" s="1"/>
  <c r="X239" i="2"/>
  <c r="V239" i="2"/>
  <c r="T239" i="2"/>
  <c r="R239" i="2"/>
  <c r="S247" i="2"/>
  <c r="V301" i="2"/>
  <c r="X124" i="2"/>
  <c r="W128" i="2"/>
  <c r="X126" i="2"/>
  <c r="V126" i="2"/>
  <c r="T126" i="2"/>
  <c r="R126" i="2"/>
  <c r="Q156" i="2"/>
  <c r="H172" i="2"/>
  <c r="H153" i="2"/>
  <c r="H156" i="2" s="1"/>
  <c r="X211" i="2"/>
  <c r="Y266" i="2"/>
  <c r="Y256" i="2" s="1"/>
  <c r="Y248" i="2" s="1"/>
  <c r="Z265" i="2"/>
  <c r="Z266" i="2" s="1"/>
  <c r="U15" i="2"/>
  <c r="V35" i="2"/>
  <c r="X38" i="2"/>
  <c r="R38" i="2"/>
  <c r="L42" i="2"/>
  <c r="L29" i="2"/>
  <c r="L22" i="2" s="1"/>
  <c r="X47" i="2"/>
  <c r="R47" i="2"/>
  <c r="V54" i="2"/>
  <c r="S91" i="2"/>
  <c r="R103" i="2"/>
  <c r="Q104" i="2"/>
  <c r="R104" i="2" s="1"/>
  <c r="Y111" i="2"/>
  <c r="Z108" i="2"/>
  <c r="Z111" i="2" s="1"/>
  <c r="Z119" i="2" s="1"/>
  <c r="M128" i="2"/>
  <c r="T147" i="2"/>
  <c r="R147" i="2"/>
  <c r="X147" i="2"/>
  <c r="V149" i="2"/>
  <c r="Y172" i="2"/>
  <c r="S153" i="2"/>
  <c r="S172" i="2"/>
  <c r="R169" i="2"/>
  <c r="T196" i="2"/>
  <c r="S184" i="2"/>
  <c r="S199" i="2"/>
  <c r="U210" i="2"/>
  <c r="U218" i="2"/>
  <c r="V217" i="2"/>
  <c r="Y278" i="2"/>
  <c r="Z275" i="2"/>
  <c r="Z278" i="2" s="1"/>
  <c r="Z306" i="2"/>
  <c r="Z314" i="2"/>
  <c r="Q343" i="2"/>
  <c r="R336" i="2"/>
  <c r="Q305" i="2"/>
  <c r="N124" i="1"/>
  <c r="O127" i="1"/>
  <c r="U29" i="2"/>
  <c r="R36" i="2"/>
  <c r="X36" i="2"/>
  <c r="T38" i="2"/>
  <c r="W42" i="2"/>
  <c r="W29" i="2"/>
  <c r="U42" i="2"/>
  <c r="T47" i="2"/>
  <c r="Y66" i="2"/>
  <c r="T65" i="2"/>
  <c r="U91" i="2"/>
  <c r="X88" i="2"/>
  <c r="T88" i="2"/>
  <c r="Q91" i="2"/>
  <c r="R88" i="2"/>
  <c r="W119" i="2"/>
  <c r="X111" i="2"/>
  <c r="G137" i="2"/>
  <c r="O137" i="2"/>
  <c r="V147" i="2"/>
  <c r="P154" i="2"/>
  <c r="Z162" i="2"/>
  <c r="S154" i="2"/>
  <c r="T169" i="2"/>
  <c r="G172" i="2"/>
  <c r="Q199" i="2"/>
  <c r="Q183" i="2"/>
  <c r="R191" i="2"/>
  <c r="W224" i="2"/>
  <c r="X224" i="2" s="1"/>
  <c r="X223" i="2"/>
  <c r="Q127" i="1"/>
  <c r="O132" i="1"/>
  <c r="W15" i="2"/>
  <c r="W21" i="2"/>
  <c r="G31" i="2"/>
  <c r="J29" i="2"/>
  <c r="J22" i="2" s="1"/>
  <c r="T36" i="2"/>
  <c r="V38" i="2"/>
  <c r="Y42" i="2"/>
  <c r="V47" i="2"/>
  <c r="V65" i="2"/>
  <c r="T103" i="2"/>
  <c r="P104" i="2"/>
  <c r="X104" i="2" s="1"/>
  <c r="P127" i="2"/>
  <c r="H137" i="2"/>
  <c r="H21" i="2"/>
  <c r="R133" i="2"/>
  <c r="V133" i="2"/>
  <c r="P136" i="2"/>
  <c r="X134" i="2"/>
  <c r="V134" i="2"/>
  <c r="T134" i="2"/>
  <c r="R134" i="2"/>
  <c r="Y153" i="2"/>
  <c r="Y156" i="2" s="1"/>
  <c r="G156" i="2"/>
  <c r="K153" i="2"/>
  <c r="K156" i="2" s="1"/>
  <c r="K172" i="2"/>
  <c r="T166" i="2"/>
  <c r="R166" i="2"/>
  <c r="X166" i="2"/>
  <c r="V169" i="2"/>
  <c r="W186" i="2"/>
  <c r="I199" i="2"/>
  <c r="I183" i="2"/>
  <c r="J258" i="2"/>
  <c r="I327" i="2"/>
  <c r="I306" i="2"/>
  <c r="I248" i="2" s="1"/>
  <c r="P124" i="1"/>
  <c r="S127" i="1"/>
  <c r="Q132" i="1"/>
  <c r="V36" i="2"/>
  <c r="G42" i="2"/>
  <c r="G29" i="2"/>
  <c r="G22" i="2" s="1"/>
  <c r="G4" i="2" s="1"/>
  <c r="O42" i="2"/>
  <c r="O29" i="2"/>
  <c r="O22" i="2" s="1"/>
  <c r="Z42" i="2"/>
  <c r="Q56" i="2"/>
  <c r="W56" i="2"/>
  <c r="T64" i="2"/>
  <c r="R64" i="2"/>
  <c r="X64" i="2"/>
  <c r="T83" i="2"/>
  <c r="R83" i="2"/>
  <c r="P84" i="2"/>
  <c r="X83" i="2"/>
  <c r="T104" i="2"/>
  <c r="R118" i="2"/>
  <c r="Y136" i="2"/>
  <c r="Y137" i="2" s="1"/>
  <c r="Z134" i="2"/>
  <c r="Z136" i="2" s="1"/>
  <c r="Z137" i="2" s="1"/>
  <c r="T139" i="2"/>
  <c r="R139" i="2"/>
  <c r="X139" i="2"/>
  <c r="R148" i="2"/>
  <c r="Q149" i="2"/>
  <c r="R149" i="2" s="1"/>
  <c r="I156" i="2"/>
  <c r="V154" i="2"/>
  <c r="T178" i="2"/>
  <c r="R178" i="2"/>
  <c r="X178" i="2"/>
  <c r="I31" i="2"/>
  <c r="Q42" i="2"/>
  <c r="Q29" i="2"/>
  <c r="Q31" i="2" s="1"/>
  <c r="K48" i="2"/>
  <c r="P46" i="2"/>
  <c r="H30" i="2"/>
  <c r="H23" i="2" s="1"/>
  <c r="H6" i="2" s="1"/>
  <c r="H16" i="2" s="1"/>
  <c r="P55" i="2"/>
  <c r="H66" i="2"/>
  <c r="V64" i="2"/>
  <c r="T70" i="2"/>
  <c r="R70" i="2"/>
  <c r="P73" i="2"/>
  <c r="X70" i="2"/>
  <c r="U74" i="2"/>
  <c r="V73" i="2"/>
  <c r="V83" i="2"/>
  <c r="N91" i="2"/>
  <c r="V88" i="2"/>
  <c r="X96" i="2"/>
  <c r="V96" i="2"/>
  <c r="T96" i="2"/>
  <c r="R96" i="2"/>
  <c r="V104" i="2"/>
  <c r="R124" i="2"/>
  <c r="J137" i="2"/>
  <c r="S21" i="2"/>
  <c r="T133" i="2"/>
  <c r="V136" i="2"/>
  <c r="V139" i="2"/>
  <c r="T161" i="2"/>
  <c r="R161" i="2"/>
  <c r="X161" i="2"/>
  <c r="X163" i="2"/>
  <c r="V163" i="2"/>
  <c r="T163" i="2"/>
  <c r="R163" i="2"/>
  <c r="T168" i="2"/>
  <c r="R168" i="2"/>
  <c r="X168" i="2"/>
  <c r="S155" i="2"/>
  <c r="V178" i="2"/>
  <c r="K186" i="2"/>
  <c r="P199" i="2"/>
  <c r="V199" i="2" s="1"/>
  <c r="P183" i="2"/>
  <c r="V191" i="2"/>
  <c r="P41" i="2"/>
  <c r="P66" i="2"/>
  <c r="X66" i="2" s="1"/>
  <c r="T97" i="2"/>
  <c r="P111" i="2"/>
  <c r="T114" i="2"/>
  <c r="T117" i="2"/>
  <c r="V123" i="2"/>
  <c r="U128" i="2"/>
  <c r="T132" i="2"/>
  <c r="T135" i="2"/>
  <c r="T146" i="2"/>
  <c r="M153" i="2"/>
  <c r="U153" i="2"/>
  <c r="P229" i="2"/>
  <c r="X228" i="2"/>
  <c r="V228" i="2"/>
  <c r="T228" i="2"/>
  <c r="Y237" i="2"/>
  <c r="Y209" i="2"/>
  <c r="Y212" i="2" s="1"/>
  <c r="X235" i="2"/>
  <c r="V235" i="2"/>
  <c r="T235" i="2"/>
  <c r="V236" i="2"/>
  <c r="K258" i="2"/>
  <c r="K247" i="2"/>
  <c r="K251" i="2" s="1"/>
  <c r="M258" i="2"/>
  <c r="M247" i="2"/>
  <c r="M269" i="2"/>
  <c r="X300" i="2"/>
  <c r="W301" i="2"/>
  <c r="X301" i="2" s="1"/>
  <c r="U250" i="2"/>
  <c r="H308" i="2"/>
  <c r="W354" i="2"/>
  <c r="Q66" i="2"/>
  <c r="P90" i="2"/>
  <c r="T90" i="2" s="1"/>
  <c r="V117" i="2"/>
  <c r="V146" i="2"/>
  <c r="P171" i="2"/>
  <c r="X196" i="2"/>
  <c r="V196" i="2"/>
  <c r="X216" i="2"/>
  <c r="V216" i="2"/>
  <c r="T216" i="2"/>
  <c r="R216" i="2"/>
  <c r="P217" i="2"/>
  <c r="W210" i="2"/>
  <c r="W218" i="2"/>
  <c r="X217" i="2"/>
  <c r="T223" i="2"/>
  <c r="Z237" i="2"/>
  <c r="Z209" i="2"/>
  <c r="Y269" i="2"/>
  <c r="U256" i="2"/>
  <c r="V266" i="2"/>
  <c r="N269" i="2"/>
  <c r="V277" i="2"/>
  <c r="X277" i="2"/>
  <c r="T277" i="2"/>
  <c r="X278" i="2"/>
  <c r="R291" i="2"/>
  <c r="Q256" i="2"/>
  <c r="L365" i="2"/>
  <c r="L354" i="2"/>
  <c r="U402" i="2"/>
  <c r="U382" i="2"/>
  <c r="Z428" i="2"/>
  <c r="Z418" i="2"/>
  <c r="Z64" i="2"/>
  <c r="Z65" i="2" s="1"/>
  <c r="Z66" i="2" s="1"/>
  <c r="Z70" i="2"/>
  <c r="Z73" i="2" s="1"/>
  <c r="X73" i="2"/>
  <c r="R76" i="2"/>
  <c r="N162" i="2"/>
  <c r="R170" i="2"/>
  <c r="R179" i="2"/>
  <c r="R192" i="2"/>
  <c r="M210" i="2"/>
  <c r="M4" i="2" s="1"/>
  <c r="M14" i="2" s="1"/>
  <c r="M218" i="2"/>
  <c r="G237" i="2"/>
  <c r="O237" i="2"/>
  <c r="P234" i="2"/>
  <c r="X230" i="2"/>
  <c r="V230" i="2"/>
  <c r="T230" i="2"/>
  <c r="R230" i="2"/>
  <c r="X232" i="2"/>
  <c r="V232" i="2"/>
  <c r="T232" i="2"/>
  <c r="H251" i="2"/>
  <c r="R268" i="2"/>
  <c r="U269" i="2"/>
  <c r="V269" i="2" s="1"/>
  <c r="R277" i="2"/>
  <c r="I258" i="2"/>
  <c r="U343" i="2"/>
  <c r="K348" i="2"/>
  <c r="K4" i="2" s="1"/>
  <c r="Z365" i="2"/>
  <c r="Z353" i="2"/>
  <c r="R72" i="2"/>
  <c r="T76" i="2"/>
  <c r="R86" i="2"/>
  <c r="T89" i="2"/>
  <c r="X103" i="2"/>
  <c r="R108" i="2"/>
  <c r="T109" i="2"/>
  <c r="T127" i="2"/>
  <c r="R141" i="2"/>
  <c r="V145" i="2"/>
  <c r="X148" i="2"/>
  <c r="T170" i="2"/>
  <c r="T179" i="2"/>
  <c r="V190" i="2"/>
  <c r="T192" i="2"/>
  <c r="X195" i="2"/>
  <c r="R198" i="2"/>
  <c r="X201" i="2"/>
  <c r="V201" i="2"/>
  <c r="V202" i="2"/>
  <c r="Z216" i="2"/>
  <c r="Z217" i="2" s="1"/>
  <c r="N210" i="2"/>
  <c r="N4" i="2" s="1"/>
  <c r="N14" i="2" s="1"/>
  <c r="N218" i="2"/>
  <c r="X222" i="2"/>
  <c r="V222" i="2"/>
  <c r="T222" i="2"/>
  <c r="R222" i="2"/>
  <c r="Q237" i="2"/>
  <c r="Q209" i="2"/>
  <c r="R232" i="2"/>
  <c r="T268" i="2"/>
  <c r="T280" i="2"/>
  <c r="S256" i="2"/>
  <c r="L308" i="2"/>
  <c r="G314" i="2"/>
  <c r="G306" i="2"/>
  <c r="O314" i="2"/>
  <c r="O306" i="2"/>
  <c r="O308" i="2" s="1"/>
  <c r="H347" i="2"/>
  <c r="H383" i="2"/>
  <c r="V72" i="2"/>
  <c r="V86" i="2"/>
  <c r="V108" i="2"/>
  <c r="V141" i="2"/>
  <c r="T167" i="2"/>
  <c r="P184" i="2"/>
  <c r="R184" i="2" s="1"/>
  <c r="G199" i="2"/>
  <c r="O199" i="2"/>
  <c r="W199" i="2"/>
  <c r="X192" i="2"/>
  <c r="X197" i="2"/>
  <c r="V197" i="2"/>
  <c r="T197" i="2"/>
  <c r="M199" i="2"/>
  <c r="T201" i="2"/>
  <c r="U212" i="2"/>
  <c r="J237" i="2"/>
  <c r="J209" i="2"/>
  <c r="J212" i="2" s="1"/>
  <c r="S209" i="2"/>
  <c r="T229" i="2"/>
  <c r="X231" i="2"/>
  <c r="V231" i="2"/>
  <c r="T231" i="2"/>
  <c r="P236" i="2"/>
  <c r="P211" i="2" s="1"/>
  <c r="K237" i="2"/>
  <c r="R257" i="2"/>
  <c r="J269" i="2"/>
  <c r="T269" i="2"/>
  <c r="X268" i="2"/>
  <c r="X86" i="2"/>
  <c r="H199" i="2"/>
  <c r="X191" i="2"/>
  <c r="R197" i="2"/>
  <c r="G212" i="2"/>
  <c r="V229" i="2"/>
  <c r="R231" i="2"/>
  <c r="X233" i="2"/>
  <c r="V233" i="2"/>
  <c r="X234" i="2"/>
  <c r="Q211" i="2"/>
  <c r="R211" i="2" s="1"/>
  <c r="R236" i="2"/>
  <c r="L237" i="2"/>
  <c r="G248" i="2"/>
  <c r="G251" i="2" s="1"/>
  <c r="S249" i="2"/>
  <c r="T257" i="2"/>
  <c r="W258" i="2"/>
  <c r="U258" i="2"/>
  <c r="U247" i="2"/>
  <c r="R266" i="2"/>
  <c r="G269" i="2"/>
  <c r="O269" i="2"/>
  <c r="W269" i="2"/>
  <c r="X295" i="2"/>
  <c r="T295" i="2"/>
  <c r="R295" i="2"/>
  <c r="G308" i="2"/>
  <c r="X319" i="2"/>
  <c r="T319" i="2"/>
  <c r="R319" i="2"/>
  <c r="J327" i="2"/>
  <c r="J305" i="2"/>
  <c r="J308" i="2" s="1"/>
  <c r="V326" i="2"/>
  <c r="I343" i="2"/>
  <c r="X339" i="2"/>
  <c r="T339" i="2"/>
  <c r="R339" i="2"/>
  <c r="P340" i="2"/>
  <c r="R340" i="2" s="1"/>
  <c r="N348" i="2"/>
  <c r="Q353" i="2"/>
  <c r="Q373" i="2"/>
  <c r="P592" i="2"/>
  <c r="T592" i="2" s="1"/>
  <c r="T591" i="2"/>
  <c r="R591" i="2"/>
  <c r="X591" i="2"/>
  <c r="X263" i="2"/>
  <c r="H269" i="2"/>
  <c r="P269" i="2"/>
  <c r="R269" i="2" s="1"/>
  <c r="R276" i="2"/>
  <c r="M281" i="2"/>
  <c r="U281" i="2"/>
  <c r="V295" i="2"/>
  <c r="I305" i="2"/>
  <c r="J306" i="2"/>
  <c r="J248" i="2" s="1"/>
  <c r="J314" i="2"/>
  <c r="V319" i="2"/>
  <c r="X326" i="2"/>
  <c r="V339" i="2"/>
  <c r="S355" i="2"/>
  <c r="I365" i="2"/>
  <c r="I353" i="2"/>
  <c r="P471" i="2"/>
  <c r="X467" i="2"/>
  <c r="V467" i="2"/>
  <c r="T467" i="2"/>
  <c r="R467" i="2"/>
  <c r="U496" i="2"/>
  <c r="U449" i="2"/>
  <c r="Q538" i="2"/>
  <c r="R223" i="2"/>
  <c r="V257" i="2"/>
  <c r="V276" i="2"/>
  <c r="Q301" i="2"/>
  <c r="R301" i="2" s="1"/>
  <c r="R300" i="2"/>
  <c r="X316" i="2"/>
  <c r="T316" i="2"/>
  <c r="R316" i="2"/>
  <c r="L327" i="2"/>
  <c r="Q354" i="2"/>
  <c r="U353" i="2"/>
  <c r="T362" i="2"/>
  <c r="R362" i="2"/>
  <c r="X362" i="2"/>
  <c r="K391" i="2"/>
  <c r="K381" i="2"/>
  <c r="I428" i="2"/>
  <c r="I418" i="2"/>
  <c r="I420" i="2" s="1"/>
  <c r="U459" i="2"/>
  <c r="U450" i="2"/>
  <c r="R243" i="2"/>
  <c r="R263" i="2"/>
  <c r="R275" i="2"/>
  <c r="X275" i="2"/>
  <c r="X276" i="2"/>
  <c r="I292" i="2"/>
  <c r="Q292" i="2"/>
  <c r="X289" i="2"/>
  <c r="T289" i="2"/>
  <c r="R289" i="2"/>
  <c r="P291" i="2"/>
  <c r="X291" i="2"/>
  <c r="V316" i="2"/>
  <c r="R323" i="2"/>
  <c r="P324" i="2"/>
  <c r="X323" i="2"/>
  <c r="V323" i="2"/>
  <c r="W327" i="2"/>
  <c r="R329" i="2"/>
  <c r="X329" i="2"/>
  <c r="V329" i="2"/>
  <c r="X335" i="2"/>
  <c r="T335" i="2"/>
  <c r="R335" i="2"/>
  <c r="L343" i="2"/>
  <c r="K355" i="2"/>
  <c r="K347" i="2"/>
  <c r="K349" i="2" s="1"/>
  <c r="V362" i="2"/>
  <c r="I354" i="2"/>
  <c r="I348" i="2" s="1"/>
  <c r="R204" i="2"/>
  <c r="R242" i="2"/>
  <c r="T243" i="2"/>
  <c r="L247" i="2"/>
  <c r="L251" i="2" s="1"/>
  <c r="P255" i="2"/>
  <c r="R262" i="2"/>
  <c r="T265" i="2"/>
  <c r="P278" i="2"/>
  <c r="T288" i="2"/>
  <c r="S292" i="2"/>
  <c r="T300" i="2"/>
  <c r="M306" i="2"/>
  <c r="M248" i="2" s="1"/>
  <c r="U306" i="2"/>
  <c r="U308" i="2" s="1"/>
  <c r="W343" i="2"/>
  <c r="J355" i="2"/>
  <c r="J347" i="2"/>
  <c r="J349" i="2" s="1"/>
  <c r="Q365" i="2"/>
  <c r="Z401" i="2"/>
  <c r="Z402" i="2" s="1"/>
  <c r="Z291" i="2"/>
  <c r="Z292" i="2" s="1"/>
  <c r="V300" i="2"/>
  <c r="T301" i="2"/>
  <c r="W314" i="2"/>
  <c r="X314" i="2" s="1"/>
  <c r="X313" i="2"/>
  <c r="W306" i="2"/>
  <c r="R314" i="2"/>
  <c r="G327" i="2"/>
  <c r="O327" i="2"/>
  <c r="Z327" i="2"/>
  <c r="Z305" i="2"/>
  <c r="Z308" i="2" s="1"/>
  <c r="Q327" i="2"/>
  <c r="R326" i="2"/>
  <c r="N305" i="2"/>
  <c r="N308" i="2" s="1"/>
  <c r="N343" i="2"/>
  <c r="Y343" i="2"/>
  <c r="T340" i="2"/>
  <c r="Q307" i="2"/>
  <c r="R342" i="2"/>
  <c r="T377" i="2"/>
  <c r="R377" i="2"/>
  <c r="X377" i="2"/>
  <c r="V377" i="2"/>
  <c r="Z391" i="2"/>
  <c r="Z381" i="2"/>
  <c r="N391" i="2"/>
  <c r="N381" i="2"/>
  <c r="S343" i="2"/>
  <c r="N355" i="2"/>
  <c r="X361" i="2"/>
  <c r="R361" i="2"/>
  <c r="S373" i="2"/>
  <c r="R388" i="2"/>
  <c r="M402" i="2"/>
  <c r="M382" i="2"/>
  <c r="M383" i="2" s="1"/>
  <c r="L428" i="2"/>
  <c r="W458" i="2"/>
  <c r="R288" i="2"/>
  <c r="R294" i="2"/>
  <c r="V299" i="2"/>
  <c r="V313" i="2"/>
  <c r="R318" i="2"/>
  <c r="P336" i="2"/>
  <c r="X336" i="2"/>
  <c r="P342" i="2"/>
  <c r="R359" i="2"/>
  <c r="T360" i="2"/>
  <c r="T361" i="2"/>
  <c r="P364" i="2"/>
  <c r="X364" i="2" s="1"/>
  <c r="Y364" i="2"/>
  <c r="R371" i="2"/>
  <c r="T388" i="2"/>
  <c r="S391" i="2"/>
  <c r="S381" i="2"/>
  <c r="Y401" i="2"/>
  <c r="Z400" i="2"/>
  <c r="X406" i="2"/>
  <c r="V406" i="2"/>
  <c r="T406" i="2"/>
  <c r="R406" i="2"/>
  <c r="P413" i="2"/>
  <c r="X411" i="2"/>
  <c r="V411" i="2"/>
  <c r="R411" i="2"/>
  <c r="X424" i="2"/>
  <c r="V424" i="2"/>
  <c r="T424" i="2"/>
  <c r="R424" i="2"/>
  <c r="P425" i="2"/>
  <c r="V425" i="2" s="1"/>
  <c r="R427" i="2"/>
  <c r="Z457" i="2"/>
  <c r="Z450" i="2" s="1"/>
  <c r="V294" i="2"/>
  <c r="V318" i="2"/>
  <c r="X359" i="2"/>
  <c r="V371" i="2"/>
  <c r="P381" i="2"/>
  <c r="L391" i="2"/>
  <c r="V388" i="2"/>
  <c r="H391" i="2"/>
  <c r="R401" i="2"/>
  <c r="Q414" i="2"/>
  <c r="R413" i="2"/>
  <c r="G428" i="2"/>
  <c r="G418" i="2"/>
  <c r="O428" i="2"/>
  <c r="O418" i="2"/>
  <c r="Y459" i="2"/>
  <c r="Y449" i="2"/>
  <c r="Y452" i="2" s="1"/>
  <c r="J505" i="2"/>
  <c r="J523" i="2"/>
  <c r="J522" i="2"/>
  <c r="J506" i="2" s="1"/>
  <c r="J9" i="2" s="1"/>
  <c r="M314" i="2"/>
  <c r="U314" i="2"/>
  <c r="V314" i="2" s="1"/>
  <c r="R338" i="2"/>
  <c r="R341" i="2"/>
  <c r="W365" i="2"/>
  <c r="R363" i="2"/>
  <c r="V367" i="2"/>
  <c r="Y371" i="2"/>
  <c r="Y372" i="2" s="1"/>
  <c r="Y373" i="2" s="1"/>
  <c r="U373" i="2"/>
  <c r="S382" i="2"/>
  <c r="S402" i="2"/>
  <c r="S414" i="2"/>
  <c r="Y418" i="2"/>
  <c r="R425" i="2"/>
  <c r="Q428" i="2"/>
  <c r="P360" i="2"/>
  <c r="X363" i="2"/>
  <c r="M354" i="2"/>
  <c r="M348" i="2" s="1"/>
  <c r="U354" i="2"/>
  <c r="P372" i="2"/>
  <c r="R372" i="2" s="1"/>
  <c r="K382" i="2"/>
  <c r="K402" i="2"/>
  <c r="J420" i="2"/>
  <c r="X427" i="2"/>
  <c r="X441" i="2"/>
  <c r="V441" i="2"/>
  <c r="T441" i="2"/>
  <c r="R441" i="2"/>
  <c r="H507" i="2"/>
  <c r="W428" i="2"/>
  <c r="W418" i="2"/>
  <c r="Z419" i="2"/>
  <c r="N428" i="2"/>
  <c r="N419" i="2"/>
  <c r="N420" i="2" s="1"/>
  <c r="Y419" i="2"/>
  <c r="I381" i="2"/>
  <c r="I383" i="2" s="1"/>
  <c r="Q381" i="2"/>
  <c r="Y381" i="2"/>
  <c r="X389" i="2"/>
  <c r="Q391" i="2"/>
  <c r="T398" i="2"/>
  <c r="V399" i="2"/>
  <c r="X400" i="2"/>
  <c r="H402" i="2"/>
  <c r="T412" i="2"/>
  <c r="S438" i="2"/>
  <c r="V443" i="2"/>
  <c r="X444" i="2"/>
  <c r="G452" i="2"/>
  <c r="O474" i="2"/>
  <c r="X472" i="2"/>
  <c r="V472" i="2"/>
  <c r="T472" i="2"/>
  <c r="R472" i="2"/>
  <c r="Q457" i="2"/>
  <c r="Q486" i="2"/>
  <c r="R486" i="2" s="1"/>
  <c r="K496" i="2"/>
  <c r="O506" i="2"/>
  <c r="O9" i="2" s="1"/>
  <c r="O10" i="2" s="1"/>
  <c r="X523" i="2"/>
  <c r="K551" i="2"/>
  <c r="K506" i="2"/>
  <c r="X582" i="2"/>
  <c r="N606" i="2"/>
  <c r="N599" i="2"/>
  <c r="P437" i="2"/>
  <c r="T437" i="2" s="1"/>
  <c r="H452" i="2"/>
  <c r="I457" i="2"/>
  <c r="I450" i="2" s="1"/>
  <c r="I486" i="2"/>
  <c r="L551" i="2"/>
  <c r="L506" i="2"/>
  <c r="L9" i="2" s="1"/>
  <c r="X560" i="2"/>
  <c r="V560" i="2"/>
  <c r="T560" i="2"/>
  <c r="R560" i="2"/>
  <c r="L418" i="2"/>
  <c r="L420" i="2" s="1"/>
  <c r="H419" i="2"/>
  <c r="H348" i="2" s="1"/>
  <c r="R431" i="2"/>
  <c r="R436" i="2"/>
  <c r="I452" i="2"/>
  <c r="X466" i="2"/>
  <c r="V466" i="2"/>
  <c r="R466" i="2"/>
  <c r="Z496" i="2"/>
  <c r="V511" i="2"/>
  <c r="P512" i="2"/>
  <c r="R512" i="2" s="1"/>
  <c r="T511" i="2"/>
  <c r="R511" i="2"/>
  <c r="Z523" i="2"/>
  <c r="Z506" i="2"/>
  <c r="Z9" i="2" s="1"/>
  <c r="Z10" i="2" s="1"/>
  <c r="X555" i="2"/>
  <c r="P550" i="2"/>
  <c r="V555" i="2"/>
  <c r="T555" i="2"/>
  <c r="R555" i="2"/>
  <c r="S566" i="2"/>
  <c r="T565" i="2"/>
  <c r="P565" i="2"/>
  <c r="X571" i="2"/>
  <c r="V571" i="2"/>
  <c r="T571" i="2"/>
  <c r="V591" i="2"/>
  <c r="R376" i="2"/>
  <c r="L381" i="2"/>
  <c r="P390" i="2"/>
  <c r="R390" i="2" s="1"/>
  <c r="R405" i="2"/>
  <c r="M418" i="2"/>
  <c r="M420" i="2" s="1"/>
  <c r="U418" i="2"/>
  <c r="Q419" i="2"/>
  <c r="R430" i="2"/>
  <c r="T431" i="2"/>
  <c r="T436" i="2"/>
  <c r="Q451" i="2"/>
  <c r="Q459" i="2"/>
  <c r="R456" i="2"/>
  <c r="M456" i="2"/>
  <c r="M474" i="2"/>
  <c r="S456" i="2"/>
  <c r="T466" i="2"/>
  <c r="J457" i="2"/>
  <c r="J450" i="2" s="1"/>
  <c r="S457" i="2"/>
  <c r="T471" i="2"/>
  <c r="P473" i="2"/>
  <c r="P458" i="2" s="1"/>
  <c r="P451" i="2" s="1"/>
  <c r="V451" i="2" s="1"/>
  <c r="S474" i="2"/>
  <c r="V485" i="2"/>
  <c r="T486" i="2"/>
  <c r="W506" i="2"/>
  <c r="X515" i="2"/>
  <c r="V515" i="2"/>
  <c r="T515" i="2"/>
  <c r="X528" i="2"/>
  <c r="V528" i="2"/>
  <c r="T528" i="2"/>
  <c r="X558" i="2"/>
  <c r="V558" i="2"/>
  <c r="T558" i="2"/>
  <c r="R571" i="2"/>
  <c r="X576" i="2"/>
  <c r="V576" i="2"/>
  <c r="T576" i="2"/>
  <c r="R576" i="2"/>
  <c r="V582" i="2"/>
  <c r="S600" i="2"/>
  <c r="T599" i="2"/>
  <c r="R606" i="2"/>
  <c r="P401" i="2"/>
  <c r="T401" i="2" s="1"/>
  <c r="U428" i="2"/>
  <c r="V431" i="2"/>
  <c r="V436" i="2"/>
  <c r="J474" i="2"/>
  <c r="J456" i="2"/>
  <c r="V501" i="2"/>
  <c r="T501" i="2"/>
  <c r="Z507" i="2"/>
  <c r="Y538" i="2"/>
  <c r="Y506" i="2"/>
  <c r="Y9" i="2" s="1"/>
  <c r="Y10" i="2" s="1"/>
  <c r="X565" i="2"/>
  <c r="R389" i="2"/>
  <c r="R400" i="2"/>
  <c r="R444" i="2"/>
  <c r="H459" i="2"/>
  <c r="W459" i="2"/>
  <c r="K459" i="2"/>
  <c r="K449" i="2"/>
  <c r="K452" i="2" s="1"/>
  <c r="W474" i="2"/>
  <c r="X476" i="2"/>
  <c r="V476" i="2"/>
  <c r="T476" i="2"/>
  <c r="Y457" i="2"/>
  <c r="Y450" i="2" s="1"/>
  <c r="Y486" i="2"/>
  <c r="G506" i="2"/>
  <c r="G9" i="2" s="1"/>
  <c r="G10" i="2" s="1"/>
  <c r="V512" i="2"/>
  <c r="Q523" i="2"/>
  <c r="R523" i="2" s="1"/>
  <c r="R522" i="2"/>
  <c r="Q506" i="2"/>
  <c r="X533" i="2"/>
  <c r="V533" i="2"/>
  <c r="T533" i="2"/>
  <c r="R533" i="2"/>
  <c r="P537" i="2"/>
  <c r="X543" i="2"/>
  <c r="V543" i="2"/>
  <c r="T543" i="2"/>
  <c r="Y436" i="2"/>
  <c r="Y437" i="2" s="1"/>
  <c r="Y438" i="2" s="1"/>
  <c r="I459" i="2"/>
  <c r="X456" i="2"/>
  <c r="X470" i="2"/>
  <c r="V470" i="2"/>
  <c r="T470" i="2"/>
  <c r="R476" i="2"/>
  <c r="G507" i="2"/>
  <c r="I505" i="2"/>
  <c r="I522" i="2"/>
  <c r="I506" i="2" s="1"/>
  <c r="I9" i="2" s="1"/>
  <c r="T522" i="2"/>
  <c r="R543" i="2"/>
  <c r="S551" i="2"/>
  <c r="S506" i="2"/>
  <c r="N506" i="2"/>
  <c r="N9" i="2" s="1"/>
  <c r="N10" i="2" s="1"/>
  <c r="N582" i="2"/>
  <c r="S582" i="2"/>
  <c r="T582" i="2" s="1"/>
  <c r="U592" i="2"/>
  <c r="T595" i="2"/>
  <c r="V463" i="2"/>
  <c r="X464" i="2"/>
  <c r="X465" i="2"/>
  <c r="X468" i="2"/>
  <c r="Y473" i="2"/>
  <c r="Y458" i="2" s="1"/>
  <c r="Y451" i="2" s="1"/>
  <c r="Y6" i="2" s="1"/>
  <c r="Y16" i="2" s="1"/>
  <c r="V477" i="2"/>
  <c r="X478" i="2"/>
  <c r="V484" i="2"/>
  <c r="W486" i="2"/>
  <c r="X486" i="2" s="1"/>
  <c r="X490" i="2"/>
  <c r="X494" i="2"/>
  <c r="V531" i="2"/>
  <c r="V574" i="2"/>
  <c r="X581" i="2"/>
  <c r="X605" i="2"/>
  <c r="X463" i="2"/>
  <c r="X484" i="2"/>
  <c r="P493" i="2"/>
  <c r="V505" i="2"/>
  <c r="R573" i="2"/>
  <c r="V599" i="2"/>
  <c r="R581" i="2"/>
  <c r="R605" i="2"/>
  <c r="Z463" i="2"/>
  <c r="Z466" i="2" s="1"/>
  <c r="T469" i="2"/>
  <c r="R492" i="2"/>
  <c r="S496" i="2"/>
  <c r="X505" i="2"/>
  <c r="H599" i="2"/>
  <c r="P599" i="2"/>
  <c r="R604" i="2"/>
  <c r="T492" i="2"/>
  <c r="P495" i="2"/>
  <c r="Q507" i="2"/>
  <c r="T604" i="2"/>
  <c r="T605" i="2"/>
  <c r="Z256" i="2" l="1"/>
  <c r="Z248" i="2" s="1"/>
  <c r="Y382" i="2"/>
  <c r="Y383" i="2" s="1"/>
  <c r="Y402" i="2"/>
  <c r="U452" i="2"/>
  <c r="N6" i="1"/>
  <c r="R209" i="2"/>
  <c r="Q212" i="2"/>
  <c r="R4" i="1"/>
  <c r="S42" i="1"/>
  <c r="R44" i="1"/>
  <c r="N600" i="2"/>
  <c r="N11" i="2"/>
  <c r="V373" i="2"/>
  <c r="O420" i="2"/>
  <c r="O347" i="2"/>
  <c r="V413" i="2"/>
  <c r="P414" i="2"/>
  <c r="T381" i="2"/>
  <c r="S383" i="2"/>
  <c r="M308" i="2"/>
  <c r="X340" i="2"/>
  <c r="V401" i="2"/>
  <c r="V41" i="2"/>
  <c r="P30" i="2"/>
  <c r="T41" i="2"/>
  <c r="P186" i="2"/>
  <c r="V186" i="2" s="1"/>
  <c r="X183" i="2"/>
  <c r="V183" i="2"/>
  <c r="X55" i="2"/>
  <c r="V55" i="2"/>
  <c r="G14" i="2"/>
  <c r="H3" i="2"/>
  <c r="H24" i="2"/>
  <c r="Y29" i="2"/>
  <c r="Y22" i="2" s="1"/>
  <c r="R154" i="2"/>
  <c r="X154" i="2"/>
  <c r="V66" i="2"/>
  <c r="P29" i="2"/>
  <c r="P22" i="2" s="1"/>
  <c r="T39" i="2"/>
  <c r="R39" i="2"/>
  <c r="P42" i="2"/>
  <c r="T42" i="2" s="1"/>
  <c r="R77" i="1"/>
  <c r="S75" i="1"/>
  <c r="R5" i="1"/>
  <c r="Q76" i="1"/>
  <c r="O76" i="1"/>
  <c r="N3" i="1"/>
  <c r="O41" i="1"/>
  <c r="I20" i="1"/>
  <c r="T19" i="1"/>
  <c r="N17" i="1"/>
  <c r="R364" i="2"/>
  <c r="U251" i="2"/>
  <c r="Z281" i="2"/>
  <c r="Z255" i="2"/>
  <c r="R493" i="2"/>
  <c r="P496" i="2"/>
  <c r="V496" i="2" s="1"/>
  <c r="P449" i="2"/>
  <c r="X537" i="2"/>
  <c r="V537" i="2"/>
  <c r="P538" i="2"/>
  <c r="T537" i="2"/>
  <c r="P506" i="2"/>
  <c r="P438" i="2"/>
  <c r="X437" i="2"/>
  <c r="V437" i="2"/>
  <c r="R414" i="2"/>
  <c r="R255" i="2"/>
  <c r="Z218" i="2"/>
  <c r="Z210" i="2"/>
  <c r="Z212" i="2" s="1"/>
  <c r="M24" i="1"/>
  <c r="Q37" i="1"/>
  <c r="S37" i="1"/>
  <c r="X592" i="2"/>
  <c r="T458" i="2"/>
  <c r="X269" i="2"/>
  <c r="N212" i="2"/>
  <c r="Z74" i="2"/>
  <c r="Z29" i="2"/>
  <c r="Z22" i="2" s="1"/>
  <c r="X90" i="2"/>
  <c r="V90" i="2"/>
  <c r="V128" i="2"/>
  <c r="J247" i="2"/>
  <c r="J251" i="2" s="1"/>
  <c r="Q186" i="2"/>
  <c r="R186" i="2" s="1"/>
  <c r="R183" i="2"/>
  <c r="V29" i="2"/>
  <c r="U22" i="2"/>
  <c r="R343" i="2"/>
  <c r="V218" i="2"/>
  <c r="S156" i="2"/>
  <c r="Y119" i="2"/>
  <c r="Y28" i="2"/>
  <c r="S23" i="2"/>
  <c r="T30" i="2"/>
  <c r="T29" i="2"/>
  <c r="S22" i="2"/>
  <c r="S31" i="2"/>
  <c r="M124" i="1"/>
  <c r="M11" i="1"/>
  <c r="S120" i="1"/>
  <c r="U88" i="1"/>
  <c r="S88" i="1"/>
  <c r="Q88" i="1"/>
  <c r="O88" i="1"/>
  <c r="O24" i="2"/>
  <c r="M111" i="1"/>
  <c r="U21" i="2"/>
  <c r="U31" i="2"/>
  <c r="I7" i="1"/>
  <c r="V3" i="1"/>
  <c r="N44" i="1"/>
  <c r="U41" i="1"/>
  <c r="F20" i="1"/>
  <c r="T496" i="2"/>
  <c r="J459" i="2"/>
  <c r="J449" i="2"/>
  <c r="J452" i="2" s="1"/>
  <c r="M449" i="2"/>
  <c r="M452" i="2" s="1"/>
  <c r="M459" i="2"/>
  <c r="P418" i="2"/>
  <c r="T425" i="2"/>
  <c r="P428" i="2"/>
  <c r="T428" i="2" s="1"/>
  <c r="R292" i="2"/>
  <c r="Q5" i="1"/>
  <c r="P18" i="1"/>
  <c r="Q18" i="1" s="1"/>
  <c r="P474" i="2"/>
  <c r="Y420" i="2"/>
  <c r="T256" i="2"/>
  <c r="S248" i="2"/>
  <c r="S251" i="2" s="1"/>
  <c r="Z153" i="2"/>
  <c r="Z156" i="2" s="1"/>
  <c r="Z172" i="2"/>
  <c r="X495" i="2"/>
  <c r="R495" i="2"/>
  <c r="T473" i="2"/>
  <c r="Z474" i="2"/>
  <c r="Z456" i="2"/>
  <c r="W9" i="2"/>
  <c r="R550" i="2"/>
  <c r="X550" i="2"/>
  <c r="V550" i="2"/>
  <c r="P551" i="2"/>
  <c r="T550" i="2"/>
  <c r="H420" i="2"/>
  <c r="Z382" i="2"/>
  <c r="Z348" i="2" s="1"/>
  <c r="V592" i="2"/>
  <c r="Y507" i="2"/>
  <c r="R451" i="2"/>
  <c r="Q450" i="2"/>
  <c r="R391" i="2"/>
  <c r="X413" i="2"/>
  <c r="P365" i="2"/>
  <c r="X360" i="2"/>
  <c r="P353" i="2"/>
  <c r="T414" i="2"/>
  <c r="G420" i="2"/>
  <c r="G347" i="2"/>
  <c r="N383" i="2"/>
  <c r="N347" i="2"/>
  <c r="N349" i="2" s="1"/>
  <c r="R365" i="2"/>
  <c r="V291" i="2"/>
  <c r="P292" i="2"/>
  <c r="T291" i="2"/>
  <c r="V360" i="2"/>
  <c r="S347" i="2"/>
  <c r="S3" i="2" s="1"/>
  <c r="T249" i="2"/>
  <c r="S5" i="2"/>
  <c r="S212" i="2"/>
  <c r="T209" i="2"/>
  <c r="V340" i="2"/>
  <c r="O248" i="2"/>
  <c r="O251" i="2" s="1"/>
  <c r="M212" i="2"/>
  <c r="R66" i="2"/>
  <c r="X229" i="2"/>
  <c r="P237" i="2"/>
  <c r="P209" i="2"/>
  <c r="R229" i="2"/>
  <c r="P48" i="2"/>
  <c r="V46" i="2"/>
  <c r="T46" i="2"/>
  <c r="X46" i="2"/>
  <c r="R46" i="2"/>
  <c r="R127" i="2"/>
  <c r="X127" i="2"/>
  <c r="R199" i="2"/>
  <c r="V42" i="2"/>
  <c r="O31" i="2"/>
  <c r="T224" i="2"/>
  <c r="T255" i="2"/>
  <c r="T55" i="2"/>
  <c r="Q116" i="1"/>
  <c r="H212" i="2"/>
  <c r="H4" i="2"/>
  <c r="H14" i="2" s="1"/>
  <c r="H31" i="2"/>
  <c r="O116" i="1"/>
  <c r="T66" i="2"/>
  <c r="S58" i="1"/>
  <c r="Q58" i="1"/>
  <c r="M43" i="1"/>
  <c r="Q42" i="1"/>
  <c r="M44" i="1"/>
  <c r="Q44" i="1" s="1"/>
  <c r="S41" i="1"/>
  <c r="O42" i="1"/>
  <c r="F7" i="1"/>
  <c r="P305" i="2"/>
  <c r="T324" i="2"/>
  <c r="R324" i="2"/>
  <c r="P327" i="2"/>
  <c r="R327" i="2" s="1"/>
  <c r="V324" i="2"/>
  <c r="Q355" i="2"/>
  <c r="R353" i="2"/>
  <c r="Q347" i="2"/>
  <c r="N172" i="2"/>
  <c r="N153" i="2"/>
  <c r="N156" i="2" s="1"/>
  <c r="P155" i="2"/>
  <c r="X171" i="2"/>
  <c r="V171" i="2"/>
  <c r="P172" i="2"/>
  <c r="T172" i="2" s="1"/>
  <c r="P153" i="2"/>
  <c r="X162" i="2"/>
  <c r="T493" i="2"/>
  <c r="V458" i="2"/>
  <c r="H349" i="2"/>
  <c r="W3" i="2"/>
  <c r="R305" i="2"/>
  <c r="Q308" i="2"/>
  <c r="Q247" i="2"/>
  <c r="U420" i="2"/>
  <c r="O507" i="2"/>
  <c r="W507" i="2"/>
  <c r="T413" i="2"/>
  <c r="R599" i="2"/>
  <c r="X599" i="2"/>
  <c r="P600" i="2"/>
  <c r="T600" i="2" s="1"/>
  <c r="P11" i="2"/>
  <c r="I523" i="2"/>
  <c r="N507" i="2"/>
  <c r="R437" i="2"/>
  <c r="X390" i="2"/>
  <c r="V565" i="2"/>
  <c r="P566" i="2"/>
  <c r="R565" i="2"/>
  <c r="V495" i="2"/>
  <c r="X425" i="2"/>
  <c r="M347" i="2"/>
  <c r="M349" i="2" s="1"/>
  <c r="V372" i="2"/>
  <c r="P307" i="2"/>
  <c r="V342" i="2"/>
  <c r="T342" i="2"/>
  <c r="L507" i="2"/>
  <c r="T372" i="2"/>
  <c r="M355" i="2"/>
  <c r="X324" i="2"/>
  <c r="K383" i="2"/>
  <c r="U347" i="2"/>
  <c r="U355" i="2"/>
  <c r="V353" i="2"/>
  <c r="W308" i="2"/>
  <c r="R537" i="2"/>
  <c r="I308" i="2"/>
  <c r="I247" i="2"/>
  <c r="I251" i="2" s="1"/>
  <c r="R373" i="2"/>
  <c r="R162" i="2"/>
  <c r="P256" i="2"/>
  <c r="P258" i="2" s="1"/>
  <c r="L348" i="2"/>
  <c r="L355" i="2"/>
  <c r="W248" i="2"/>
  <c r="S24" i="2"/>
  <c r="P74" i="2"/>
  <c r="T73" i="2"/>
  <c r="R73" i="2"/>
  <c r="K28" i="2"/>
  <c r="K56" i="2"/>
  <c r="W22" i="2"/>
  <c r="X29" i="2"/>
  <c r="T199" i="2"/>
  <c r="X41" i="2"/>
  <c r="G24" i="2"/>
  <c r="V127" i="2"/>
  <c r="Z267" i="2"/>
  <c r="Z268" i="2" s="1"/>
  <c r="Z257" i="2" s="1"/>
  <c r="Z249" i="2" s="1"/>
  <c r="Z5" i="2" s="1"/>
  <c r="Z15" i="2" s="1"/>
  <c r="W113" i="1"/>
  <c r="W75" i="1" s="1"/>
  <c r="W5" i="1" s="1"/>
  <c r="W18" i="1" s="1"/>
  <c r="J24" i="2"/>
  <c r="J3" i="2"/>
  <c r="P3" i="1"/>
  <c r="Q41" i="1"/>
  <c r="T7" i="1"/>
  <c r="S76" i="1"/>
  <c r="S348" i="2"/>
  <c r="T382" i="2"/>
  <c r="P354" i="2"/>
  <c r="T364" i="2"/>
  <c r="L31" i="2"/>
  <c r="L21" i="2"/>
  <c r="K77" i="1"/>
  <c r="K3" i="1"/>
  <c r="T551" i="2"/>
  <c r="I355" i="2"/>
  <c r="I347" i="2"/>
  <c r="I349" i="2" s="1"/>
  <c r="U383" i="2"/>
  <c r="Y255" i="2"/>
  <c r="Y281" i="2"/>
  <c r="V184" i="2"/>
  <c r="T451" i="2"/>
  <c r="S450" i="2"/>
  <c r="T457" i="2"/>
  <c r="H600" i="2"/>
  <c r="H11" i="2"/>
  <c r="R506" i="2"/>
  <c r="Q9" i="2"/>
  <c r="R592" i="2"/>
  <c r="V390" i="2"/>
  <c r="T390" i="2"/>
  <c r="Y347" i="2"/>
  <c r="X418" i="2"/>
  <c r="W420" i="2"/>
  <c r="W347" i="2"/>
  <c r="P382" i="2"/>
  <c r="V382" i="2" s="1"/>
  <c r="T512" i="2"/>
  <c r="X365" i="2"/>
  <c r="X473" i="2"/>
  <c r="Z383" i="2"/>
  <c r="P281" i="2"/>
  <c r="T278" i="2"/>
  <c r="R278" i="2"/>
  <c r="Q420" i="2"/>
  <c r="R354" i="2"/>
  <c r="Q348" i="2"/>
  <c r="R538" i="2"/>
  <c r="X471" i="2"/>
  <c r="V471" i="2"/>
  <c r="P457" i="2"/>
  <c r="R457" i="2" s="1"/>
  <c r="R471" i="2"/>
  <c r="T211" i="2"/>
  <c r="V211" i="2"/>
  <c r="X199" i="2"/>
  <c r="N247" i="2"/>
  <c r="N251" i="2" s="1"/>
  <c r="X236" i="2"/>
  <c r="R234" i="2"/>
  <c r="T234" i="2"/>
  <c r="Z420" i="2"/>
  <c r="W348" i="2"/>
  <c r="X354" i="2"/>
  <c r="W355" i="2"/>
  <c r="X255" i="2"/>
  <c r="V153" i="2"/>
  <c r="U156" i="2"/>
  <c r="T171" i="2"/>
  <c r="Q22" i="2"/>
  <c r="R29" i="2"/>
  <c r="T84" i="2"/>
  <c r="P91" i="2"/>
  <c r="X91" i="2" s="1"/>
  <c r="X84" i="2"/>
  <c r="R84" i="2"/>
  <c r="W212" i="2"/>
  <c r="T136" i="2"/>
  <c r="R136" i="2"/>
  <c r="J4" i="2"/>
  <c r="J14" i="2" s="1"/>
  <c r="X42" i="2"/>
  <c r="P306" i="2"/>
  <c r="T184" i="2"/>
  <c r="V39" i="2"/>
  <c r="S186" i="2"/>
  <c r="T186" i="2" s="1"/>
  <c r="S258" i="2"/>
  <c r="P128" i="2"/>
  <c r="R41" i="2"/>
  <c r="S116" i="1"/>
  <c r="N15" i="1"/>
  <c r="N24" i="2"/>
  <c r="X136" i="2"/>
  <c r="J31" i="2"/>
  <c r="R30" i="2"/>
  <c r="Q23" i="2"/>
  <c r="W4" i="1"/>
  <c r="W17" i="1" s="1"/>
  <c r="W25" i="1"/>
  <c r="U42" i="1"/>
  <c r="U5" i="1"/>
  <c r="T506" i="2"/>
  <c r="S507" i="2"/>
  <c r="S9" i="2"/>
  <c r="T474" i="2"/>
  <c r="V354" i="2"/>
  <c r="U348" i="2"/>
  <c r="X381" i="2"/>
  <c r="Z347" i="2"/>
  <c r="Z349" i="2" s="1"/>
  <c r="Z355" i="2"/>
  <c r="O124" i="1"/>
  <c r="I4" i="2"/>
  <c r="I14" i="2" s="1"/>
  <c r="V364" i="2"/>
  <c r="T495" i="2"/>
  <c r="V473" i="2"/>
  <c r="X474" i="2"/>
  <c r="X493" i="2"/>
  <c r="I507" i="2"/>
  <c r="I8" i="2"/>
  <c r="I10" i="2" s="1"/>
  <c r="Y474" i="2"/>
  <c r="R473" i="2"/>
  <c r="X401" i="2"/>
  <c r="P402" i="2"/>
  <c r="V402" i="2" s="1"/>
  <c r="S459" i="2"/>
  <c r="T456" i="2"/>
  <c r="S449" i="2"/>
  <c r="K507" i="2"/>
  <c r="K9" i="2"/>
  <c r="K10" i="2" s="1"/>
  <c r="X512" i="2"/>
  <c r="L383" i="2"/>
  <c r="L347" i="2"/>
  <c r="L349" i="2" s="1"/>
  <c r="T566" i="2"/>
  <c r="R458" i="2"/>
  <c r="Q383" i="2"/>
  <c r="R381" i="2"/>
  <c r="P373" i="2"/>
  <c r="X373" i="2" s="1"/>
  <c r="X372" i="2"/>
  <c r="T402" i="2"/>
  <c r="J507" i="2"/>
  <c r="J8" i="2"/>
  <c r="J10" i="2" s="1"/>
  <c r="P419" i="2"/>
  <c r="Y365" i="2"/>
  <c r="Y354" i="2"/>
  <c r="V336" i="2"/>
  <c r="T336" i="2"/>
  <c r="P343" i="2"/>
  <c r="V343" i="2" s="1"/>
  <c r="W451" i="2"/>
  <c r="X458" i="2"/>
  <c r="Q250" i="2"/>
  <c r="V381" i="2"/>
  <c r="X342" i="2"/>
  <c r="V493" i="2"/>
  <c r="V278" i="2"/>
  <c r="R360" i="2"/>
  <c r="V255" i="2"/>
  <c r="V224" i="2"/>
  <c r="V234" i="2"/>
  <c r="P391" i="2"/>
  <c r="V162" i="2"/>
  <c r="Q248" i="2"/>
  <c r="R256" i="2"/>
  <c r="Q258" i="2"/>
  <c r="U248" i="2"/>
  <c r="V256" i="2"/>
  <c r="P218" i="2"/>
  <c r="X218" i="2" s="1"/>
  <c r="T217" i="2"/>
  <c r="R217" i="2"/>
  <c r="P210" i="2"/>
  <c r="M251" i="2"/>
  <c r="M156" i="2"/>
  <c r="M3" i="2"/>
  <c r="V111" i="2"/>
  <c r="P119" i="2"/>
  <c r="R111" i="2"/>
  <c r="T111" i="2"/>
  <c r="T155" i="2"/>
  <c r="R42" i="2"/>
  <c r="R171" i="2"/>
  <c r="Q124" i="1"/>
  <c r="I186" i="2"/>
  <c r="I3" i="2"/>
  <c r="P137" i="2"/>
  <c r="T154" i="2"/>
  <c r="V84" i="2"/>
  <c r="X39" i="2"/>
  <c r="L4" i="2"/>
  <c r="L14" i="2" s="1"/>
  <c r="T183" i="2"/>
  <c r="Q120" i="1"/>
  <c r="Z28" i="2"/>
  <c r="U6" i="2"/>
  <c r="R55" i="2"/>
  <c r="W3" i="1"/>
  <c r="G3" i="1"/>
  <c r="T20" i="1"/>
  <c r="U76" i="1"/>
  <c r="O5" i="1"/>
  <c r="X258" i="2" l="1"/>
  <c r="V258" i="2"/>
  <c r="S13" i="2"/>
  <c r="T281" i="2"/>
  <c r="R281" i="2"/>
  <c r="X281" i="2"/>
  <c r="T306" i="2"/>
  <c r="R306" i="2"/>
  <c r="U16" i="2"/>
  <c r="X451" i="2"/>
  <c r="W452" i="2"/>
  <c r="S452" i="2"/>
  <c r="T449" i="2"/>
  <c r="Q6" i="2"/>
  <c r="T373" i="2"/>
  <c r="Y349" i="2"/>
  <c r="H12" i="2"/>
  <c r="H15" i="2"/>
  <c r="X306" i="2"/>
  <c r="M6" i="1"/>
  <c r="O6" i="1" s="1"/>
  <c r="S43" i="1"/>
  <c r="U43" i="1"/>
  <c r="Q43" i="1"/>
  <c r="G349" i="2"/>
  <c r="G3" i="2"/>
  <c r="Q452" i="2"/>
  <c r="V551" i="2"/>
  <c r="X551" i="2"/>
  <c r="R551" i="2"/>
  <c r="U111" i="1"/>
  <c r="M74" i="1"/>
  <c r="S111" i="1"/>
  <c r="Q111" i="1"/>
  <c r="O111" i="1"/>
  <c r="W6" i="2"/>
  <c r="S6" i="2"/>
  <c r="T23" i="2"/>
  <c r="U4" i="2"/>
  <c r="V22" i="2"/>
  <c r="N12" i="2"/>
  <c r="N15" i="2"/>
  <c r="N19" i="1"/>
  <c r="X419" i="2"/>
  <c r="T419" i="2"/>
  <c r="V419" i="2"/>
  <c r="P250" i="2"/>
  <c r="X307" i="2"/>
  <c r="T307" i="2"/>
  <c r="V307" i="2"/>
  <c r="Z21" i="2"/>
  <c r="Z31" i="2"/>
  <c r="R137" i="2"/>
  <c r="V137" i="2"/>
  <c r="T137" i="2"/>
  <c r="X391" i="2"/>
  <c r="V391" i="2"/>
  <c r="T391" i="2"/>
  <c r="V306" i="2"/>
  <c r="T128" i="2"/>
  <c r="R128" i="2"/>
  <c r="R348" i="2"/>
  <c r="Y258" i="2"/>
  <c r="Y247" i="2"/>
  <c r="Y251" i="2" s="1"/>
  <c r="L24" i="2"/>
  <c r="L3" i="2"/>
  <c r="W251" i="2"/>
  <c r="P308" i="2"/>
  <c r="R308" i="2" s="1"/>
  <c r="T305" i="2"/>
  <c r="X305" i="2"/>
  <c r="V305" i="2"/>
  <c r="R91" i="2"/>
  <c r="P56" i="2"/>
  <c r="P28" i="2"/>
  <c r="R48" i="2"/>
  <c r="T48" i="2"/>
  <c r="X48" i="2"/>
  <c r="V48" i="2"/>
  <c r="X292" i="2"/>
  <c r="V292" i="2"/>
  <c r="V474" i="2"/>
  <c r="R474" i="2"/>
  <c r="P420" i="2"/>
  <c r="T420" i="2" s="1"/>
  <c r="R418" i="2"/>
  <c r="T418" i="2"/>
  <c r="X137" i="2"/>
  <c r="V506" i="2"/>
  <c r="P9" i="2"/>
  <c r="P507" i="2"/>
  <c r="T507" i="2" s="1"/>
  <c r="T383" i="2"/>
  <c r="O43" i="1"/>
  <c r="K14" i="2"/>
  <c r="U349" i="2"/>
  <c r="V349" i="2" s="1"/>
  <c r="V347" i="2"/>
  <c r="R210" i="2"/>
  <c r="T210" i="2"/>
  <c r="R383" i="2"/>
  <c r="T9" i="2"/>
  <c r="S10" i="2"/>
  <c r="K16" i="1"/>
  <c r="K20" i="1" s="1"/>
  <c r="K7" i="1"/>
  <c r="R438" i="2"/>
  <c r="V438" i="2"/>
  <c r="X438" i="2"/>
  <c r="X496" i="2"/>
  <c r="R496" i="2"/>
  <c r="N7" i="1"/>
  <c r="N16" i="1"/>
  <c r="G7" i="1"/>
  <c r="G16" i="1"/>
  <c r="G20" i="1" s="1"/>
  <c r="T119" i="2"/>
  <c r="R119" i="2"/>
  <c r="V119" i="2"/>
  <c r="R428" i="2"/>
  <c r="T459" i="2"/>
  <c r="T438" i="2"/>
  <c r="K21" i="2"/>
  <c r="K31" i="2"/>
  <c r="V428" i="2"/>
  <c r="X507" i="2"/>
  <c r="W13" i="2"/>
  <c r="Q349" i="2"/>
  <c r="R419" i="2"/>
  <c r="O44" i="1"/>
  <c r="Q11" i="1"/>
  <c r="M15" i="1"/>
  <c r="S11" i="1"/>
  <c r="U11" i="1"/>
  <c r="O11" i="1"/>
  <c r="Y31" i="2"/>
  <c r="Y21" i="2"/>
  <c r="Z4" i="2"/>
  <c r="Z14" i="2" s="1"/>
  <c r="P247" i="2"/>
  <c r="X128" i="2"/>
  <c r="R18" i="1"/>
  <c r="S18" i="1" s="1"/>
  <c r="S5" i="1"/>
  <c r="H13" i="2"/>
  <c r="H17" i="2" s="1"/>
  <c r="E136" i="1" s="1"/>
  <c r="H7" i="2"/>
  <c r="P23" i="2"/>
  <c r="V30" i="2"/>
  <c r="X30" i="2"/>
  <c r="O4" i="2"/>
  <c r="O14" i="2" s="1"/>
  <c r="R9" i="2"/>
  <c r="Q10" i="2"/>
  <c r="T327" i="2"/>
  <c r="V327" i="2"/>
  <c r="P452" i="2"/>
  <c r="X449" i="2"/>
  <c r="R449" i="2"/>
  <c r="V155" i="2"/>
  <c r="R155" i="2"/>
  <c r="X155" i="2"/>
  <c r="V210" i="2"/>
  <c r="U3" i="2"/>
  <c r="U24" i="2"/>
  <c r="R218" i="2"/>
  <c r="T218" i="2"/>
  <c r="T258" i="2"/>
  <c r="W7" i="1"/>
  <c r="W16" i="1"/>
  <c r="W20" i="1" s="1"/>
  <c r="X402" i="2"/>
  <c r="R402" i="2"/>
  <c r="P383" i="2"/>
  <c r="X383" i="2" s="1"/>
  <c r="R22" i="2"/>
  <c r="Q4" i="2"/>
  <c r="Q24" i="2"/>
  <c r="X210" i="2"/>
  <c r="R420" i="2"/>
  <c r="T343" i="2"/>
  <c r="V91" i="2"/>
  <c r="P7" i="1"/>
  <c r="P16" i="1"/>
  <c r="P156" i="2"/>
  <c r="X153" i="2"/>
  <c r="R153" i="2"/>
  <c r="W77" i="1"/>
  <c r="P212" i="2"/>
  <c r="V212" i="2" s="1"/>
  <c r="X209" i="2"/>
  <c r="V209" i="2"/>
  <c r="T212" i="2"/>
  <c r="X327" i="2"/>
  <c r="P347" i="2"/>
  <c r="P349" i="2" s="1"/>
  <c r="P355" i="2"/>
  <c r="T355" i="2" s="1"/>
  <c r="T353" i="2"/>
  <c r="X353" i="2"/>
  <c r="V7" i="1"/>
  <c r="V16" i="1"/>
  <c r="V20" i="1" s="1"/>
  <c r="S124" i="1"/>
  <c r="U124" i="1"/>
  <c r="T538" i="2"/>
  <c r="V538" i="2"/>
  <c r="X538" i="2"/>
  <c r="Z258" i="2"/>
  <c r="Z247" i="2"/>
  <c r="Z251" i="2" s="1"/>
  <c r="X414" i="2"/>
  <c r="V414" i="2"/>
  <c r="S44" i="1"/>
  <c r="Z459" i="2"/>
  <c r="Z449" i="2"/>
  <c r="Z452" i="2" s="1"/>
  <c r="W4" i="2"/>
  <c r="W7" i="2" s="1"/>
  <c r="X22" i="2"/>
  <c r="M13" i="2"/>
  <c r="M17" i="2" s="1"/>
  <c r="J136" i="1" s="1"/>
  <c r="M7" i="2"/>
  <c r="Y348" i="2"/>
  <c r="Y4" i="2" s="1"/>
  <c r="Y14" i="2" s="1"/>
  <c r="Y355" i="2"/>
  <c r="N3" i="2"/>
  <c r="X212" i="2"/>
  <c r="R382" i="2"/>
  <c r="X382" i="2"/>
  <c r="J7" i="2"/>
  <c r="J13" i="2"/>
  <c r="J17" i="2" s="1"/>
  <c r="R11" i="2"/>
  <c r="P12" i="2"/>
  <c r="T11" i="2"/>
  <c r="X11" i="2"/>
  <c r="V11" i="2"/>
  <c r="P15" i="2"/>
  <c r="V420" i="2"/>
  <c r="W24" i="2"/>
  <c r="R172" i="2"/>
  <c r="X172" i="2"/>
  <c r="V172" i="2"/>
  <c r="U44" i="1"/>
  <c r="X237" i="2"/>
  <c r="V237" i="2"/>
  <c r="T237" i="2"/>
  <c r="S15" i="2"/>
  <c r="T15" i="2" s="1"/>
  <c r="T5" i="2"/>
  <c r="T292" i="2"/>
  <c r="X9" i="2"/>
  <c r="W10" i="2"/>
  <c r="T153" i="2"/>
  <c r="X119" i="2"/>
  <c r="V452" i="2"/>
  <c r="Z269" i="2"/>
  <c r="R250" i="2"/>
  <c r="S349" i="2"/>
  <c r="T347" i="2"/>
  <c r="R212" i="2"/>
  <c r="V281" i="2"/>
  <c r="T348" i="2"/>
  <c r="R247" i="2"/>
  <c r="Q251" i="2"/>
  <c r="I13" i="2"/>
  <c r="I17" i="2" s="1"/>
  <c r="F136" i="1" s="1"/>
  <c r="I7" i="2"/>
  <c r="X343" i="2"/>
  <c r="V348" i="2"/>
  <c r="T91" i="2"/>
  <c r="R258" i="2"/>
  <c r="R307" i="2"/>
  <c r="X428" i="2"/>
  <c r="P450" i="2"/>
  <c r="P459" i="2"/>
  <c r="V457" i="2"/>
  <c r="X457" i="2"/>
  <c r="X347" i="2"/>
  <c r="W349" i="2"/>
  <c r="T450" i="2"/>
  <c r="P348" i="2"/>
  <c r="X348" i="2" s="1"/>
  <c r="T354" i="2"/>
  <c r="X74" i="2"/>
  <c r="R74" i="2"/>
  <c r="T74" i="2"/>
  <c r="P248" i="2"/>
  <c r="T248" i="2" s="1"/>
  <c r="X256" i="2"/>
  <c r="V566" i="2"/>
  <c r="R566" i="2"/>
  <c r="X566" i="2"/>
  <c r="V600" i="2"/>
  <c r="R600" i="2"/>
  <c r="X600" i="2"/>
  <c r="V418" i="2"/>
  <c r="Q3" i="2"/>
  <c r="T365" i="2"/>
  <c r="V365" i="2"/>
  <c r="X506" i="2"/>
  <c r="X186" i="2"/>
  <c r="T22" i="2"/>
  <c r="S4" i="2"/>
  <c r="V74" i="2"/>
  <c r="Q24" i="1"/>
  <c r="M4" i="1"/>
  <c r="S24" i="1"/>
  <c r="M25" i="1"/>
  <c r="O24" i="1"/>
  <c r="U24" i="1"/>
  <c r="R237" i="2"/>
  <c r="O349" i="2"/>
  <c r="O3" i="2"/>
  <c r="R17" i="1"/>
  <c r="R7" i="1"/>
  <c r="V449" i="2"/>
  <c r="U25" i="1" l="1"/>
  <c r="S25" i="1"/>
  <c r="O25" i="1"/>
  <c r="Q25" i="1"/>
  <c r="P6" i="2"/>
  <c r="X23" i="2"/>
  <c r="V23" i="2"/>
  <c r="T10" i="2"/>
  <c r="X250" i="2"/>
  <c r="T250" i="2"/>
  <c r="V250" i="2"/>
  <c r="T6" i="2"/>
  <c r="S16" i="2"/>
  <c r="X355" i="2"/>
  <c r="X459" i="2"/>
  <c r="R459" i="2"/>
  <c r="V459" i="2"/>
  <c r="T4" i="2"/>
  <c r="S14" i="2"/>
  <c r="T14" i="2" s="1"/>
  <c r="U13" i="2"/>
  <c r="U7" i="2"/>
  <c r="X452" i="2"/>
  <c r="P251" i="2"/>
  <c r="X247" i="2"/>
  <c r="V247" i="2"/>
  <c r="T247" i="2"/>
  <c r="X156" i="2"/>
  <c r="R156" i="2"/>
  <c r="U4" i="1"/>
  <c r="M17" i="1"/>
  <c r="Q4" i="1"/>
  <c r="O4" i="1"/>
  <c r="V248" i="2"/>
  <c r="X308" i="2"/>
  <c r="R10" i="2"/>
  <c r="R349" i="2"/>
  <c r="K24" i="2"/>
  <c r="K3" i="2"/>
  <c r="X251" i="2"/>
  <c r="R452" i="2"/>
  <c r="R23" i="2"/>
  <c r="N13" i="2"/>
  <c r="N17" i="2" s="1"/>
  <c r="K136" i="1" s="1"/>
  <c r="N7" i="2"/>
  <c r="S17" i="1"/>
  <c r="R20" i="1"/>
  <c r="S7" i="2"/>
  <c r="S4" i="1"/>
  <c r="X450" i="2"/>
  <c r="V450" i="2"/>
  <c r="O13" i="2"/>
  <c r="O17" i="2" s="1"/>
  <c r="L136" i="1" s="1"/>
  <c r="O7" i="2"/>
  <c r="V156" i="2"/>
  <c r="T349" i="2"/>
  <c r="R15" i="2"/>
  <c r="V15" i="2"/>
  <c r="X15" i="2"/>
  <c r="P20" i="1"/>
  <c r="R4" i="2"/>
  <c r="Q14" i="2"/>
  <c r="R347" i="2"/>
  <c r="V383" i="2"/>
  <c r="G136" i="1"/>
  <c r="P21" i="2"/>
  <c r="T28" i="2"/>
  <c r="P31" i="2"/>
  <c r="R28" i="2"/>
  <c r="X28" i="2"/>
  <c r="V28" i="2"/>
  <c r="X248" i="2"/>
  <c r="X420" i="2"/>
  <c r="R450" i="2"/>
  <c r="U14" i="2"/>
  <c r="V14" i="2" s="1"/>
  <c r="V4" i="2"/>
  <c r="Y24" i="2"/>
  <c r="Y3" i="2"/>
  <c r="T308" i="2"/>
  <c r="V308" i="2"/>
  <c r="W16" i="2"/>
  <c r="X6" i="2"/>
  <c r="M19" i="1"/>
  <c r="S6" i="1"/>
  <c r="Q6" i="1"/>
  <c r="U6" i="1"/>
  <c r="V507" i="2"/>
  <c r="R507" i="2"/>
  <c r="T56" i="2"/>
  <c r="R56" i="2"/>
  <c r="V56" i="2"/>
  <c r="X56" i="2"/>
  <c r="Z24" i="2"/>
  <c r="Z3" i="2"/>
  <c r="P4" i="2"/>
  <c r="P14" i="2" s="1"/>
  <c r="G13" i="2"/>
  <c r="G17" i="2" s="1"/>
  <c r="D136" i="1" s="1"/>
  <c r="G7" i="2"/>
  <c r="R248" i="2"/>
  <c r="W14" i="2"/>
  <c r="X14" i="2" s="1"/>
  <c r="X4" i="2"/>
  <c r="Q15" i="1"/>
  <c r="U15" i="1"/>
  <c r="S15" i="1"/>
  <c r="X12" i="2"/>
  <c r="V12" i="2"/>
  <c r="R12" i="2"/>
  <c r="T12" i="2"/>
  <c r="R6" i="2"/>
  <c r="Q16" i="2"/>
  <c r="Q13" i="2"/>
  <c r="Q7" i="2"/>
  <c r="V355" i="2"/>
  <c r="X10" i="2"/>
  <c r="O15" i="1"/>
  <c r="T156" i="2"/>
  <c r="X349" i="2"/>
  <c r="R251" i="2"/>
  <c r="R355" i="2"/>
  <c r="N20" i="1"/>
  <c r="P10" i="2"/>
  <c r="V10" i="2" s="1"/>
  <c r="V9" i="2"/>
  <c r="L7" i="2"/>
  <c r="L13" i="2"/>
  <c r="L17" i="2" s="1"/>
  <c r="I136" i="1" s="1"/>
  <c r="M77" i="1"/>
  <c r="Q74" i="1"/>
  <c r="O74" i="1"/>
  <c r="S74" i="1"/>
  <c r="U74" i="1"/>
  <c r="M3" i="1"/>
  <c r="T452" i="2"/>
  <c r="X31" i="2" l="1"/>
  <c r="R31" i="2"/>
  <c r="V31" i="2"/>
  <c r="T31" i="2"/>
  <c r="Q19" i="1"/>
  <c r="S19" i="1"/>
  <c r="U19" i="1"/>
  <c r="K13" i="2"/>
  <c r="K17" i="2" s="1"/>
  <c r="H136" i="1" s="1"/>
  <c r="K7" i="2"/>
  <c r="U17" i="1"/>
  <c r="Q17" i="1"/>
  <c r="O17" i="1"/>
  <c r="O77" i="1"/>
  <c r="U77" i="1"/>
  <c r="Q77" i="1"/>
  <c r="S77" i="1"/>
  <c r="W17" i="2"/>
  <c r="P24" i="2"/>
  <c r="P3" i="2"/>
  <c r="R21" i="2"/>
  <c r="X21" i="2"/>
  <c r="T21" i="2"/>
  <c r="V21" i="2"/>
  <c r="T251" i="2"/>
  <c r="V251" i="2"/>
  <c r="R16" i="2"/>
  <c r="M16" i="1"/>
  <c r="S3" i="1"/>
  <c r="M7" i="1"/>
  <c r="U3" i="1"/>
  <c r="Q3" i="1"/>
  <c r="O3" i="1"/>
  <c r="S17" i="2"/>
  <c r="O19" i="1"/>
  <c r="Q17" i="2"/>
  <c r="Z13" i="2"/>
  <c r="Z17" i="2" s="1"/>
  <c r="W136" i="1" s="1"/>
  <c r="Z7" i="2"/>
  <c r="Y13" i="2"/>
  <c r="Y17" i="2" s="1"/>
  <c r="V136" i="1" s="1"/>
  <c r="Y7" i="2"/>
  <c r="R14" i="2"/>
  <c r="U17" i="2"/>
  <c r="R136" i="1" s="1"/>
  <c r="P16" i="2"/>
  <c r="V16" i="2" s="1"/>
  <c r="V6" i="2"/>
  <c r="T16" i="2" l="1"/>
  <c r="U7" i="1"/>
  <c r="Q7" i="1"/>
  <c r="S7" i="1"/>
  <c r="O7" i="1"/>
  <c r="T136" i="1"/>
  <c r="M20" i="1"/>
  <c r="S16" i="1"/>
  <c r="U16" i="1"/>
  <c r="O16" i="1"/>
  <c r="Q16" i="1"/>
  <c r="T24" i="2"/>
  <c r="X24" i="2"/>
  <c r="V24" i="2"/>
  <c r="R24" i="2"/>
  <c r="X16" i="2"/>
  <c r="P13" i="2"/>
  <c r="P7" i="2"/>
  <c r="X3" i="2"/>
  <c r="T3" i="2"/>
  <c r="R3" i="2"/>
  <c r="V3" i="2"/>
  <c r="P136" i="1"/>
  <c r="N136" i="1"/>
  <c r="X7" i="2" l="1"/>
  <c r="V7" i="2"/>
  <c r="T7" i="2"/>
  <c r="R7" i="2"/>
  <c r="P17" i="2"/>
  <c r="T13" i="2"/>
  <c r="X13" i="2"/>
  <c r="R13" i="2"/>
  <c r="V13" i="2"/>
  <c r="M136" i="1"/>
  <c r="S136" i="1" s="1"/>
  <c r="U20" i="1"/>
  <c r="S20" i="1"/>
  <c r="O20" i="1"/>
  <c r="Q20" i="1"/>
  <c r="V17" i="2" l="1"/>
  <c r="R17" i="2"/>
  <c r="T17" i="2"/>
  <c r="X17" i="2"/>
  <c r="Q136" i="1"/>
  <c r="O136" i="1"/>
  <c r="U1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Matej Tabaček</author>
  </authors>
  <commentList>
    <comment ref="M127" authorId="0" shapeId="0" xr:uid="{00000000-0006-0000-0000-000001000000}">
      <text>
        <r>
          <rPr>
            <sz val="11"/>
            <rFont val="Calibri"/>
            <charset val="238"/>
          </rPr>
          <t>9625 RO!</t>
        </r>
      </text>
    </comment>
  </commentList>
</comments>
</file>

<file path=xl/sharedStrings.xml><?xml version="1.0" encoding="utf-8"?>
<sst xmlns="http://schemas.openxmlformats.org/spreadsheetml/2006/main" count="2319" uniqueCount="357">
  <si>
    <t>SUMÁR PRÍJMOV</t>
  </si>
  <si>
    <t>2020 S</t>
  </si>
  <si>
    <t>2021 S</t>
  </si>
  <si>
    <t>2022 R</t>
  </si>
  <si>
    <t>2022 S</t>
  </si>
  <si>
    <t>2023 R</t>
  </si>
  <si>
    <t>U1</t>
  </si>
  <si>
    <t>U2</t>
  </si>
  <si>
    <t>U3</t>
  </si>
  <si>
    <t>U4</t>
  </si>
  <si>
    <t>2023 U</t>
  </si>
  <si>
    <t>Č1</t>
  </si>
  <si>
    <t>P1</t>
  </si>
  <si>
    <t>Č2</t>
  </si>
  <si>
    <t>P2</t>
  </si>
  <si>
    <t>Č3</t>
  </si>
  <si>
    <t>P3</t>
  </si>
  <si>
    <t>Č4</t>
  </si>
  <si>
    <t>P4</t>
  </si>
  <si>
    <t>2024 R</t>
  </si>
  <si>
    <t>2025 R</t>
  </si>
  <si>
    <t>Zdroj krytia</t>
  </si>
  <si>
    <t>Dotácie</t>
  </si>
  <si>
    <t>Vlastné zdroje</t>
  </si>
  <si>
    <t>Iné zdroje</t>
  </si>
  <si>
    <t>Ostatné príjmy</t>
  </si>
  <si>
    <t>Bežné príjmy</t>
  </si>
  <si>
    <t>Kapitálové príjmy</t>
  </si>
  <si>
    <t>Finančné operácie</t>
  </si>
  <si>
    <t>Celkové príjmy</t>
  </si>
  <si>
    <t>DAŇOVÉ PRÍJMY</t>
  </si>
  <si>
    <t>Daňové príjmy - rozpis</t>
  </si>
  <si>
    <t>FK</t>
  </si>
  <si>
    <t>EK</t>
  </si>
  <si>
    <t>Názov</t>
  </si>
  <si>
    <t>2019 S</t>
  </si>
  <si>
    <t>PrD</t>
  </si>
  <si>
    <t>Výnos dane z príjmov</t>
  </si>
  <si>
    <t>Daň z pozemkov</t>
  </si>
  <si>
    <t>Daň zo stavieb</t>
  </si>
  <si>
    <t>Daň z bytov</t>
  </si>
  <si>
    <t>Daň za psa</t>
  </si>
  <si>
    <t>Daň za ubytovanie</t>
  </si>
  <si>
    <t>Daň za užívanie verejného priestranstva</t>
  </si>
  <si>
    <t>Daň za komunálne odpady a drobné stavebné odpady</t>
  </si>
  <si>
    <t>NEDAŇOVÉ PRÍJMY</t>
  </si>
  <si>
    <t>Štátne dotácie</t>
  </si>
  <si>
    <t>Nedaňové príjmy - rozpis</t>
  </si>
  <si>
    <t>PrN</t>
  </si>
  <si>
    <t>RO</t>
  </si>
  <si>
    <t>Príjmy ZŠsMŠ (RO)</t>
  </si>
  <si>
    <t>Príjmy z majetku</t>
  </si>
  <si>
    <t>Administratívne poplatky a iné platby</t>
  </si>
  <si>
    <t>Predaj majetku</t>
  </si>
  <si>
    <t>Úroky z vkladov</t>
  </si>
  <si>
    <t>Iné nedaňové príjmy</t>
  </si>
  <si>
    <t>V tom:</t>
  </si>
  <si>
    <t>Prenájom majetku</t>
  </si>
  <si>
    <t>Správne poplatky</t>
  </si>
  <si>
    <t>Vodné</t>
  </si>
  <si>
    <t>Poplatky DOS</t>
  </si>
  <si>
    <t>Predaj dreva</t>
  </si>
  <si>
    <t>Prenájom hrobových miest</t>
  </si>
  <si>
    <t>Príspevok rodičov MŠ</t>
  </si>
  <si>
    <t>Predaj pozemkov</t>
  </si>
  <si>
    <t>Refundácia výdavkov</t>
  </si>
  <si>
    <t>Dobropisy</t>
  </si>
  <si>
    <t>Stravné zamestnanci</t>
  </si>
  <si>
    <t>GRANTY A TRANSFERY</t>
  </si>
  <si>
    <t>Granty a transfery - rozpis</t>
  </si>
  <si>
    <t>GaT</t>
  </si>
  <si>
    <t>ZŠ granty (RO)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</si>
  <si>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</si>
  <si>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</si>
  <si>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</si>
  <si>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</si>
  <si>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</si>
  <si>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</si>
  <si>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</si>
  <si>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MŠ predškoláci</t>
  </si>
  <si>
    <t>Prídavky na deti</t>
  </si>
  <si>
    <t>Sčítanie 2021</t>
  </si>
  <si>
    <t>Voľby</t>
  </si>
  <si>
    <t>DOS</t>
  </si>
  <si>
    <t>DOS – stabilizačný príspevok</t>
  </si>
  <si>
    <t>Regionálny rozvoj ESF</t>
  </si>
  <si>
    <t>Energodotácie</t>
  </si>
  <si>
    <t>Ubytovanie utečenci</t>
  </si>
  <si>
    <t>Migračné výzvy</t>
  </si>
  <si>
    <t>Odmeny decentralizácía</t>
  </si>
  <si>
    <t>Inflácia</t>
  </si>
  <si>
    <t>Stavebný úrad</t>
  </si>
  <si>
    <t>Cestná doprava</t>
  </si>
  <si>
    <t>Životné prostredie</t>
  </si>
  <si>
    <t>Matrika</t>
  </si>
  <si>
    <t>Register obyvateľstva</t>
  </si>
  <si>
    <t>Civilná obrana</t>
  </si>
  <si>
    <t>ZŠ vodozádržné opatrenia</t>
  </si>
  <si>
    <t>ZŠ kotolňa/zateplenie</t>
  </si>
  <si>
    <t>Vodozádržné obecný úrad</t>
  </si>
  <si>
    <t>Fotovoltika MŠ</t>
  </si>
  <si>
    <t>Zdroj kytia</t>
  </si>
  <si>
    <t>Granty</t>
  </si>
  <si>
    <t>Granty (RO)</t>
  </si>
  <si>
    <t>PRÍJMOVÉ FINANČNÉ OPERÁCIE</t>
  </si>
  <si>
    <t>Nevyčerpané dotácie</t>
  </si>
  <si>
    <t>Zostatky</t>
  </si>
  <si>
    <t>Rezervný fond</t>
  </si>
  <si>
    <t>Prijaté zábezpeky</t>
  </si>
  <si>
    <t>Dotácie (RO)</t>
  </si>
  <si>
    <t>Iné zdroje (RO)</t>
  </si>
  <si>
    <t>Stravné (RO)</t>
  </si>
  <si>
    <t>ROZDIEL PRÍJMOV A VÝDAJOV</t>
  </si>
  <si>
    <t>Pr</t>
  </si>
  <si>
    <t>Po</t>
  </si>
  <si>
    <t>Pv</t>
  </si>
  <si>
    <t>SUMÁR VÝDAVKOV</t>
  </si>
  <si>
    <t>Bežné výdavky</t>
  </si>
  <si>
    <t>Kapitálové výdavky</t>
  </si>
  <si>
    <t>Celkové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</si>
  <si>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</si>
  <si>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</si>
  <si>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</si>
  <si>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</si>
  <si>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</si>
  <si>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</si>
  <si>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</si>
  <si>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</si>
  <si>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Prvok 1.1.2 Personál</t>
  </si>
  <si>
    <t>Štátna dotácia</t>
  </si>
  <si>
    <t>Prvok 1.1.3 Vnútorná kontrola</t>
  </si>
  <si>
    <t>01.1.2</t>
  </si>
  <si>
    <t>Prvok 1.1.4 Služby a kancelárske vybavenie</t>
  </si>
  <si>
    <t>Bankové poplatky</t>
  </si>
  <si>
    <t>Poštovné</t>
  </si>
  <si>
    <t>Právne služby</t>
  </si>
  <si>
    <t>Softvér (URBIS)</t>
  </si>
  <si>
    <t>Služby ESMAO</t>
  </si>
  <si>
    <t>Prvok 1.1.5 Prevádzka</t>
  </si>
  <si>
    <t>Elektrina</t>
  </si>
  <si>
    <t>Plyn</t>
  </si>
  <si>
    <t>Poistenie automobilov</t>
  </si>
  <si>
    <t>Servis automobilov a strojov</t>
  </si>
  <si>
    <t>Pohonné hmoty</t>
  </si>
  <si>
    <t>Fotovoltaika – žiadosť o dotáciu/obstarávanie</t>
  </si>
  <si>
    <t>Prvok 1.1.6 Informačný systém (web a rozhlas)</t>
  </si>
  <si>
    <t>08.3.0</t>
  </si>
  <si>
    <t>Prvok 1.1.7 Matrika a evidencia obyvateľstva</t>
  </si>
  <si>
    <t>01.3.3</t>
  </si>
  <si>
    <t>Podprogram 1.2 Spoločný obecný úrad</t>
  </si>
  <si>
    <t>09.1.1.1</t>
  </si>
  <si>
    <t>Školský metodik</t>
  </si>
  <si>
    <t>Podprogram 1.3 Správa a údržba majetku</t>
  </si>
  <si>
    <t>04.2.2</t>
  </si>
  <si>
    <t>Lesy</t>
  </si>
  <si>
    <t>Ťažba, výsadba</t>
  </si>
  <si>
    <t>Podprogram 1.4 Voľby</t>
  </si>
  <si>
    <t>01.6.0</t>
  </si>
  <si>
    <t>PROGRAM 2 - ŠKOLSTVO</t>
  </si>
  <si>
    <t>Podprogram 2.1 Základná škola s materskou školou</t>
  </si>
  <si>
    <t>09.x</t>
  </si>
  <si>
    <t>111/AC/PO</t>
  </si>
  <si>
    <t>09.1.x</t>
  </si>
  <si>
    <t>09.2.x</t>
  </si>
  <si>
    <t>09.5.x</t>
  </si>
  <si>
    <t>09.6.x</t>
  </si>
  <si>
    <t>Originálne kompetencie</t>
  </si>
  <si>
    <t>Elektrina MŠ</t>
  </si>
  <si>
    <t>Plyn MŠ</t>
  </si>
  <si>
    <t>Elektrina ŠJ</t>
  </si>
  <si>
    <t>Plyn ŠJ</t>
  </si>
  <si>
    <t>Externý manažment vodozádržné/zateplenie VO a žiadosť</t>
  </si>
  <si>
    <t>Dotácia cirkevné CVČ</t>
  </si>
  <si>
    <t>PROGRAM 3 - VODA</t>
  </si>
  <si>
    <t>Podprogram 3.1 Verejný vodovod</t>
  </si>
  <si>
    <t>06.3.0</t>
  </si>
  <si>
    <t>Údržba vodovodu</t>
  </si>
  <si>
    <t>Prevádzkovanie vodovodu</t>
  </si>
  <si>
    <t>Odber podzemnej vody</t>
  </si>
  <si>
    <t>PROGRAM 4 - ODPADOVÉ HOSPODÁRSTVO A ŽIVOTNÉ PROSTREDIE</t>
  </si>
  <si>
    <t>Podprogram 4.1 Komunálny odpad</t>
  </si>
  <si>
    <t>05.1.0</t>
  </si>
  <si>
    <t>Podprogram 4.2 Separovaný zber</t>
  </si>
  <si>
    <t>Podprogram 4.3 Zberný dvor</t>
  </si>
  <si>
    <t>Poistenie budovy a techniky</t>
  </si>
  <si>
    <t>Údržba dopravných prostriedkov a strojov</t>
  </si>
  <si>
    <t>Vrátenie dotácie – porušenie zmluvy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</si>
  <si>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</si>
  <si>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</si>
  <si>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</si>
  <si>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</si>
  <si>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</si>
  <si>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</si>
  <si>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COVID-19</t>
  </si>
  <si>
    <t>Prvok 5.1.3 Verejné osvetlenie</t>
  </si>
  <si>
    <t>06.4.0</t>
  </si>
  <si>
    <t>Dohoda údržbár</t>
  </si>
  <si>
    <t>Prvok 5.1.4 Prevencia kriminality</t>
  </si>
  <si>
    <t>03.6.0</t>
  </si>
  <si>
    <t>Podprogram 5.2 Komunikácie a verejné priestranstvá</t>
  </si>
  <si>
    <t>111/1AC</t>
  </si>
  <si>
    <t>Prvok 5.2.1 Miestne komunikácie</t>
  </si>
  <si>
    <t>04.5.1</t>
  </si>
  <si>
    <t>Zimná údržba</t>
  </si>
  <si>
    <t>Cesty a chodníky</t>
  </si>
  <si>
    <t>Dopravné značenie</t>
  </si>
  <si>
    <t>Kanály</t>
  </si>
  <si>
    <t>Prvok 5.2.2 Verejné priestranstvá</t>
  </si>
  <si>
    <t>06.2.0</t>
  </si>
  <si>
    <t>Elektrina centrum</t>
  </si>
  <si>
    <t>Externý manažment vodozádržné OcÚ</t>
  </si>
  <si>
    <t>Prvok 5.2.3 Regionálny rozvoj</t>
  </si>
  <si>
    <t>1AC</t>
  </si>
  <si>
    <t>Európsky sociálny fond</t>
  </si>
  <si>
    <t>PROGRAM 6 - ŠPORT, KULTÚRA A INÉ SPOLOČENSKÉ SLUŽBY</t>
  </si>
  <si>
    <t>Podprogram 6.1 Šport</t>
  </si>
  <si>
    <t>Prvok 6.1.1 Futbalový klub</t>
  </si>
  <si>
    <t>08.1.0</t>
  </si>
  <si>
    <t>Prvok 6.1.2 Ostatné športové kluby</t>
  </si>
  <si>
    <t>Šachový klub</t>
  </si>
  <si>
    <t>OZ Bajk Relax Kysuce</t>
  </si>
  <si>
    <t>Škola vzpierania</t>
  </si>
  <si>
    <t>Podprogram 6.2 Kultúra</t>
  </si>
  <si>
    <t>Prvok 6.2.1 Kultúrny dom</t>
  </si>
  <si>
    <t>08.2.0</t>
  </si>
  <si>
    <t>Prvok 6.2.2 Kultúrne akcie</t>
  </si>
  <si>
    <t>Rocknes</t>
  </si>
  <si>
    <t>Letné kino, vianočné trhy</t>
  </si>
  <si>
    <t>Deň obce/kultúrne soboty</t>
  </si>
  <si>
    <t>Hody a iné podujatia</t>
  </si>
  <si>
    <t>Prvok 6.2.3 Knižnica</t>
  </si>
  <si>
    <t>Podprogram 6.3 Iné služby</t>
  </si>
  <si>
    <t>Prvok 6.3.1 Pohrebná služby</t>
  </si>
  <si>
    <t>08.4.0</t>
  </si>
  <si>
    <t>Pohrebná služba</t>
  </si>
  <si>
    <t>Údržba domu smútku a okolia</t>
  </si>
  <si>
    <t>Prvok 6.3.2 Náboženské a spoločenské spolky a združenia</t>
  </si>
  <si>
    <t>SO SZTP a ZPCCH</t>
  </si>
  <si>
    <t>Červený kríž</t>
  </si>
  <si>
    <t>Priatelia Kysúc</t>
  </si>
  <si>
    <t>Jednota dôchodcov</t>
  </si>
  <si>
    <t>Zväz včelárov KNM</t>
  </si>
  <si>
    <t>Cyklotrasa KNM-Žilina</t>
  </si>
  <si>
    <t>PROGRAM 7 - SOLIDARITA</t>
  </si>
  <si>
    <t>Podprogram 7.1 Staroba</t>
  </si>
  <si>
    <t>Prvok 7.1.1 Dom opatrovateľskej služby</t>
  </si>
  <si>
    <t>10.2.0</t>
  </si>
  <si>
    <t>Stacionár obstarávanie/žiadosť o dotáciu</t>
  </si>
  <si>
    <t>Stravné obyvatelia</t>
  </si>
  <si>
    <t>Odstupné, odchodné, náhrada mzdy</t>
  </si>
  <si>
    <t>Prvok 7.1.2 Starostlivosť o starých občanov</t>
  </si>
  <si>
    <t>Podprogram 7.2 Rodina a hmotná núdza</t>
  </si>
  <si>
    <t>10.4.0</t>
  </si>
  <si>
    <t>10.7.0</t>
  </si>
  <si>
    <t>111/11UA</t>
  </si>
  <si>
    <t>Príspevok pri narodení dieťaťa</t>
  </si>
  <si>
    <t>Vratka dotácie na stravu</t>
  </si>
  <si>
    <t>PROGRAM 8 - INVESTÍCIE</t>
  </si>
  <si>
    <t>Podprogram 8.1 Samospráva</t>
  </si>
  <si>
    <t>01.1.1-710</t>
  </si>
  <si>
    <t>Kúpa pozemku</t>
  </si>
  <si>
    <t>Projekt – fotovoltika na verejné budovy</t>
  </si>
  <si>
    <t>08.3.0-710</t>
  </si>
  <si>
    <t>Rekonštrukcia miestneho rozhlasu</t>
  </si>
  <si>
    <t>Podprogram 8.2 Školstvo</t>
  </si>
  <si>
    <t>09.x-710</t>
  </si>
  <si>
    <t>ZŠ – vodozádržné opatrenia</t>
  </si>
  <si>
    <t>ZŠ – rekonštrukcia kotolne</t>
  </si>
  <si>
    <t>ZŠ – strecha CVČ</t>
  </si>
  <si>
    <t>MŠ – fotovoltika</t>
  </si>
  <si>
    <t>ZŠ – vstupná rampa</t>
  </si>
  <si>
    <t>ZŠ – tréningové ihrisko</t>
  </si>
  <si>
    <t>ZŠ – zníženie energetickej náročnosti</t>
  </si>
  <si>
    <t>ZŠ – debarierizácia</t>
  </si>
  <si>
    <t>Podprogram 8.3 Voda</t>
  </si>
  <si>
    <t>06.3.0-710</t>
  </si>
  <si>
    <t>Projekty úpravovní vody</t>
  </si>
  <si>
    <t>Projekt rekonštrukcie starej vodovodnej siete</t>
  </si>
  <si>
    <t>Projekt vodovodu trasa ZŠ – Červené</t>
  </si>
  <si>
    <t>Rekonštrukcia vodovodu</t>
  </si>
  <si>
    <t>Rekonštrukcia vodojemov</t>
  </si>
  <si>
    <t>Podprogram 8.5 Prostredie pre život</t>
  </si>
  <si>
    <t>04.5.1-710</t>
  </si>
  <si>
    <t>Asfaltovanie miestnych komunikácií</t>
  </si>
  <si>
    <t>06.2.0-710</t>
  </si>
  <si>
    <t>Centrum obce</t>
  </si>
  <si>
    <t>Regulácia potoka – projekt, obstarávanie</t>
  </si>
  <si>
    <t>Regulácia potoka – realizácia</t>
  </si>
  <si>
    <t>Vodozádržné opatrenia pri obecnom úrade</t>
  </si>
  <si>
    <t>06.4.0-710</t>
  </si>
  <si>
    <t>Verejné osvetlenie – vianočné</t>
  </si>
  <si>
    <t>03.6.0-710</t>
  </si>
  <si>
    <t>Kamerový systém</t>
  </si>
  <si>
    <t>Podprogram 8.6 Šport, kultúra a iné spoločenské služby</t>
  </si>
  <si>
    <t>08.1.0-710</t>
  </si>
  <si>
    <t>Rekonštrukcia tribúny</t>
  </si>
  <si>
    <t>Vysporiadanie pozemku pod ihriskom</t>
  </si>
  <si>
    <t>Oplotenie športového areálu</t>
  </si>
  <si>
    <t>Tréningové ihrisko</t>
  </si>
  <si>
    <t>08.2.0-710</t>
  </si>
  <si>
    <t>Renovácia kultúrneho domu</t>
  </si>
  <si>
    <t>08.4.0-710</t>
  </si>
  <si>
    <t>Projekty – elektroinštalácia, urnový háj</t>
  </si>
  <si>
    <t>Oplotenie areálu cintorína</t>
  </si>
  <si>
    <t>Chladiarensky katafalk</t>
  </si>
  <si>
    <t>Podprogram 8.7 Solidarita</t>
  </si>
  <si>
    <t>10.2.0-710</t>
  </si>
  <si>
    <t>DOS – zateplenie</t>
  </si>
  <si>
    <t>Oplotenie a odvodnenie pozemku</t>
  </si>
  <si>
    <t>Projekt stacionárneho zariadenia</t>
  </si>
  <si>
    <t>Podprogram 8.8 Plánovanie</t>
  </si>
  <si>
    <t>04.4.3-710</t>
  </si>
  <si>
    <t>Dodatok k územnému plánu</t>
  </si>
  <si>
    <t>PROGRAM 9 - VYROVNANIE DLHU</t>
  </si>
  <si>
    <t>Podprogram 9.1 Splácanie úverov a prijatých zábezpek</t>
  </si>
  <si>
    <t>Iné výdavkové operácie</t>
  </si>
  <si>
    <t>#</t>
  </si>
  <si>
    <t>číslo štvrťroku</t>
  </si>
  <si>
    <t>Schválený rozpočet na rok 2023</t>
  </si>
  <si>
    <t>Upravený rozpočet na rok 2023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</si>
  <si>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</si>
  <si>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</si>
  <si>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</si>
  <si>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</si>
  <si>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</si>
  <si>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</si>
  <si>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</si>
  <si>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</si>
  <si>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</si>
  <si>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funkčná klasifikácia</t>
  </si>
  <si>
    <t>HŠ</t>
  </si>
  <si>
    <t>bývalá horná škola</t>
  </si>
  <si>
    <t>KV</t>
  </si>
  <si>
    <t>kapitálové výdavky</t>
  </si>
  <si>
    <t>MŠ</t>
  </si>
  <si>
    <t>Materská škola Nesluša</t>
  </si>
  <si>
    <t>P#</t>
  </si>
  <si>
    <t>plnenie v kvartáli # v percentách</t>
  </si>
  <si>
    <t>program</t>
  </si>
  <si>
    <t>podprogram</t>
  </si>
  <si>
    <t>prvok</t>
  </si>
  <si>
    <t>účtované v účtovníctve rozpočtovej organizácie Základná škola Nesluša</t>
  </si>
  <si>
    <t>Spojená organizácia Slovenského zväzu telesne postihnutých a Zväzu postihnutých civilizačnými chorobami</t>
  </si>
  <si>
    <t>SODB</t>
  </si>
  <si>
    <t>sčítanie obyvateľov, domov a bytov</t>
  </si>
  <si>
    <t>SZP</t>
  </si>
  <si>
    <t>sociálne znevýhodnené prostredie</t>
  </si>
  <si>
    <t>ŠJ</t>
  </si>
  <si>
    <t>školská jedáleň</t>
  </si>
  <si>
    <t>U#</t>
  </si>
  <si>
    <t>úpravy v kvartáli #</t>
  </si>
  <si>
    <t>ÚPSVaR</t>
  </si>
  <si>
    <t>Úrad práce, sociálnych vecí a rodiny Žilina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</si>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</sst>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41B];[Red]\-#,##0.00\ [$€-41B]"/>
    <numFmt numFmtId="165" formatCode="0\ %"/>
    <numFmt numFmtId="166" formatCode="dd/mm/yyyy"/>
    <numFmt numFmtId="167" formatCode="0.00\ %"/>
  </numFmts>
  <fonts count="7">
    <font>
      <sz val="11"/>
      <color rgb="FF000000"/>
      <name val="Calibri"/>
      <charset val="238"/>
    </font>
    <font>
      <b/>
      <i/>
      <u/>
      <sz val="11"/>
      <color rgb="FF000000"/>
      <name val="Calibri"/>
      <charset val="238"/>
    </font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name val="Calibri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E2EFDA"/>
      </patternFill>
    </fill>
    <fill>
      <patternFill patternType="solid">
        <fgColor rgb="FFE2EFDA"/>
        <bgColor rgb="FFFFF2CC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Border="0" applyProtection="0"/>
  </cellStyleXfs>
  <cellXfs count="18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7" borderId="0" xfId="0" applyFont="1" applyFill="1" applyAlignment="1"/>
    <xf numFmtId="0" fontId="4" fillId="6" borderId="0" xfId="0" applyFont="1" applyFill="1" applyAlignment="1"/>
    <xf numFmtId="0" fontId="4" fillId="4" borderId="0" xfId="0" applyFont="1" applyFill="1" applyAlignment="1"/>
    <xf numFmtId="14" fontId="3" fillId="0" borderId="1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4" borderId="0" xfId="0" applyFont="1" applyFill="1" applyAlignment="1"/>
    <xf numFmtId="165" fontId="4" fillId="4" borderId="0" xfId="0" applyNumberFormat="1" applyFont="1" applyFill="1" applyAlignment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165" fontId="3" fillId="5" borderId="1" xfId="0" applyNumberFormat="1" applyFont="1" applyFill="1" applyBorder="1"/>
    <xf numFmtId="0" fontId="4" fillId="5" borderId="1" xfId="0" applyFont="1" applyFill="1" applyBorder="1"/>
    <xf numFmtId="4" fontId="4" fillId="5" borderId="1" xfId="0" applyNumberFormat="1" applyFont="1" applyFill="1" applyBorder="1"/>
    <xf numFmtId="165" fontId="4" fillId="5" borderId="1" xfId="0" applyNumberFormat="1" applyFont="1" applyFill="1" applyBorder="1"/>
    <xf numFmtId="0" fontId="4" fillId="6" borderId="0" xfId="0" applyFont="1" applyFill="1" applyAlignment="1"/>
    <xf numFmtId="165" fontId="4" fillId="6" borderId="0" xfId="0" applyNumberFormat="1" applyFont="1" applyFill="1" applyAlignment="1"/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4" xfId="0" applyFont="1" applyBorder="1" applyAlignment="1">
      <alignment horizontal="left" vertical="center"/>
    </xf>
    <xf numFmtId="4" fontId="3" fillId="0" borderId="1" xfId="0" applyNumberFormat="1" applyFont="1" applyBorder="1"/>
    <xf numFmtId="165" fontId="3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0" fontId="3" fillId="0" borderId="5" xfId="0" applyFont="1" applyBorder="1"/>
    <xf numFmtId="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4" fontId="3" fillId="0" borderId="3" xfId="0" applyNumberFormat="1" applyFont="1" applyBorder="1"/>
    <xf numFmtId="0" fontId="3" fillId="0" borderId="6" xfId="0" applyFont="1" applyBorder="1"/>
    <xf numFmtId="0" fontId="3" fillId="0" borderId="0" xfId="0" applyFont="1"/>
    <xf numFmtId="4" fontId="3" fillId="0" borderId="0" xfId="0" applyNumberFormat="1" applyFont="1"/>
    <xf numFmtId="165" fontId="3" fillId="0" borderId="7" xfId="0" applyNumberFormat="1" applyFont="1" applyBorder="1"/>
    <xf numFmtId="4" fontId="3" fillId="0" borderId="7" xfId="0" applyNumberFormat="1" applyFont="1" applyBorder="1"/>
    <xf numFmtId="4" fontId="3" fillId="0" borderId="0" xfId="0" applyNumberFormat="1" applyFont="1"/>
    <xf numFmtId="165" fontId="3" fillId="0" borderId="0" xfId="0" applyNumberFormat="1" applyFont="1"/>
    <xf numFmtId="165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3" fillId="0" borderId="10" xfId="0" applyNumberFormat="1" applyFont="1" applyBorder="1"/>
    <xf numFmtId="4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/>
    <xf numFmtId="0" fontId="4" fillId="7" borderId="0" xfId="0" applyFont="1" applyFill="1" applyAlignment="1"/>
    <xf numFmtId="165" fontId="4" fillId="7" borderId="0" xfId="0" applyNumberFormat="1" applyFont="1" applyFill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14" fontId="4" fillId="0" borderId="1" xfId="0" applyNumberFormat="1" applyFont="1" applyBorder="1"/>
    <xf numFmtId="14" fontId="3" fillId="0" borderId="1" xfId="0" applyNumberFormat="1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4" fontId="4" fillId="0" borderId="2" xfId="0" applyNumberFormat="1" applyFont="1" applyBorder="1"/>
    <xf numFmtId="0" fontId="4" fillId="0" borderId="3" xfId="0" applyFont="1" applyBorder="1"/>
    <xf numFmtId="1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14" fontId="3" fillId="0" borderId="1" xfId="0" applyNumberFormat="1" applyFont="1" applyBorder="1" applyAlignment="1">
      <alignment horizontal="left" vertical="center"/>
    </xf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0" fontId="3" fillId="0" borderId="12" xfId="0" applyFont="1" applyBorder="1"/>
    <xf numFmtId="0" fontId="3" fillId="0" borderId="13" xfId="0" applyFont="1" applyBorder="1"/>
    <xf numFmtId="4" fontId="3" fillId="0" borderId="13" xfId="0" applyNumberFormat="1" applyFont="1" applyBorder="1"/>
    <xf numFmtId="165" fontId="3" fillId="0" borderId="13" xfId="0" applyNumberFormat="1" applyFont="1" applyBorder="1"/>
    <xf numFmtId="165" fontId="3" fillId="0" borderId="14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0" fontId="3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14" fontId="4" fillId="0" borderId="2" xfId="0" applyNumberFormat="1" applyFont="1" applyBorder="1"/>
    <xf numFmtId="0" fontId="4" fillId="0" borderId="3" xfId="0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15" xfId="0" applyFont="1" applyBorder="1"/>
    <xf numFmtId="166" fontId="3" fillId="0" borderId="15" xfId="0" applyNumberFormat="1" applyFont="1" applyBorder="1"/>
    <xf numFmtId="4" fontId="3" fillId="0" borderId="2" xfId="0" applyNumberFormat="1" applyFont="1" applyBorder="1"/>
    <xf numFmtId="0" fontId="3" fillId="0" borderId="13" xfId="0" applyFont="1" applyBorder="1"/>
    <xf numFmtId="1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0" fontId="3" fillId="3" borderId="9" xfId="0" applyFont="1" applyFill="1" applyBorder="1" applyAlignment="1">
      <alignment horizontal="center"/>
    </xf>
    <xf numFmtId="0" fontId="3" fillId="0" borderId="16" xfId="0" applyFont="1" applyBorder="1"/>
    <xf numFmtId="4" fontId="3" fillId="0" borderId="16" xfId="0" applyNumberFormat="1" applyFont="1" applyBorder="1"/>
    <xf numFmtId="4" fontId="3" fillId="0" borderId="16" xfId="0" applyNumberFormat="1" applyFont="1" applyBorder="1"/>
    <xf numFmtId="165" fontId="3" fillId="0" borderId="16" xfId="0" applyNumberFormat="1" applyFont="1" applyBorder="1"/>
    <xf numFmtId="165" fontId="3" fillId="0" borderId="17" xfId="0" applyNumberFormat="1" applyFont="1" applyBorder="1"/>
    <xf numFmtId="4" fontId="3" fillId="0" borderId="17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8" xfId="0" applyFont="1" applyBorder="1"/>
    <xf numFmtId="0" fontId="3" fillId="0" borderId="19" xfId="0" applyFont="1" applyBorder="1"/>
    <xf numFmtId="4" fontId="3" fillId="0" borderId="19" xfId="0" applyNumberFormat="1" applyFont="1" applyBorder="1"/>
    <xf numFmtId="4" fontId="3" fillId="0" borderId="19" xfId="0" applyNumberFormat="1" applyFont="1" applyBorder="1"/>
    <xf numFmtId="165" fontId="3" fillId="0" borderId="19" xfId="0" applyNumberFormat="1" applyFont="1" applyBorder="1"/>
    <xf numFmtId="165" fontId="3" fillId="0" borderId="20" xfId="0" applyNumberFormat="1" applyFont="1" applyBorder="1"/>
    <xf numFmtId="4" fontId="3" fillId="0" borderId="20" xfId="0" applyNumberFormat="1" applyFont="1" applyBorder="1"/>
    <xf numFmtId="14" fontId="3" fillId="0" borderId="1" xfId="0" applyNumberFormat="1" applyFont="1" applyBorder="1"/>
    <xf numFmtId="165" fontId="3" fillId="0" borderId="16" xfId="0" applyNumberFormat="1" applyFont="1" applyBorder="1"/>
    <xf numFmtId="165" fontId="3" fillId="0" borderId="17" xfId="0" applyNumberFormat="1" applyFont="1" applyBorder="1"/>
    <xf numFmtId="165" fontId="3" fillId="0" borderId="13" xfId="0" applyNumberFormat="1" applyFont="1" applyBorder="1"/>
    <xf numFmtId="165" fontId="3" fillId="0" borderId="14" xfId="0" applyNumberFormat="1" applyFont="1" applyBorder="1"/>
    <xf numFmtId="0" fontId="3" fillId="0" borderId="21" xfId="0" applyFont="1" applyBorder="1" applyAlignment="1">
      <alignment vertical="center"/>
    </xf>
    <xf numFmtId="0" fontId="3" fillId="0" borderId="21" xfId="0" applyFont="1" applyBorder="1"/>
    <xf numFmtId="0" fontId="3" fillId="0" borderId="0" xfId="0" applyFont="1" applyBorder="1"/>
    <xf numFmtId="14" fontId="3" fillId="0" borderId="21" xfId="0" applyNumberFormat="1" applyFont="1" applyBorder="1" applyAlignment="1">
      <alignment vertical="center"/>
    </xf>
    <xf numFmtId="0" fontId="3" fillId="3" borderId="9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/>
    <xf numFmtId="0" fontId="3" fillId="0" borderId="23" xfId="0" applyFont="1" applyBorder="1" applyAlignment="1">
      <alignment horizontal="left" vertical="center"/>
    </xf>
    <xf numFmtId="0" fontId="3" fillId="0" borderId="23" xfId="0" applyFont="1" applyBorder="1"/>
    <xf numFmtId="0" fontId="3" fillId="0" borderId="24" xfId="0" applyFont="1" applyBorder="1"/>
    <xf numFmtId="4" fontId="3" fillId="0" borderId="24" xfId="0" applyNumberFormat="1" applyFont="1" applyBorder="1"/>
    <xf numFmtId="165" fontId="3" fillId="0" borderId="24" xfId="0" applyNumberFormat="1" applyFont="1" applyBorder="1"/>
    <xf numFmtId="165" fontId="3" fillId="0" borderId="25" xfId="0" applyNumberFormat="1" applyFont="1" applyBorder="1"/>
    <xf numFmtId="4" fontId="3" fillId="0" borderId="25" xfId="0" applyNumberFormat="1" applyFont="1" applyBorder="1"/>
    <xf numFmtId="0" fontId="3" fillId="0" borderId="8" xfId="0" applyFont="1" applyBorder="1" applyAlignment="1">
      <alignment vertical="center"/>
    </xf>
    <xf numFmtId="0" fontId="3" fillId="0" borderId="8" xfId="0" applyFont="1" applyBorder="1"/>
    <xf numFmtId="4" fontId="3" fillId="0" borderId="10" xfId="0" applyNumberFormat="1" applyFont="1" applyBorder="1"/>
    <xf numFmtId="4" fontId="3" fillId="0" borderId="17" xfId="0" applyNumberFormat="1" applyFont="1" applyBorder="1"/>
    <xf numFmtId="0" fontId="3" fillId="0" borderId="26" xfId="0" applyFont="1" applyBorder="1"/>
    <xf numFmtId="0" fontId="3" fillId="0" borderId="15" xfId="0" applyFont="1" applyBorder="1"/>
    <xf numFmtId="0" fontId="3" fillId="0" borderId="17" xfId="0" applyFont="1" applyBorder="1"/>
    <xf numFmtId="167" fontId="3" fillId="0" borderId="0" xfId="0" applyNumberFormat="1" applyFont="1"/>
    <xf numFmtId="0" fontId="3" fillId="0" borderId="2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/>
    <xf numFmtId="0" fontId="3" fillId="0" borderId="30" xfId="0" applyFont="1" applyBorder="1"/>
    <xf numFmtId="4" fontId="3" fillId="0" borderId="30" xfId="0" applyNumberFormat="1" applyFont="1" applyBorder="1"/>
    <xf numFmtId="4" fontId="3" fillId="0" borderId="30" xfId="0" applyNumberFormat="1" applyFont="1" applyBorder="1"/>
    <xf numFmtId="165" fontId="3" fillId="0" borderId="30" xfId="0" applyNumberFormat="1" applyFont="1" applyBorder="1"/>
    <xf numFmtId="165" fontId="3" fillId="0" borderId="31" xfId="0" applyNumberFormat="1" applyFont="1" applyBorder="1"/>
    <xf numFmtId="4" fontId="3" fillId="0" borderId="31" xfId="0" applyNumberFormat="1" applyFont="1" applyBorder="1"/>
    <xf numFmtId="0" fontId="3" fillId="0" borderId="0" xfId="2" applyFont="1" applyAlignment="1" applyProtection="1"/>
    <xf numFmtId="0" fontId="3" fillId="0" borderId="0" xfId="0" applyFont="1" applyAlignment="1" applyProtection="1"/>
    <xf numFmtId="0" fontId="3" fillId="0" borderId="11" xfId="0" applyFont="1" applyBorder="1" applyAlignment="1">
      <alignment vertical="center"/>
    </xf>
    <xf numFmtId="0" fontId="3" fillId="0" borderId="27" xfId="0" applyFont="1" applyBorder="1" applyAlignment="1">
      <alignment horizontal="left" vertical="center"/>
    </xf>
  </cellXfs>
  <cellStyles count="3">
    <cellStyle name="Normálna" xfId="0" builtinId="0"/>
    <cellStyle name="Normálne 2" xfId="2" xr:uid="{00000000-0005-0000-0000-000007000000}"/>
    <cellStyle name="Výsledok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48576"/>
  <sheetViews>
    <sheetView tabSelected="1" zoomScale="90" zoomScaleNormal="90" workbookViewId="0">
      <pane ySplit="2" topLeftCell="A3" activePane="bottomLeft" state="frozen"/>
      <selection pane="bottomLeft" activeCell="A3" sqref="A3:A19"/>
    </sheetView>
  </sheetViews>
  <sheetFormatPr defaultColWidth="11.5703125" defaultRowHeight="15"/>
  <cols>
    <col min="1" max="1" width="11.5703125" style="15" customWidth="1"/>
    <col min="2" max="2" width="8.7109375" style="15" customWidth="1"/>
    <col min="3" max="3" width="18.140625" style="15" customWidth="1"/>
    <col min="4" max="5" width="11.28515625" style="15" hidden="1" customWidth="1"/>
    <col min="6" max="7" width="11" style="15" hidden="1" customWidth="1"/>
    <col min="8" max="8" width="12.7109375" style="15" customWidth="1"/>
    <col min="9" max="12" width="11" style="15" hidden="1" customWidth="1"/>
    <col min="13" max="14" width="12.7109375" style="15" customWidth="1"/>
    <col min="15" max="15" width="6.7109375" style="16" customWidth="1"/>
    <col min="16" max="16" width="12.7109375" style="15" customWidth="1"/>
    <col min="17" max="17" width="6.7109375" style="15" customWidth="1"/>
    <col min="18" max="18" width="12.7109375" style="15" customWidth="1"/>
    <col min="19" max="19" width="6.7109375" style="15" customWidth="1"/>
    <col min="20" max="20" width="12.7109375" style="15" customWidth="1"/>
    <col min="21" max="21" width="6.7109375" style="15" customWidth="1"/>
    <col min="22" max="23" width="11.28515625" style="15" hidden="1" customWidth="1"/>
    <col min="24" max="64" width="8.7109375" style="15" customWidth="1"/>
  </cols>
  <sheetData>
    <row r="1" spans="1:23" ht="13.9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  <c r="S1" s="18"/>
      <c r="T1" s="18"/>
      <c r="U1" s="18"/>
      <c r="V1" s="18"/>
      <c r="W1" s="18"/>
    </row>
    <row r="2" spans="1:23" ht="13.9" customHeight="1">
      <c r="A2" s="20"/>
      <c r="B2" s="20"/>
      <c r="C2" s="20"/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12</v>
      </c>
      <c r="P2" s="21" t="s">
        <v>13</v>
      </c>
      <c r="Q2" s="22" t="s">
        <v>14</v>
      </c>
      <c r="R2" s="21" t="s">
        <v>15</v>
      </c>
      <c r="S2" s="22" t="s">
        <v>16</v>
      </c>
      <c r="T2" s="21" t="s">
        <v>17</v>
      </c>
      <c r="U2" s="22" t="s">
        <v>18</v>
      </c>
      <c r="V2" s="21" t="s">
        <v>19</v>
      </c>
      <c r="W2" s="21" t="s">
        <v>20</v>
      </c>
    </row>
    <row r="3" spans="1:23" ht="13.9" customHeight="1">
      <c r="A3" s="14" t="s">
        <v>21</v>
      </c>
      <c r="B3" s="23">
        <v>111</v>
      </c>
      <c r="C3" s="23" t="s">
        <v>22</v>
      </c>
      <c r="D3" s="24">
        <f t="shared" ref="D3:N3" si="0">D41+D74-D8</f>
        <v>712932.7</v>
      </c>
      <c r="E3" s="24">
        <f t="shared" si="0"/>
        <v>763985.94</v>
      </c>
      <c r="F3" s="24">
        <f t="shared" si="0"/>
        <v>630710</v>
      </c>
      <c r="G3" s="24">
        <f t="shared" si="0"/>
        <v>762955.45</v>
      </c>
      <c r="H3" s="24">
        <f t="shared" si="0"/>
        <v>734801</v>
      </c>
      <c r="I3" s="24">
        <f t="shared" si="0"/>
        <v>29499</v>
      </c>
      <c r="J3" s="24">
        <f t="shared" si="0"/>
        <v>66151</v>
      </c>
      <c r="K3" s="24">
        <f t="shared" si="0"/>
        <v>169320</v>
      </c>
      <c r="L3" s="24">
        <f t="shared" si="0"/>
        <v>121821</v>
      </c>
      <c r="M3" s="24">
        <f t="shared" si="0"/>
        <v>1074764</v>
      </c>
      <c r="N3" s="24">
        <f t="shared" si="0"/>
        <v>224956.56000000003</v>
      </c>
      <c r="O3" s="25">
        <f t="shared" ref="O3:O20" si="1">N3/$M3</f>
        <v>0.20930786665723827</v>
      </c>
      <c r="P3" s="24">
        <f>P41+P74-P8</f>
        <v>467225.17000000004</v>
      </c>
      <c r="Q3" s="25">
        <f t="shared" ref="Q3:Q20" si="2">P3/$M3</f>
        <v>0.43472350208976113</v>
      </c>
      <c r="R3" s="24">
        <f>R41+R74-R8</f>
        <v>763885.8600000001</v>
      </c>
      <c r="S3" s="25">
        <f t="shared" ref="S3:S20" si="3">R3/$M3</f>
        <v>0.7107475315511127</v>
      </c>
      <c r="T3" s="24">
        <f>T41+T74-T8</f>
        <v>1086653.9000000004</v>
      </c>
      <c r="U3" s="25">
        <f t="shared" ref="U3:U20" si="4">T3/$M3</f>
        <v>1.0110628007637028</v>
      </c>
      <c r="V3" s="24">
        <f>V41+V74-V8</f>
        <v>735913</v>
      </c>
      <c r="W3" s="24">
        <f>W41+W74-W8</f>
        <v>733058</v>
      </c>
    </row>
    <row r="4" spans="1:23" ht="13.9" customHeight="1">
      <c r="A4" s="14"/>
      <c r="B4" s="23">
        <v>41</v>
      </c>
      <c r="C4" s="23" t="s">
        <v>23</v>
      </c>
      <c r="D4" s="24">
        <f t="shared" ref="D4:N4" si="5">D24+D42-D9</f>
        <v>1304362.7000000002</v>
      </c>
      <c r="E4" s="24">
        <f t="shared" si="5"/>
        <v>1361666.5299999998</v>
      </c>
      <c r="F4" s="24">
        <f t="shared" si="5"/>
        <v>1389068</v>
      </c>
      <c r="G4" s="24">
        <f t="shared" si="5"/>
        <v>1464687.7300000002</v>
      </c>
      <c r="H4" s="24">
        <f t="shared" si="5"/>
        <v>1579872</v>
      </c>
      <c r="I4" s="24">
        <f t="shared" si="5"/>
        <v>650</v>
      </c>
      <c r="J4" s="24">
        <f t="shared" si="5"/>
        <v>0</v>
      </c>
      <c r="K4" s="24">
        <f t="shared" si="5"/>
        <v>4369</v>
      </c>
      <c r="L4" s="24">
        <f t="shared" si="5"/>
        <v>-14500</v>
      </c>
      <c r="M4" s="24">
        <f t="shared" si="5"/>
        <v>1570391</v>
      </c>
      <c r="N4" s="24">
        <f t="shared" si="5"/>
        <v>443103.04999999993</v>
      </c>
      <c r="O4" s="25">
        <f t="shared" si="1"/>
        <v>0.28216097137591845</v>
      </c>
      <c r="P4" s="24">
        <f>P24+P42-P9</f>
        <v>761482.35</v>
      </c>
      <c r="Q4" s="25">
        <f t="shared" si="2"/>
        <v>0.48489984341479286</v>
      </c>
      <c r="R4" s="24">
        <f>R24+R42-R9</f>
        <v>1150680.75</v>
      </c>
      <c r="S4" s="25">
        <f t="shared" si="3"/>
        <v>0.73273519142684851</v>
      </c>
      <c r="T4" s="24">
        <f>T24+T42-T9</f>
        <v>1554082.55</v>
      </c>
      <c r="U4" s="25">
        <f t="shared" si="4"/>
        <v>0.98961503854772481</v>
      </c>
      <c r="V4" s="24">
        <f>V24+V42-V9</f>
        <v>1552872</v>
      </c>
      <c r="W4" s="24">
        <f>W24+W42-W9</f>
        <v>1552872</v>
      </c>
    </row>
    <row r="5" spans="1:23" ht="13.9" customHeight="1">
      <c r="A5" s="14"/>
      <c r="B5" s="23">
        <v>71</v>
      </c>
      <c r="C5" s="23" t="s">
        <v>24</v>
      </c>
      <c r="D5" s="24">
        <f t="shared" ref="D5:N5" si="6">D75</f>
        <v>1400</v>
      </c>
      <c r="E5" s="24">
        <f t="shared" si="6"/>
        <v>3000</v>
      </c>
      <c r="F5" s="24">
        <f t="shared" si="6"/>
        <v>3000</v>
      </c>
      <c r="G5" s="24">
        <f t="shared" si="6"/>
        <v>3000</v>
      </c>
      <c r="H5" s="24">
        <f t="shared" si="6"/>
        <v>3000</v>
      </c>
      <c r="I5" s="24">
        <f t="shared" si="6"/>
        <v>0</v>
      </c>
      <c r="J5" s="24">
        <f t="shared" si="6"/>
        <v>0</v>
      </c>
      <c r="K5" s="24">
        <f t="shared" si="6"/>
        <v>0</v>
      </c>
      <c r="L5" s="24">
        <f t="shared" si="6"/>
        <v>0</v>
      </c>
      <c r="M5" s="24">
        <f t="shared" si="6"/>
        <v>3000</v>
      </c>
      <c r="N5" s="24">
        <f t="shared" si="6"/>
        <v>0</v>
      </c>
      <c r="O5" s="25">
        <f t="shared" si="1"/>
        <v>0</v>
      </c>
      <c r="P5" s="24">
        <f>P75</f>
        <v>3000</v>
      </c>
      <c r="Q5" s="25">
        <f t="shared" si="2"/>
        <v>1</v>
      </c>
      <c r="R5" s="24">
        <f>R75</f>
        <v>3000</v>
      </c>
      <c r="S5" s="25">
        <f t="shared" si="3"/>
        <v>1</v>
      </c>
      <c r="T5" s="24">
        <f>T75</f>
        <v>3000</v>
      </c>
      <c r="U5" s="25">
        <f t="shared" si="4"/>
        <v>1</v>
      </c>
      <c r="V5" s="24">
        <f>V75</f>
        <v>3000</v>
      </c>
      <c r="W5" s="24">
        <f>W75</f>
        <v>3000</v>
      </c>
    </row>
    <row r="6" spans="1:23" ht="13.9" customHeight="1">
      <c r="A6" s="14"/>
      <c r="B6" s="23">
        <v>72</v>
      </c>
      <c r="C6" s="23" t="s">
        <v>25</v>
      </c>
      <c r="D6" s="24">
        <f t="shared" ref="D6:N6" si="7">D43+D76</f>
        <v>44096.480000000003</v>
      </c>
      <c r="E6" s="24">
        <f t="shared" si="7"/>
        <v>55845.61</v>
      </c>
      <c r="F6" s="24">
        <f t="shared" si="7"/>
        <v>105940</v>
      </c>
      <c r="G6" s="24">
        <f t="shared" si="7"/>
        <v>83132.320000000007</v>
      </c>
      <c r="H6" s="24">
        <f t="shared" si="7"/>
        <v>142260</v>
      </c>
      <c r="I6" s="24">
        <f t="shared" si="7"/>
        <v>500</v>
      </c>
      <c r="J6" s="24">
        <f t="shared" si="7"/>
        <v>-19404</v>
      </c>
      <c r="K6" s="24">
        <f t="shared" si="7"/>
        <v>1755</v>
      </c>
      <c r="L6" s="24">
        <f t="shared" si="7"/>
        <v>3370</v>
      </c>
      <c r="M6" s="24">
        <f t="shared" si="7"/>
        <v>128481</v>
      </c>
      <c r="N6" s="24">
        <f t="shared" si="7"/>
        <v>44678.66</v>
      </c>
      <c r="O6" s="25">
        <f t="shared" si="1"/>
        <v>0.34774526972859804</v>
      </c>
      <c r="P6" s="24">
        <f>P43+P76</f>
        <v>54646.9</v>
      </c>
      <c r="Q6" s="25">
        <f t="shared" si="2"/>
        <v>0.4253305936286299</v>
      </c>
      <c r="R6" s="24">
        <f>R43+R76</f>
        <v>74674.959999999992</v>
      </c>
      <c r="S6" s="25">
        <f t="shared" si="3"/>
        <v>0.5812140316467026</v>
      </c>
      <c r="T6" s="24">
        <f>T43+T76</f>
        <v>106433.95</v>
      </c>
      <c r="U6" s="25">
        <f t="shared" si="4"/>
        <v>0.82840225402977874</v>
      </c>
      <c r="V6" s="24">
        <f>V43+V76</f>
        <v>142260</v>
      </c>
      <c r="W6" s="24">
        <f>W43+W76</f>
        <v>142260</v>
      </c>
    </row>
    <row r="7" spans="1:23" ht="13.9" customHeight="1">
      <c r="A7" s="14"/>
      <c r="B7" s="23"/>
      <c r="C7" s="26" t="s">
        <v>26</v>
      </c>
      <c r="D7" s="27">
        <f t="shared" ref="D7:N7" si="8">SUM(D3:D6)</f>
        <v>2062791.8800000001</v>
      </c>
      <c r="E7" s="27">
        <f t="shared" si="8"/>
        <v>2184498.0799999996</v>
      </c>
      <c r="F7" s="27">
        <f t="shared" si="8"/>
        <v>2128718</v>
      </c>
      <c r="G7" s="27">
        <f t="shared" si="8"/>
        <v>2313775.5</v>
      </c>
      <c r="H7" s="27">
        <f t="shared" si="8"/>
        <v>2459933</v>
      </c>
      <c r="I7" s="27">
        <f t="shared" si="8"/>
        <v>30649</v>
      </c>
      <c r="J7" s="27">
        <f t="shared" si="8"/>
        <v>46747</v>
      </c>
      <c r="K7" s="27">
        <f t="shared" si="8"/>
        <v>175444</v>
      </c>
      <c r="L7" s="27">
        <f t="shared" si="8"/>
        <v>110691</v>
      </c>
      <c r="M7" s="27">
        <f t="shared" si="8"/>
        <v>2776636</v>
      </c>
      <c r="N7" s="27">
        <f t="shared" si="8"/>
        <v>712738.27</v>
      </c>
      <c r="O7" s="28">
        <f t="shared" si="1"/>
        <v>0.25669128758684973</v>
      </c>
      <c r="P7" s="27">
        <f>SUM(P3:P6)</f>
        <v>1286354.42</v>
      </c>
      <c r="Q7" s="28">
        <f t="shared" si="2"/>
        <v>0.46327801699610605</v>
      </c>
      <c r="R7" s="27">
        <f>SUM(R3:R6)</f>
        <v>1992241.57</v>
      </c>
      <c r="S7" s="28">
        <f t="shared" si="3"/>
        <v>0.71750188717570473</v>
      </c>
      <c r="T7" s="27">
        <f>SUM(T3:T6)</f>
        <v>2750170.4000000004</v>
      </c>
      <c r="U7" s="28">
        <f t="shared" si="4"/>
        <v>0.99046846615832984</v>
      </c>
      <c r="V7" s="27">
        <f>SUM(V3:V6)</f>
        <v>2434045</v>
      </c>
      <c r="W7" s="27">
        <f>SUM(W3:W6)</f>
        <v>2431190</v>
      </c>
    </row>
    <row r="8" spans="1:23" ht="13.9" customHeight="1">
      <c r="A8" s="14"/>
      <c r="B8" s="23">
        <v>111</v>
      </c>
      <c r="C8" s="23" t="s">
        <v>22</v>
      </c>
      <c r="D8" s="24">
        <f>SUM(D107:D108)</f>
        <v>0</v>
      </c>
      <c r="E8" s="24">
        <f>SUM(E107:E108)</f>
        <v>100000</v>
      </c>
      <c r="F8" s="24">
        <f>SUM(F107:F109)</f>
        <v>355881</v>
      </c>
      <c r="G8" s="24">
        <f>SUM(G107:G108)</f>
        <v>184139.16</v>
      </c>
      <c r="H8" s="24">
        <f>SUM(H107:H109)</f>
        <v>405618</v>
      </c>
      <c r="I8" s="24">
        <f>SUM(I107:I108)</f>
        <v>0</v>
      </c>
      <c r="J8" s="24">
        <f>SUM(J107:J108)</f>
        <v>0</v>
      </c>
      <c r="K8" s="24">
        <f>SUM(K107:K108)</f>
        <v>0</v>
      </c>
      <c r="L8" s="24">
        <f>SUM(L107:L108)</f>
        <v>0</v>
      </c>
      <c r="M8" s="24">
        <f>SUM(M107:M110)</f>
        <v>452446</v>
      </c>
      <c r="N8" s="24">
        <f>SUM(N107:N110)</f>
        <v>155461.32999999999</v>
      </c>
      <c r="O8" s="25">
        <f t="shared" si="1"/>
        <v>0.34360195470840715</v>
      </c>
      <c r="P8" s="24">
        <f>SUM(P107:P110)</f>
        <v>155461.32999999999</v>
      </c>
      <c r="Q8" s="25">
        <f t="shared" si="2"/>
        <v>0.34360195470840715</v>
      </c>
      <c r="R8" s="24">
        <f>SUM(R107:R110)</f>
        <v>155461.32999999999</v>
      </c>
      <c r="S8" s="25">
        <f t="shared" si="3"/>
        <v>0.34360195470840715</v>
      </c>
      <c r="T8" s="24">
        <f>SUM(T107:T110)</f>
        <v>402631.76</v>
      </c>
      <c r="U8" s="25">
        <f t="shared" si="4"/>
        <v>0.88990014277946983</v>
      </c>
      <c r="V8" s="24">
        <f>SUM(V107:V109)</f>
        <v>0</v>
      </c>
      <c r="W8" s="24">
        <f>SUM(W107:W109)</f>
        <v>0</v>
      </c>
    </row>
    <row r="9" spans="1:23" ht="13.9" customHeight="1">
      <c r="A9" s="14"/>
      <c r="B9" s="23">
        <v>43</v>
      </c>
      <c r="C9" s="23" t="s">
        <v>23</v>
      </c>
      <c r="D9" s="24">
        <f t="shared" ref="D9:N9" si="9">D52</f>
        <v>0</v>
      </c>
      <c r="E9" s="24">
        <f t="shared" si="9"/>
        <v>87.5</v>
      </c>
      <c r="F9" s="24">
        <f t="shared" si="9"/>
        <v>0</v>
      </c>
      <c r="G9" s="24">
        <f t="shared" si="9"/>
        <v>6650</v>
      </c>
      <c r="H9" s="24">
        <f t="shared" si="9"/>
        <v>0</v>
      </c>
      <c r="I9" s="24">
        <f t="shared" si="9"/>
        <v>0</v>
      </c>
      <c r="J9" s="24">
        <f t="shared" si="9"/>
        <v>0</v>
      </c>
      <c r="K9" s="24">
        <f t="shared" si="9"/>
        <v>0</v>
      </c>
      <c r="L9" s="24">
        <f t="shared" si="9"/>
        <v>0</v>
      </c>
      <c r="M9" s="24">
        <f t="shared" si="9"/>
        <v>0</v>
      </c>
      <c r="N9" s="24">
        <f t="shared" si="9"/>
        <v>0</v>
      </c>
      <c r="O9" s="25" t="e">
        <f t="shared" si="1"/>
        <v>#DIV/0!</v>
      </c>
      <c r="P9" s="24">
        <f>P52</f>
        <v>0</v>
      </c>
      <c r="Q9" s="25" t="e">
        <f t="shared" si="2"/>
        <v>#DIV/0!</v>
      </c>
      <c r="R9" s="24">
        <f>R52</f>
        <v>3650</v>
      </c>
      <c r="S9" s="25" t="e">
        <f t="shared" si="3"/>
        <v>#DIV/0!</v>
      </c>
      <c r="T9" s="24">
        <f>T52</f>
        <v>3650</v>
      </c>
      <c r="U9" s="25" t="e">
        <f t="shared" si="4"/>
        <v>#DIV/0!</v>
      </c>
      <c r="V9" s="24">
        <f>V52</f>
        <v>0</v>
      </c>
      <c r="W9" s="24">
        <f>W52</f>
        <v>0</v>
      </c>
    </row>
    <row r="10" spans="1:23" ht="13.9" customHeight="1">
      <c r="A10" s="14"/>
      <c r="B10" s="23"/>
      <c r="C10" s="26" t="s">
        <v>27</v>
      </c>
      <c r="D10" s="27">
        <f t="shared" ref="D10:N10" si="10">SUM(D8:D9)</f>
        <v>0</v>
      </c>
      <c r="E10" s="27">
        <f t="shared" si="10"/>
        <v>100087.5</v>
      </c>
      <c r="F10" s="27">
        <f t="shared" si="10"/>
        <v>355881</v>
      </c>
      <c r="G10" s="27">
        <f t="shared" si="10"/>
        <v>190789.16</v>
      </c>
      <c r="H10" s="27">
        <f t="shared" si="10"/>
        <v>405618</v>
      </c>
      <c r="I10" s="27">
        <f t="shared" si="10"/>
        <v>0</v>
      </c>
      <c r="J10" s="27">
        <f t="shared" si="10"/>
        <v>0</v>
      </c>
      <c r="K10" s="27">
        <f t="shared" si="10"/>
        <v>0</v>
      </c>
      <c r="L10" s="27">
        <f t="shared" si="10"/>
        <v>0</v>
      </c>
      <c r="M10" s="27">
        <f t="shared" si="10"/>
        <v>452446</v>
      </c>
      <c r="N10" s="27">
        <f t="shared" si="10"/>
        <v>155461.32999999999</v>
      </c>
      <c r="O10" s="28">
        <f t="shared" si="1"/>
        <v>0.34360195470840715</v>
      </c>
      <c r="P10" s="27">
        <f>SUM(P8:P9)</f>
        <v>155461.32999999999</v>
      </c>
      <c r="Q10" s="28">
        <f t="shared" si="2"/>
        <v>0.34360195470840715</v>
      </c>
      <c r="R10" s="27">
        <f>SUM(R8:R9)</f>
        <v>159111.32999999999</v>
      </c>
      <c r="S10" s="28">
        <f t="shared" si="3"/>
        <v>0.35166921577381605</v>
      </c>
      <c r="T10" s="27">
        <f>SUM(T8:T9)</f>
        <v>406281.76</v>
      </c>
      <c r="U10" s="28">
        <f t="shared" si="4"/>
        <v>0.89796740384487872</v>
      </c>
      <c r="V10" s="27">
        <f>SUM(V8:V9)</f>
        <v>0</v>
      </c>
      <c r="W10" s="27">
        <f>SUM(W8:W9)</f>
        <v>0</v>
      </c>
    </row>
    <row r="11" spans="1:23" ht="13.9" customHeight="1">
      <c r="A11" s="14"/>
      <c r="B11" s="23">
        <v>131</v>
      </c>
      <c r="C11" s="23" t="s">
        <v>22</v>
      </c>
      <c r="D11" s="24">
        <f t="shared" ref="D11:N11" si="11">D120</f>
        <v>14889.34</v>
      </c>
      <c r="E11" s="24">
        <f t="shared" si="11"/>
        <v>34161.160000000003</v>
      </c>
      <c r="F11" s="24">
        <f t="shared" si="11"/>
        <v>10884</v>
      </c>
      <c r="G11" s="24">
        <f t="shared" si="11"/>
        <v>69416.210000000006</v>
      </c>
      <c r="H11" s="24">
        <f t="shared" si="11"/>
        <v>32326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32326</v>
      </c>
      <c r="N11" s="24">
        <f t="shared" si="11"/>
        <v>0</v>
      </c>
      <c r="O11" s="25">
        <f t="shared" si="1"/>
        <v>0</v>
      </c>
      <c r="P11" s="24">
        <f>P120</f>
        <v>32325.77</v>
      </c>
      <c r="Q11" s="25">
        <f t="shared" si="2"/>
        <v>0.99999288498422323</v>
      </c>
      <c r="R11" s="24">
        <f>R120</f>
        <v>32325.77</v>
      </c>
      <c r="S11" s="25">
        <f t="shared" si="3"/>
        <v>0.99999288498422323</v>
      </c>
      <c r="T11" s="24">
        <f>T120</f>
        <v>32325.77</v>
      </c>
      <c r="U11" s="25">
        <f t="shared" si="4"/>
        <v>0.99999288498422323</v>
      </c>
      <c r="V11" s="24">
        <f t="shared" ref="V11:W14" si="12">V120</f>
        <v>0</v>
      </c>
      <c r="W11" s="24">
        <f t="shared" si="12"/>
        <v>0</v>
      </c>
    </row>
    <row r="12" spans="1:23" ht="13.9" customHeight="1">
      <c r="A12" s="14"/>
      <c r="B12" s="23">
        <v>41</v>
      </c>
      <c r="C12" s="23" t="s">
        <v>23</v>
      </c>
      <c r="D12" s="24">
        <f t="shared" ref="D12:N12" si="13">D121</f>
        <v>361389.5</v>
      </c>
      <c r="E12" s="24">
        <f t="shared" si="13"/>
        <v>759956.16999999993</v>
      </c>
      <c r="F12" s="24">
        <f t="shared" si="13"/>
        <v>426046</v>
      </c>
      <c r="G12" s="24">
        <f t="shared" si="13"/>
        <v>403699.06</v>
      </c>
      <c r="H12" s="24">
        <f t="shared" si="13"/>
        <v>199814</v>
      </c>
      <c r="I12" s="24">
        <f t="shared" si="13"/>
        <v>0</v>
      </c>
      <c r="J12" s="24">
        <f t="shared" si="13"/>
        <v>0</v>
      </c>
      <c r="K12" s="24">
        <f t="shared" si="13"/>
        <v>0</v>
      </c>
      <c r="L12" s="24">
        <f t="shared" si="13"/>
        <v>9625</v>
      </c>
      <c r="M12" s="24">
        <f t="shared" si="13"/>
        <v>209439</v>
      </c>
      <c r="N12" s="24">
        <f t="shared" si="13"/>
        <v>0</v>
      </c>
      <c r="O12" s="25">
        <f t="shared" si="1"/>
        <v>0</v>
      </c>
      <c r="P12" s="24">
        <f>P121</f>
        <v>112421.69</v>
      </c>
      <c r="Q12" s="25">
        <f t="shared" si="2"/>
        <v>0.53677533792655618</v>
      </c>
      <c r="R12" s="24">
        <f>R121</f>
        <v>112421.69</v>
      </c>
      <c r="S12" s="25">
        <f t="shared" si="3"/>
        <v>0.53677533792655618</v>
      </c>
      <c r="T12" s="24">
        <f>T121</f>
        <v>112421.69</v>
      </c>
      <c r="U12" s="25">
        <f t="shared" si="4"/>
        <v>0.53677533792655618</v>
      </c>
      <c r="V12" s="24">
        <f t="shared" si="12"/>
        <v>0</v>
      </c>
      <c r="W12" s="24">
        <f t="shared" si="12"/>
        <v>0</v>
      </c>
    </row>
    <row r="13" spans="1:23" ht="13.9" customHeight="1">
      <c r="A13" s="14"/>
      <c r="B13" s="23">
        <v>71</v>
      </c>
      <c r="C13" s="23" t="s">
        <v>24</v>
      </c>
      <c r="D13" s="24">
        <f t="shared" ref="D13:N13" si="14">D122</f>
        <v>6320.3</v>
      </c>
      <c r="E13" s="24">
        <f t="shared" si="14"/>
        <v>3760.3</v>
      </c>
      <c r="F13" s="24">
        <f t="shared" si="14"/>
        <v>3760</v>
      </c>
      <c r="G13" s="24">
        <f t="shared" si="14"/>
        <v>4060.3</v>
      </c>
      <c r="H13" s="24">
        <f t="shared" si="14"/>
        <v>3000</v>
      </c>
      <c r="I13" s="24">
        <f t="shared" si="14"/>
        <v>0</v>
      </c>
      <c r="J13" s="24">
        <f t="shared" si="14"/>
        <v>0</v>
      </c>
      <c r="K13" s="24">
        <f t="shared" si="14"/>
        <v>0</v>
      </c>
      <c r="L13" s="24">
        <f t="shared" si="14"/>
        <v>26000</v>
      </c>
      <c r="M13" s="24">
        <f t="shared" si="14"/>
        <v>29000</v>
      </c>
      <c r="N13" s="24">
        <f t="shared" si="14"/>
        <v>0</v>
      </c>
      <c r="O13" s="25">
        <f t="shared" si="1"/>
        <v>0</v>
      </c>
      <c r="P13" s="24">
        <f>P122</f>
        <v>3100</v>
      </c>
      <c r="Q13" s="25">
        <f t="shared" si="2"/>
        <v>0.10689655172413794</v>
      </c>
      <c r="R13" s="24">
        <f>R122</f>
        <v>3370</v>
      </c>
      <c r="S13" s="25">
        <f t="shared" si="3"/>
        <v>0.11620689655172414</v>
      </c>
      <c r="T13" s="24">
        <f>T122</f>
        <v>30067.64</v>
      </c>
      <c r="U13" s="25">
        <f t="shared" si="4"/>
        <v>1.0368151724137931</v>
      </c>
      <c r="V13" s="24">
        <f t="shared" si="12"/>
        <v>0</v>
      </c>
      <c r="W13" s="24">
        <f t="shared" si="12"/>
        <v>0</v>
      </c>
    </row>
    <row r="14" spans="1:23" ht="13.9" customHeight="1">
      <c r="A14" s="14"/>
      <c r="B14" s="29">
        <v>72</v>
      </c>
      <c r="C14" s="29" t="s">
        <v>25</v>
      </c>
      <c r="D14" s="24">
        <f t="shared" ref="D14:N14" si="15">D123</f>
        <v>10178.58</v>
      </c>
      <c r="E14" s="24">
        <f t="shared" si="15"/>
        <v>13138.14</v>
      </c>
      <c r="F14" s="24">
        <f t="shared" si="15"/>
        <v>0</v>
      </c>
      <c r="G14" s="24">
        <f t="shared" si="15"/>
        <v>0</v>
      </c>
      <c r="H14" s="24">
        <f t="shared" si="15"/>
        <v>0</v>
      </c>
      <c r="I14" s="24">
        <f t="shared" si="15"/>
        <v>0</v>
      </c>
      <c r="J14" s="24">
        <f t="shared" si="15"/>
        <v>0</v>
      </c>
      <c r="K14" s="24">
        <f t="shared" si="15"/>
        <v>0</v>
      </c>
      <c r="L14" s="24">
        <f t="shared" si="15"/>
        <v>0</v>
      </c>
      <c r="M14" s="24">
        <f t="shared" si="15"/>
        <v>0</v>
      </c>
      <c r="N14" s="24">
        <f t="shared" si="15"/>
        <v>0</v>
      </c>
      <c r="O14" s="25" t="e">
        <f t="shared" si="1"/>
        <v>#DIV/0!</v>
      </c>
      <c r="P14" s="24">
        <f>P123</f>
        <v>0</v>
      </c>
      <c r="Q14" s="25" t="e">
        <f t="shared" si="2"/>
        <v>#DIV/0!</v>
      </c>
      <c r="R14" s="24">
        <f>R123</f>
        <v>0</v>
      </c>
      <c r="S14" s="25" t="e">
        <f t="shared" si="3"/>
        <v>#DIV/0!</v>
      </c>
      <c r="T14" s="24">
        <f>T123</f>
        <v>0</v>
      </c>
      <c r="U14" s="25" t="e">
        <f t="shared" si="4"/>
        <v>#DIV/0!</v>
      </c>
      <c r="V14" s="24">
        <f t="shared" si="12"/>
        <v>0</v>
      </c>
      <c r="W14" s="24">
        <f t="shared" si="12"/>
        <v>0</v>
      </c>
    </row>
    <row r="15" spans="1:23" ht="13.9" customHeight="1">
      <c r="A15" s="14"/>
      <c r="B15" s="23"/>
      <c r="C15" s="26" t="s">
        <v>28</v>
      </c>
      <c r="D15" s="27">
        <f t="shared" ref="D15:N15" si="16">SUM(D11:D14)</f>
        <v>392777.72000000003</v>
      </c>
      <c r="E15" s="27">
        <f t="shared" si="16"/>
        <v>811015.77</v>
      </c>
      <c r="F15" s="27">
        <f t="shared" si="16"/>
        <v>440690</v>
      </c>
      <c r="G15" s="27">
        <f t="shared" si="16"/>
        <v>477175.57</v>
      </c>
      <c r="H15" s="27">
        <f t="shared" si="16"/>
        <v>235140</v>
      </c>
      <c r="I15" s="27">
        <f t="shared" si="16"/>
        <v>0</v>
      </c>
      <c r="J15" s="27">
        <f t="shared" si="16"/>
        <v>0</v>
      </c>
      <c r="K15" s="27">
        <f t="shared" si="16"/>
        <v>0</v>
      </c>
      <c r="L15" s="27">
        <f t="shared" si="16"/>
        <v>35625</v>
      </c>
      <c r="M15" s="27">
        <f t="shared" si="16"/>
        <v>270765</v>
      </c>
      <c r="N15" s="27">
        <f t="shared" si="16"/>
        <v>0</v>
      </c>
      <c r="O15" s="28">
        <f t="shared" si="1"/>
        <v>0</v>
      </c>
      <c r="P15" s="27">
        <f>SUM(P11:P14)</f>
        <v>147847.46</v>
      </c>
      <c r="Q15" s="28">
        <f t="shared" si="2"/>
        <v>0.54603608295015971</v>
      </c>
      <c r="R15" s="27">
        <f>SUM(R11:R14)</f>
        <v>148117.46</v>
      </c>
      <c r="S15" s="28">
        <f t="shared" si="3"/>
        <v>0.54703325762192301</v>
      </c>
      <c r="T15" s="27">
        <f>SUM(T11:T14)</f>
        <v>174815.09999999998</v>
      </c>
      <c r="U15" s="28">
        <f t="shared" si="4"/>
        <v>0.64563403689546273</v>
      </c>
      <c r="V15" s="27">
        <f>SUM(V11:V14)</f>
        <v>0</v>
      </c>
      <c r="W15" s="27">
        <f>SUM(W11:W14)</f>
        <v>0</v>
      </c>
    </row>
    <row r="16" spans="1:23" ht="13.9" customHeight="1">
      <c r="A16" s="14"/>
      <c r="B16" s="23">
        <v>111</v>
      </c>
      <c r="C16" s="23" t="s">
        <v>22</v>
      </c>
      <c r="D16" s="24">
        <f t="shared" ref="D16:N16" si="17">D3+D8+D11</f>
        <v>727822.03999999992</v>
      </c>
      <c r="E16" s="24">
        <f t="shared" si="17"/>
        <v>898147.1</v>
      </c>
      <c r="F16" s="24">
        <f t="shared" si="17"/>
        <v>997475</v>
      </c>
      <c r="G16" s="24">
        <f t="shared" si="17"/>
        <v>1016510.82</v>
      </c>
      <c r="H16" s="24">
        <f t="shared" si="17"/>
        <v>1172745</v>
      </c>
      <c r="I16" s="24">
        <f t="shared" si="17"/>
        <v>29499</v>
      </c>
      <c r="J16" s="24">
        <f t="shared" si="17"/>
        <v>66151</v>
      </c>
      <c r="K16" s="24">
        <f t="shared" si="17"/>
        <v>169320</v>
      </c>
      <c r="L16" s="24">
        <f t="shared" si="17"/>
        <v>121821</v>
      </c>
      <c r="M16" s="24">
        <f t="shared" si="17"/>
        <v>1559536</v>
      </c>
      <c r="N16" s="24">
        <f t="shared" si="17"/>
        <v>380417.89</v>
      </c>
      <c r="O16" s="25">
        <f t="shared" si="1"/>
        <v>0.2439301753854993</v>
      </c>
      <c r="P16" s="24">
        <f>P3+P8+P11</f>
        <v>655012.27</v>
      </c>
      <c r="Q16" s="25">
        <f t="shared" si="2"/>
        <v>0.42000458469698682</v>
      </c>
      <c r="R16" s="24">
        <f>R3+R8+R11</f>
        <v>951672.96000000008</v>
      </c>
      <c r="S16" s="25">
        <f t="shared" si="3"/>
        <v>0.61022827302479721</v>
      </c>
      <c r="T16" s="24">
        <f>T3+T8+T11</f>
        <v>1521611.4300000004</v>
      </c>
      <c r="U16" s="25">
        <f t="shared" si="4"/>
        <v>0.9756821452021629</v>
      </c>
      <c r="V16" s="24">
        <f>V3+V8+V11</f>
        <v>735913</v>
      </c>
      <c r="W16" s="24">
        <f>W3+W8+W11</f>
        <v>733058</v>
      </c>
    </row>
    <row r="17" spans="1:23" ht="13.9" customHeight="1">
      <c r="A17" s="14"/>
      <c r="B17" s="23">
        <v>41</v>
      </c>
      <c r="C17" s="23" t="s">
        <v>23</v>
      </c>
      <c r="D17" s="24">
        <f t="shared" ref="D17:N17" si="18">D4+D9+D12</f>
        <v>1665752.2000000002</v>
      </c>
      <c r="E17" s="24">
        <f t="shared" si="18"/>
        <v>2121710.1999999997</v>
      </c>
      <c r="F17" s="24">
        <f t="shared" si="18"/>
        <v>1815114</v>
      </c>
      <c r="G17" s="24">
        <f t="shared" si="18"/>
        <v>1875036.7900000003</v>
      </c>
      <c r="H17" s="24">
        <f t="shared" si="18"/>
        <v>1779686</v>
      </c>
      <c r="I17" s="24">
        <f t="shared" si="18"/>
        <v>650</v>
      </c>
      <c r="J17" s="24">
        <f t="shared" si="18"/>
        <v>0</v>
      </c>
      <c r="K17" s="24">
        <f t="shared" si="18"/>
        <v>4369</v>
      </c>
      <c r="L17" s="24">
        <f t="shared" si="18"/>
        <v>-4875</v>
      </c>
      <c r="M17" s="24">
        <f t="shared" si="18"/>
        <v>1779830</v>
      </c>
      <c r="N17" s="24">
        <f t="shared" si="18"/>
        <v>443103.04999999993</v>
      </c>
      <c r="O17" s="25">
        <f t="shared" si="1"/>
        <v>0.24895807464757866</v>
      </c>
      <c r="P17" s="24">
        <f>P4+P9+P12</f>
        <v>873904.04</v>
      </c>
      <c r="Q17" s="25">
        <f t="shared" si="2"/>
        <v>0.49100421950410994</v>
      </c>
      <c r="R17" s="24">
        <f>R4+R9+R12</f>
        <v>1266752.44</v>
      </c>
      <c r="S17" s="25">
        <f t="shared" si="3"/>
        <v>0.71172664805065644</v>
      </c>
      <c r="T17" s="24">
        <f>T4+T9+T12</f>
        <v>1670154.24</v>
      </c>
      <c r="U17" s="25">
        <f t="shared" si="4"/>
        <v>0.93837851929678673</v>
      </c>
      <c r="V17" s="24">
        <f>V4+V9+V12</f>
        <v>1552872</v>
      </c>
      <c r="W17" s="24">
        <f>W4+W9+W12</f>
        <v>1552872</v>
      </c>
    </row>
    <row r="18" spans="1:23" ht="13.9" customHeight="1">
      <c r="A18" s="14"/>
      <c r="B18" s="23">
        <v>71</v>
      </c>
      <c r="C18" s="23" t="s">
        <v>24</v>
      </c>
      <c r="D18" s="24">
        <f t="shared" ref="D18:N18" si="19">D5+D13</f>
        <v>7720.3</v>
      </c>
      <c r="E18" s="24">
        <f t="shared" si="19"/>
        <v>6760.3</v>
      </c>
      <c r="F18" s="24">
        <f t="shared" si="19"/>
        <v>6760</v>
      </c>
      <c r="G18" s="24">
        <f t="shared" si="19"/>
        <v>7060.3</v>
      </c>
      <c r="H18" s="24">
        <f t="shared" si="19"/>
        <v>6000</v>
      </c>
      <c r="I18" s="24">
        <f t="shared" si="19"/>
        <v>0</v>
      </c>
      <c r="J18" s="24">
        <f t="shared" si="19"/>
        <v>0</v>
      </c>
      <c r="K18" s="24">
        <f t="shared" si="19"/>
        <v>0</v>
      </c>
      <c r="L18" s="24">
        <f t="shared" si="19"/>
        <v>26000</v>
      </c>
      <c r="M18" s="24">
        <f t="shared" si="19"/>
        <v>32000</v>
      </c>
      <c r="N18" s="24">
        <f t="shared" si="19"/>
        <v>0</v>
      </c>
      <c r="O18" s="25">
        <f t="shared" si="1"/>
        <v>0</v>
      </c>
      <c r="P18" s="24">
        <f>P5+P13</f>
        <v>6100</v>
      </c>
      <c r="Q18" s="25">
        <f t="shared" si="2"/>
        <v>0.19062499999999999</v>
      </c>
      <c r="R18" s="24">
        <f>R5+R13</f>
        <v>6370</v>
      </c>
      <c r="S18" s="25">
        <f t="shared" si="3"/>
        <v>0.1990625</v>
      </c>
      <c r="T18" s="24">
        <f>T5+T13</f>
        <v>33067.64</v>
      </c>
      <c r="U18" s="25">
        <f t="shared" si="4"/>
        <v>1.0333637499999999</v>
      </c>
      <c r="V18" s="24">
        <f>V5+V13</f>
        <v>3000</v>
      </c>
      <c r="W18" s="24">
        <f>W5+W13</f>
        <v>3000</v>
      </c>
    </row>
    <row r="19" spans="1:23" ht="13.9" customHeight="1">
      <c r="A19" s="14"/>
      <c r="B19" s="23">
        <v>72</v>
      </c>
      <c r="C19" s="23" t="s">
        <v>25</v>
      </c>
      <c r="D19" s="24">
        <f>D6+D14</f>
        <v>54275.060000000005</v>
      </c>
      <c r="E19" s="24">
        <f>E6+E14</f>
        <v>68983.75</v>
      </c>
      <c r="F19" s="24">
        <f>F6+F14</f>
        <v>105940</v>
      </c>
      <c r="G19" s="24">
        <f>G6+G14</f>
        <v>83132.320000000007</v>
      </c>
      <c r="H19" s="24">
        <f>H6+H14</f>
        <v>142260</v>
      </c>
      <c r="I19" s="24">
        <f>I6</f>
        <v>500</v>
      </c>
      <c r="J19" s="24">
        <f>J6</f>
        <v>-19404</v>
      </c>
      <c r="K19" s="24">
        <f>K6</f>
        <v>1755</v>
      </c>
      <c r="L19" s="24">
        <f>L6+L14</f>
        <v>3370</v>
      </c>
      <c r="M19" s="24">
        <f>M6+M14</f>
        <v>128481</v>
      </c>
      <c r="N19" s="24">
        <f>N6+N14</f>
        <v>44678.66</v>
      </c>
      <c r="O19" s="25">
        <f t="shared" si="1"/>
        <v>0.34774526972859804</v>
      </c>
      <c r="P19" s="24">
        <f>P6+P14</f>
        <v>54646.9</v>
      </c>
      <c r="Q19" s="25">
        <f t="shared" si="2"/>
        <v>0.4253305936286299</v>
      </c>
      <c r="R19" s="24">
        <f>R6+R14</f>
        <v>74674.959999999992</v>
      </c>
      <c r="S19" s="25">
        <f t="shared" si="3"/>
        <v>0.5812140316467026</v>
      </c>
      <c r="T19" s="24">
        <f>T6+T14</f>
        <v>106433.95</v>
      </c>
      <c r="U19" s="25">
        <f t="shared" si="4"/>
        <v>0.82840225402977874</v>
      </c>
      <c r="V19" s="24">
        <f>V6</f>
        <v>142260</v>
      </c>
      <c r="W19" s="24">
        <f>W6</f>
        <v>142260</v>
      </c>
    </row>
    <row r="20" spans="1:23" ht="13.9" customHeight="1">
      <c r="A20" s="30"/>
      <c r="B20" s="31"/>
      <c r="C20" s="26" t="s">
        <v>29</v>
      </c>
      <c r="D20" s="27">
        <f t="shared" ref="D20:N20" si="20">SUM(D16:D19)</f>
        <v>2455569.6</v>
      </c>
      <c r="E20" s="27">
        <f t="shared" si="20"/>
        <v>3095601.3499999996</v>
      </c>
      <c r="F20" s="27">
        <f t="shared" si="20"/>
        <v>2925289</v>
      </c>
      <c r="G20" s="27">
        <f t="shared" si="20"/>
        <v>2981740.23</v>
      </c>
      <c r="H20" s="27">
        <f t="shared" si="20"/>
        <v>3100691</v>
      </c>
      <c r="I20" s="27">
        <f t="shared" si="20"/>
        <v>30649</v>
      </c>
      <c r="J20" s="27">
        <f t="shared" si="20"/>
        <v>46747</v>
      </c>
      <c r="K20" s="27">
        <f t="shared" si="20"/>
        <v>175444</v>
      </c>
      <c r="L20" s="27">
        <f t="shared" si="20"/>
        <v>146316</v>
      </c>
      <c r="M20" s="27">
        <f t="shared" si="20"/>
        <v>3499847</v>
      </c>
      <c r="N20" s="27">
        <f t="shared" si="20"/>
        <v>868199.6</v>
      </c>
      <c r="O20" s="28">
        <f t="shared" si="1"/>
        <v>0.24806787268129149</v>
      </c>
      <c r="P20" s="27">
        <f>SUM(P16:P19)</f>
        <v>1589663.21</v>
      </c>
      <c r="Q20" s="28">
        <f t="shared" si="2"/>
        <v>0.45420934400846663</v>
      </c>
      <c r="R20" s="27">
        <f>SUM(R16:R19)</f>
        <v>2299470.36</v>
      </c>
      <c r="S20" s="28">
        <f t="shared" si="3"/>
        <v>0.65702025259961361</v>
      </c>
      <c r="T20" s="27">
        <f>SUM(T16:T19)</f>
        <v>3331267.2600000007</v>
      </c>
      <c r="U20" s="28">
        <f t="shared" si="4"/>
        <v>0.95183225438140606</v>
      </c>
      <c r="V20" s="27">
        <f>SUM(V16:V19)</f>
        <v>2434045</v>
      </c>
      <c r="W20" s="27">
        <f>SUM(W16:W19)</f>
        <v>2431190</v>
      </c>
    </row>
    <row r="22" spans="1:23" ht="13.9" customHeight="1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2"/>
      <c r="R22" s="32"/>
      <c r="S22" s="32"/>
      <c r="T22" s="32"/>
      <c r="U22" s="32"/>
      <c r="V22" s="32"/>
      <c r="W22" s="32"/>
    </row>
    <row r="23" spans="1:23" ht="13.9" customHeight="1">
      <c r="A23" s="20"/>
      <c r="B23" s="20"/>
      <c r="C23" s="20"/>
      <c r="D23" s="21" t="s">
        <v>1</v>
      </c>
      <c r="E23" s="21" t="s">
        <v>2</v>
      </c>
      <c r="F23" s="21" t="s">
        <v>3</v>
      </c>
      <c r="G23" s="21" t="s">
        <v>4</v>
      </c>
      <c r="H23" s="21" t="s">
        <v>5</v>
      </c>
      <c r="I23" s="21" t="s">
        <v>6</v>
      </c>
      <c r="J23" s="21" t="s">
        <v>7</v>
      </c>
      <c r="K23" s="21" t="s">
        <v>8</v>
      </c>
      <c r="L23" s="21" t="s">
        <v>9</v>
      </c>
      <c r="M23" s="21" t="s">
        <v>10</v>
      </c>
      <c r="N23" s="21" t="s">
        <v>11</v>
      </c>
      <c r="O23" s="22" t="s">
        <v>12</v>
      </c>
      <c r="P23" s="21" t="s">
        <v>13</v>
      </c>
      <c r="Q23" s="22" t="s">
        <v>14</v>
      </c>
      <c r="R23" s="21" t="s">
        <v>15</v>
      </c>
      <c r="S23" s="22" t="s">
        <v>16</v>
      </c>
      <c r="T23" s="21" t="s">
        <v>17</v>
      </c>
      <c r="U23" s="22" t="s">
        <v>18</v>
      </c>
      <c r="V23" s="21" t="s">
        <v>19</v>
      </c>
      <c r="W23" s="21" t="s">
        <v>20</v>
      </c>
    </row>
    <row r="24" spans="1:23" ht="13.9" customHeight="1">
      <c r="A24" s="34" t="s">
        <v>21</v>
      </c>
      <c r="B24" s="35">
        <v>41</v>
      </c>
      <c r="C24" s="35" t="s">
        <v>23</v>
      </c>
      <c r="D24" s="36">
        <f t="shared" ref="D24:N24" si="21">D37</f>
        <v>1191500.5300000003</v>
      </c>
      <c r="E24" s="36">
        <f t="shared" si="21"/>
        <v>1262842.5799999998</v>
      </c>
      <c r="F24" s="36">
        <f t="shared" si="21"/>
        <v>1300614</v>
      </c>
      <c r="G24" s="36">
        <f t="shared" si="21"/>
        <v>1369565.9800000002</v>
      </c>
      <c r="H24" s="36">
        <f t="shared" si="21"/>
        <v>1450635</v>
      </c>
      <c r="I24" s="36">
        <f t="shared" si="21"/>
        <v>0</v>
      </c>
      <c r="J24" s="36">
        <f t="shared" si="21"/>
        <v>0</v>
      </c>
      <c r="K24" s="36">
        <f t="shared" si="21"/>
        <v>0</v>
      </c>
      <c r="L24" s="36">
        <f t="shared" si="21"/>
        <v>0</v>
      </c>
      <c r="M24" s="36">
        <f t="shared" si="21"/>
        <v>1450635</v>
      </c>
      <c r="N24" s="36">
        <f t="shared" si="21"/>
        <v>415029.32999999996</v>
      </c>
      <c r="O24" s="37">
        <f>N24/$M24</f>
        <v>0.28610183126699684</v>
      </c>
      <c r="P24" s="36">
        <f>P37</f>
        <v>715495.42999999993</v>
      </c>
      <c r="Q24" s="37">
        <f>P24/$M24</f>
        <v>0.49322912379750933</v>
      </c>
      <c r="R24" s="36">
        <f>R37</f>
        <v>1068593.19</v>
      </c>
      <c r="S24" s="37">
        <f>R24/$M24</f>
        <v>0.73663822395020107</v>
      </c>
      <c r="T24" s="36">
        <f>T37</f>
        <v>1438143.04</v>
      </c>
      <c r="U24" s="37">
        <f>T24/$M24</f>
        <v>0.99138862636018021</v>
      </c>
      <c r="V24" s="36">
        <f>V37</f>
        <v>1450635</v>
      </c>
      <c r="W24" s="36">
        <f>W37</f>
        <v>1450635</v>
      </c>
    </row>
    <row r="25" spans="1:23" ht="13.9" customHeight="1">
      <c r="A25" s="30"/>
      <c r="B25" s="31"/>
      <c r="C25" s="38" t="s">
        <v>29</v>
      </c>
      <c r="D25" s="39">
        <f t="shared" ref="D25:N25" si="22">SUM(D24:D24)</f>
        <v>1191500.5300000003</v>
      </c>
      <c r="E25" s="39">
        <f t="shared" si="22"/>
        <v>1262842.5799999998</v>
      </c>
      <c r="F25" s="39">
        <f t="shared" si="22"/>
        <v>1300614</v>
      </c>
      <c r="G25" s="39">
        <f t="shared" si="22"/>
        <v>1369565.9800000002</v>
      </c>
      <c r="H25" s="39">
        <f t="shared" si="22"/>
        <v>1450635</v>
      </c>
      <c r="I25" s="39">
        <f t="shared" si="22"/>
        <v>0</v>
      </c>
      <c r="J25" s="39">
        <f t="shared" si="22"/>
        <v>0</v>
      </c>
      <c r="K25" s="39">
        <f t="shared" si="22"/>
        <v>0</v>
      </c>
      <c r="L25" s="39">
        <f t="shared" si="22"/>
        <v>0</v>
      </c>
      <c r="M25" s="39">
        <f t="shared" si="22"/>
        <v>1450635</v>
      </c>
      <c r="N25" s="39">
        <f t="shared" si="22"/>
        <v>415029.32999999996</v>
      </c>
      <c r="O25" s="40">
        <f>N25/$M25</f>
        <v>0.28610183126699684</v>
      </c>
      <c r="P25" s="39">
        <f>SUM(P24:P24)</f>
        <v>715495.42999999993</v>
      </c>
      <c r="Q25" s="40">
        <f>P25/$M25</f>
        <v>0.49322912379750933</v>
      </c>
      <c r="R25" s="39">
        <f>SUM(R24:R24)</f>
        <v>1068593.19</v>
      </c>
      <c r="S25" s="40">
        <f>R25/$M25</f>
        <v>0.73663822395020107</v>
      </c>
      <c r="T25" s="39">
        <f>SUM(T24:T24)</f>
        <v>1438143.04</v>
      </c>
      <c r="U25" s="40">
        <f>T25/$M25</f>
        <v>0.99138862636018021</v>
      </c>
      <c r="V25" s="39">
        <f>SUM(V24:V24)</f>
        <v>1450635</v>
      </c>
      <c r="W25" s="39">
        <f>SUM(W24:W24)</f>
        <v>1450635</v>
      </c>
    </row>
    <row r="27" spans="1:23" ht="13.9" customHeight="1">
      <c r="A27" s="41" t="s">
        <v>31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  <c r="P27" s="41"/>
      <c r="Q27" s="41"/>
      <c r="R27" s="41"/>
      <c r="S27" s="41"/>
      <c r="T27" s="41"/>
      <c r="U27" s="41"/>
      <c r="V27" s="41"/>
      <c r="W27" s="41"/>
    </row>
    <row r="28" spans="1:23" ht="13.9" customHeight="1">
      <c r="A28" s="21" t="s">
        <v>32</v>
      </c>
      <c r="B28" s="21" t="s">
        <v>33</v>
      </c>
      <c r="C28" s="21" t="s">
        <v>34</v>
      </c>
      <c r="D28" s="21" t="s">
        <v>35</v>
      </c>
      <c r="E28" s="21" t="s">
        <v>2</v>
      </c>
      <c r="F28" s="21" t="s">
        <v>3</v>
      </c>
      <c r="G28" s="21" t="s">
        <v>4</v>
      </c>
      <c r="H28" s="21" t="s">
        <v>5</v>
      </c>
      <c r="I28" s="21" t="s">
        <v>6</v>
      </c>
      <c r="J28" s="21" t="s">
        <v>7</v>
      </c>
      <c r="K28" s="21" t="s">
        <v>8</v>
      </c>
      <c r="L28" s="21" t="s">
        <v>9</v>
      </c>
      <c r="M28" s="21" t="s">
        <v>10</v>
      </c>
      <c r="N28" s="21" t="s">
        <v>11</v>
      </c>
      <c r="O28" s="22" t="s">
        <v>12</v>
      </c>
      <c r="P28" s="21" t="s">
        <v>13</v>
      </c>
      <c r="Q28" s="22" t="s">
        <v>14</v>
      </c>
      <c r="R28" s="21" t="s">
        <v>15</v>
      </c>
      <c r="S28" s="22" t="s">
        <v>16</v>
      </c>
      <c r="T28" s="21" t="s">
        <v>17</v>
      </c>
      <c r="U28" s="22" t="s">
        <v>18</v>
      </c>
      <c r="V28" s="21" t="s">
        <v>19</v>
      </c>
      <c r="W28" s="21" t="s">
        <v>20</v>
      </c>
    </row>
    <row r="29" spans="1:23" ht="13.9" customHeight="1">
      <c r="A29" s="13" t="s">
        <v>36</v>
      </c>
      <c r="B29" s="23">
        <v>111003</v>
      </c>
      <c r="C29" s="23" t="s">
        <v>37</v>
      </c>
      <c r="D29" s="24">
        <v>1093700.52</v>
      </c>
      <c r="E29" s="24">
        <v>1139485.1000000001</v>
      </c>
      <c r="F29" s="24">
        <v>1186306</v>
      </c>
      <c r="G29" s="24">
        <v>1241704.26</v>
      </c>
      <c r="H29" s="24">
        <v>1323320</v>
      </c>
      <c r="I29" s="24"/>
      <c r="J29" s="24"/>
      <c r="K29" s="24"/>
      <c r="L29" s="24"/>
      <c r="M29" s="24">
        <f t="shared" ref="M29:M36" si="23">H29+SUM(I29:L29)</f>
        <v>1323320</v>
      </c>
      <c r="N29" s="24">
        <v>403400.19</v>
      </c>
      <c r="O29" s="25">
        <f t="shared" ref="O29:O37" si="24">N29/$M29</f>
        <v>0.30483948704772845</v>
      </c>
      <c r="P29" s="24">
        <v>691305.19</v>
      </c>
      <c r="Q29" s="25">
        <f t="shared" ref="Q29:Q37" si="25">P29/$M29</f>
        <v>0.52240213251518908</v>
      </c>
      <c r="R29" s="24">
        <v>1008858.19</v>
      </c>
      <c r="S29" s="25">
        <f t="shared" ref="S29:S37" si="26">R29/$M29</f>
        <v>0.76236903394492639</v>
      </c>
      <c r="T29" s="24">
        <v>1317161.19</v>
      </c>
      <c r="U29" s="25">
        <f t="shared" ref="U29:U37" si="27">T29/$M29</f>
        <v>0.99534594051325453</v>
      </c>
      <c r="V29" s="24">
        <f t="shared" ref="V29:V36" si="28">H29</f>
        <v>1323320</v>
      </c>
      <c r="W29" s="24">
        <f t="shared" ref="W29:W36" si="29">V29</f>
        <v>1323320</v>
      </c>
    </row>
    <row r="30" spans="1:23" ht="13.9" customHeight="1">
      <c r="A30" s="13"/>
      <c r="B30" s="23">
        <v>121001</v>
      </c>
      <c r="C30" s="23" t="s">
        <v>38</v>
      </c>
      <c r="D30" s="24">
        <v>13578.36</v>
      </c>
      <c r="E30" s="24">
        <v>23552.34</v>
      </c>
      <c r="F30" s="24">
        <v>18085</v>
      </c>
      <c r="G30" s="24">
        <v>19723.59</v>
      </c>
      <c r="H30" s="24">
        <v>19725</v>
      </c>
      <c r="I30" s="24"/>
      <c r="J30" s="24"/>
      <c r="K30" s="24"/>
      <c r="L30" s="24"/>
      <c r="M30" s="24">
        <f t="shared" si="23"/>
        <v>19725</v>
      </c>
      <c r="N30" s="24">
        <v>1181.79</v>
      </c>
      <c r="O30" s="25">
        <f t="shared" si="24"/>
        <v>5.9913307984790873E-2</v>
      </c>
      <c r="P30" s="24">
        <v>2496.12</v>
      </c>
      <c r="Q30" s="25">
        <f t="shared" si="25"/>
        <v>0.12654600760456272</v>
      </c>
      <c r="R30" s="24">
        <v>4429.88</v>
      </c>
      <c r="S30" s="25">
        <f t="shared" si="26"/>
        <v>0.22458200253485425</v>
      </c>
      <c r="T30" s="24">
        <v>13255.73</v>
      </c>
      <c r="U30" s="25">
        <f t="shared" si="27"/>
        <v>0.67202686945500634</v>
      </c>
      <c r="V30" s="24">
        <f t="shared" si="28"/>
        <v>19725</v>
      </c>
      <c r="W30" s="24">
        <f t="shared" si="29"/>
        <v>19725</v>
      </c>
    </row>
    <row r="31" spans="1:23" ht="13.9" customHeight="1">
      <c r="A31" s="13"/>
      <c r="B31" s="23">
        <v>121002</v>
      </c>
      <c r="C31" s="23" t="s">
        <v>39</v>
      </c>
      <c r="D31" s="24">
        <v>21816.37</v>
      </c>
      <c r="E31" s="24">
        <v>22607.49</v>
      </c>
      <c r="F31" s="24">
        <v>21430</v>
      </c>
      <c r="G31" s="24">
        <v>23788.01</v>
      </c>
      <c r="H31" s="24">
        <v>23790</v>
      </c>
      <c r="I31" s="24"/>
      <c r="J31" s="24"/>
      <c r="K31" s="24"/>
      <c r="L31" s="24"/>
      <c r="M31" s="24">
        <f t="shared" si="23"/>
        <v>23790</v>
      </c>
      <c r="N31" s="24">
        <v>3371.01</v>
      </c>
      <c r="O31" s="25">
        <f t="shared" si="24"/>
        <v>0.14169861286254729</v>
      </c>
      <c r="P31" s="24">
        <v>5837.79</v>
      </c>
      <c r="Q31" s="25">
        <f t="shared" si="25"/>
        <v>0.24538839848675914</v>
      </c>
      <c r="R31" s="24">
        <v>12361.56</v>
      </c>
      <c r="S31" s="25">
        <f t="shared" si="26"/>
        <v>0.51961160151324082</v>
      </c>
      <c r="T31" s="24">
        <v>23618.99</v>
      </c>
      <c r="U31" s="25">
        <f t="shared" si="27"/>
        <v>0.99281168558217747</v>
      </c>
      <c r="V31" s="24">
        <f t="shared" si="28"/>
        <v>23790</v>
      </c>
      <c r="W31" s="24">
        <f t="shared" si="29"/>
        <v>23790</v>
      </c>
    </row>
    <row r="32" spans="1:23" ht="13.9" customHeight="1">
      <c r="A32" s="13"/>
      <c r="B32" s="23">
        <v>121003</v>
      </c>
      <c r="C32" s="23" t="s">
        <v>40</v>
      </c>
      <c r="D32" s="24">
        <v>100.18</v>
      </c>
      <c r="E32" s="24">
        <v>95.03</v>
      </c>
      <c r="F32" s="24">
        <v>100</v>
      </c>
      <c r="G32" s="24">
        <v>111.54</v>
      </c>
      <c r="H32" s="24">
        <v>110</v>
      </c>
      <c r="I32" s="24"/>
      <c r="J32" s="24"/>
      <c r="K32" s="24"/>
      <c r="L32" s="24"/>
      <c r="M32" s="24">
        <f t="shared" si="23"/>
        <v>110</v>
      </c>
      <c r="N32" s="24">
        <v>0</v>
      </c>
      <c r="O32" s="25">
        <f t="shared" si="24"/>
        <v>0</v>
      </c>
      <c r="P32" s="24">
        <v>2.9</v>
      </c>
      <c r="Q32" s="25">
        <f t="shared" si="25"/>
        <v>2.6363636363636363E-2</v>
      </c>
      <c r="R32" s="24">
        <v>49.81</v>
      </c>
      <c r="S32" s="25">
        <f t="shared" si="26"/>
        <v>0.45281818181818184</v>
      </c>
      <c r="T32" s="24">
        <v>94.87</v>
      </c>
      <c r="U32" s="25">
        <f t="shared" si="27"/>
        <v>0.86245454545454547</v>
      </c>
      <c r="V32" s="24">
        <f t="shared" si="28"/>
        <v>110</v>
      </c>
      <c r="W32" s="24">
        <f t="shared" si="29"/>
        <v>110</v>
      </c>
    </row>
    <row r="33" spans="1:64" ht="13.9" customHeight="1">
      <c r="A33" s="13"/>
      <c r="B33" s="23">
        <v>133001</v>
      </c>
      <c r="C33" s="23" t="s">
        <v>41</v>
      </c>
      <c r="D33" s="24">
        <v>2324.5</v>
      </c>
      <c r="E33" s="24">
        <v>2400.1799999999998</v>
      </c>
      <c r="F33" s="24">
        <v>2414</v>
      </c>
      <c r="G33" s="24">
        <v>2578.1</v>
      </c>
      <c r="H33" s="24">
        <v>2580</v>
      </c>
      <c r="I33" s="24"/>
      <c r="J33" s="24"/>
      <c r="K33" s="24"/>
      <c r="L33" s="24"/>
      <c r="M33" s="24">
        <f t="shared" si="23"/>
        <v>2580</v>
      </c>
      <c r="N33" s="24">
        <v>192.5</v>
      </c>
      <c r="O33" s="25">
        <f t="shared" si="24"/>
        <v>7.4612403100775188E-2</v>
      </c>
      <c r="P33" s="24">
        <v>398.5</v>
      </c>
      <c r="Q33" s="25">
        <f t="shared" si="25"/>
        <v>0.15445736434108528</v>
      </c>
      <c r="R33" s="24">
        <v>1187</v>
      </c>
      <c r="S33" s="25">
        <f t="shared" si="26"/>
        <v>0.46007751937984498</v>
      </c>
      <c r="T33" s="24">
        <v>2289</v>
      </c>
      <c r="U33" s="25">
        <f t="shared" si="27"/>
        <v>0.88720930232558137</v>
      </c>
      <c r="V33" s="24">
        <f t="shared" si="28"/>
        <v>2580</v>
      </c>
      <c r="W33" s="24">
        <f t="shared" si="29"/>
        <v>2580</v>
      </c>
    </row>
    <row r="34" spans="1:64" ht="13.9" customHeight="1">
      <c r="A34" s="13"/>
      <c r="B34" s="23">
        <v>133006</v>
      </c>
      <c r="C34" s="23" t="s">
        <v>42</v>
      </c>
      <c r="D34" s="24">
        <v>305.10000000000002</v>
      </c>
      <c r="E34" s="24">
        <v>233.4</v>
      </c>
      <c r="F34" s="24">
        <v>233</v>
      </c>
      <c r="G34" s="24">
        <v>1169.0999999999999</v>
      </c>
      <c r="H34" s="24">
        <v>635</v>
      </c>
      <c r="I34" s="24"/>
      <c r="J34" s="24"/>
      <c r="K34" s="24"/>
      <c r="L34" s="24"/>
      <c r="M34" s="24">
        <f t="shared" si="23"/>
        <v>635</v>
      </c>
      <c r="N34" s="24">
        <v>77.099999999999994</v>
      </c>
      <c r="O34" s="25">
        <f t="shared" si="24"/>
        <v>0.12141732283464567</v>
      </c>
      <c r="P34" s="24">
        <v>84.6</v>
      </c>
      <c r="Q34" s="25">
        <f t="shared" si="25"/>
        <v>0.1332283464566929</v>
      </c>
      <c r="R34" s="24">
        <v>143.69999999999999</v>
      </c>
      <c r="S34" s="25">
        <f t="shared" si="26"/>
        <v>0.22629921259842517</v>
      </c>
      <c r="T34" s="24">
        <v>426.9</v>
      </c>
      <c r="U34" s="25">
        <f t="shared" si="27"/>
        <v>0.67228346456692911</v>
      </c>
      <c r="V34" s="24">
        <f t="shared" si="28"/>
        <v>635</v>
      </c>
      <c r="W34" s="24">
        <f t="shared" si="29"/>
        <v>635</v>
      </c>
    </row>
    <row r="35" spans="1:64" ht="13.9" customHeight="1">
      <c r="A35" s="13"/>
      <c r="B35" s="23">
        <v>133012</v>
      </c>
      <c r="C35" s="23" t="s">
        <v>43</v>
      </c>
      <c r="D35" s="24">
        <v>852.1</v>
      </c>
      <c r="E35" s="24">
        <v>1217.4000000000001</v>
      </c>
      <c r="F35" s="24">
        <v>1269</v>
      </c>
      <c r="G35" s="24">
        <v>2243.4299999999998</v>
      </c>
      <c r="H35" s="24">
        <v>2225</v>
      </c>
      <c r="I35" s="24"/>
      <c r="J35" s="24"/>
      <c r="K35" s="24"/>
      <c r="L35" s="24"/>
      <c r="M35" s="24">
        <f t="shared" si="23"/>
        <v>2225</v>
      </c>
      <c r="N35" s="24">
        <v>581</v>
      </c>
      <c r="O35" s="25">
        <f t="shared" si="24"/>
        <v>0.26112359550561798</v>
      </c>
      <c r="P35" s="24">
        <v>1978.5</v>
      </c>
      <c r="Q35" s="25">
        <f t="shared" si="25"/>
        <v>0.88921348314606741</v>
      </c>
      <c r="R35" s="24">
        <v>2457.14</v>
      </c>
      <c r="S35" s="25">
        <f t="shared" si="26"/>
        <v>1.104332584269663</v>
      </c>
      <c r="T35" s="24">
        <v>2839.24</v>
      </c>
      <c r="U35" s="25">
        <f t="shared" si="27"/>
        <v>1.2760629213483146</v>
      </c>
      <c r="V35" s="24">
        <f t="shared" si="28"/>
        <v>2225</v>
      </c>
      <c r="W35" s="24">
        <f t="shared" si="29"/>
        <v>2225</v>
      </c>
    </row>
    <row r="36" spans="1:64" ht="13.9" customHeight="1">
      <c r="A36" s="13"/>
      <c r="B36" s="23">
        <v>133013</v>
      </c>
      <c r="C36" s="23" t="s">
        <v>44</v>
      </c>
      <c r="D36" s="24">
        <v>58823.4</v>
      </c>
      <c r="E36" s="24">
        <v>73251.64</v>
      </c>
      <c r="F36" s="24">
        <v>70777</v>
      </c>
      <c r="G36" s="24">
        <v>78247.95</v>
      </c>
      <c r="H36" s="24">
        <v>78250</v>
      </c>
      <c r="I36" s="24"/>
      <c r="J36" s="24"/>
      <c r="K36" s="24"/>
      <c r="L36" s="24"/>
      <c r="M36" s="24">
        <f t="shared" si="23"/>
        <v>78250</v>
      </c>
      <c r="N36" s="24">
        <v>6225.74</v>
      </c>
      <c r="O36" s="25">
        <f t="shared" si="24"/>
        <v>7.9562172523961652E-2</v>
      </c>
      <c r="P36" s="24">
        <v>13391.83</v>
      </c>
      <c r="Q36" s="25">
        <f t="shared" si="25"/>
        <v>0.17114159744408947</v>
      </c>
      <c r="R36" s="24">
        <v>39105.910000000003</v>
      </c>
      <c r="S36" s="25">
        <f t="shared" si="26"/>
        <v>0.49975603833865817</v>
      </c>
      <c r="T36" s="24">
        <v>78457.119999999995</v>
      </c>
      <c r="U36" s="25">
        <f t="shared" si="27"/>
        <v>1.0026469009584664</v>
      </c>
      <c r="V36" s="24">
        <f t="shared" si="28"/>
        <v>78250</v>
      </c>
      <c r="W36" s="24">
        <f t="shared" si="29"/>
        <v>78250</v>
      </c>
    </row>
    <row r="37" spans="1:64" ht="13.9" customHeight="1">
      <c r="A37" s="26" t="s">
        <v>21</v>
      </c>
      <c r="B37" s="26">
        <v>41</v>
      </c>
      <c r="C37" s="26" t="s">
        <v>23</v>
      </c>
      <c r="D37" s="27">
        <f t="shared" ref="D37:N37" si="30">SUM(D29:D36)</f>
        <v>1191500.5300000003</v>
      </c>
      <c r="E37" s="27">
        <f t="shared" si="30"/>
        <v>1262842.5799999998</v>
      </c>
      <c r="F37" s="27">
        <f t="shared" si="30"/>
        <v>1300614</v>
      </c>
      <c r="G37" s="27">
        <f t="shared" si="30"/>
        <v>1369565.9800000002</v>
      </c>
      <c r="H37" s="27">
        <f t="shared" si="30"/>
        <v>1450635</v>
      </c>
      <c r="I37" s="27">
        <f t="shared" si="30"/>
        <v>0</v>
      </c>
      <c r="J37" s="27">
        <f t="shared" si="30"/>
        <v>0</v>
      </c>
      <c r="K37" s="27">
        <f t="shared" si="30"/>
        <v>0</v>
      </c>
      <c r="L37" s="27">
        <f t="shared" si="30"/>
        <v>0</v>
      </c>
      <c r="M37" s="27">
        <f t="shared" si="30"/>
        <v>1450635</v>
      </c>
      <c r="N37" s="27">
        <f t="shared" si="30"/>
        <v>415029.32999999996</v>
      </c>
      <c r="O37" s="28">
        <f t="shared" si="24"/>
        <v>0.28610183126699684</v>
      </c>
      <c r="P37" s="27">
        <f>SUM(P29:P36)</f>
        <v>715495.42999999993</v>
      </c>
      <c r="Q37" s="28">
        <f t="shared" si="25"/>
        <v>0.49322912379750933</v>
      </c>
      <c r="R37" s="27">
        <f>SUM(R29:R36)</f>
        <v>1068593.19</v>
      </c>
      <c r="S37" s="28">
        <f t="shared" si="26"/>
        <v>0.73663822395020107</v>
      </c>
      <c r="T37" s="27">
        <f>SUM(T29:T36)</f>
        <v>1438143.04</v>
      </c>
      <c r="U37" s="28">
        <f t="shared" si="27"/>
        <v>0.99138862636018021</v>
      </c>
      <c r="V37" s="27">
        <f>SUM(V29:V36)</f>
        <v>1450635</v>
      </c>
      <c r="W37" s="27">
        <f>SUM(W29:W36)</f>
        <v>1450635</v>
      </c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9" spans="1:64" ht="13.9" customHeight="1">
      <c r="A39" s="32" t="s">
        <v>45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/>
      <c r="P39" s="32"/>
      <c r="Q39" s="32"/>
      <c r="R39" s="32"/>
      <c r="S39" s="32"/>
      <c r="T39" s="32"/>
      <c r="U39" s="32"/>
      <c r="V39" s="32"/>
      <c r="W39" s="32"/>
    </row>
    <row r="40" spans="1:64" ht="13.9" customHeight="1">
      <c r="A40" s="20"/>
      <c r="B40" s="20"/>
      <c r="C40" s="20"/>
      <c r="D40" s="21" t="s">
        <v>1</v>
      </c>
      <c r="E40" s="21" t="s">
        <v>2</v>
      </c>
      <c r="F40" s="21" t="s">
        <v>3</v>
      </c>
      <c r="G40" s="21" t="s">
        <v>4</v>
      </c>
      <c r="H40" s="21" t="s">
        <v>5</v>
      </c>
      <c r="I40" s="21" t="s">
        <v>6</v>
      </c>
      <c r="J40" s="21" t="s">
        <v>7</v>
      </c>
      <c r="K40" s="21" t="s">
        <v>8</v>
      </c>
      <c r="L40" s="21" t="s">
        <v>9</v>
      </c>
      <c r="M40" s="21" t="s">
        <v>10</v>
      </c>
      <c r="N40" s="21" t="s">
        <v>11</v>
      </c>
      <c r="O40" s="22" t="s">
        <v>12</v>
      </c>
      <c r="P40" s="21" t="s">
        <v>13</v>
      </c>
      <c r="Q40" s="22" t="s">
        <v>14</v>
      </c>
      <c r="R40" s="21" t="s">
        <v>15</v>
      </c>
      <c r="S40" s="22" t="s">
        <v>16</v>
      </c>
      <c r="T40" s="21" t="s">
        <v>17</v>
      </c>
      <c r="U40" s="22" t="s">
        <v>18</v>
      </c>
      <c r="V40" s="21" t="s">
        <v>19</v>
      </c>
      <c r="W40" s="21" t="s">
        <v>20</v>
      </c>
    </row>
    <row r="41" spans="1:64" ht="13.9" customHeight="1">
      <c r="A41" s="12" t="s">
        <v>21</v>
      </c>
      <c r="B41" s="35">
        <v>111</v>
      </c>
      <c r="C41" s="35" t="s">
        <v>46</v>
      </c>
      <c r="D41" s="36">
        <f t="shared" ref="D41:N41" si="31">D49</f>
        <v>687.56</v>
      </c>
      <c r="E41" s="36">
        <f t="shared" si="31"/>
        <v>5302.35</v>
      </c>
      <c r="F41" s="36">
        <f t="shared" si="31"/>
        <v>0</v>
      </c>
      <c r="G41" s="36">
        <f t="shared" si="31"/>
        <v>236.74</v>
      </c>
      <c r="H41" s="36">
        <f t="shared" si="31"/>
        <v>30</v>
      </c>
      <c r="I41" s="36">
        <f t="shared" si="31"/>
        <v>0</v>
      </c>
      <c r="J41" s="36">
        <f t="shared" si="31"/>
        <v>0</v>
      </c>
      <c r="K41" s="36">
        <f t="shared" si="31"/>
        <v>0</v>
      </c>
      <c r="L41" s="36">
        <f t="shared" si="31"/>
        <v>0</v>
      </c>
      <c r="M41" s="36">
        <f t="shared" si="31"/>
        <v>30</v>
      </c>
      <c r="N41" s="36">
        <f t="shared" si="31"/>
        <v>29.25</v>
      </c>
      <c r="O41" s="37">
        <f>N41/$M41</f>
        <v>0.97499999999999998</v>
      </c>
      <c r="P41" s="36">
        <f>P49</f>
        <v>29.25</v>
      </c>
      <c r="Q41" s="37">
        <f>P41/$M41</f>
        <v>0.97499999999999998</v>
      </c>
      <c r="R41" s="36">
        <f>R49</f>
        <v>29.25</v>
      </c>
      <c r="S41" s="37">
        <f>R41/$M41</f>
        <v>0.97499999999999998</v>
      </c>
      <c r="T41" s="36">
        <f>T49</f>
        <v>29.25</v>
      </c>
      <c r="U41" s="37">
        <f>T41/$M41</f>
        <v>0.97499999999999998</v>
      </c>
      <c r="V41" s="36">
        <f>V49</f>
        <v>30</v>
      </c>
      <c r="W41" s="36">
        <f>W49</f>
        <v>30</v>
      </c>
    </row>
    <row r="42" spans="1:64" ht="13.9" customHeight="1">
      <c r="A42" s="12" t="s">
        <v>21</v>
      </c>
      <c r="B42" s="35">
        <v>41</v>
      </c>
      <c r="C42" s="35" t="s">
        <v>23</v>
      </c>
      <c r="D42" s="36">
        <f t="shared" ref="D42:N42" si="32">D55</f>
        <v>112862.17000000001</v>
      </c>
      <c r="E42" s="36">
        <f t="shared" si="32"/>
        <v>98911.45</v>
      </c>
      <c r="F42" s="36">
        <f t="shared" si="32"/>
        <v>88454</v>
      </c>
      <c r="G42" s="36">
        <f t="shared" si="32"/>
        <v>101771.75</v>
      </c>
      <c r="H42" s="36">
        <f t="shared" si="32"/>
        <v>129237</v>
      </c>
      <c r="I42" s="36">
        <f t="shared" si="32"/>
        <v>650</v>
      </c>
      <c r="J42" s="36">
        <f t="shared" si="32"/>
        <v>0</v>
      </c>
      <c r="K42" s="36">
        <f t="shared" si="32"/>
        <v>4369</v>
      </c>
      <c r="L42" s="36">
        <f t="shared" si="32"/>
        <v>-14500</v>
      </c>
      <c r="M42" s="36">
        <f t="shared" si="32"/>
        <v>119756</v>
      </c>
      <c r="N42" s="36">
        <f t="shared" si="32"/>
        <v>28073.72</v>
      </c>
      <c r="O42" s="37">
        <f>N42/$M42</f>
        <v>0.23442432946992217</v>
      </c>
      <c r="P42" s="36">
        <f>P55</f>
        <v>45986.92</v>
      </c>
      <c r="Q42" s="37">
        <f>P42/$M42</f>
        <v>0.38400514379237782</v>
      </c>
      <c r="R42" s="36">
        <f>R55</f>
        <v>85737.56</v>
      </c>
      <c r="S42" s="37">
        <f>R42/$M42</f>
        <v>0.71593540198403416</v>
      </c>
      <c r="T42" s="36">
        <f>T55</f>
        <v>119589.51000000001</v>
      </c>
      <c r="U42" s="37">
        <f>T42/$M42</f>
        <v>0.99860975650489336</v>
      </c>
      <c r="V42" s="36">
        <f>V55</f>
        <v>102237</v>
      </c>
      <c r="W42" s="36">
        <f>W55</f>
        <v>102237</v>
      </c>
    </row>
    <row r="43" spans="1:64" ht="13.9" customHeight="1">
      <c r="A43" s="12"/>
      <c r="B43" s="35">
        <v>72</v>
      </c>
      <c r="C43" s="35" t="s">
        <v>25</v>
      </c>
      <c r="D43" s="36">
        <f t="shared" ref="D43:N43" si="33">D58</f>
        <v>38665.82</v>
      </c>
      <c r="E43" s="36">
        <f t="shared" si="33"/>
        <v>50354.5</v>
      </c>
      <c r="F43" s="36">
        <f t="shared" si="33"/>
        <v>102140</v>
      </c>
      <c r="G43" s="36">
        <f t="shared" si="33"/>
        <v>78785.180000000008</v>
      </c>
      <c r="H43" s="36">
        <f t="shared" si="33"/>
        <v>117650</v>
      </c>
      <c r="I43" s="36">
        <f t="shared" si="33"/>
        <v>500</v>
      </c>
      <c r="J43" s="36">
        <f t="shared" si="33"/>
        <v>1406</v>
      </c>
      <c r="K43" s="36">
        <f t="shared" si="33"/>
        <v>1755</v>
      </c>
      <c r="L43" s="36">
        <f t="shared" si="33"/>
        <v>1550</v>
      </c>
      <c r="M43" s="36">
        <f t="shared" si="33"/>
        <v>122861</v>
      </c>
      <c r="N43" s="36">
        <f t="shared" si="33"/>
        <v>28030.66</v>
      </c>
      <c r="O43" s="37">
        <f>N43/$M43</f>
        <v>0.22814937205459829</v>
      </c>
      <c r="P43" s="36">
        <f>P58</f>
        <v>54279.43</v>
      </c>
      <c r="Q43" s="37">
        <f>P43/$M43</f>
        <v>0.44179544363142087</v>
      </c>
      <c r="R43" s="36">
        <f>R58</f>
        <v>74307.489999999991</v>
      </c>
      <c r="S43" s="37">
        <f>R43/$M43</f>
        <v>0.60480941877406169</v>
      </c>
      <c r="T43" s="36">
        <f>T58</f>
        <v>100447.70999999999</v>
      </c>
      <c r="U43" s="37">
        <f>T43/$M43</f>
        <v>0.8175719715776365</v>
      </c>
      <c r="V43" s="36">
        <f>V58</f>
        <v>117650</v>
      </c>
      <c r="W43" s="36">
        <f>W58</f>
        <v>117650</v>
      </c>
    </row>
    <row r="44" spans="1:64" ht="13.9" customHeight="1">
      <c r="A44" s="30"/>
      <c r="B44" s="31"/>
      <c r="C44" s="38" t="s">
        <v>29</v>
      </c>
      <c r="D44" s="39">
        <f t="shared" ref="D44:N44" si="34">SUM(D42:D43)</f>
        <v>151527.99000000002</v>
      </c>
      <c r="E44" s="39">
        <f t="shared" si="34"/>
        <v>149265.95000000001</v>
      </c>
      <c r="F44" s="39">
        <f t="shared" si="34"/>
        <v>190594</v>
      </c>
      <c r="G44" s="39">
        <f t="shared" si="34"/>
        <v>180556.93</v>
      </c>
      <c r="H44" s="39">
        <f t="shared" si="34"/>
        <v>246887</v>
      </c>
      <c r="I44" s="39">
        <f t="shared" si="34"/>
        <v>1150</v>
      </c>
      <c r="J44" s="39">
        <f t="shared" si="34"/>
        <v>1406</v>
      </c>
      <c r="K44" s="39">
        <f t="shared" si="34"/>
        <v>6124</v>
      </c>
      <c r="L44" s="39">
        <f t="shared" si="34"/>
        <v>-12950</v>
      </c>
      <c r="M44" s="39">
        <f t="shared" si="34"/>
        <v>242617</v>
      </c>
      <c r="N44" s="39">
        <f t="shared" si="34"/>
        <v>56104.380000000005</v>
      </c>
      <c r="O44" s="40">
        <f>N44/$M44</f>
        <v>0.23124669746967444</v>
      </c>
      <c r="P44" s="39">
        <f>SUM(P42:P43)</f>
        <v>100266.35</v>
      </c>
      <c r="Q44" s="40">
        <f>P44/$M44</f>
        <v>0.4132700923678061</v>
      </c>
      <c r="R44" s="39">
        <f>SUM(R42:R43)</f>
        <v>160045.04999999999</v>
      </c>
      <c r="S44" s="40">
        <f>R44/$M44</f>
        <v>0.6596613180444898</v>
      </c>
      <c r="T44" s="39">
        <f>SUM(T42:T43)</f>
        <v>220037.22</v>
      </c>
      <c r="U44" s="40">
        <f>T44/$M44</f>
        <v>0.90693240786919305</v>
      </c>
      <c r="V44" s="39">
        <f>SUM(V42:V43)</f>
        <v>219887</v>
      </c>
      <c r="W44" s="39">
        <f>SUM(W42:W43)</f>
        <v>219887</v>
      </c>
    </row>
    <row r="46" spans="1:64" ht="13.9" customHeight="1">
      <c r="A46" s="41" t="s">
        <v>47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2"/>
      <c r="P46" s="41"/>
      <c r="Q46" s="41"/>
      <c r="R46" s="41"/>
      <c r="S46" s="41"/>
      <c r="T46" s="41"/>
      <c r="U46" s="41"/>
      <c r="V46" s="41"/>
      <c r="W46" s="41"/>
    </row>
    <row r="47" spans="1:64" ht="13.9" customHeight="1">
      <c r="A47" s="21" t="s">
        <v>32</v>
      </c>
      <c r="B47" s="21" t="s">
        <v>33</v>
      </c>
      <c r="C47" s="21" t="s">
        <v>34</v>
      </c>
      <c r="D47" s="21" t="s">
        <v>1</v>
      </c>
      <c r="E47" s="21" t="s">
        <v>2</v>
      </c>
      <c r="F47" s="21" t="s">
        <v>3</v>
      </c>
      <c r="G47" s="21" t="s">
        <v>4</v>
      </c>
      <c r="H47" s="21" t="s">
        <v>5</v>
      </c>
      <c r="I47" s="21" t="s">
        <v>6</v>
      </c>
      <c r="J47" s="21" t="s">
        <v>7</v>
      </c>
      <c r="K47" s="21" t="s">
        <v>8</v>
      </c>
      <c r="L47" s="21" t="s">
        <v>9</v>
      </c>
      <c r="M47" s="21" t="s">
        <v>10</v>
      </c>
      <c r="N47" s="21" t="s">
        <v>11</v>
      </c>
      <c r="O47" s="22" t="s">
        <v>12</v>
      </c>
      <c r="P47" s="21" t="s">
        <v>13</v>
      </c>
      <c r="Q47" s="22" t="s">
        <v>14</v>
      </c>
      <c r="R47" s="21" t="s">
        <v>15</v>
      </c>
      <c r="S47" s="22" t="s">
        <v>16</v>
      </c>
      <c r="T47" s="21" t="s">
        <v>17</v>
      </c>
      <c r="U47" s="22" t="s">
        <v>18</v>
      </c>
      <c r="V47" s="21" t="s">
        <v>19</v>
      </c>
      <c r="W47" s="21" t="s">
        <v>20</v>
      </c>
    </row>
    <row r="48" spans="1:64" ht="13.9" customHeight="1">
      <c r="A48" s="45" t="s">
        <v>48</v>
      </c>
      <c r="B48" s="23" t="s">
        <v>49</v>
      </c>
      <c r="C48" s="23" t="s">
        <v>50</v>
      </c>
      <c r="D48" s="46">
        <v>687.56</v>
      </c>
      <c r="E48" s="46">
        <v>5302.35</v>
      </c>
      <c r="F48" s="46">
        <v>0</v>
      </c>
      <c r="G48" s="46">
        <v>236.74</v>
      </c>
      <c r="H48" s="46">
        <v>30</v>
      </c>
      <c r="I48" s="46"/>
      <c r="J48" s="46"/>
      <c r="K48" s="46"/>
      <c r="L48" s="46"/>
      <c r="M48" s="46">
        <f>H48+SUM(I48:L48)</f>
        <v>30</v>
      </c>
      <c r="N48" s="46">
        <v>29.25</v>
      </c>
      <c r="O48" s="47">
        <f t="shared" ref="O48:O58" si="35">N48/$M48</f>
        <v>0.97499999999999998</v>
      </c>
      <c r="P48" s="46">
        <v>29.25</v>
      </c>
      <c r="Q48" s="47">
        <f t="shared" ref="Q48:Q58" si="36">P48/$M48</f>
        <v>0.97499999999999998</v>
      </c>
      <c r="R48" s="46">
        <v>29.25</v>
      </c>
      <c r="S48" s="47">
        <f t="shared" ref="S48:S58" si="37">R48/$M48</f>
        <v>0.97499999999999998</v>
      </c>
      <c r="T48" s="46">
        <v>29.25</v>
      </c>
      <c r="U48" s="47">
        <f t="shared" ref="U48:U58" si="38">T48/$M48</f>
        <v>0.97499999999999998</v>
      </c>
      <c r="V48" s="24">
        <f>H48</f>
        <v>30</v>
      </c>
      <c r="W48" s="24">
        <f>V48</f>
        <v>30</v>
      </c>
    </row>
    <row r="49" spans="1:23" ht="13.9" customHeight="1">
      <c r="A49" s="48" t="s">
        <v>21</v>
      </c>
      <c r="B49" s="48">
        <v>111</v>
      </c>
      <c r="C49" s="48" t="s">
        <v>46</v>
      </c>
      <c r="D49" s="49">
        <f>SUM(D48:D48)</f>
        <v>687.56</v>
      </c>
      <c r="E49" s="49">
        <f>SUM(E47:E48)</f>
        <v>5302.35</v>
      </c>
      <c r="F49" s="49">
        <f t="shared" ref="F49:N49" si="39">SUM(F48:F48)</f>
        <v>0</v>
      </c>
      <c r="G49" s="49">
        <f t="shared" si="39"/>
        <v>236.74</v>
      </c>
      <c r="H49" s="49">
        <f t="shared" si="39"/>
        <v>30</v>
      </c>
      <c r="I49" s="49">
        <f t="shared" si="39"/>
        <v>0</v>
      </c>
      <c r="J49" s="49">
        <f t="shared" si="39"/>
        <v>0</v>
      </c>
      <c r="K49" s="49">
        <f t="shared" si="39"/>
        <v>0</v>
      </c>
      <c r="L49" s="49">
        <f t="shared" si="39"/>
        <v>0</v>
      </c>
      <c r="M49" s="49">
        <f t="shared" si="39"/>
        <v>30</v>
      </c>
      <c r="N49" s="49">
        <f t="shared" si="39"/>
        <v>29.25</v>
      </c>
      <c r="O49" s="50">
        <f t="shared" si="35"/>
        <v>0.97499999999999998</v>
      </c>
      <c r="P49" s="49">
        <f>SUM(P48:P48)</f>
        <v>29.25</v>
      </c>
      <c r="Q49" s="50">
        <f t="shared" si="36"/>
        <v>0.97499999999999998</v>
      </c>
      <c r="R49" s="49">
        <f>SUM(R48:R48)</f>
        <v>29.25</v>
      </c>
      <c r="S49" s="50">
        <f t="shared" si="37"/>
        <v>0.97499999999999998</v>
      </c>
      <c r="T49" s="49">
        <f>SUM(T48:T48)</f>
        <v>29.25</v>
      </c>
      <c r="U49" s="50">
        <f t="shared" si="38"/>
        <v>0.97499999999999998</v>
      </c>
      <c r="V49" s="49">
        <f>SUM(V48:V48)</f>
        <v>30</v>
      </c>
      <c r="W49" s="49">
        <f>SUM(W48:W48)</f>
        <v>30</v>
      </c>
    </row>
    <row r="50" spans="1:23" ht="13.9" customHeight="1">
      <c r="A50" s="11" t="s">
        <v>48</v>
      </c>
      <c r="B50" s="23">
        <v>210</v>
      </c>
      <c r="C50" s="23" t="s">
        <v>51</v>
      </c>
      <c r="D50" s="24">
        <v>1674.8</v>
      </c>
      <c r="E50" s="24">
        <v>2414.84</v>
      </c>
      <c r="F50" s="24">
        <v>2025</v>
      </c>
      <c r="G50" s="24">
        <v>3008.78</v>
      </c>
      <c r="H50" s="24">
        <v>3035</v>
      </c>
      <c r="I50" s="24"/>
      <c r="J50" s="24"/>
      <c r="K50" s="24"/>
      <c r="L50" s="24"/>
      <c r="M50" s="24">
        <f>H50+SUM(I50:L50)</f>
        <v>3035</v>
      </c>
      <c r="N50" s="24">
        <v>947.77</v>
      </c>
      <c r="O50" s="25">
        <f t="shared" si="35"/>
        <v>0.31228006589785834</v>
      </c>
      <c r="P50" s="24">
        <v>1215.24</v>
      </c>
      <c r="Q50" s="25">
        <f t="shared" si="36"/>
        <v>0.40040856672158154</v>
      </c>
      <c r="R50" s="24">
        <v>2457.48</v>
      </c>
      <c r="S50" s="25">
        <f t="shared" si="37"/>
        <v>0.8097133443163097</v>
      </c>
      <c r="T50" s="24">
        <v>5797.62</v>
      </c>
      <c r="U50" s="25">
        <f t="shared" si="38"/>
        <v>1.9102537067545304</v>
      </c>
      <c r="V50" s="24">
        <f>H50</f>
        <v>3035</v>
      </c>
      <c r="W50" s="24">
        <f>V50</f>
        <v>3035</v>
      </c>
    </row>
    <row r="51" spans="1:23" ht="13.9" customHeight="1">
      <c r="A51" s="11"/>
      <c r="B51" s="23">
        <v>220</v>
      </c>
      <c r="C51" s="23" t="s">
        <v>52</v>
      </c>
      <c r="D51" s="24">
        <v>96167.28</v>
      </c>
      <c r="E51" s="24">
        <v>64485.95</v>
      </c>
      <c r="F51" s="24">
        <v>80765</v>
      </c>
      <c r="G51" s="24">
        <v>76775.839999999997</v>
      </c>
      <c r="H51" s="24">
        <v>97640</v>
      </c>
      <c r="I51" s="24">
        <v>361</v>
      </c>
      <c r="J51" s="24"/>
      <c r="K51" s="24">
        <v>2069</v>
      </c>
      <c r="L51" s="24">
        <v>-14500</v>
      </c>
      <c r="M51" s="24">
        <f>H51+SUM(I51:L51)</f>
        <v>85570</v>
      </c>
      <c r="N51" s="24">
        <v>16900.13</v>
      </c>
      <c r="O51" s="25">
        <f t="shared" si="35"/>
        <v>0.19750064274862686</v>
      </c>
      <c r="P51" s="24">
        <v>32965.71</v>
      </c>
      <c r="Q51" s="25">
        <f t="shared" si="36"/>
        <v>0.38524845156012621</v>
      </c>
      <c r="R51" s="24">
        <v>49764.14</v>
      </c>
      <c r="S51" s="25">
        <f t="shared" si="37"/>
        <v>0.58156059366600443</v>
      </c>
      <c r="T51" s="24">
        <v>75387.42</v>
      </c>
      <c r="U51" s="25">
        <f t="shared" si="38"/>
        <v>0.88100292158466753</v>
      </c>
      <c r="V51" s="24">
        <v>82640</v>
      </c>
      <c r="W51" s="24">
        <f>V51</f>
        <v>82640</v>
      </c>
    </row>
    <row r="52" spans="1:23" ht="13.9" customHeight="1">
      <c r="A52" s="11"/>
      <c r="B52" s="23">
        <v>230</v>
      </c>
      <c r="C52" s="23" t="s">
        <v>53</v>
      </c>
      <c r="D52" s="24">
        <v>0</v>
      </c>
      <c r="E52" s="24">
        <v>87.5</v>
      </c>
      <c r="F52" s="24">
        <v>0</v>
      </c>
      <c r="G52" s="24">
        <v>6650</v>
      </c>
      <c r="H52" s="24">
        <v>0</v>
      </c>
      <c r="I52" s="24"/>
      <c r="J52" s="24"/>
      <c r="K52" s="24"/>
      <c r="L52" s="24"/>
      <c r="M52" s="24">
        <f>H52+SUM(I52:L52)</f>
        <v>0</v>
      </c>
      <c r="N52" s="24">
        <v>0</v>
      </c>
      <c r="O52" s="25" t="e">
        <f t="shared" si="35"/>
        <v>#DIV/0!</v>
      </c>
      <c r="P52" s="24">
        <v>0</v>
      </c>
      <c r="Q52" s="25" t="e">
        <f t="shared" si="36"/>
        <v>#DIV/0!</v>
      </c>
      <c r="R52" s="24">
        <v>3650</v>
      </c>
      <c r="S52" s="25" t="e">
        <f t="shared" si="37"/>
        <v>#DIV/0!</v>
      </c>
      <c r="T52" s="24">
        <v>3650</v>
      </c>
      <c r="U52" s="25" t="e">
        <f t="shared" si="38"/>
        <v>#DIV/0!</v>
      </c>
      <c r="V52" s="24">
        <f>H52</f>
        <v>0</v>
      </c>
      <c r="W52" s="24">
        <f>V52</f>
        <v>0</v>
      </c>
    </row>
    <row r="53" spans="1:23" ht="13.9" customHeight="1">
      <c r="A53" s="11"/>
      <c r="B53" s="23">
        <v>240</v>
      </c>
      <c r="C53" s="23" t="s">
        <v>54</v>
      </c>
      <c r="D53" s="24">
        <v>124.55</v>
      </c>
      <c r="E53" s="24">
        <v>0</v>
      </c>
      <c r="F53" s="24">
        <v>0</v>
      </c>
      <c r="G53" s="24">
        <v>0</v>
      </c>
      <c r="H53" s="24">
        <v>0</v>
      </c>
      <c r="I53" s="24"/>
      <c r="J53" s="24"/>
      <c r="K53" s="24"/>
      <c r="L53" s="24"/>
      <c r="M53" s="24">
        <f>H53+SUM(I53:L53)</f>
        <v>0</v>
      </c>
      <c r="N53" s="24">
        <v>0</v>
      </c>
      <c r="O53" s="25" t="e">
        <f t="shared" si="35"/>
        <v>#DIV/0!</v>
      </c>
      <c r="P53" s="24">
        <v>1.8</v>
      </c>
      <c r="Q53" s="25" t="e">
        <f t="shared" si="36"/>
        <v>#DIV/0!</v>
      </c>
      <c r="R53" s="24">
        <v>8.34</v>
      </c>
      <c r="S53" s="25" t="e">
        <f t="shared" si="37"/>
        <v>#DIV/0!</v>
      </c>
      <c r="T53" s="24">
        <v>11.99</v>
      </c>
      <c r="U53" s="25" t="e">
        <f t="shared" si="38"/>
        <v>#DIV/0!</v>
      </c>
      <c r="V53" s="24">
        <f>H53</f>
        <v>0</v>
      </c>
      <c r="W53" s="24">
        <f>V53</f>
        <v>0</v>
      </c>
    </row>
    <row r="54" spans="1:23" ht="13.9" customHeight="1">
      <c r="A54" s="11"/>
      <c r="B54" s="23">
        <v>290</v>
      </c>
      <c r="C54" s="23" t="s">
        <v>55</v>
      </c>
      <c r="D54" s="24">
        <v>14895.54</v>
      </c>
      <c r="E54" s="24">
        <v>31923.16</v>
      </c>
      <c r="F54" s="24">
        <v>5664</v>
      </c>
      <c r="G54" s="24">
        <v>15337.13</v>
      </c>
      <c r="H54" s="24">
        <f>28562</f>
        <v>28562</v>
      </c>
      <c r="I54" s="24">
        <v>289</v>
      </c>
      <c r="J54" s="24"/>
      <c r="K54" s="24">
        <v>2300</v>
      </c>
      <c r="L54" s="24"/>
      <c r="M54" s="24">
        <f>H54+SUM(I54:L54)</f>
        <v>31151</v>
      </c>
      <c r="N54" s="24">
        <v>10225.82</v>
      </c>
      <c r="O54" s="25">
        <f t="shared" si="35"/>
        <v>0.32826618728130719</v>
      </c>
      <c r="P54" s="24">
        <v>11804.17</v>
      </c>
      <c r="Q54" s="25">
        <f t="shared" si="36"/>
        <v>0.37893390260344773</v>
      </c>
      <c r="R54" s="24">
        <v>29857.599999999999</v>
      </c>
      <c r="S54" s="25">
        <f t="shared" si="37"/>
        <v>0.958479663574203</v>
      </c>
      <c r="T54" s="24">
        <v>34742.480000000003</v>
      </c>
      <c r="U54" s="25">
        <f t="shared" si="38"/>
        <v>1.1152926069789093</v>
      </c>
      <c r="V54" s="24">
        <f>16562</f>
        <v>16562</v>
      </c>
      <c r="W54" s="24">
        <f>V54</f>
        <v>16562</v>
      </c>
    </row>
    <row r="55" spans="1:23" ht="13.9" customHeight="1">
      <c r="A55" s="48" t="s">
        <v>21</v>
      </c>
      <c r="B55" s="48">
        <v>41</v>
      </c>
      <c r="C55" s="48" t="s">
        <v>23</v>
      </c>
      <c r="D55" s="49">
        <f t="shared" ref="D55:N55" si="40">SUM(D50:D54)</f>
        <v>112862.17000000001</v>
      </c>
      <c r="E55" s="49">
        <f t="shared" si="40"/>
        <v>98911.45</v>
      </c>
      <c r="F55" s="49">
        <f t="shared" si="40"/>
        <v>88454</v>
      </c>
      <c r="G55" s="49">
        <f t="shared" si="40"/>
        <v>101771.75</v>
      </c>
      <c r="H55" s="49">
        <f t="shared" si="40"/>
        <v>129237</v>
      </c>
      <c r="I55" s="49">
        <f t="shared" si="40"/>
        <v>650</v>
      </c>
      <c r="J55" s="49">
        <f t="shared" si="40"/>
        <v>0</v>
      </c>
      <c r="K55" s="49">
        <f t="shared" si="40"/>
        <v>4369</v>
      </c>
      <c r="L55" s="49">
        <f t="shared" si="40"/>
        <v>-14500</v>
      </c>
      <c r="M55" s="49">
        <f t="shared" si="40"/>
        <v>119756</v>
      </c>
      <c r="N55" s="49">
        <f t="shared" si="40"/>
        <v>28073.72</v>
      </c>
      <c r="O55" s="50">
        <f t="shared" si="35"/>
        <v>0.23442432946992217</v>
      </c>
      <c r="P55" s="49">
        <f>SUM(P50:P54)</f>
        <v>45986.92</v>
      </c>
      <c r="Q55" s="50">
        <f t="shared" si="36"/>
        <v>0.38400514379237782</v>
      </c>
      <c r="R55" s="49">
        <f>SUM(R50:R54)</f>
        <v>85737.56</v>
      </c>
      <c r="S55" s="50">
        <f t="shared" si="37"/>
        <v>0.71593540198403416</v>
      </c>
      <c r="T55" s="49">
        <f>SUM(T50:T54)</f>
        <v>119589.51000000001</v>
      </c>
      <c r="U55" s="50">
        <f t="shared" si="38"/>
        <v>0.99860975650489336</v>
      </c>
      <c r="V55" s="49">
        <f>SUM(V50:V54)</f>
        <v>102237</v>
      </c>
      <c r="W55" s="49">
        <f>SUM(W50:W54)</f>
        <v>102237</v>
      </c>
    </row>
    <row r="56" spans="1:23" ht="13.9" customHeight="1">
      <c r="A56" s="13" t="s">
        <v>48</v>
      </c>
      <c r="B56" s="23">
        <v>290</v>
      </c>
      <c r="C56" s="23" t="s">
        <v>55</v>
      </c>
      <c r="D56" s="24">
        <v>3485.89</v>
      </c>
      <c r="E56" s="24">
        <v>2779.45</v>
      </c>
      <c r="F56" s="24">
        <v>2800</v>
      </c>
      <c r="G56" s="24">
        <v>3032.57</v>
      </c>
      <c r="H56" s="24">
        <v>2450</v>
      </c>
      <c r="I56" s="24"/>
      <c r="J56" s="24"/>
      <c r="K56" s="24"/>
      <c r="L56" s="24">
        <v>50</v>
      </c>
      <c r="M56" s="24">
        <f>H56+SUM(I56:L56)</f>
        <v>2500</v>
      </c>
      <c r="N56" s="24">
        <v>532.24</v>
      </c>
      <c r="O56" s="25">
        <f t="shared" si="35"/>
        <v>0.212896</v>
      </c>
      <c r="P56" s="24">
        <v>1097.83</v>
      </c>
      <c r="Q56" s="25">
        <f t="shared" si="36"/>
        <v>0.43913199999999997</v>
      </c>
      <c r="R56" s="24">
        <v>1637.62</v>
      </c>
      <c r="S56" s="25">
        <f t="shared" si="37"/>
        <v>0.65504799999999996</v>
      </c>
      <c r="T56" s="24">
        <v>2376.81</v>
      </c>
      <c r="U56" s="25">
        <f t="shared" si="38"/>
        <v>0.95072400000000001</v>
      </c>
      <c r="V56" s="24">
        <f>H56</f>
        <v>2450</v>
      </c>
      <c r="W56" s="24">
        <f>V56</f>
        <v>2450</v>
      </c>
    </row>
    <row r="57" spans="1:23" ht="13.9" customHeight="1">
      <c r="A57" s="13"/>
      <c r="B57" s="23" t="s">
        <v>49</v>
      </c>
      <c r="C57" s="23" t="s">
        <v>50</v>
      </c>
      <c r="D57" s="24">
        <v>35179.93</v>
      </c>
      <c r="E57" s="46">
        <f>18288.59+29286.46</f>
        <v>47575.05</v>
      </c>
      <c r="F57" s="46">
        <v>99340</v>
      </c>
      <c r="G57" s="46">
        <v>75752.61</v>
      </c>
      <c r="H57" s="46">
        <v>115200</v>
      </c>
      <c r="I57" s="46">
        <v>500</v>
      </c>
      <c r="J57" s="46">
        <v>1406</v>
      </c>
      <c r="K57" s="46">
        <v>1755</v>
      </c>
      <c r="L57" s="46">
        <v>1500</v>
      </c>
      <c r="M57" s="46">
        <f>H57+SUM(I57:L57)</f>
        <v>120361</v>
      </c>
      <c r="N57" s="46">
        <v>27498.42</v>
      </c>
      <c r="O57" s="47">
        <f t="shared" si="35"/>
        <v>0.22846619752245328</v>
      </c>
      <c r="P57" s="46">
        <v>53181.599999999999</v>
      </c>
      <c r="Q57" s="47">
        <f t="shared" si="36"/>
        <v>0.44185076561344622</v>
      </c>
      <c r="R57" s="46">
        <v>72669.87</v>
      </c>
      <c r="S57" s="47">
        <f t="shared" si="37"/>
        <v>0.60376592085476188</v>
      </c>
      <c r="T57" s="46">
        <v>98070.9</v>
      </c>
      <c r="U57" s="47">
        <f t="shared" si="38"/>
        <v>0.81480629107435132</v>
      </c>
      <c r="V57" s="24">
        <f>H57</f>
        <v>115200</v>
      </c>
      <c r="W57" s="24">
        <f>V57</f>
        <v>115200</v>
      </c>
    </row>
    <row r="58" spans="1:23" ht="13.9" customHeight="1">
      <c r="A58" s="48" t="s">
        <v>21</v>
      </c>
      <c r="B58" s="48">
        <v>72</v>
      </c>
      <c r="C58" s="48" t="s">
        <v>25</v>
      </c>
      <c r="D58" s="49">
        <f t="shared" ref="D58:N58" si="41">SUM(D56:D57)</f>
        <v>38665.82</v>
      </c>
      <c r="E58" s="49">
        <f t="shared" si="41"/>
        <v>50354.5</v>
      </c>
      <c r="F58" s="49">
        <f t="shared" si="41"/>
        <v>102140</v>
      </c>
      <c r="G58" s="49">
        <f t="shared" si="41"/>
        <v>78785.180000000008</v>
      </c>
      <c r="H58" s="49">
        <f t="shared" si="41"/>
        <v>117650</v>
      </c>
      <c r="I58" s="49">
        <f t="shared" si="41"/>
        <v>500</v>
      </c>
      <c r="J58" s="49">
        <f t="shared" si="41"/>
        <v>1406</v>
      </c>
      <c r="K58" s="49">
        <f t="shared" si="41"/>
        <v>1755</v>
      </c>
      <c r="L58" s="49">
        <f t="shared" si="41"/>
        <v>1550</v>
      </c>
      <c r="M58" s="49">
        <f t="shared" si="41"/>
        <v>122861</v>
      </c>
      <c r="N58" s="49">
        <f t="shared" si="41"/>
        <v>28030.66</v>
      </c>
      <c r="O58" s="50">
        <f t="shared" si="35"/>
        <v>0.22814937205459829</v>
      </c>
      <c r="P58" s="49">
        <f>SUM(P56:P57)</f>
        <v>54279.43</v>
      </c>
      <c r="Q58" s="50">
        <f t="shared" si="36"/>
        <v>0.44179544363142087</v>
      </c>
      <c r="R58" s="49">
        <f>SUM(R56:R57)</f>
        <v>74307.489999999991</v>
      </c>
      <c r="S58" s="50">
        <f t="shared" si="37"/>
        <v>0.60480941877406169</v>
      </c>
      <c r="T58" s="49">
        <f>SUM(T56:T57)</f>
        <v>100447.70999999999</v>
      </c>
      <c r="U58" s="50">
        <f t="shared" si="38"/>
        <v>0.8175719715776365</v>
      </c>
      <c r="V58" s="49">
        <f>SUM(V56:V57)</f>
        <v>117650</v>
      </c>
      <c r="W58" s="49">
        <f>SUM(W56:W57)</f>
        <v>117650</v>
      </c>
    </row>
    <row r="60" spans="1:23" ht="13.9" customHeight="1">
      <c r="B60" s="52" t="s">
        <v>56</v>
      </c>
      <c r="C60" s="30" t="s">
        <v>57</v>
      </c>
      <c r="D60" s="53">
        <v>1674.8</v>
      </c>
      <c r="E60" s="53">
        <v>2398.81</v>
      </c>
      <c r="F60" s="53">
        <v>2009</v>
      </c>
      <c r="G60" s="53">
        <v>3008.78</v>
      </c>
      <c r="H60" s="53">
        <v>3005</v>
      </c>
      <c r="I60" s="53"/>
      <c r="J60" s="53"/>
      <c r="K60" s="53"/>
      <c r="L60" s="53"/>
      <c r="M60" s="53">
        <f t="shared" ref="M60:M70" si="42">H60+SUM(I60:L60)</f>
        <v>3005</v>
      </c>
      <c r="N60" s="53">
        <v>947.77</v>
      </c>
      <c r="O60" s="54">
        <f t="shared" ref="O60:O70" si="43">N60/$M60</f>
        <v>0.31539767054908485</v>
      </c>
      <c r="P60" s="53">
        <v>1215.24</v>
      </c>
      <c r="Q60" s="54">
        <f t="shared" ref="Q60:Q70" si="44">P60/$M60</f>
        <v>0.40440599001663896</v>
      </c>
      <c r="R60" s="53">
        <v>2457.48</v>
      </c>
      <c r="S60" s="54">
        <f t="shared" ref="S60:S70" si="45">R60/$M60</f>
        <v>0.81779700499168051</v>
      </c>
      <c r="T60" s="53">
        <v>5797.62</v>
      </c>
      <c r="U60" s="55">
        <f t="shared" ref="U60:U70" si="46">T60/$M60</f>
        <v>1.929324459234609</v>
      </c>
      <c r="V60" s="53">
        <f>H60</f>
        <v>3005</v>
      </c>
      <c r="W60" s="56">
        <f t="shared" ref="W60:W67" si="47">V60</f>
        <v>3005</v>
      </c>
    </row>
    <row r="61" spans="1:23" ht="13.9" customHeight="1">
      <c r="B61" s="57"/>
      <c r="C61" s="58" t="s">
        <v>58</v>
      </c>
      <c r="D61" s="59">
        <v>7603</v>
      </c>
      <c r="E61" s="59">
        <v>6673</v>
      </c>
      <c r="F61" s="59">
        <v>6760</v>
      </c>
      <c r="G61" s="59">
        <v>8042.5</v>
      </c>
      <c r="H61" s="59">
        <v>8040</v>
      </c>
      <c r="I61" s="59"/>
      <c r="J61" s="59"/>
      <c r="K61" s="59"/>
      <c r="L61" s="59"/>
      <c r="M61" s="59">
        <f t="shared" si="42"/>
        <v>8040</v>
      </c>
      <c r="N61" s="59">
        <v>1298</v>
      </c>
      <c r="O61" s="16">
        <f t="shared" si="43"/>
        <v>0.16144278606965173</v>
      </c>
      <c r="P61" s="59">
        <v>2869</v>
      </c>
      <c r="Q61" s="16">
        <f t="shared" si="44"/>
        <v>0.35684079601990049</v>
      </c>
      <c r="R61" s="59">
        <v>4737</v>
      </c>
      <c r="S61" s="16">
        <f t="shared" si="45"/>
        <v>0.5891791044776119</v>
      </c>
      <c r="T61" s="59">
        <v>6504</v>
      </c>
      <c r="U61" s="60">
        <f t="shared" si="46"/>
        <v>0.80895522388059704</v>
      </c>
      <c r="V61" s="59">
        <f>H61</f>
        <v>8040</v>
      </c>
      <c r="W61" s="61">
        <f t="shared" si="47"/>
        <v>8040</v>
      </c>
    </row>
    <row r="62" spans="1:23" ht="13.9" customHeight="1">
      <c r="B62" s="57"/>
      <c r="C62" s="58" t="s">
        <v>59</v>
      </c>
      <c r="D62" s="59">
        <v>23890.61</v>
      </c>
      <c r="E62" s="59">
        <v>15872.26</v>
      </c>
      <c r="F62" s="59">
        <v>34615</v>
      </c>
      <c r="G62" s="59">
        <v>22067.42</v>
      </c>
      <c r="H62" s="59">
        <v>22065</v>
      </c>
      <c r="I62" s="59"/>
      <c r="J62" s="59"/>
      <c r="K62" s="59"/>
      <c r="L62" s="59"/>
      <c r="M62" s="59">
        <f t="shared" si="42"/>
        <v>22065</v>
      </c>
      <c r="N62" s="59">
        <v>3208.25</v>
      </c>
      <c r="O62" s="16">
        <f t="shared" si="43"/>
        <v>0.14539995467935646</v>
      </c>
      <c r="P62" s="59">
        <v>4450.09</v>
      </c>
      <c r="Q62" s="16">
        <f t="shared" si="44"/>
        <v>0.20168094266938591</v>
      </c>
      <c r="R62" s="59">
        <v>6643.19</v>
      </c>
      <c r="S62" s="16">
        <f t="shared" si="45"/>
        <v>0.30107364604577386</v>
      </c>
      <c r="T62" s="59">
        <v>15034.52</v>
      </c>
      <c r="U62" s="60">
        <f t="shared" si="46"/>
        <v>0.68137412191253122</v>
      </c>
      <c r="V62" s="59">
        <f>H62</f>
        <v>22065</v>
      </c>
      <c r="W62" s="61">
        <f t="shared" si="47"/>
        <v>22065</v>
      </c>
    </row>
    <row r="63" spans="1:23" ht="13.9" customHeight="1">
      <c r="B63" s="57"/>
      <c r="C63" s="58" t="s">
        <v>60</v>
      </c>
      <c r="D63" s="62">
        <v>36930.67</v>
      </c>
      <c r="E63" s="62">
        <v>34315.06</v>
      </c>
      <c r="F63" s="62">
        <v>34350</v>
      </c>
      <c r="G63" s="62">
        <v>41391.19</v>
      </c>
      <c r="H63" s="62">
        <v>47600</v>
      </c>
      <c r="I63" s="62"/>
      <c r="J63" s="62"/>
      <c r="K63" s="62"/>
      <c r="L63" s="62"/>
      <c r="M63" s="62">
        <f t="shared" si="42"/>
        <v>47600</v>
      </c>
      <c r="N63" s="62">
        <v>10814.05</v>
      </c>
      <c r="O63" s="63">
        <f t="shared" si="43"/>
        <v>0.22718592436974788</v>
      </c>
      <c r="P63" s="62">
        <v>21964.39</v>
      </c>
      <c r="Q63" s="63">
        <f t="shared" si="44"/>
        <v>0.46143676470588235</v>
      </c>
      <c r="R63" s="62">
        <v>32705.02</v>
      </c>
      <c r="S63" s="63">
        <f t="shared" si="45"/>
        <v>0.68708025210084034</v>
      </c>
      <c r="T63" s="62">
        <v>42810.92</v>
      </c>
      <c r="U63" s="64">
        <f t="shared" si="46"/>
        <v>0.89938907563025206</v>
      </c>
      <c r="V63" s="59">
        <f>H63</f>
        <v>47600</v>
      </c>
      <c r="W63" s="61">
        <f t="shared" si="47"/>
        <v>47600</v>
      </c>
    </row>
    <row r="64" spans="1:23" ht="13.9" customHeight="1">
      <c r="B64" s="57"/>
      <c r="C64" s="58" t="s">
        <v>61</v>
      </c>
      <c r="D64" s="62">
        <v>15519.94</v>
      </c>
      <c r="E64" s="62">
        <v>0</v>
      </c>
      <c r="F64" s="62">
        <v>0</v>
      </c>
      <c r="G64" s="62">
        <v>0</v>
      </c>
      <c r="H64" s="62">
        <v>15000</v>
      </c>
      <c r="I64" s="62"/>
      <c r="J64" s="62"/>
      <c r="K64" s="62"/>
      <c r="L64" s="62">
        <v>-14500</v>
      </c>
      <c r="M64" s="62">
        <f t="shared" si="42"/>
        <v>500</v>
      </c>
      <c r="N64" s="62">
        <v>500</v>
      </c>
      <c r="O64" s="63">
        <f t="shared" si="43"/>
        <v>1</v>
      </c>
      <c r="P64" s="62">
        <v>500</v>
      </c>
      <c r="Q64" s="63">
        <f t="shared" si="44"/>
        <v>1</v>
      </c>
      <c r="R64" s="62">
        <v>500</v>
      </c>
      <c r="S64" s="63">
        <f t="shared" si="45"/>
        <v>1</v>
      </c>
      <c r="T64" s="62">
        <v>500</v>
      </c>
      <c r="U64" s="64">
        <f t="shared" si="46"/>
        <v>1</v>
      </c>
      <c r="V64" s="59">
        <v>0</v>
      </c>
      <c r="W64" s="61">
        <f t="shared" si="47"/>
        <v>0</v>
      </c>
    </row>
    <row r="65" spans="1:23" ht="13.9" customHeight="1">
      <c r="B65" s="57"/>
      <c r="C65" s="58" t="s">
        <v>62</v>
      </c>
      <c r="D65" s="62">
        <v>1385</v>
      </c>
      <c r="E65" s="62">
        <v>1250</v>
      </c>
      <c r="F65" s="62">
        <v>1200</v>
      </c>
      <c r="G65" s="62">
        <v>1195</v>
      </c>
      <c r="H65" s="62">
        <v>1200</v>
      </c>
      <c r="I65" s="62"/>
      <c r="J65" s="62"/>
      <c r="K65" s="62"/>
      <c r="L65" s="62"/>
      <c r="M65" s="62">
        <f t="shared" si="42"/>
        <v>1200</v>
      </c>
      <c r="N65" s="62">
        <v>155</v>
      </c>
      <c r="O65" s="63">
        <f t="shared" si="43"/>
        <v>0.12916666666666668</v>
      </c>
      <c r="P65" s="62">
        <v>857</v>
      </c>
      <c r="Q65" s="63">
        <f t="shared" si="44"/>
        <v>0.71416666666666662</v>
      </c>
      <c r="R65" s="62">
        <v>1239</v>
      </c>
      <c r="S65" s="63">
        <f t="shared" si="45"/>
        <v>1.0325</v>
      </c>
      <c r="T65" s="62">
        <v>1718</v>
      </c>
      <c r="U65" s="64">
        <f t="shared" si="46"/>
        <v>1.4316666666666666</v>
      </c>
      <c r="V65" s="59">
        <f>H65</f>
        <v>1200</v>
      </c>
      <c r="W65" s="61">
        <f t="shared" si="47"/>
        <v>1200</v>
      </c>
    </row>
    <row r="66" spans="1:23" ht="13.9" hidden="1" customHeight="1">
      <c r="B66" s="57"/>
      <c r="C66" s="58" t="s">
        <v>63</v>
      </c>
      <c r="D66" s="62">
        <v>4520</v>
      </c>
      <c r="E66" s="62">
        <v>2461</v>
      </c>
      <c r="F66" s="62">
        <v>0</v>
      </c>
      <c r="G66" s="62">
        <v>0</v>
      </c>
      <c r="H66" s="62">
        <v>0</v>
      </c>
      <c r="I66" s="62"/>
      <c r="J66" s="62"/>
      <c r="K66" s="62"/>
      <c r="L66" s="62"/>
      <c r="M66" s="62">
        <f t="shared" si="42"/>
        <v>0</v>
      </c>
      <c r="N66" s="62">
        <v>0</v>
      </c>
      <c r="O66" s="63" t="e">
        <f t="shared" si="43"/>
        <v>#DIV/0!</v>
      </c>
      <c r="P66" s="62">
        <v>0</v>
      </c>
      <c r="Q66" s="63" t="e">
        <f t="shared" si="44"/>
        <v>#DIV/0!</v>
      </c>
      <c r="R66" s="62">
        <v>0</v>
      </c>
      <c r="S66" s="63" t="e">
        <f t="shared" si="45"/>
        <v>#DIV/0!</v>
      </c>
      <c r="T66" s="62"/>
      <c r="U66" s="64" t="e">
        <f t="shared" si="46"/>
        <v>#DIV/0!</v>
      </c>
      <c r="V66" s="59">
        <f>H66</f>
        <v>0</v>
      </c>
      <c r="W66" s="61">
        <f t="shared" si="47"/>
        <v>0</v>
      </c>
    </row>
    <row r="67" spans="1:23" ht="13.9" hidden="1" customHeight="1">
      <c r="B67" s="57"/>
      <c r="C67" s="58" t="s">
        <v>64</v>
      </c>
      <c r="D67" s="62">
        <v>0</v>
      </c>
      <c r="E67" s="62">
        <v>87.5</v>
      </c>
      <c r="F67" s="62">
        <v>0</v>
      </c>
      <c r="G67" s="62">
        <v>6650</v>
      </c>
      <c r="H67" s="62">
        <v>0</v>
      </c>
      <c r="I67" s="62"/>
      <c r="J67" s="62"/>
      <c r="K67" s="62"/>
      <c r="L67" s="62"/>
      <c r="M67" s="62">
        <f t="shared" si="42"/>
        <v>0</v>
      </c>
      <c r="N67" s="62">
        <v>0</v>
      </c>
      <c r="O67" s="63" t="e">
        <f t="shared" si="43"/>
        <v>#DIV/0!</v>
      </c>
      <c r="P67" s="62">
        <v>0</v>
      </c>
      <c r="Q67" s="63" t="e">
        <f t="shared" si="44"/>
        <v>#DIV/0!</v>
      </c>
      <c r="R67" s="62">
        <v>3650</v>
      </c>
      <c r="S67" s="63" t="e">
        <f t="shared" si="45"/>
        <v>#DIV/0!</v>
      </c>
      <c r="T67" s="62"/>
      <c r="U67" s="64" t="e">
        <f t="shared" si="46"/>
        <v>#DIV/0!</v>
      </c>
      <c r="V67" s="59">
        <f>H67</f>
        <v>0</v>
      </c>
      <c r="W67" s="61">
        <f t="shared" si="47"/>
        <v>0</v>
      </c>
    </row>
    <row r="68" spans="1:23" ht="13.9" customHeight="1">
      <c r="B68" s="57"/>
      <c r="C68" s="58" t="s">
        <v>65</v>
      </c>
      <c r="D68" s="62">
        <v>0</v>
      </c>
      <c r="E68" s="62">
        <v>5379.89</v>
      </c>
      <c r="F68" s="62">
        <v>0</v>
      </c>
      <c r="G68" s="62">
        <v>3111.51</v>
      </c>
      <c r="H68" s="62">
        <v>14400</v>
      </c>
      <c r="I68" s="62"/>
      <c r="J68" s="62"/>
      <c r="K68" s="62"/>
      <c r="L68" s="62"/>
      <c r="M68" s="62">
        <f t="shared" si="42"/>
        <v>14400</v>
      </c>
      <c r="N68" s="62">
        <v>1647.82</v>
      </c>
      <c r="O68" s="63">
        <f t="shared" si="43"/>
        <v>0.11443194444444443</v>
      </c>
      <c r="P68" s="62">
        <v>2096.8200000000002</v>
      </c>
      <c r="Q68" s="63">
        <f t="shared" si="44"/>
        <v>0.14561250000000001</v>
      </c>
      <c r="R68" s="62">
        <v>16504.8</v>
      </c>
      <c r="S68" s="63">
        <f t="shared" si="45"/>
        <v>1.1461666666666666</v>
      </c>
      <c r="T68" s="62">
        <v>16975.27</v>
      </c>
      <c r="U68" s="64">
        <f t="shared" si="46"/>
        <v>1.1788381944444444</v>
      </c>
      <c r="V68" s="59">
        <v>0</v>
      </c>
      <c r="W68" s="61">
        <v>0</v>
      </c>
    </row>
    <row r="69" spans="1:23" ht="13.9" customHeight="1">
      <c r="B69" s="57"/>
      <c r="C69" s="58" t="s">
        <v>66</v>
      </c>
      <c r="D69" s="59">
        <v>5993.29</v>
      </c>
      <c r="E69" s="59">
        <v>12597.46</v>
      </c>
      <c r="F69" s="59">
        <v>0</v>
      </c>
      <c r="G69" s="59">
        <v>4334.43</v>
      </c>
      <c r="H69" s="59">
        <v>6294</v>
      </c>
      <c r="I69" s="59"/>
      <c r="J69" s="59"/>
      <c r="K69" s="59"/>
      <c r="L69" s="59"/>
      <c r="M69" s="59">
        <f t="shared" si="42"/>
        <v>6294</v>
      </c>
      <c r="N69" s="59">
        <v>6293.85</v>
      </c>
      <c r="O69" s="16">
        <f t="shared" si="43"/>
        <v>0.99997616777883702</v>
      </c>
      <c r="P69" s="59">
        <v>6293.85</v>
      </c>
      <c r="Q69" s="16">
        <f t="shared" si="44"/>
        <v>0.99997616777883702</v>
      </c>
      <c r="R69" s="59">
        <v>7990.73</v>
      </c>
      <c r="S69" s="16">
        <f t="shared" si="45"/>
        <v>1.2695789640927868</v>
      </c>
      <c r="T69" s="59">
        <v>7990.73</v>
      </c>
      <c r="U69" s="60">
        <f t="shared" si="46"/>
        <v>1.2695789640927868</v>
      </c>
      <c r="V69" s="59">
        <v>0</v>
      </c>
      <c r="W69" s="61">
        <f>V69</f>
        <v>0</v>
      </c>
    </row>
    <row r="70" spans="1:23" ht="13.9" customHeight="1">
      <c r="B70" s="65"/>
      <c r="C70" s="66" t="s">
        <v>67</v>
      </c>
      <c r="D70" s="67">
        <v>8182.35</v>
      </c>
      <c r="E70" s="67">
        <v>6521.55</v>
      </c>
      <c r="F70" s="67">
        <v>4726</v>
      </c>
      <c r="G70" s="67">
        <v>6397.79</v>
      </c>
      <c r="H70" s="67">
        <v>7010</v>
      </c>
      <c r="I70" s="67"/>
      <c r="J70" s="67"/>
      <c r="K70" s="67"/>
      <c r="L70" s="67"/>
      <c r="M70" s="67">
        <f t="shared" si="42"/>
        <v>7010</v>
      </c>
      <c r="N70" s="67">
        <v>1177</v>
      </c>
      <c r="O70" s="68">
        <f t="shared" si="43"/>
        <v>0.16790299572039943</v>
      </c>
      <c r="P70" s="67">
        <v>2305.4</v>
      </c>
      <c r="Q70" s="68">
        <f t="shared" si="44"/>
        <v>0.32887303851640515</v>
      </c>
      <c r="R70" s="67">
        <v>3878.6</v>
      </c>
      <c r="S70" s="68">
        <f t="shared" si="45"/>
        <v>0.55329529243937237</v>
      </c>
      <c r="T70" s="67">
        <v>8156.72</v>
      </c>
      <c r="U70" s="69">
        <f t="shared" si="46"/>
        <v>1.163583452211127</v>
      </c>
      <c r="V70" s="67">
        <f>H70</f>
        <v>7010</v>
      </c>
      <c r="W70" s="70">
        <f>V70</f>
        <v>7010</v>
      </c>
    </row>
    <row r="72" spans="1:23" ht="13.9" customHeight="1">
      <c r="A72" s="32" t="s">
        <v>68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/>
      <c r="P72" s="32"/>
      <c r="Q72" s="32"/>
      <c r="R72" s="32"/>
      <c r="S72" s="32"/>
      <c r="T72" s="32"/>
      <c r="U72" s="32"/>
      <c r="V72" s="32"/>
      <c r="W72" s="32"/>
    </row>
    <row r="73" spans="1:23" ht="13.9" customHeight="1">
      <c r="A73" s="20"/>
      <c r="B73" s="20"/>
      <c r="C73" s="20"/>
      <c r="D73" s="21" t="s">
        <v>1</v>
      </c>
      <c r="E73" s="21" t="s">
        <v>2</v>
      </c>
      <c r="F73" s="21" t="s">
        <v>3</v>
      </c>
      <c r="G73" s="21" t="s">
        <v>4</v>
      </c>
      <c r="H73" s="21" t="s">
        <v>5</v>
      </c>
      <c r="I73" s="21" t="s">
        <v>6</v>
      </c>
      <c r="J73" s="21" t="s">
        <v>7</v>
      </c>
      <c r="K73" s="21" t="s">
        <v>8</v>
      </c>
      <c r="L73" s="21" t="s">
        <v>9</v>
      </c>
      <c r="M73" s="21" t="s">
        <v>10</v>
      </c>
      <c r="N73" s="21" t="s">
        <v>11</v>
      </c>
      <c r="O73" s="22" t="s">
        <v>12</v>
      </c>
      <c r="P73" s="21" t="s">
        <v>13</v>
      </c>
      <c r="Q73" s="22" t="s">
        <v>14</v>
      </c>
      <c r="R73" s="21" t="s">
        <v>15</v>
      </c>
      <c r="S73" s="22" t="s">
        <v>16</v>
      </c>
      <c r="T73" s="21" t="s">
        <v>17</v>
      </c>
      <c r="U73" s="22" t="s">
        <v>18</v>
      </c>
      <c r="V73" s="21" t="s">
        <v>19</v>
      </c>
      <c r="W73" s="21" t="s">
        <v>20</v>
      </c>
    </row>
    <row r="74" spans="1:23" ht="13.9" customHeight="1">
      <c r="A74" s="12" t="s">
        <v>21</v>
      </c>
      <c r="B74" s="35">
        <v>111</v>
      </c>
      <c r="C74" s="35" t="s">
        <v>22</v>
      </c>
      <c r="D74" s="71">
        <f t="shared" ref="D74:N74" si="48">D111</f>
        <v>712245.1399999999</v>
      </c>
      <c r="E74" s="71">
        <f t="shared" si="48"/>
        <v>858683.59</v>
      </c>
      <c r="F74" s="71">
        <f t="shared" si="48"/>
        <v>986591</v>
      </c>
      <c r="G74" s="71">
        <f t="shared" si="48"/>
        <v>946857.87</v>
      </c>
      <c r="H74" s="71">
        <f t="shared" si="48"/>
        <v>1140389</v>
      </c>
      <c r="I74" s="71">
        <f t="shared" si="48"/>
        <v>29499</v>
      </c>
      <c r="J74" s="71">
        <f t="shared" si="48"/>
        <v>66151</v>
      </c>
      <c r="K74" s="71">
        <f t="shared" si="48"/>
        <v>169320</v>
      </c>
      <c r="L74" s="71">
        <f t="shared" si="48"/>
        <v>121821</v>
      </c>
      <c r="M74" s="71">
        <f t="shared" si="48"/>
        <v>1527180</v>
      </c>
      <c r="N74" s="71">
        <f t="shared" si="48"/>
        <v>380388.64</v>
      </c>
      <c r="O74" s="72">
        <f>N74/$M74</f>
        <v>0.24907911313663092</v>
      </c>
      <c r="P74" s="71">
        <f>P111</f>
        <v>622657.25</v>
      </c>
      <c r="Q74" s="72">
        <f>P74/$M74</f>
        <v>0.40771700127031524</v>
      </c>
      <c r="R74" s="71">
        <f>R111</f>
        <v>919317.94000000006</v>
      </c>
      <c r="S74" s="72">
        <f>R74/$M74</f>
        <v>0.60197091371023725</v>
      </c>
      <c r="T74" s="71">
        <f>T111</f>
        <v>1489256.4100000004</v>
      </c>
      <c r="U74" s="72">
        <f>T74/$M74</f>
        <v>0.97516757029295853</v>
      </c>
      <c r="V74" s="71">
        <f>V111</f>
        <v>735883</v>
      </c>
      <c r="W74" s="71">
        <f>W111</f>
        <v>733028</v>
      </c>
    </row>
    <row r="75" spans="1:23" ht="13.9" customHeight="1">
      <c r="A75" s="12" t="s">
        <v>21</v>
      </c>
      <c r="B75" s="35">
        <v>71</v>
      </c>
      <c r="C75" s="35" t="s">
        <v>24</v>
      </c>
      <c r="D75" s="36">
        <f t="shared" ref="D75:N75" si="49">D113</f>
        <v>1400</v>
      </c>
      <c r="E75" s="36">
        <f t="shared" si="49"/>
        <v>3000</v>
      </c>
      <c r="F75" s="36">
        <f t="shared" si="49"/>
        <v>3000</v>
      </c>
      <c r="G75" s="36">
        <f t="shared" si="49"/>
        <v>3000</v>
      </c>
      <c r="H75" s="36">
        <f t="shared" si="49"/>
        <v>3000</v>
      </c>
      <c r="I75" s="36">
        <f t="shared" si="49"/>
        <v>0</v>
      </c>
      <c r="J75" s="36">
        <f t="shared" si="49"/>
        <v>0</v>
      </c>
      <c r="K75" s="36">
        <f t="shared" si="49"/>
        <v>0</v>
      </c>
      <c r="L75" s="36">
        <f t="shared" si="49"/>
        <v>0</v>
      </c>
      <c r="M75" s="36">
        <f t="shared" si="49"/>
        <v>3000</v>
      </c>
      <c r="N75" s="36">
        <f t="shared" si="49"/>
        <v>0</v>
      </c>
      <c r="O75" s="37">
        <f>N75/$M75</f>
        <v>0</v>
      </c>
      <c r="P75" s="36">
        <f>P113</f>
        <v>3000</v>
      </c>
      <c r="Q75" s="37">
        <f>P75/$M75</f>
        <v>1</v>
      </c>
      <c r="R75" s="36">
        <f>R113</f>
        <v>3000</v>
      </c>
      <c r="S75" s="37">
        <f>R75/$M75</f>
        <v>1</v>
      </c>
      <c r="T75" s="36">
        <f>T113</f>
        <v>3000</v>
      </c>
      <c r="U75" s="37">
        <f>T75/$M75</f>
        <v>1</v>
      </c>
      <c r="V75" s="36">
        <f>V113</f>
        <v>3000</v>
      </c>
      <c r="W75" s="36">
        <f>W113</f>
        <v>3000</v>
      </c>
    </row>
    <row r="76" spans="1:23" ht="13.9" customHeight="1">
      <c r="A76" s="12" t="s">
        <v>21</v>
      </c>
      <c r="B76" s="35">
        <v>72</v>
      </c>
      <c r="C76" s="35" t="s">
        <v>25</v>
      </c>
      <c r="D76" s="36">
        <f t="shared" ref="D76:N76" si="50">D116</f>
        <v>5430.6600000000008</v>
      </c>
      <c r="E76" s="36">
        <f t="shared" si="50"/>
        <v>5491.1100000000006</v>
      </c>
      <c r="F76" s="36">
        <f t="shared" si="50"/>
        <v>3800</v>
      </c>
      <c r="G76" s="36">
        <f t="shared" si="50"/>
        <v>4347.1400000000003</v>
      </c>
      <c r="H76" s="36">
        <f t="shared" si="50"/>
        <v>24610</v>
      </c>
      <c r="I76" s="36">
        <f t="shared" si="50"/>
        <v>0</v>
      </c>
      <c r="J76" s="36">
        <f t="shared" si="50"/>
        <v>-20810</v>
      </c>
      <c r="K76" s="36">
        <f t="shared" si="50"/>
        <v>0</v>
      </c>
      <c r="L76" s="36">
        <f t="shared" si="50"/>
        <v>1820</v>
      </c>
      <c r="M76" s="36">
        <f t="shared" si="50"/>
        <v>5620</v>
      </c>
      <c r="N76" s="36">
        <f t="shared" si="50"/>
        <v>16648</v>
      </c>
      <c r="O76" s="37">
        <f>N76/$M76</f>
        <v>2.9622775800711745</v>
      </c>
      <c r="P76" s="36">
        <f>P116</f>
        <v>367.47</v>
      </c>
      <c r="Q76" s="37">
        <f>P76/$M76</f>
        <v>6.5386120996441283E-2</v>
      </c>
      <c r="R76" s="36">
        <f>R116</f>
        <v>367.47</v>
      </c>
      <c r="S76" s="37">
        <f>R76/$M76</f>
        <v>6.5386120996441283E-2</v>
      </c>
      <c r="T76" s="36">
        <f>T116</f>
        <v>5986.24</v>
      </c>
      <c r="U76" s="37">
        <f>T76/$M76</f>
        <v>1.0651672597864767</v>
      </c>
      <c r="V76" s="36">
        <f>V116</f>
        <v>24610</v>
      </c>
      <c r="W76" s="36">
        <f>W116</f>
        <v>24610</v>
      </c>
    </row>
    <row r="77" spans="1:23" ht="13.9" customHeight="1">
      <c r="A77" s="30"/>
      <c r="B77" s="31"/>
      <c r="C77" s="38" t="s">
        <v>29</v>
      </c>
      <c r="D77" s="39">
        <f t="shared" ref="D77:N77" si="51">SUM(D74:D76)</f>
        <v>719075.79999999993</v>
      </c>
      <c r="E77" s="39">
        <f t="shared" si="51"/>
        <v>867174.7</v>
      </c>
      <c r="F77" s="39">
        <f t="shared" si="51"/>
        <v>993391</v>
      </c>
      <c r="G77" s="39">
        <f t="shared" si="51"/>
        <v>954205.01</v>
      </c>
      <c r="H77" s="39">
        <f t="shared" si="51"/>
        <v>1167999</v>
      </c>
      <c r="I77" s="39">
        <f t="shared" si="51"/>
        <v>29499</v>
      </c>
      <c r="J77" s="39">
        <f t="shared" si="51"/>
        <v>45341</v>
      </c>
      <c r="K77" s="39">
        <f t="shared" si="51"/>
        <v>169320</v>
      </c>
      <c r="L77" s="39">
        <f t="shared" si="51"/>
        <v>123641</v>
      </c>
      <c r="M77" s="39">
        <f t="shared" si="51"/>
        <v>1535800</v>
      </c>
      <c r="N77" s="39">
        <f t="shared" si="51"/>
        <v>397036.64</v>
      </c>
      <c r="O77" s="40">
        <f>N77/$M77</f>
        <v>0.25852105742935277</v>
      </c>
      <c r="P77" s="39">
        <f>SUM(P74:P76)</f>
        <v>626024.72</v>
      </c>
      <c r="Q77" s="40">
        <f>P77/$M77</f>
        <v>0.40762125276728739</v>
      </c>
      <c r="R77" s="39">
        <f>SUM(R74:R76)</f>
        <v>922685.41</v>
      </c>
      <c r="S77" s="40">
        <f>R77/$M77</f>
        <v>0.60078487433259542</v>
      </c>
      <c r="T77" s="39">
        <f>SUM(T74:T76)</f>
        <v>1498242.6500000004</v>
      </c>
      <c r="U77" s="40">
        <f>T77/$M77</f>
        <v>0.97554541606980105</v>
      </c>
      <c r="V77" s="39">
        <f>SUM(V74:V76)</f>
        <v>763493</v>
      </c>
      <c r="W77" s="39">
        <f>SUM(W74:W76)</f>
        <v>760638</v>
      </c>
    </row>
    <row r="79" spans="1:23" ht="13.9" customHeight="1">
      <c r="A79" s="73" t="s">
        <v>69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  <c r="P79" s="73"/>
      <c r="Q79" s="73"/>
      <c r="R79" s="73"/>
      <c r="S79" s="73"/>
      <c r="T79" s="73"/>
      <c r="U79" s="73"/>
      <c r="V79" s="73"/>
      <c r="W79" s="73"/>
    </row>
    <row r="80" spans="1:23" ht="13.9" customHeight="1">
      <c r="A80" s="21" t="s">
        <v>32</v>
      </c>
      <c r="B80" s="21" t="s">
        <v>33</v>
      </c>
      <c r="C80" s="21" t="s">
        <v>34</v>
      </c>
      <c r="D80" s="21" t="s">
        <v>1</v>
      </c>
      <c r="E80" s="21" t="s">
        <v>2</v>
      </c>
      <c r="F80" s="21" t="s">
        <v>3</v>
      </c>
      <c r="G80" s="21" t="s">
        <v>4</v>
      </c>
      <c r="H80" s="21" t="s">
        <v>5</v>
      </c>
      <c r="I80" s="21" t="s">
        <v>6</v>
      </c>
      <c r="J80" s="21" t="s">
        <v>7</v>
      </c>
      <c r="K80" s="21" t="s">
        <v>8</v>
      </c>
      <c r="L80" s="21" t="s">
        <v>9</v>
      </c>
      <c r="M80" s="21" t="s">
        <v>10</v>
      </c>
      <c r="N80" s="21" t="s">
        <v>11</v>
      </c>
      <c r="O80" s="22" t="s">
        <v>12</v>
      </c>
      <c r="P80" s="21" t="s">
        <v>13</v>
      </c>
      <c r="Q80" s="22" t="s">
        <v>14</v>
      </c>
      <c r="R80" s="21" t="s">
        <v>15</v>
      </c>
      <c r="S80" s="22" t="s">
        <v>16</v>
      </c>
      <c r="T80" s="21" t="s">
        <v>17</v>
      </c>
      <c r="U80" s="22" t="s">
        <v>18</v>
      </c>
      <c r="V80" s="21" t="s">
        <v>19</v>
      </c>
      <c r="W80" s="21" t="s">
        <v>20</v>
      </c>
    </row>
    <row r="81" spans="1:23" ht="13.9" customHeight="1">
      <c r="A81" s="10" t="s">
        <v>70</v>
      </c>
      <c r="B81" s="23">
        <v>311</v>
      </c>
      <c r="C81" s="23" t="s">
        <v>71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/>
      <c r="J81" s="75">
        <v>20810</v>
      </c>
      <c r="K81" s="75"/>
      <c r="L81" s="75"/>
      <c r="M81" s="75">
        <f t="shared" ref="M81:M110" si="52">H81+SUM(I81:L81)</f>
        <v>20810</v>
      </c>
      <c r="N81" s="75">
        <v>0</v>
      </c>
      <c r="O81" s="76">
        <f t="shared" ref="O81:O116" si="53">N81/$M81</f>
        <v>0</v>
      </c>
      <c r="P81" s="75">
        <v>16648</v>
      </c>
      <c r="Q81" s="76">
        <f t="shared" ref="Q81:Q116" si="54">P81/$M81</f>
        <v>0.8</v>
      </c>
      <c r="R81" s="75">
        <v>16648</v>
      </c>
      <c r="S81" s="76">
        <f t="shared" ref="S81:S116" si="55">R81/$M81</f>
        <v>0.8</v>
      </c>
      <c r="T81" s="75">
        <v>16648</v>
      </c>
      <c r="U81" s="76">
        <f t="shared" ref="U81:U116" si="56">T81/$M81</f>
        <v>0.8</v>
      </c>
      <c r="V81" s="77">
        <f t="shared" ref="V81:V90" si="57">H81</f>
        <v>0</v>
      </c>
      <c r="W81" s="77">
        <f t="shared" ref="W81:W90" si="58">V81</f>
        <v>0</v>
      </c>
    </row>
    <row r="82" spans="1:23" ht="13.9" customHeight="1">
      <c r="A82" s="10"/>
      <c r="B82" s="23">
        <v>312001</v>
      </c>
      <c r="C82" s="23" t="s">
        <v>72</v>
      </c>
      <c r="D82" s="75">
        <v>519878</v>
      </c>
      <c r="E82" s="75">
        <v>550791</v>
      </c>
      <c r="F82" s="75">
        <v>508735</v>
      </c>
      <c r="G82" s="75">
        <v>572208</v>
      </c>
      <c r="H82" s="75">
        <v>605033</v>
      </c>
      <c r="I82" s="75">
        <v>7875</v>
      </c>
      <c r="J82" s="75"/>
      <c r="K82" s="75">
        <v>14270</v>
      </c>
      <c r="L82" s="75">
        <v>47154</v>
      </c>
      <c r="M82" s="75">
        <f t="shared" si="52"/>
        <v>674332</v>
      </c>
      <c r="N82" s="75">
        <v>153990</v>
      </c>
      <c r="O82" s="76">
        <f t="shared" si="53"/>
        <v>0.22835932448704793</v>
      </c>
      <c r="P82" s="75">
        <v>303690</v>
      </c>
      <c r="Q82" s="76">
        <f t="shared" si="54"/>
        <v>0.45035679754186364</v>
      </c>
      <c r="R82" s="75">
        <v>469218</v>
      </c>
      <c r="S82" s="76">
        <f t="shared" si="55"/>
        <v>0.69582638818860743</v>
      </c>
      <c r="T82" s="75">
        <v>677361</v>
      </c>
      <c r="U82" s="76">
        <f t="shared" si="56"/>
        <v>1.0044918526779094</v>
      </c>
      <c r="V82" s="77">
        <f t="shared" si="57"/>
        <v>605033</v>
      </c>
      <c r="W82" s="77">
        <f t="shared" si="58"/>
        <v>605033</v>
      </c>
    </row>
    <row r="83" spans="1:23" ht="13.9" customHeight="1">
      <c r="A83" s="10"/>
      <c r="B83" s="23">
        <v>312001</v>
      </c>
      <c r="C83" s="23" t="s">
        <v>73</v>
      </c>
      <c r="D83" s="75">
        <v>1850</v>
      </c>
      <c r="E83" s="75">
        <v>1800</v>
      </c>
      <c r="F83" s="75">
        <v>1800</v>
      </c>
      <c r="G83" s="75">
        <v>2220</v>
      </c>
      <c r="H83" s="75">
        <v>1500</v>
      </c>
      <c r="I83" s="75"/>
      <c r="J83" s="75"/>
      <c r="K83" s="75"/>
      <c r="L83" s="75"/>
      <c r="M83" s="75">
        <f t="shared" si="52"/>
        <v>1500</v>
      </c>
      <c r="N83" s="75">
        <v>1000</v>
      </c>
      <c r="O83" s="76">
        <f t="shared" si="53"/>
        <v>0.66666666666666663</v>
      </c>
      <c r="P83" s="75">
        <v>1000</v>
      </c>
      <c r="Q83" s="76">
        <f t="shared" si="54"/>
        <v>0.66666666666666663</v>
      </c>
      <c r="R83" s="75">
        <v>1000</v>
      </c>
      <c r="S83" s="76">
        <f t="shared" si="55"/>
        <v>0.66666666666666663</v>
      </c>
      <c r="T83" s="75">
        <v>1250</v>
      </c>
      <c r="U83" s="76">
        <f t="shared" si="56"/>
        <v>0.83333333333333337</v>
      </c>
      <c r="V83" s="77">
        <f t="shared" si="57"/>
        <v>1500</v>
      </c>
      <c r="W83" s="77">
        <f t="shared" si="58"/>
        <v>1500</v>
      </c>
    </row>
    <row r="84" spans="1:23" ht="13.9" customHeight="1">
      <c r="A84" s="10"/>
      <c r="B84" s="23">
        <v>312001</v>
      </c>
      <c r="C84" s="23" t="s">
        <v>74</v>
      </c>
      <c r="D84" s="75">
        <v>19507</v>
      </c>
      <c r="E84" s="75">
        <v>19507</v>
      </c>
      <c r="F84" s="75">
        <v>19500</v>
      </c>
      <c r="G84" s="75">
        <v>19805</v>
      </c>
      <c r="H84" s="75">
        <v>23002</v>
      </c>
      <c r="I84" s="75"/>
      <c r="J84" s="75"/>
      <c r="K84" s="75"/>
      <c r="L84" s="75"/>
      <c r="M84" s="75">
        <f t="shared" si="52"/>
        <v>23002</v>
      </c>
      <c r="N84" s="75">
        <v>7372</v>
      </c>
      <c r="O84" s="76">
        <f t="shared" si="53"/>
        <v>0.32049387009825231</v>
      </c>
      <c r="P84" s="75">
        <v>14746</v>
      </c>
      <c r="Q84" s="76">
        <f t="shared" si="54"/>
        <v>0.64107468915746457</v>
      </c>
      <c r="R84" s="75">
        <v>23002</v>
      </c>
      <c r="S84" s="76">
        <f t="shared" si="55"/>
        <v>1</v>
      </c>
      <c r="T84" s="75">
        <v>23002</v>
      </c>
      <c r="U84" s="76">
        <f t="shared" si="56"/>
        <v>1</v>
      </c>
      <c r="V84" s="77">
        <f t="shared" si="57"/>
        <v>23002</v>
      </c>
      <c r="W84" s="77">
        <f t="shared" si="58"/>
        <v>23002</v>
      </c>
    </row>
    <row r="85" spans="1:23" ht="13.9" customHeight="1">
      <c r="A85" s="10"/>
      <c r="B85" s="23">
        <v>312001</v>
      </c>
      <c r="C85" s="23" t="s">
        <v>75</v>
      </c>
      <c r="D85" s="75">
        <f>5741+998</f>
        <v>6739</v>
      </c>
      <c r="E85" s="75">
        <f>5958+691</f>
        <v>6649</v>
      </c>
      <c r="F85" s="75">
        <f>5900+1152</f>
        <v>7052</v>
      </c>
      <c r="G85" s="75">
        <v>6938</v>
      </c>
      <c r="H85" s="75">
        <v>6880</v>
      </c>
      <c r="I85" s="75"/>
      <c r="J85" s="75"/>
      <c r="K85" s="75"/>
      <c r="L85" s="75"/>
      <c r="M85" s="75">
        <f t="shared" si="52"/>
        <v>6880</v>
      </c>
      <c r="N85" s="75">
        <v>2064</v>
      </c>
      <c r="O85" s="76">
        <f t="shared" si="53"/>
        <v>0.3</v>
      </c>
      <c r="P85" s="75">
        <v>4128</v>
      </c>
      <c r="Q85" s="76">
        <f t="shared" si="54"/>
        <v>0.6</v>
      </c>
      <c r="R85" s="75">
        <v>4128</v>
      </c>
      <c r="S85" s="76">
        <f t="shared" si="55"/>
        <v>0.6</v>
      </c>
      <c r="T85" s="75">
        <v>6893</v>
      </c>
      <c r="U85" s="76">
        <f t="shared" si="56"/>
        <v>1.0018895348837209</v>
      </c>
      <c r="V85" s="77">
        <f t="shared" si="57"/>
        <v>6880</v>
      </c>
      <c r="W85" s="77">
        <f t="shared" si="58"/>
        <v>6880</v>
      </c>
    </row>
    <row r="86" spans="1:23" ht="13.9" customHeight="1">
      <c r="A86" s="10"/>
      <c r="B86" s="23">
        <v>312001</v>
      </c>
      <c r="C86" s="23" t="s">
        <v>76</v>
      </c>
      <c r="D86" s="75">
        <v>40885.199999999997</v>
      </c>
      <c r="E86" s="75">
        <v>42145</v>
      </c>
      <c r="F86" s="75">
        <v>10000</v>
      </c>
      <c r="G86" s="75">
        <v>5787.6</v>
      </c>
      <c r="H86" s="75">
        <v>3167</v>
      </c>
      <c r="I86" s="75"/>
      <c r="J86" s="75">
        <v>14658</v>
      </c>
      <c r="K86" s="75">
        <v>24305</v>
      </c>
      <c r="L86" s="75"/>
      <c r="M86" s="75">
        <f t="shared" si="52"/>
        <v>42130</v>
      </c>
      <c r="N86" s="75">
        <v>2059.1999999999998</v>
      </c>
      <c r="O86" s="76">
        <f t="shared" si="53"/>
        <v>4.8877284595300254E-2</v>
      </c>
      <c r="P86" s="75">
        <v>16717.2</v>
      </c>
      <c r="Q86" s="76">
        <f t="shared" si="54"/>
        <v>0.3968003797768811</v>
      </c>
      <c r="R86" s="75">
        <v>41022.800000000003</v>
      </c>
      <c r="S86" s="76">
        <f t="shared" si="55"/>
        <v>0.97371943982910047</v>
      </c>
      <c r="T86" s="75">
        <v>41022.800000000003</v>
      </c>
      <c r="U86" s="76">
        <f t="shared" si="56"/>
        <v>0.97371943982910047</v>
      </c>
      <c r="V86" s="77">
        <f t="shared" si="57"/>
        <v>3167</v>
      </c>
      <c r="W86" s="77">
        <f t="shared" si="58"/>
        <v>3167</v>
      </c>
    </row>
    <row r="87" spans="1:23" ht="13.9" customHeight="1">
      <c r="A87" s="10"/>
      <c r="B87" s="23">
        <v>312001</v>
      </c>
      <c r="C87" s="23" t="s">
        <v>77</v>
      </c>
      <c r="D87" s="75">
        <v>514.6</v>
      </c>
      <c r="E87" s="75">
        <v>365.2</v>
      </c>
      <c r="F87" s="75">
        <v>365</v>
      </c>
      <c r="G87" s="75">
        <v>415</v>
      </c>
      <c r="H87" s="75">
        <v>415</v>
      </c>
      <c r="I87" s="75"/>
      <c r="J87" s="75"/>
      <c r="K87" s="75"/>
      <c r="L87" s="75"/>
      <c r="M87" s="75">
        <f t="shared" si="52"/>
        <v>415</v>
      </c>
      <c r="N87" s="75">
        <v>182.6</v>
      </c>
      <c r="O87" s="76">
        <f t="shared" si="53"/>
        <v>0.44</v>
      </c>
      <c r="P87" s="75">
        <v>182.6</v>
      </c>
      <c r="Q87" s="76">
        <f t="shared" si="54"/>
        <v>0.44</v>
      </c>
      <c r="R87" s="75">
        <v>315.39999999999998</v>
      </c>
      <c r="S87" s="76">
        <f t="shared" si="55"/>
        <v>0.7599999999999999</v>
      </c>
      <c r="T87" s="75">
        <v>315.39999999999998</v>
      </c>
      <c r="U87" s="76">
        <f t="shared" si="56"/>
        <v>0.7599999999999999</v>
      </c>
      <c r="V87" s="77">
        <f t="shared" si="57"/>
        <v>415</v>
      </c>
      <c r="W87" s="77">
        <f t="shared" si="58"/>
        <v>415</v>
      </c>
    </row>
    <row r="88" spans="1:23" ht="13.9" customHeight="1">
      <c r="A88" s="10"/>
      <c r="B88" s="23">
        <v>312001</v>
      </c>
      <c r="C88" s="23" t="s">
        <v>78</v>
      </c>
      <c r="D88" s="75">
        <v>15596</v>
      </c>
      <c r="E88" s="75">
        <v>20806</v>
      </c>
      <c r="F88" s="75">
        <v>6700</v>
      </c>
      <c r="G88" s="75">
        <f>9960+14756+376+450</f>
        <v>25542</v>
      </c>
      <c r="H88" s="75">
        <v>8750</v>
      </c>
      <c r="I88" s="75">
        <v>1689</v>
      </c>
      <c r="J88" s="75">
        <v>5500</v>
      </c>
      <c r="K88" s="75">
        <v>3364</v>
      </c>
      <c r="L88" s="75">
        <f>2000+8040</f>
        <v>10040</v>
      </c>
      <c r="M88" s="75">
        <f t="shared" si="52"/>
        <v>29343</v>
      </c>
      <c r="N88" s="75">
        <v>10439</v>
      </c>
      <c r="O88" s="76">
        <f t="shared" si="53"/>
        <v>0.35575776164673006</v>
      </c>
      <c r="P88" s="75">
        <v>12354</v>
      </c>
      <c r="Q88" s="76">
        <f t="shared" si="54"/>
        <v>0.42102034556793783</v>
      </c>
      <c r="R88" s="75">
        <v>15718</v>
      </c>
      <c r="S88" s="76">
        <f t="shared" si="55"/>
        <v>0.53566438332822142</v>
      </c>
      <c r="T88" s="75">
        <v>30417.64</v>
      </c>
      <c r="U88" s="76">
        <f t="shared" si="56"/>
        <v>1.0366233854752411</v>
      </c>
      <c r="V88" s="77">
        <f t="shared" si="57"/>
        <v>8750</v>
      </c>
      <c r="W88" s="77">
        <f t="shared" si="58"/>
        <v>8750</v>
      </c>
    </row>
    <row r="89" spans="1:23" ht="13.9" customHeight="1">
      <c r="A89" s="10"/>
      <c r="B89" s="23">
        <v>312001</v>
      </c>
      <c r="C89" s="23" t="s">
        <v>79</v>
      </c>
      <c r="D89" s="75">
        <v>4534</v>
      </c>
      <c r="E89" s="75">
        <v>9055</v>
      </c>
      <c r="F89" s="75">
        <v>4653</v>
      </c>
      <c r="G89" s="75">
        <v>15975</v>
      </c>
      <c r="H89" s="75">
        <v>17612</v>
      </c>
      <c r="I89" s="75"/>
      <c r="J89" s="75"/>
      <c r="K89" s="75"/>
      <c r="L89" s="75">
        <v>4734</v>
      </c>
      <c r="M89" s="75">
        <f t="shared" si="52"/>
        <v>22346</v>
      </c>
      <c r="N89" s="75">
        <v>5871</v>
      </c>
      <c r="O89" s="76">
        <f t="shared" si="53"/>
        <v>0.26273158507115368</v>
      </c>
      <c r="P89" s="75">
        <v>11741</v>
      </c>
      <c r="Q89" s="76">
        <f t="shared" si="54"/>
        <v>0.5254184194039202</v>
      </c>
      <c r="R89" s="75">
        <v>11741</v>
      </c>
      <c r="S89" s="76">
        <f t="shared" si="55"/>
        <v>0.5254184194039202</v>
      </c>
      <c r="T89" s="75">
        <v>22348</v>
      </c>
      <c r="U89" s="76">
        <f t="shared" si="56"/>
        <v>1.0000895014767743</v>
      </c>
      <c r="V89" s="77">
        <f t="shared" si="57"/>
        <v>17612</v>
      </c>
      <c r="W89" s="77">
        <f t="shared" si="58"/>
        <v>17612</v>
      </c>
    </row>
    <row r="90" spans="1:23" ht="13.9" customHeight="1">
      <c r="A90" s="10"/>
      <c r="B90" s="23">
        <v>312001</v>
      </c>
      <c r="C90" s="23" t="s">
        <v>80</v>
      </c>
      <c r="D90" s="75">
        <v>4487.71</v>
      </c>
      <c r="E90" s="75">
        <v>7171.9</v>
      </c>
      <c r="F90" s="75">
        <v>7172</v>
      </c>
      <c r="G90" s="75">
        <v>7879.27</v>
      </c>
      <c r="H90" s="75">
        <v>7880</v>
      </c>
      <c r="I90" s="75"/>
      <c r="J90" s="75"/>
      <c r="K90" s="75">
        <v>849</v>
      </c>
      <c r="L90" s="75">
        <v>480</v>
      </c>
      <c r="M90" s="75">
        <f t="shared" si="52"/>
        <v>9209</v>
      </c>
      <c r="N90" s="75">
        <v>1891.5</v>
      </c>
      <c r="O90" s="76">
        <f t="shared" si="53"/>
        <v>0.20539689434249103</v>
      </c>
      <c r="P90" s="75">
        <v>5117</v>
      </c>
      <c r="Q90" s="76">
        <f t="shared" si="54"/>
        <v>0.55565207948745787</v>
      </c>
      <c r="R90" s="75">
        <v>7844.1</v>
      </c>
      <c r="S90" s="76">
        <f t="shared" si="55"/>
        <v>0.85178629601476819</v>
      </c>
      <c r="T90" s="75">
        <v>9209.2999999999993</v>
      </c>
      <c r="U90" s="76">
        <f t="shared" si="56"/>
        <v>1.0000325768270171</v>
      </c>
      <c r="V90" s="77">
        <f t="shared" si="57"/>
        <v>7880</v>
      </c>
      <c r="W90" s="77">
        <f t="shared" si="58"/>
        <v>7880</v>
      </c>
    </row>
    <row r="91" spans="1:23" ht="13.9" hidden="1" customHeight="1">
      <c r="A91" s="10"/>
      <c r="B91" s="23">
        <v>312001</v>
      </c>
      <c r="C91" s="23" t="s">
        <v>81</v>
      </c>
      <c r="D91" s="75">
        <v>5700</v>
      </c>
      <c r="E91" s="75">
        <v>5765.41</v>
      </c>
      <c r="F91" s="75">
        <v>0</v>
      </c>
      <c r="G91" s="75">
        <v>0</v>
      </c>
      <c r="H91" s="75">
        <v>0</v>
      </c>
      <c r="I91" s="75"/>
      <c r="J91" s="75"/>
      <c r="K91" s="75"/>
      <c r="L91" s="75"/>
      <c r="M91" s="75">
        <f t="shared" si="52"/>
        <v>0</v>
      </c>
      <c r="N91" s="75">
        <v>0</v>
      </c>
      <c r="O91" s="76" t="e">
        <f t="shared" si="53"/>
        <v>#DIV/0!</v>
      </c>
      <c r="P91" s="75">
        <v>0</v>
      </c>
      <c r="Q91" s="76" t="e">
        <f t="shared" si="54"/>
        <v>#DIV/0!</v>
      </c>
      <c r="R91" s="75">
        <v>0</v>
      </c>
      <c r="S91" s="76" t="e">
        <f t="shared" si="55"/>
        <v>#DIV/0!</v>
      </c>
      <c r="T91" s="75"/>
      <c r="U91" s="76" t="e">
        <f t="shared" si="56"/>
        <v>#DIV/0!</v>
      </c>
      <c r="V91" s="77">
        <v>0</v>
      </c>
      <c r="W91" s="77">
        <v>0</v>
      </c>
    </row>
    <row r="92" spans="1:23" ht="13.9" customHeight="1">
      <c r="A92" s="10"/>
      <c r="B92" s="23">
        <v>312001</v>
      </c>
      <c r="C92" s="23" t="s">
        <v>82</v>
      </c>
      <c r="D92" s="75">
        <v>2202.92</v>
      </c>
      <c r="E92" s="75">
        <v>0</v>
      </c>
      <c r="F92" s="75">
        <v>3020</v>
      </c>
      <c r="G92" s="75">
        <v>5697.82</v>
      </c>
      <c r="H92" s="75">
        <v>2855</v>
      </c>
      <c r="I92" s="75"/>
      <c r="J92" s="75"/>
      <c r="K92" s="75">
        <v>378</v>
      </c>
      <c r="L92" s="75"/>
      <c r="M92" s="75">
        <f t="shared" si="52"/>
        <v>3233</v>
      </c>
      <c r="N92" s="75">
        <v>680</v>
      </c>
      <c r="O92" s="76">
        <f t="shared" si="53"/>
        <v>0.21033096195484072</v>
      </c>
      <c r="P92" s="75">
        <v>680</v>
      </c>
      <c r="Q92" s="76">
        <f t="shared" si="54"/>
        <v>0.21033096195484072</v>
      </c>
      <c r="R92" s="75">
        <v>3232.62</v>
      </c>
      <c r="S92" s="76">
        <f t="shared" si="55"/>
        <v>0.99988246210949583</v>
      </c>
      <c r="T92" s="75">
        <v>3232.62</v>
      </c>
      <c r="U92" s="76">
        <f t="shared" si="56"/>
        <v>0.99988246210949583</v>
      </c>
      <c r="V92" s="77">
        <f>H92</f>
        <v>2855</v>
      </c>
      <c r="W92" s="77">
        <v>0</v>
      </c>
    </row>
    <row r="93" spans="1:23" ht="13.9" customHeight="1">
      <c r="A93" s="10"/>
      <c r="B93" s="23">
        <v>312001</v>
      </c>
      <c r="C93" s="23" t="s">
        <v>83</v>
      </c>
      <c r="D93" s="75">
        <v>44092</v>
      </c>
      <c r="E93" s="75">
        <v>46683</v>
      </c>
      <c r="F93" s="75">
        <v>50112</v>
      </c>
      <c r="G93" s="75">
        <f>50112+4234.33+3600</f>
        <v>57946.33</v>
      </c>
      <c r="H93" s="75">
        <v>44220</v>
      </c>
      <c r="I93" s="75"/>
      <c r="J93" s="75"/>
      <c r="K93" s="75">
        <v>1354</v>
      </c>
      <c r="L93" s="75"/>
      <c r="M93" s="75">
        <f t="shared" si="52"/>
        <v>45574</v>
      </c>
      <c r="N93" s="75">
        <v>10903.56</v>
      </c>
      <c r="O93" s="76">
        <f t="shared" si="53"/>
        <v>0.23924957212445691</v>
      </c>
      <c r="P93" s="75">
        <v>21928.27</v>
      </c>
      <c r="Q93" s="76">
        <f t="shared" si="54"/>
        <v>0.48115745819985078</v>
      </c>
      <c r="R93" s="75">
        <v>33751.269999999997</v>
      </c>
      <c r="S93" s="76">
        <f t="shared" si="55"/>
        <v>0.74058169131522356</v>
      </c>
      <c r="T93" s="75">
        <v>45574.27</v>
      </c>
      <c r="U93" s="76">
        <f t="shared" si="56"/>
        <v>1.0000059244305963</v>
      </c>
      <c r="V93" s="77">
        <f>H93</f>
        <v>44220</v>
      </c>
      <c r="W93" s="77">
        <f t="shared" ref="W93:W99" si="59">V93</f>
        <v>44220</v>
      </c>
    </row>
    <row r="94" spans="1:23" ht="13.9" customHeight="1">
      <c r="A94" s="10"/>
      <c r="B94" s="23">
        <v>312001</v>
      </c>
      <c r="C94" s="23" t="s">
        <v>84</v>
      </c>
      <c r="D94" s="75"/>
      <c r="E94" s="75"/>
      <c r="F94" s="75"/>
      <c r="G94" s="75"/>
      <c r="H94" s="75">
        <v>0</v>
      </c>
      <c r="I94" s="75">
        <v>16000</v>
      </c>
      <c r="J94" s="75"/>
      <c r="K94" s="75"/>
      <c r="L94" s="75"/>
      <c r="M94" s="75">
        <f t="shared" si="52"/>
        <v>16000</v>
      </c>
      <c r="N94" s="75">
        <v>16000</v>
      </c>
      <c r="O94" s="76">
        <f t="shared" si="53"/>
        <v>1</v>
      </c>
      <c r="P94" s="75">
        <v>16000</v>
      </c>
      <c r="Q94" s="76">
        <f t="shared" si="54"/>
        <v>1</v>
      </c>
      <c r="R94" s="75">
        <v>16000</v>
      </c>
      <c r="S94" s="76">
        <f t="shared" si="55"/>
        <v>1</v>
      </c>
      <c r="T94" s="75">
        <v>16000</v>
      </c>
      <c r="U94" s="76">
        <f t="shared" si="56"/>
        <v>1</v>
      </c>
      <c r="V94" s="77">
        <f>H94</f>
        <v>0</v>
      </c>
      <c r="W94" s="77">
        <f t="shared" si="59"/>
        <v>0</v>
      </c>
    </row>
    <row r="95" spans="1:23" ht="13.9" customHeight="1">
      <c r="A95" s="10"/>
      <c r="B95" s="23">
        <v>312001</v>
      </c>
      <c r="C95" s="23" t="s">
        <v>85</v>
      </c>
      <c r="D95" s="75">
        <v>31465.95</v>
      </c>
      <c r="E95" s="75">
        <v>0</v>
      </c>
      <c r="F95" s="75">
        <v>0</v>
      </c>
      <c r="G95" s="75">
        <v>6454.99</v>
      </c>
      <c r="H95" s="75">
        <v>0</v>
      </c>
      <c r="I95" s="75">
        <v>1835</v>
      </c>
      <c r="J95" s="75"/>
      <c r="K95" s="75"/>
      <c r="L95" s="75"/>
      <c r="M95" s="75">
        <f t="shared" si="52"/>
        <v>1835</v>
      </c>
      <c r="N95" s="75">
        <v>1835.3</v>
      </c>
      <c r="O95" s="76">
        <f t="shared" si="53"/>
        <v>1.0001634877384196</v>
      </c>
      <c r="P95" s="75">
        <v>1835.3</v>
      </c>
      <c r="Q95" s="76">
        <f t="shared" si="54"/>
        <v>1.0001634877384196</v>
      </c>
      <c r="R95" s="75">
        <v>1835.3</v>
      </c>
      <c r="S95" s="76">
        <f t="shared" si="55"/>
        <v>1.0001634877384196</v>
      </c>
      <c r="T95" s="75">
        <v>1835.3</v>
      </c>
      <c r="U95" s="76">
        <f t="shared" si="56"/>
        <v>1.0001634877384196</v>
      </c>
      <c r="V95" s="75">
        <f>výdaje!Y336</f>
        <v>0</v>
      </c>
      <c r="W95" s="77">
        <f t="shared" si="59"/>
        <v>0</v>
      </c>
    </row>
    <row r="96" spans="1:23" ht="13.9" customHeight="1">
      <c r="A96" s="10"/>
      <c r="B96" s="23">
        <v>312001</v>
      </c>
      <c r="C96" s="23" t="s">
        <v>86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/>
      <c r="J96" s="75">
        <v>9040</v>
      </c>
      <c r="K96" s="75">
        <v>5591</v>
      </c>
      <c r="L96" s="75">
        <v>4135</v>
      </c>
      <c r="M96" s="75">
        <f t="shared" si="52"/>
        <v>18766</v>
      </c>
      <c r="N96" s="75">
        <v>0</v>
      </c>
      <c r="O96" s="76">
        <f t="shared" si="53"/>
        <v>0</v>
      </c>
      <c r="P96" s="75">
        <v>9040.35</v>
      </c>
      <c r="Q96" s="76">
        <f t="shared" si="54"/>
        <v>0.48174091441969519</v>
      </c>
      <c r="R96" s="75">
        <v>14631.03</v>
      </c>
      <c r="S96" s="76">
        <f t="shared" si="55"/>
        <v>0.77965629329638708</v>
      </c>
      <c r="T96" s="75">
        <v>18765.39</v>
      </c>
      <c r="U96" s="76">
        <f t="shared" si="56"/>
        <v>0.99996749440477462</v>
      </c>
      <c r="V96" s="75">
        <f>výdaje!Y337</f>
        <v>2450</v>
      </c>
      <c r="W96" s="77">
        <f t="shared" si="59"/>
        <v>2450</v>
      </c>
    </row>
    <row r="97" spans="1:23" ht="13.9" customHeight="1">
      <c r="A97" s="10"/>
      <c r="B97" s="23">
        <v>312001</v>
      </c>
      <c r="C97" s="23" t="s">
        <v>87</v>
      </c>
      <c r="D97" s="75">
        <v>0</v>
      </c>
      <c r="E97" s="75">
        <v>0</v>
      </c>
      <c r="F97" s="75">
        <v>0</v>
      </c>
      <c r="G97" s="75">
        <v>22985.5</v>
      </c>
      <c r="H97" s="75">
        <v>1362</v>
      </c>
      <c r="I97" s="75">
        <v>2100</v>
      </c>
      <c r="J97" s="75">
        <v>15430</v>
      </c>
      <c r="K97" s="75">
        <f>4092+7523</f>
        <v>11615</v>
      </c>
      <c r="L97" s="75">
        <v>14353</v>
      </c>
      <c r="M97" s="75">
        <f t="shared" si="52"/>
        <v>44860</v>
      </c>
      <c r="N97" s="75">
        <v>3462</v>
      </c>
      <c r="O97" s="76">
        <f t="shared" si="53"/>
        <v>7.7173428444048148E-2</v>
      </c>
      <c r="P97" s="75">
        <v>18892</v>
      </c>
      <c r="Q97" s="76">
        <f t="shared" si="54"/>
        <v>0.42113241194828355</v>
      </c>
      <c r="R97" s="75">
        <v>30507</v>
      </c>
      <c r="S97" s="76">
        <f t="shared" si="55"/>
        <v>0.68004904146232725</v>
      </c>
      <c r="T97" s="75">
        <v>53518</v>
      </c>
      <c r="U97" s="76">
        <f t="shared" si="56"/>
        <v>1.1930004458314758</v>
      </c>
      <c r="V97" s="75">
        <v>0</v>
      </c>
      <c r="W97" s="77">
        <f t="shared" si="59"/>
        <v>0</v>
      </c>
    </row>
    <row r="98" spans="1:23" ht="13.9" customHeight="1">
      <c r="A98" s="10"/>
      <c r="B98" s="23">
        <v>312001</v>
      </c>
      <c r="C98" s="23" t="s">
        <v>88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/>
      <c r="J98" s="75"/>
      <c r="K98" s="75">
        <v>59800</v>
      </c>
      <c r="L98" s="75"/>
      <c r="M98" s="75">
        <f t="shared" si="52"/>
        <v>59800</v>
      </c>
      <c r="N98" s="75">
        <v>0</v>
      </c>
      <c r="O98" s="76">
        <f t="shared" si="53"/>
        <v>0</v>
      </c>
      <c r="P98" s="75">
        <v>0</v>
      </c>
      <c r="Q98" s="76">
        <f t="shared" si="54"/>
        <v>0</v>
      </c>
      <c r="R98" s="75">
        <v>59800</v>
      </c>
      <c r="S98" s="76">
        <f t="shared" si="55"/>
        <v>1</v>
      </c>
      <c r="T98" s="75">
        <v>59800</v>
      </c>
      <c r="U98" s="76">
        <f t="shared" si="56"/>
        <v>1</v>
      </c>
      <c r="V98" s="75">
        <v>0</v>
      </c>
      <c r="W98" s="77">
        <f t="shared" si="59"/>
        <v>0</v>
      </c>
    </row>
    <row r="99" spans="1:23" ht="13.9" hidden="1" customHeight="1">
      <c r="A99" s="10"/>
      <c r="B99" s="23">
        <v>312012</v>
      </c>
      <c r="C99" s="23" t="s">
        <v>89</v>
      </c>
      <c r="D99" s="75">
        <v>0</v>
      </c>
      <c r="E99" s="75">
        <v>0</v>
      </c>
      <c r="F99" s="75">
        <v>0</v>
      </c>
      <c r="G99" s="75">
        <v>1349.5</v>
      </c>
      <c r="H99" s="75">
        <v>0</v>
      </c>
      <c r="I99" s="75"/>
      <c r="J99" s="75"/>
      <c r="K99" s="75"/>
      <c r="L99" s="75"/>
      <c r="M99" s="75">
        <f t="shared" si="52"/>
        <v>0</v>
      </c>
      <c r="N99" s="75">
        <v>0</v>
      </c>
      <c r="O99" s="76" t="e">
        <f t="shared" si="53"/>
        <v>#DIV/0!</v>
      </c>
      <c r="P99" s="75">
        <v>0</v>
      </c>
      <c r="Q99" s="76" t="e">
        <f t="shared" si="54"/>
        <v>#DIV/0!</v>
      </c>
      <c r="R99" s="75">
        <v>0</v>
      </c>
      <c r="S99" s="76" t="e">
        <f t="shared" si="55"/>
        <v>#DIV/0!</v>
      </c>
      <c r="T99" s="75"/>
      <c r="U99" s="76" t="e">
        <f t="shared" si="56"/>
        <v>#DIV/0!</v>
      </c>
      <c r="V99" s="75">
        <f>výdaje!Y339</f>
        <v>24</v>
      </c>
      <c r="W99" s="77">
        <f t="shared" si="59"/>
        <v>24</v>
      </c>
    </row>
    <row r="100" spans="1:23" ht="13.9" customHeight="1">
      <c r="A100" s="10"/>
      <c r="B100" s="23">
        <v>312012</v>
      </c>
      <c r="C100" s="23" t="s">
        <v>90</v>
      </c>
      <c r="D100" s="75"/>
      <c r="E100" s="75"/>
      <c r="F100" s="75"/>
      <c r="G100" s="75"/>
      <c r="H100" s="75">
        <v>0</v>
      </c>
      <c r="I100" s="75"/>
      <c r="J100" s="75"/>
      <c r="K100" s="75"/>
      <c r="L100" s="75">
        <v>40900</v>
      </c>
      <c r="M100" s="75">
        <f t="shared" si="52"/>
        <v>40900</v>
      </c>
      <c r="N100" s="75">
        <v>0</v>
      </c>
      <c r="O100" s="76">
        <f t="shared" si="53"/>
        <v>0</v>
      </c>
      <c r="P100" s="75">
        <v>0</v>
      </c>
      <c r="Q100" s="76">
        <f t="shared" si="54"/>
        <v>0</v>
      </c>
      <c r="R100" s="75">
        <v>0</v>
      </c>
      <c r="S100" s="76">
        <f t="shared" si="55"/>
        <v>0</v>
      </c>
      <c r="T100" s="75">
        <v>40900.31</v>
      </c>
      <c r="U100" s="76">
        <f t="shared" si="56"/>
        <v>1.0000075794621026</v>
      </c>
      <c r="V100" s="75"/>
      <c r="W100" s="77"/>
    </row>
    <row r="101" spans="1:23" ht="13.9" customHeight="1">
      <c r="A101" s="10"/>
      <c r="B101" s="23">
        <v>312012</v>
      </c>
      <c r="C101" s="23" t="s">
        <v>91</v>
      </c>
      <c r="D101" s="75">
        <v>4584.09</v>
      </c>
      <c r="E101" s="75">
        <v>4105.09</v>
      </c>
      <c r="F101" s="75">
        <v>4105</v>
      </c>
      <c r="G101" s="75">
        <v>4116.1499999999996</v>
      </c>
      <c r="H101" s="75">
        <v>4116</v>
      </c>
      <c r="I101" s="75"/>
      <c r="J101" s="75">
        <v>713</v>
      </c>
      <c r="K101" s="75"/>
      <c r="L101" s="75"/>
      <c r="M101" s="75">
        <f t="shared" si="52"/>
        <v>4829</v>
      </c>
      <c r="N101" s="75">
        <v>0</v>
      </c>
      <c r="O101" s="76">
        <f t="shared" si="53"/>
        <v>0</v>
      </c>
      <c r="P101" s="75">
        <v>4829.17</v>
      </c>
      <c r="Q101" s="76">
        <f t="shared" si="54"/>
        <v>1.0000352039759786</v>
      </c>
      <c r="R101" s="75">
        <v>4829.17</v>
      </c>
      <c r="S101" s="76">
        <f t="shared" si="55"/>
        <v>1.0000352039759786</v>
      </c>
      <c r="T101" s="75">
        <v>4829.17</v>
      </c>
      <c r="U101" s="76">
        <f t="shared" si="56"/>
        <v>1.0000352039759786</v>
      </c>
      <c r="V101" s="77">
        <f t="shared" ref="V101:V106" si="60">H101</f>
        <v>4116</v>
      </c>
      <c r="W101" s="77">
        <f t="shared" ref="W101:W106" si="61">V101</f>
        <v>4116</v>
      </c>
    </row>
    <row r="102" spans="1:23" ht="13.9" customHeight="1">
      <c r="A102" s="10"/>
      <c r="B102" s="23">
        <v>312012</v>
      </c>
      <c r="C102" s="23" t="s">
        <v>92</v>
      </c>
      <c r="D102" s="75">
        <v>135.65</v>
      </c>
      <c r="E102" s="75">
        <v>136.86000000000001</v>
      </c>
      <c r="F102" s="75">
        <v>137</v>
      </c>
      <c r="G102" s="75">
        <v>137.29</v>
      </c>
      <c r="H102" s="75">
        <v>138</v>
      </c>
      <c r="I102" s="75"/>
      <c r="J102" s="75"/>
      <c r="K102" s="75"/>
      <c r="L102" s="75"/>
      <c r="M102" s="75">
        <f t="shared" si="52"/>
        <v>138</v>
      </c>
      <c r="N102" s="75">
        <v>0</v>
      </c>
      <c r="O102" s="76">
        <f t="shared" si="53"/>
        <v>0</v>
      </c>
      <c r="P102" s="75">
        <v>137.55000000000001</v>
      </c>
      <c r="Q102" s="76">
        <f t="shared" si="54"/>
        <v>0.99673913043478268</v>
      </c>
      <c r="R102" s="75">
        <v>137.55000000000001</v>
      </c>
      <c r="S102" s="76">
        <f t="shared" si="55"/>
        <v>0.99673913043478268</v>
      </c>
      <c r="T102" s="75">
        <v>137.55000000000001</v>
      </c>
      <c r="U102" s="76">
        <f t="shared" si="56"/>
        <v>0.99673913043478268</v>
      </c>
      <c r="V102" s="77">
        <f t="shared" si="60"/>
        <v>138</v>
      </c>
      <c r="W102" s="77">
        <f t="shared" si="61"/>
        <v>138</v>
      </c>
    </row>
    <row r="103" spans="1:23" ht="13.9" customHeight="1">
      <c r="A103" s="10"/>
      <c r="B103" s="23">
        <v>312012</v>
      </c>
      <c r="C103" s="23" t="s">
        <v>93</v>
      </c>
      <c r="D103" s="75">
        <v>298.29000000000002</v>
      </c>
      <c r="E103" s="75">
        <v>310.47000000000003</v>
      </c>
      <c r="F103" s="75">
        <v>310</v>
      </c>
      <c r="G103" s="75">
        <v>318.27</v>
      </c>
      <c r="H103" s="75">
        <v>352</v>
      </c>
      <c r="I103" s="75"/>
      <c r="J103" s="75"/>
      <c r="K103" s="75"/>
      <c r="L103" s="75"/>
      <c r="M103" s="75">
        <f t="shared" si="52"/>
        <v>352</v>
      </c>
      <c r="N103" s="75">
        <v>0</v>
      </c>
      <c r="O103" s="76">
        <f t="shared" si="53"/>
        <v>0</v>
      </c>
      <c r="P103" s="75">
        <v>352.33</v>
      </c>
      <c r="Q103" s="76">
        <f t="shared" si="54"/>
        <v>1.0009375</v>
      </c>
      <c r="R103" s="75">
        <v>352.33</v>
      </c>
      <c r="S103" s="76">
        <f t="shared" si="55"/>
        <v>1.0009375</v>
      </c>
      <c r="T103" s="75">
        <v>352.33</v>
      </c>
      <c r="U103" s="76">
        <f t="shared" si="56"/>
        <v>1.0009375</v>
      </c>
      <c r="V103" s="77">
        <f t="shared" si="60"/>
        <v>352</v>
      </c>
      <c r="W103" s="77">
        <f t="shared" si="61"/>
        <v>352</v>
      </c>
    </row>
    <row r="104" spans="1:23" ht="13.9" customHeight="1">
      <c r="A104" s="10"/>
      <c r="B104" s="23">
        <v>312012</v>
      </c>
      <c r="C104" s="23" t="s">
        <v>94</v>
      </c>
      <c r="D104" s="75">
        <v>5629.44</v>
      </c>
      <c r="E104" s="75">
        <v>5829.3</v>
      </c>
      <c r="F104" s="75">
        <v>5665</v>
      </c>
      <c r="G104" s="75">
        <v>5546.76</v>
      </c>
      <c r="H104" s="75">
        <v>6083</v>
      </c>
      <c r="I104" s="75"/>
      <c r="J104" s="75"/>
      <c r="K104" s="75"/>
      <c r="L104" s="75"/>
      <c r="M104" s="75">
        <f t="shared" si="52"/>
        <v>6083</v>
      </c>
      <c r="N104" s="75">
        <v>6082.83</v>
      </c>
      <c r="O104" s="76">
        <f t="shared" si="53"/>
        <v>0.9999720532631925</v>
      </c>
      <c r="P104" s="75">
        <v>6082.83</v>
      </c>
      <c r="Q104" s="76">
        <f t="shared" si="54"/>
        <v>0.9999720532631925</v>
      </c>
      <c r="R104" s="75">
        <v>6082.83</v>
      </c>
      <c r="S104" s="76">
        <f t="shared" si="55"/>
        <v>0.9999720532631925</v>
      </c>
      <c r="T104" s="75">
        <v>6082.83</v>
      </c>
      <c r="U104" s="76">
        <f t="shared" si="56"/>
        <v>0.9999720532631925</v>
      </c>
      <c r="V104" s="77">
        <f t="shared" si="60"/>
        <v>6083</v>
      </c>
      <c r="W104" s="77">
        <f t="shared" si="61"/>
        <v>6083</v>
      </c>
    </row>
    <row r="105" spans="1:23" ht="13.9" customHeight="1">
      <c r="A105" s="10"/>
      <c r="B105" s="23">
        <v>312012</v>
      </c>
      <c r="C105" s="23" t="s">
        <v>95</v>
      </c>
      <c r="D105" s="75">
        <v>1071.8</v>
      </c>
      <c r="E105" s="75">
        <v>1082.6400000000001</v>
      </c>
      <c r="F105" s="75">
        <v>1083</v>
      </c>
      <c r="G105" s="75">
        <v>1084.3399999999999</v>
      </c>
      <c r="H105" s="75">
        <v>1094</v>
      </c>
      <c r="I105" s="75"/>
      <c r="J105" s="75"/>
      <c r="K105" s="75"/>
      <c r="L105" s="75"/>
      <c r="M105" s="75">
        <f t="shared" si="52"/>
        <v>1094</v>
      </c>
      <c r="N105" s="75">
        <v>1094.32</v>
      </c>
      <c r="O105" s="76">
        <f t="shared" si="53"/>
        <v>1.0002925045703839</v>
      </c>
      <c r="P105" s="75">
        <v>1094.32</v>
      </c>
      <c r="Q105" s="76">
        <f t="shared" si="54"/>
        <v>1.0002925045703839</v>
      </c>
      <c r="R105" s="75">
        <v>1094.32</v>
      </c>
      <c r="S105" s="76">
        <f t="shared" si="55"/>
        <v>1.0002925045703839</v>
      </c>
      <c r="T105" s="75">
        <v>1094.32</v>
      </c>
      <c r="U105" s="76">
        <f t="shared" si="56"/>
        <v>1.0002925045703839</v>
      </c>
      <c r="V105" s="77">
        <f t="shared" si="60"/>
        <v>1094</v>
      </c>
      <c r="W105" s="77">
        <f t="shared" si="61"/>
        <v>1094</v>
      </c>
    </row>
    <row r="106" spans="1:23" ht="13.9" customHeight="1">
      <c r="A106" s="10"/>
      <c r="B106" s="23">
        <v>312012</v>
      </c>
      <c r="C106" s="23" t="s">
        <v>96</v>
      </c>
      <c r="D106" s="75">
        <v>3073.49</v>
      </c>
      <c r="E106" s="75">
        <v>36480.720000000001</v>
      </c>
      <c r="F106" s="75">
        <v>301</v>
      </c>
      <c r="G106" s="75">
        <v>311.89</v>
      </c>
      <c r="H106" s="75">
        <v>312</v>
      </c>
      <c r="I106" s="75"/>
      <c r="J106" s="75"/>
      <c r="K106" s="75">
        <v>966</v>
      </c>
      <c r="L106" s="75">
        <v>25</v>
      </c>
      <c r="M106" s="75">
        <f t="shared" si="52"/>
        <v>1303</v>
      </c>
      <c r="N106" s="75">
        <v>0</v>
      </c>
      <c r="O106" s="76">
        <f t="shared" si="53"/>
        <v>0</v>
      </c>
      <c r="P106" s="75">
        <v>0</v>
      </c>
      <c r="Q106" s="76">
        <f t="shared" si="54"/>
        <v>0</v>
      </c>
      <c r="R106" s="75">
        <v>965.89</v>
      </c>
      <c r="S106" s="76">
        <f t="shared" si="55"/>
        <v>0.74128165771297005</v>
      </c>
      <c r="T106" s="75">
        <v>6035.42</v>
      </c>
      <c r="U106" s="76">
        <f t="shared" si="56"/>
        <v>4.6319416730621645</v>
      </c>
      <c r="V106" s="77">
        <f t="shared" si="60"/>
        <v>312</v>
      </c>
      <c r="W106" s="77">
        <f t="shared" si="61"/>
        <v>312</v>
      </c>
    </row>
    <row r="107" spans="1:23" ht="13.9" hidden="1" customHeight="1">
      <c r="A107" s="10"/>
      <c r="B107" s="23">
        <v>322001</v>
      </c>
      <c r="C107" s="23" t="s">
        <v>97</v>
      </c>
      <c r="D107" s="75">
        <v>0</v>
      </c>
      <c r="E107" s="75">
        <v>0</v>
      </c>
      <c r="F107" s="75">
        <v>189183</v>
      </c>
      <c r="G107" s="75">
        <v>184139.16</v>
      </c>
      <c r="H107" s="75">
        <v>0</v>
      </c>
      <c r="I107" s="75"/>
      <c r="J107" s="75"/>
      <c r="K107" s="75"/>
      <c r="L107" s="75"/>
      <c r="M107" s="75">
        <f t="shared" si="52"/>
        <v>0</v>
      </c>
      <c r="N107" s="75">
        <v>0</v>
      </c>
      <c r="O107" s="76" t="e">
        <f t="shared" si="53"/>
        <v>#DIV/0!</v>
      </c>
      <c r="P107" s="75">
        <v>0</v>
      </c>
      <c r="Q107" s="76" t="e">
        <f t="shared" si="54"/>
        <v>#DIV/0!</v>
      </c>
      <c r="R107" s="75">
        <v>0</v>
      </c>
      <c r="S107" s="76" t="e">
        <f t="shared" si="55"/>
        <v>#DIV/0!</v>
      </c>
      <c r="T107" s="75"/>
      <c r="U107" s="76" t="e">
        <f t="shared" si="56"/>
        <v>#DIV/0!</v>
      </c>
      <c r="V107" s="77">
        <v>0</v>
      </c>
      <c r="W107" s="77">
        <v>0</v>
      </c>
    </row>
    <row r="108" spans="1:23" ht="13.9" customHeight="1">
      <c r="A108" s="10"/>
      <c r="B108" s="23">
        <v>322001</v>
      </c>
      <c r="C108" s="23" t="s">
        <v>98</v>
      </c>
      <c r="D108" s="77">
        <v>0</v>
      </c>
      <c r="E108" s="77">
        <v>100000</v>
      </c>
      <c r="F108" s="77">
        <v>0</v>
      </c>
      <c r="G108" s="77">
        <v>0</v>
      </c>
      <c r="H108" s="77">
        <v>250000</v>
      </c>
      <c r="I108" s="77"/>
      <c r="J108" s="77"/>
      <c r="K108" s="77"/>
      <c r="L108" s="77"/>
      <c r="M108" s="77">
        <f t="shared" si="52"/>
        <v>250000</v>
      </c>
      <c r="N108" s="77">
        <v>0</v>
      </c>
      <c r="O108" s="78">
        <f t="shared" si="53"/>
        <v>0</v>
      </c>
      <c r="P108" s="77">
        <v>0</v>
      </c>
      <c r="Q108" s="78">
        <f t="shared" si="54"/>
        <v>0</v>
      </c>
      <c r="R108" s="77">
        <v>0</v>
      </c>
      <c r="S108" s="78">
        <f t="shared" si="55"/>
        <v>0</v>
      </c>
      <c r="T108" s="77">
        <v>247170.43</v>
      </c>
      <c r="U108" s="78">
        <f t="shared" si="56"/>
        <v>0.98868171999999999</v>
      </c>
      <c r="V108" s="77">
        <v>0</v>
      </c>
      <c r="W108" s="77">
        <v>0</v>
      </c>
    </row>
    <row r="109" spans="1:23" ht="13.9" customHeight="1">
      <c r="A109" s="10"/>
      <c r="B109" s="23">
        <v>322001</v>
      </c>
      <c r="C109" s="23" t="s">
        <v>99</v>
      </c>
      <c r="D109" s="77">
        <v>0</v>
      </c>
      <c r="E109" s="77">
        <v>0</v>
      </c>
      <c r="F109" s="75">
        <v>166698</v>
      </c>
      <c r="G109" s="77">
        <v>0</v>
      </c>
      <c r="H109" s="75">
        <v>155618</v>
      </c>
      <c r="I109" s="77"/>
      <c r="J109" s="77"/>
      <c r="K109" s="77"/>
      <c r="L109" s="77"/>
      <c r="M109" s="77">
        <f t="shared" si="52"/>
        <v>155618</v>
      </c>
      <c r="N109" s="77">
        <v>155461.32999999999</v>
      </c>
      <c r="O109" s="78">
        <f t="shared" si="53"/>
        <v>0.99899323985657174</v>
      </c>
      <c r="P109" s="77">
        <v>155461.32999999999</v>
      </c>
      <c r="Q109" s="78">
        <f t="shared" si="54"/>
        <v>0.99899323985657174</v>
      </c>
      <c r="R109" s="77">
        <v>155461.32999999999</v>
      </c>
      <c r="S109" s="78">
        <f t="shared" si="55"/>
        <v>0.99899323985657174</v>
      </c>
      <c r="T109" s="77">
        <v>155461.32999999999</v>
      </c>
      <c r="U109" s="78">
        <f t="shared" si="56"/>
        <v>0.99899323985657174</v>
      </c>
      <c r="V109" s="77">
        <v>0</v>
      </c>
      <c r="W109" s="77">
        <v>0</v>
      </c>
    </row>
    <row r="110" spans="1:23" ht="13.9" customHeight="1">
      <c r="A110" s="10"/>
      <c r="B110" s="23">
        <v>322001</v>
      </c>
      <c r="C110" s="23" t="s">
        <v>100</v>
      </c>
      <c r="D110" s="77">
        <v>0</v>
      </c>
      <c r="E110" s="77">
        <v>0</v>
      </c>
      <c r="F110" s="75">
        <v>0</v>
      </c>
      <c r="G110" s="77">
        <v>0</v>
      </c>
      <c r="H110" s="75">
        <v>0</v>
      </c>
      <c r="I110" s="77"/>
      <c r="J110" s="77"/>
      <c r="K110" s="77">
        <v>46828</v>
      </c>
      <c r="L110" s="77"/>
      <c r="M110" s="77">
        <f t="shared" si="52"/>
        <v>46828</v>
      </c>
      <c r="N110" s="77">
        <v>0</v>
      </c>
      <c r="O110" s="78">
        <f t="shared" si="53"/>
        <v>0</v>
      </c>
      <c r="P110" s="77">
        <v>0</v>
      </c>
      <c r="Q110" s="78">
        <f t="shared" si="54"/>
        <v>0</v>
      </c>
      <c r="R110" s="77">
        <v>0</v>
      </c>
      <c r="S110" s="78">
        <f t="shared" si="55"/>
        <v>0</v>
      </c>
      <c r="T110" s="77">
        <v>0</v>
      </c>
      <c r="U110" s="78">
        <f t="shared" si="56"/>
        <v>0</v>
      </c>
      <c r="V110" s="77">
        <v>0</v>
      </c>
      <c r="W110" s="77">
        <v>0</v>
      </c>
    </row>
    <row r="111" spans="1:23" ht="13.9" customHeight="1">
      <c r="A111" s="79" t="s">
        <v>101</v>
      </c>
      <c r="B111" s="26">
        <v>111</v>
      </c>
      <c r="C111" s="26" t="s">
        <v>22</v>
      </c>
      <c r="D111" s="27">
        <f t="shared" ref="D111:N111" si="62">SUM(D81:D110)</f>
        <v>712245.1399999999</v>
      </c>
      <c r="E111" s="27">
        <f t="shared" si="62"/>
        <v>858683.59</v>
      </c>
      <c r="F111" s="27">
        <f t="shared" si="62"/>
        <v>986591</v>
      </c>
      <c r="G111" s="27">
        <f t="shared" si="62"/>
        <v>946857.87</v>
      </c>
      <c r="H111" s="27">
        <f t="shared" si="62"/>
        <v>1140389</v>
      </c>
      <c r="I111" s="27">
        <f t="shared" si="62"/>
        <v>29499</v>
      </c>
      <c r="J111" s="27">
        <f t="shared" si="62"/>
        <v>66151</v>
      </c>
      <c r="K111" s="27">
        <f t="shared" si="62"/>
        <v>169320</v>
      </c>
      <c r="L111" s="27">
        <f t="shared" si="62"/>
        <v>121821</v>
      </c>
      <c r="M111" s="27">
        <f t="shared" si="62"/>
        <v>1527180</v>
      </c>
      <c r="N111" s="27">
        <f t="shared" si="62"/>
        <v>380388.64</v>
      </c>
      <c r="O111" s="28">
        <f t="shared" si="53"/>
        <v>0.24907911313663092</v>
      </c>
      <c r="P111" s="27">
        <f>SUM(P81:P110)</f>
        <v>622657.25</v>
      </c>
      <c r="Q111" s="28">
        <f t="shared" si="54"/>
        <v>0.40771700127031524</v>
      </c>
      <c r="R111" s="27">
        <f>SUM(R81:R110)</f>
        <v>919317.94000000006</v>
      </c>
      <c r="S111" s="28">
        <f t="shared" si="55"/>
        <v>0.60197091371023725</v>
      </c>
      <c r="T111" s="27">
        <f>SUM(T81:T110)</f>
        <v>1489256.4100000004</v>
      </c>
      <c r="U111" s="28">
        <f t="shared" si="56"/>
        <v>0.97516757029295853</v>
      </c>
      <c r="V111" s="27">
        <f>SUM(V81:V110)</f>
        <v>735883</v>
      </c>
      <c r="W111" s="27">
        <f>SUM(W81:W110)</f>
        <v>733028</v>
      </c>
    </row>
    <row r="112" spans="1:23" ht="13.9" customHeight="1">
      <c r="A112" s="80" t="s">
        <v>70</v>
      </c>
      <c r="B112" s="23">
        <v>311</v>
      </c>
      <c r="C112" s="23" t="s">
        <v>102</v>
      </c>
      <c r="D112" s="75">
        <v>1400</v>
      </c>
      <c r="E112" s="75">
        <v>3000</v>
      </c>
      <c r="F112" s="75">
        <v>3000</v>
      </c>
      <c r="G112" s="75">
        <v>3000</v>
      </c>
      <c r="H112" s="75">
        <v>3000</v>
      </c>
      <c r="I112" s="75"/>
      <c r="J112" s="75"/>
      <c r="K112" s="75"/>
      <c r="L112" s="75"/>
      <c r="M112" s="75">
        <f>H112+SUM(I112:L112)</f>
        <v>3000</v>
      </c>
      <c r="N112" s="75">
        <v>0</v>
      </c>
      <c r="O112" s="76">
        <f t="shared" si="53"/>
        <v>0</v>
      </c>
      <c r="P112" s="75">
        <v>3000</v>
      </c>
      <c r="Q112" s="76">
        <f t="shared" si="54"/>
        <v>1</v>
      </c>
      <c r="R112" s="75">
        <v>3000</v>
      </c>
      <c r="S112" s="76">
        <f t="shared" si="55"/>
        <v>1</v>
      </c>
      <c r="T112" s="75">
        <v>3000</v>
      </c>
      <c r="U112" s="76">
        <f t="shared" si="56"/>
        <v>1</v>
      </c>
      <c r="V112" s="77">
        <f>H112</f>
        <v>3000</v>
      </c>
      <c r="W112" s="77">
        <f>V112</f>
        <v>3000</v>
      </c>
    </row>
    <row r="113" spans="1:23" ht="13.9" customHeight="1">
      <c r="A113" s="79" t="s">
        <v>101</v>
      </c>
      <c r="B113" s="26">
        <v>71</v>
      </c>
      <c r="C113" s="26" t="s">
        <v>24</v>
      </c>
      <c r="D113" s="27">
        <f t="shared" ref="D113:N113" si="63">SUM(D112:D112)</f>
        <v>1400</v>
      </c>
      <c r="E113" s="27">
        <f t="shared" si="63"/>
        <v>3000</v>
      </c>
      <c r="F113" s="27">
        <f t="shared" si="63"/>
        <v>3000</v>
      </c>
      <c r="G113" s="27">
        <f t="shared" si="63"/>
        <v>3000</v>
      </c>
      <c r="H113" s="27">
        <f t="shared" si="63"/>
        <v>3000</v>
      </c>
      <c r="I113" s="27">
        <f t="shared" si="63"/>
        <v>0</v>
      </c>
      <c r="J113" s="27">
        <f t="shared" si="63"/>
        <v>0</v>
      </c>
      <c r="K113" s="27">
        <f t="shared" si="63"/>
        <v>0</v>
      </c>
      <c r="L113" s="27">
        <f t="shared" si="63"/>
        <v>0</v>
      </c>
      <c r="M113" s="27">
        <f t="shared" si="63"/>
        <v>3000</v>
      </c>
      <c r="N113" s="27">
        <f t="shared" si="63"/>
        <v>0</v>
      </c>
      <c r="O113" s="28">
        <f t="shared" si="53"/>
        <v>0</v>
      </c>
      <c r="P113" s="27">
        <f>SUM(P112:P112)</f>
        <v>3000</v>
      </c>
      <c r="Q113" s="28">
        <f t="shared" si="54"/>
        <v>1</v>
      </c>
      <c r="R113" s="27">
        <f>SUM(R112:R112)</f>
        <v>3000</v>
      </c>
      <c r="S113" s="28">
        <f t="shared" si="55"/>
        <v>1</v>
      </c>
      <c r="T113" s="27">
        <f>SUM(T112:T112)</f>
        <v>3000</v>
      </c>
      <c r="U113" s="28">
        <f t="shared" si="56"/>
        <v>1</v>
      </c>
      <c r="V113" s="27">
        <f>SUM(V112:V112)</f>
        <v>3000</v>
      </c>
      <c r="W113" s="27">
        <f>SUM(W112:W112)</f>
        <v>3000</v>
      </c>
    </row>
    <row r="114" spans="1:23" ht="13.9" hidden="1" customHeight="1">
      <c r="A114" s="51" t="s">
        <v>70</v>
      </c>
      <c r="B114" s="23">
        <v>311</v>
      </c>
      <c r="C114" s="23" t="s">
        <v>102</v>
      </c>
      <c r="D114" s="75">
        <v>62.6</v>
      </c>
      <c r="E114" s="75">
        <v>455.43</v>
      </c>
      <c r="F114" s="75">
        <v>0</v>
      </c>
      <c r="G114" s="75">
        <v>0</v>
      </c>
      <c r="H114" s="75">
        <v>0</v>
      </c>
      <c r="I114" s="75"/>
      <c r="J114" s="75"/>
      <c r="K114" s="75"/>
      <c r="L114" s="75"/>
      <c r="M114" s="75">
        <f>H114+SUM(I114:L114)</f>
        <v>0</v>
      </c>
      <c r="N114" s="75">
        <v>0</v>
      </c>
      <c r="O114" s="76" t="e">
        <f t="shared" si="53"/>
        <v>#DIV/0!</v>
      </c>
      <c r="P114" s="75">
        <v>0</v>
      </c>
      <c r="Q114" s="76" t="e">
        <f t="shared" si="54"/>
        <v>#DIV/0!</v>
      </c>
      <c r="R114" s="75">
        <v>0</v>
      </c>
      <c r="S114" s="76" t="e">
        <f t="shared" si="55"/>
        <v>#DIV/0!</v>
      </c>
      <c r="T114" s="75"/>
      <c r="U114" s="76" t="e">
        <f t="shared" si="56"/>
        <v>#DIV/0!</v>
      </c>
      <c r="V114" s="77">
        <f>H114</f>
        <v>0</v>
      </c>
      <c r="W114" s="77">
        <f>V114</f>
        <v>0</v>
      </c>
    </row>
    <row r="115" spans="1:23" ht="13.9" customHeight="1">
      <c r="A115" s="51" t="s">
        <v>70</v>
      </c>
      <c r="B115" s="23">
        <v>311</v>
      </c>
      <c r="C115" s="23" t="s">
        <v>103</v>
      </c>
      <c r="D115" s="75">
        <v>5368.06</v>
      </c>
      <c r="E115" s="75">
        <v>5035.68</v>
      </c>
      <c r="F115" s="75">
        <v>3800</v>
      </c>
      <c r="G115" s="75">
        <v>4347.1400000000003</v>
      </c>
      <c r="H115" s="75">
        <v>24610</v>
      </c>
      <c r="I115" s="75"/>
      <c r="J115" s="75">
        <v>-20810</v>
      </c>
      <c r="K115" s="75"/>
      <c r="L115" s="75">
        <v>1820</v>
      </c>
      <c r="M115" s="75">
        <f>H115+SUM(I115:L115)</f>
        <v>5620</v>
      </c>
      <c r="N115" s="75">
        <v>16648</v>
      </c>
      <c r="O115" s="76">
        <f t="shared" si="53"/>
        <v>2.9622775800711745</v>
      </c>
      <c r="P115" s="75">
        <v>367.47</v>
      </c>
      <c r="Q115" s="76">
        <f t="shared" si="54"/>
        <v>6.5386120996441283E-2</v>
      </c>
      <c r="R115" s="75">
        <v>367.47</v>
      </c>
      <c r="S115" s="76">
        <f t="shared" si="55"/>
        <v>6.5386120996441283E-2</v>
      </c>
      <c r="T115" s="75">
        <v>5986.24</v>
      </c>
      <c r="U115" s="76">
        <f t="shared" si="56"/>
        <v>1.0651672597864767</v>
      </c>
      <c r="V115" s="77">
        <f>H115</f>
        <v>24610</v>
      </c>
      <c r="W115" s="77">
        <f>V115</f>
        <v>24610</v>
      </c>
    </row>
    <row r="116" spans="1:23" ht="13.9" customHeight="1">
      <c r="A116" s="79" t="s">
        <v>101</v>
      </c>
      <c r="B116" s="26">
        <v>72</v>
      </c>
      <c r="C116" s="26" t="s">
        <v>25</v>
      </c>
      <c r="D116" s="27">
        <f t="shared" ref="D116:N116" si="64">SUM(D114:D115)</f>
        <v>5430.6600000000008</v>
      </c>
      <c r="E116" s="27">
        <f t="shared" si="64"/>
        <v>5491.1100000000006</v>
      </c>
      <c r="F116" s="27">
        <f t="shared" si="64"/>
        <v>3800</v>
      </c>
      <c r="G116" s="27">
        <f t="shared" si="64"/>
        <v>4347.1400000000003</v>
      </c>
      <c r="H116" s="27">
        <f t="shared" si="64"/>
        <v>24610</v>
      </c>
      <c r="I116" s="27">
        <f t="shared" si="64"/>
        <v>0</v>
      </c>
      <c r="J116" s="27">
        <f t="shared" si="64"/>
        <v>-20810</v>
      </c>
      <c r="K116" s="27">
        <f t="shared" si="64"/>
        <v>0</v>
      </c>
      <c r="L116" s="27">
        <f t="shared" si="64"/>
        <v>1820</v>
      </c>
      <c r="M116" s="27">
        <f t="shared" si="64"/>
        <v>5620</v>
      </c>
      <c r="N116" s="27">
        <f t="shared" si="64"/>
        <v>16648</v>
      </c>
      <c r="O116" s="28">
        <f t="shared" si="53"/>
        <v>2.9622775800711745</v>
      </c>
      <c r="P116" s="27">
        <f>SUM(P114:P115)</f>
        <v>367.47</v>
      </c>
      <c r="Q116" s="28">
        <f t="shared" si="54"/>
        <v>6.5386120996441283E-2</v>
      </c>
      <c r="R116" s="27">
        <f>SUM(R114:R115)</f>
        <v>367.47</v>
      </c>
      <c r="S116" s="28">
        <f t="shared" si="55"/>
        <v>6.5386120996441283E-2</v>
      </c>
      <c r="T116" s="27">
        <f>SUM(T114:T115)</f>
        <v>5986.24</v>
      </c>
      <c r="U116" s="28">
        <f t="shared" si="56"/>
        <v>1.0651672597864767</v>
      </c>
      <c r="V116" s="27">
        <f>SUM(V114:V115)</f>
        <v>24610</v>
      </c>
      <c r="W116" s="27">
        <f>SUM(W114:W115)</f>
        <v>24610</v>
      </c>
    </row>
    <row r="118" spans="1:23" ht="13.9" customHeight="1">
      <c r="A118" s="32" t="s">
        <v>104</v>
      </c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/>
      <c r="P118" s="32"/>
      <c r="Q118" s="32"/>
      <c r="R118" s="32"/>
      <c r="S118" s="32"/>
      <c r="T118" s="32"/>
      <c r="U118" s="32"/>
      <c r="V118" s="32"/>
      <c r="W118" s="32"/>
    </row>
    <row r="119" spans="1:23" ht="13.9" customHeight="1">
      <c r="A119" s="20"/>
      <c r="B119" s="20"/>
      <c r="C119" s="20"/>
      <c r="D119" s="21" t="s">
        <v>1</v>
      </c>
      <c r="E119" s="21" t="s">
        <v>2</v>
      </c>
      <c r="F119" s="21" t="s">
        <v>3</v>
      </c>
      <c r="G119" s="21" t="s">
        <v>4</v>
      </c>
      <c r="H119" s="21" t="s">
        <v>5</v>
      </c>
      <c r="I119" s="21" t="s">
        <v>6</v>
      </c>
      <c r="J119" s="21" t="s">
        <v>7</v>
      </c>
      <c r="K119" s="21" t="s">
        <v>8</v>
      </c>
      <c r="L119" s="21" t="s">
        <v>9</v>
      </c>
      <c r="M119" s="21" t="s">
        <v>10</v>
      </c>
      <c r="N119" s="21" t="s">
        <v>11</v>
      </c>
      <c r="O119" s="22" t="s">
        <v>12</v>
      </c>
      <c r="P119" s="21" t="s">
        <v>13</v>
      </c>
      <c r="Q119" s="22" t="s">
        <v>14</v>
      </c>
      <c r="R119" s="21" t="s">
        <v>15</v>
      </c>
      <c r="S119" s="22" t="s">
        <v>16</v>
      </c>
      <c r="T119" s="21" t="s">
        <v>17</v>
      </c>
      <c r="U119" s="22" t="s">
        <v>18</v>
      </c>
      <c r="V119" s="21" t="s">
        <v>19</v>
      </c>
      <c r="W119" s="21" t="s">
        <v>20</v>
      </c>
    </row>
    <row r="120" spans="1:23" ht="13.9" customHeight="1">
      <c r="A120" s="12" t="s">
        <v>21</v>
      </c>
      <c r="B120" s="35">
        <v>131</v>
      </c>
      <c r="C120" s="35" t="s">
        <v>46</v>
      </c>
      <c r="D120" s="36">
        <f t="shared" ref="D120:N120" si="65">D126+D130</f>
        <v>14889.34</v>
      </c>
      <c r="E120" s="36">
        <f t="shared" si="65"/>
        <v>34161.160000000003</v>
      </c>
      <c r="F120" s="36">
        <f t="shared" si="65"/>
        <v>10884</v>
      </c>
      <c r="G120" s="36">
        <f t="shared" si="65"/>
        <v>69416.210000000006</v>
      </c>
      <c r="H120" s="36">
        <f t="shared" si="65"/>
        <v>32326</v>
      </c>
      <c r="I120" s="36">
        <f t="shared" si="65"/>
        <v>0</v>
      </c>
      <c r="J120" s="36">
        <f t="shared" si="65"/>
        <v>0</v>
      </c>
      <c r="K120" s="36">
        <f t="shared" si="65"/>
        <v>0</v>
      </c>
      <c r="L120" s="36">
        <f t="shared" si="65"/>
        <v>0</v>
      </c>
      <c r="M120" s="36">
        <f t="shared" si="65"/>
        <v>32326</v>
      </c>
      <c r="N120" s="36">
        <f t="shared" si="65"/>
        <v>0</v>
      </c>
      <c r="O120" s="37">
        <f>N120/$M120</f>
        <v>0</v>
      </c>
      <c r="P120" s="36">
        <f>P126+P130</f>
        <v>32325.77</v>
      </c>
      <c r="Q120" s="37">
        <f>P120/$M120</f>
        <v>0.99999288498422323</v>
      </c>
      <c r="R120" s="36">
        <f>R126+R130</f>
        <v>32325.77</v>
      </c>
      <c r="S120" s="37">
        <f>R120/$M120</f>
        <v>0.99999288498422323</v>
      </c>
      <c r="T120" s="36">
        <f>T126+T130</f>
        <v>32325.77</v>
      </c>
      <c r="U120" s="37">
        <f>T120/$M120</f>
        <v>0.99999288498422323</v>
      </c>
      <c r="V120" s="36">
        <f>V126+V130</f>
        <v>0</v>
      </c>
      <c r="W120" s="36">
        <f>W126+W130</f>
        <v>0</v>
      </c>
    </row>
    <row r="121" spans="1:23" ht="13.9" customHeight="1">
      <c r="A121" s="12"/>
      <c r="B121" s="35">
        <v>41</v>
      </c>
      <c r="C121" s="35" t="s">
        <v>23</v>
      </c>
      <c r="D121" s="36">
        <f t="shared" ref="D121:N121" si="66">D127+D128</f>
        <v>361389.5</v>
      </c>
      <c r="E121" s="36">
        <f t="shared" si="66"/>
        <v>759956.16999999993</v>
      </c>
      <c r="F121" s="36">
        <f t="shared" si="66"/>
        <v>426046</v>
      </c>
      <c r="G121" s="36">
        <f t="shared" si="66"/>
        <v>403699.06</v>
      </c>
      <c r="H121" s="36">
        <f t="shared" si="66"/>
        <v>199814</v>
      </c>
      <c r="I121" s="36">
        <f t="shared" si="66"/>
        <v>0</v>
      </c>
      <c r="J121" s="36">
        <f t="shared" si="66"/>
        <v>0</v>
      </c>
      <c r="K121" s="36">
        <f t="shared" si="66"/>
        <v>0</v>
      </c>
      <c r="L121" s="36">
        <f t="shared" si="66"/>
        <v>9625</v>
      </c>
      <c r="M121" s="36">
        <f t="shared" si="66"/>
        <v>209439</v>
      </c>
      <c r="N121" s="36">
        <f t="shared" si="66"/>
        <v>0</v>
      </c>
      <c r="O121" s="37">
        <f>N121/$M121</f>
        <v>0</v>
      </c>
      <c r="P121" s="36">
        <f>P127+P128</f>
        <v>112421.69</v>
      </c>
      <c r="Q121" s="37">
        <f>P121/$M121</f>
        <v>0.53677533792655618</v>
      </c>
      <c r="R121" s="36">
        <f>R127+R128</f>
        <v>112421.69</v>
      </c>
      <c r="S121" s="37">
        <f>R121/$M121</f>
        <v>0.53677533792655618</v>
      </c>
      <c r="T121" s="36">
        <f>T127+T128</f>
        <v>112421.69</v>
      </c>
      <c r="U121" s="37">
        <f>T121/$M121</f>
        <v>0.53677533792655618</v>
      </c>
      <c r="V121" s="36">
        <f>V127+V128</f>
        <v>0</v>
      </c>
      <c r="W121" s="36">
        <f>W127+W128</f>
        <v>0</v>
      </c>
    </row>
    <row r="122" spans="1:23" ht="13.9" customHeight="1">
      <c r="A122" s="12"/>
      <c r="B122" s="35">
        <v>71</v>
      </c>
      <c r="C122" s="35" t="s">
        <v>24</v>
      </c>
      <c r="D122" s="36">
        <f t="shared" ref="D122:N122" si="67">D129+D131</f>
        <v>6320.3</v>
      </c>
      <c r="E122" s="36">
        <f t="shared" si="67"/>
        <v>3760.3</v>
      </c>
      <c r="F122" s="36">
        <f t="shared" si="67"/>
        <v>3760</v>
      </c>
      <c r="G122" s="36">
        <f t="shared" si="67"/>
        <v>4060.3</v>
      </c>
      <c r="H122" s="36">
        <f t="shared" si="67"/>
        <v>3000</v>
      </c>
      <c r="I122" s="36">
        <f t="shared" si="67"/>
        <v>0</v>
      </c>
      <c r="J122" s="36">
        <f t="shared" si="67"/>
        <v>0</v>
      </c>
      <c r="K122" s="36">
        <f t="shared" si="67"/>
        <v>0</v>
      </c>
      <c r="L122" s="36">
        <f t="shared" si="67"/>
        <v>26000</v>
      </c>
      <c r="M122" s="36">
        <f t="shared" si="67"/>
        <v>29000</v>
      </c>
      <c r="N122" s="36">
        <f t="shared" si="67"/>
        <v>0</v>
      </c>
      <c r="O122" s="37">
        <f>N122/$M122</f>
        <v>0</v>
      </c>
      <c r="P122" s="36">
        <f>P129+P131</f>
        <v>3100</v>
      </c>
      <c r="Q122" s="37">
        <f>P122/$M122</f>
        <v>0.10689655172413794</v>
      </c>
      <c r="R122" s="36">
        <f>R129+R131</f>
        <v>3370</v>
      </c>
      <c r="S122" s="37">
        <f>R122/$M122</f>
        <v>0.11620689655172414</v>
      </c>
      <c r="T122" s="36">
        <f>T129+T131</f>
        <v>30067.64</v>
      </c>
      <c r="U122" s="37">
        <f>T122/$M122</f>
        <v>1.0368151724137931</v>
      </c>
      <c r="V122" s="36">
        <f>V129+V131</f>
        <v>0</v>
      </c>
      <c r="W122" s="36">
        <f>W129+W131</f>
        <v>0</v>
      </c>
    </row>
    <row r="123" spans="1:23" ht="13.9" customHeight="1">
      <c r="A123" s="12"/>
      <c r="B123" s="35">
        <v>72</v>
      </c>
      <c r="C123" s="35" t="s">
        <v>25</v>
      </c>
      <c r="D123" s="36">
        <f t="shared" ref="D123:N123" si="68">D132</f>
        <v>10178.58</v>
      </c>
      <c r="E123" s="36">
        <f t="shared" si="68"/>
        <v>13138.14</v>
      </c>
      <c r="F123" s="36">
        <f t="shared" si="68"/>
        <v>0</v>
      </c>
      <c r="G123" s="36">
        <f t="shared" si="68"/>
        <v>0</v>
      </c>
      <c r="H123" s="36">
        <f t="shared" si="68"/>
        <v>0</v>
      </c>
      <c r="I123" s="36">
        <f t="shared" si="68"/>
        <v>0</v>
      </c>
      <c r="J123" s="36">
        <f t="shared" si="68"/>
        <v>0</v>
      </c>
      <c r="K123" s="36">
        <f t="shared" si="68"/>
        <v>0</v>
      </c>
      <c r="L123" s="36">
        <f t="shared" si="68"/>
        <v>0</v>
      </c>
      <c r="M123" s="36">
        <f t="shared" si="68"/>
        <v>0</v>
      </c>
      <c r="N123" s="36">
        <f t="shared" si="68"/>
        <v>0</v>
      </c>
      <c r="O123" s="37" t="e">
        <f>N123/$M123</f>
        <v>#DIV/0!</v>
      </c>
      <c r="P123" s="36">
        <f>P132</f>
        <v>0</v>
      </c>
      <c r="Q123" s="37" t="e">
        <f>P123/$M123</f>
        <v>#DIV/0!</v>
      </c>
      <c r="R123" s="36">
        <f>R132</f>
        <v>0</v>
      </c>
      <c r="S123" s="37" t="e">
        <f>R123/$M123</f>
        <v>#DIV/0!</v>
      </c>
      <c r="T123" s="36">
        <f>T132</f>
        <v>0</v>
      </c>
      <c r="U123" s="37" t="e">
        <f>T123/$M123</f>
        <v>#DIV/0!</v>
      </c>
      <c r="V123" s="36">
        <f>V132</f>
        <v>0</v>
      </c>
      <c r="W123" s="36">
        <f>W132</f>
        <v>0</v>
      </c>
    </row>
    <row r="124" spans="1:23" ht="13.9" customHeight="1">
      <c r="A124" s="30"/>
      <c r="B124" s="31"/>
      <c r="C124" s="38" t="s">
        <v>29</v>
      </c>
      <c r="D124" s="39">
        <f t="shared" ref="D124:N124" si="69">SUM(D120:D123)</f>
        <v>392777.72000000003</v>
      </c>
      <c r="E124" s="39">
        <f t="shared" si="69"/>
        <v>811015.77</v>
      </c>
      <c r="F124" s="39">
        <f t="shared" si="69"/>
        <v>440690</v>
      </c>
      <c r="G124" s="39">
        <f t="shared" si="69"/>
        <v>477175.57</v>
      </c>
      <c r="H124" s="39">
        <f t="shared" si="69"/>
        <v>235140</v>
      </c>
      <c r="I124" s="39">
        <f t="shared" si="69"/>
        <v>0</v>
      </c>
      <c r="J124" s="39">
        <f t="shared" si="69"/>
        <v>0</v>
      </c>
      <c r="K124" s="39">
        <f t="shared" si="69"/>
        <v>0</v>
      </c>
      <c r="L124" s="39">
        <f t="shared" si="69"/>
        <v>35625</v>
      </c>
      <c r="M124" s="39">
        <f t="shared" si="69"/>
        <v>270765</v>
      </c>
      <c r="N124" s="39">
        <f t="shared" si="69"/>
        <v>0</v>
      </c>
      <c r="O124" s="40">
        <f>N124/$M124</f>
        <v>0</v>
      </c>
      <c r="P124" s="39">
        <f>SUM(P120:P123)</f>
        <v>147847.46</v>
      </c>
      <c r="Q124" s="40">
        <f>P124/$M124</f>
        <v>0.54603608295015971</v>
      </c>
      <c r="R124" s="39">
        <f>SUM(R120:R123)</f>
        <v>148117.46</v>
      </c>
      <c r="S124" s="40">
        <f>R124/$M124</f>
        <v>0.54703325762192301</v>
      </c>
      <c r="T124" s="39">
        <f>SUM(T120:T123)</f>
        <v>174815.09999999998</v>
      </c>
      <c r="U124" s="40">
        <f>T124/$M124</f>
        <v>0.64563403689546273</v>
      </c>
      <c r="V124" s="39">
        <f>SUM(V120:V123)</f>
        <v>0</v>
      </c>
      <c r="W124" s="39">
        <f>SUM(W120:W123)</f>
        <v>0</v>
      </c>
    </row>
    <row r="126" spans="1:23" ht="13.9" customHeight="1">
      <c r="B126" s="52" t="s">
        <v>56</v>
      </c>
      <c r="C126" s="30" t="s">
        <v>105</v>
      </c>
      <c r="D126" s="53">
        <v>14603.93</v>
      </c>
      <c r="E126" s="53">
        <v>34161.160000000003</v>
      </c>
      <c r="F126" s="53">
        <v>10884</v>
      </c>
      <c r="G126" s="53">
        <v>69416.210000000006</v>
      </c>
      <c r="H126" s="53">
        <v>32326</v>
      </c>
      <c r="I126" s="53"/>
      <c r="J126" s="53"/>
      <c r="K126" s="53"/>
      <c r="L126" s="53"/>
      <c r="M126" s="53">
        <f t="shared" ref="M126:M132" si="70">H126+SUM(I126:L126)</f>
        <v>32326</v>
      </c>
      <c r="N126" s="53">
        <v>0</v>
      </c>
      <c r="O126" s="54">
        <f t="shared" ref="O126:O132" si="71">N126/$M126</f>
        <v>0</v>
      </c>
      <c r="P126" s="53">
        <v>32325.77</v>
      </c>
      <c r="Q126" s="54">
        <f t="shared" ref="Q126:Q132" si="72">P126/$M126</f>
        <v>0.99999288498422323</v>
      </c>
      <c r="R126" s="53">
        <v>32325.77</v>
      </c>
      <c r="S126" s="54">
        <f t="shared" ref="S126:S132" si="73">R126/$M126</f>
        <v>0.99999288498422323</v>
      </c>
      <c r="T126" s="53">
        <v>32325.77</v>
      </c>
      <c r="U126" s="55">
        <f t="shared" ref="U126:U132" si="74">T126/$M126</f>
        <v>0.99999288498422323</v>
      </c>
      <c r="V126" s="53"/>
      <c r="W126" s="56"/>
    </row>
    <row r="127" spans="1:23" ht="13.9" customHeight="1">
      <c r="B127" s="57"/>
      <c r="C127" s="15" t="s">
        <v>106</v>
      </c>
      <c r="D127" s="59">
        <v>157822.74</v>
      </c>
      <c r="E127" s="59">
        <v>187207.85</v>
      </c>
      <c r="F127" s="59">
        <v>426046</v>
      </c>
      <c r="G127" s="59">
        <v>12705.67</v>
      </c>
      <c r="H127" s="59">
        <v>199814</v>
      </c>
      <c r="I127" s="59"/>
      <c r="J127" s="59"/>
      <c r="K127" s="59"/>
      <c r="L127" s="59">
        <v>9625</v>
      </c>
      <c r="M127" s="59">
        <f t="shared" si="70"/>
        <v>209439</v>
      </c>
      <c r="N127" s="59">
        <v>0</v>
      </c>
      <c r="O127" s="16">
        <f t="shared" si="71"/>
        <v>0</v>
      </c>
      <c r="P127" s="59">
        <v>112421.69</v>
      </c>
      <c r="Q127" s="16">
        <f t="shared" si="72"/>
        <v>0.53677533792655618</v>
      </c>
      <c r="R127" s="59">
        <v>112421.69</v>
      </c>
      <c r="S127" s="16">
        <f t="shared" si="73"/>
        <v>0.53677533792655618</v>
      </c>
      <c r="T127" s="59">
        <v>112421.69</v>
      </c>
      <c r="U127" s="60">
        <f t="shared" si="74"/>
        <v>0.53677533792655618</v>
      </c>
      <c r="V127" s="59"/>
      <c r="W127" s="61"/>
    </row>
    <row r="128" spans="1:23" ht="13.9" hidden="1" customHeight="1">
      <c r="B128" s="57"/>
      <c r="C128" s="58" t="s">
        <v>107</v>
      </c>
      <c r="D128" s="59">
        <v>203566.76</v>
      </c>
      <c r="E128" s="59">
        <v>572748.31999999995</v>
      </c>
      <c r="F128" s="59"/>
      <c r="G128" s="59">
        <v>390993.39</v>
      </c>
      <c r="H128" s="59"/>
      <c r="I128" s="59"/>
      <c r="J128" s="59"/>
      <c r="K128" s="59"/>
      <c r="L128" s="59"/>
      <c r="M128" s="59">
        <f t="shared" si="70"/>
        <v>0</v>
      </c>
      <c r="N128" s="59">
        <v>0</v>
      </c>
      <c r="O128" s="16" t="e">
        <f t="shared" si="71"/>
        <v>#DIV/0!</v>
      </c>
      <c r="P128" s="59">
        <v>0</v>
      </c>
      <c r="Q128" s="16" t="e">
        <f t="shared" si="72"/>
        <v>#DIV/0!</v>
      </c>
      <c r="R128" s="59">
        <v>0</v>
      </c>
      <c r="S128" s="16" t="e">
        <f t="shared" si="73"/>
        <v>#DIV/0!</v>
      </c>
      <c r="T128" s="59"/>
      <c r="U128" s="60" t="e">
        <f t="shared" si="74"/>
        <v>#DIV/0!</v>
      </c>
      <c r="V128" s="59"/>
      <c r="W128" s="61"/>
    </row>
    <row r="129" spans="1:23" ht="13.9" customHeight="1">
      <c r="B129" s="65"/>
      <c r="C129" s="66" t="s">
        <v>108</v>
      </c>
      <c r="D129" s="67">
        <v>3760.3</v>
      </c>
      <c r="E129" s="67">
        <v>3760.3</v>
      </c>
      <c r="F129" s="67">
        <v>3760</v>
      </c>
      <c r="G129" s="67">
        <v>4060.3</v>
      </c>
      <c r="H129" s="67">
        <v>3000</v>
      </c>
      <c r="I129" s="67"/>
      <c r="J129" s="67"/>
      <c r="K129" s="67"/>
      <c r="L129" s="67">
        <v>26000</v>
      </c>
      <c r="M129" s="67">
        <f t="shared" si="70"/>
        <v>29000</v>
      </c>
      <c r="N129" s="67">
        <v>0</v>
      </c>
      <c r="O129" s="68">
        <f t="shared" si="71"/>
        <v>0</v>
      </c>
      <c r="P129" s="67">
        <v>3100</v>
      </c>
      <c r="Q129" s="68">
        <f t="shared" si="72"/>
        <v>0.10689655172413794</v>
      </c>
      <c r="R129" s="67">
        <v>3370</v>
      </c>
      <c r="S129" s="68">
        <f t="shared" si="73"/>
        <v>0.11620689655172414</v>
      </c>
      <c r="T129" s="67">
        <v>30067.64</v>
      </c>
      <c r="U129" s="69">
        <f t="shared" si="74"/>
        <v>1.0368151724137931</v>
      </c>
      <c r="V129" s="67"/>
      <c r="W129" s="70"/>
    </row>
    <row r="130" spans="1:23" ht="13.9" hidden="1" customHeight="1">
      <c r="B130" s="57"/>
      <c r="C130" s="58" t="s">
        <v>109</v>
      </c>
      <c r="D130" s="59">
        <v>285.41000000000003</v>
      </c>
      <c r="E130" s="59"/>
      <c r="F130" s="59"/>
      <c r="G130" s="59"/>
      <c r="H130" s="59"/>
      <c r="I130" s="59"/>
      <c r="J130" s="59"/>
      <c r="K130" s="59"/>
      <c r="L130" s="59"/>
      <c r="M130" s="81">
        <f t="shared" si="70"/>
        <v>0</v>
      </c>
      <c r="N130" s="59"/>
      <c r="O130" s="82" t="e">
        <f t="shared" si="71"/>
        <v>#DIV/0!</v>
      </c>
      <c r="P130" s="59"/>
      <c r="Q130" s="82" t="e">
        <f t="shared" si="72"/>
        <v>#DIV/0!</v>
      </c>
      <c r="R130" s="59"/>
      <c r="S130" s="82" t="e">
        <f t="shared" si="73"/>
        <v>#DIV/0!</v>
      </c>
      <c r="T130" s="59"/>
      <c r="U130" s="60" t="e">
        <f t="shared" si="74"/>
        <v>#DIV/0!</v>
      </c>
      <c r="V130" s="59"/>
      <c r="W130" s="61"/>
    </row>
    <row r="131" spans="1:23" ht="13.9" hidden="1" customHeight="1">
      <c r="B131" s="57"/>
      <c r="C131" s="58" t="s">
        <v>110</v>
      </c>
      <c r="D131" s="59">
        <v>2560</v>
      </c>
      <c r="E131" s="59"/>
      <c r="F131" s="59"/>
      <c r="G131" s="59"/>
      <c r="H131" s="59"/>
      <c r="I131" s="59"/>
      <c r="J131" s="59"/>
      <c r="K131" s="59"/>
      <c r="L131" s="59"/>
      <c r="M131" s="81">
        <f t="shared" si="70"/>
        <v>0</v>
      </c>
      <c r="N131" s="59"/>
      <c r="O131" s="82" t="e">
        <f t="shared" si="71"/>
        <v>#DIV/0!</v>
      </c>
      <c r="P131" s="59"/>
      <c r="Q131" s="82" t="e">
        <f t="shared" si="72"/>
        <v>#DIV/0!</v>
      </c>
      <c r="R131" s="59"/>
      <c r="S131" s="82" t="e">
        <f t="shared" si="73"/>
        <v>#DIV/0!</v>
      </c>
      <c r="T131" s="59"/>
      <c r="U131" s="60" t="e">
        <f t="shared" si="74"/>
        <v>#DIV/0!</v>
      </c>
      <c r="V131" s="59"/>
      <c r="W131" s="61"/>
    </row>
    <row r="132" spans="1:23" ht="13.9" hidden="1" customHeight="1">
      <c r="B132" s="65"/>
      <c r="C132" s="66" t="s">
        <v>111</v>
      </c>
      <c r="D132" s="67">
        <v>10178.58</v>
      </c>
      <c r="E132" s="67">
        <v>13138.14</v>
      </c>
      <c r="F132" s="67"/>
      <c r="G132" s="67"/>
      <c r="H132" s="67"/>
      <c r="I132" s="67"/>
      <c r="J132" s="67"/>
      <c r="K132" s="67"/>
      <c r="L132" s="67"/>
      <c r="M132" s="67">
        <f t="shared" si="70"/>
        <v>0</v>
      </c>
      <c r="N132" s="67"/>
      <c r="O132" s="68" t="e">
        <f t="shared" si="71"/>
        <v>#DIV/0!</v>
      </c>
      <c r="P132" s="67"/>
      <c r="Q132" s="68" t="e">
        <f t="shared" si="72"/>
        <v>#DIV/0!</v>
      </c>
      <c r="R132" s="67"/>
      <c r="S132" s="68" t="e">
        <f t="shared" si="73"/>
        <v>#DIV/0!</v>
      </c>
      <c r="T132" s="67"/>
      <c r="U132" s="69" t="e">
        <f t="shared" si="74"/>
        <v>#DIV/0!</v>
      </c>
      <c r="V132" s="67"/>
      <c r="W132" s="70"/>
    </row>
    <row r="134" spans="1:23" ht="13.9" customHeight="1">
      <c r="A134" s="32" t="s">
        <v>112</v>
      </c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/>
      <c r="P134" s="32"/>
      <c r="Q134" s="32"/>
      <c r="R134" s="32"/>
      <c r="S134" s="32"/>
      <c r="T134" s="32"/>
      <c r="U134" s="32"/>
      <c r="V134" s="32"/>
      <c r="W134" s="32"/>
    </row>
    <row r="135" spans="1:23" ht="13.9" customHeight="1">
      <c r="A135" s="20"/>
      <c r="B135" s="20"/>
      <c r="C135" s="20"/>
      <c r="D135" s="21" t="s">
        <v>1</v>
      </c>
      <c r="E135" s="21" t="s">
        <v>2</v>
      </c>
      <c r="F135" s="21" t="s">
        <v>3</v>
      </c>
      <c r="G135" s="21" t="s">
        <v>4</v>
      </c>
      <c r="H135" s="21" t="s">
        <v>5</v>
      </c>
      <c r="I135" s="21" t="s">
        <v>6</v>
      </c>
      <c r="J135" s="21" t="s">
        <v>7</v>
      </c>
      <c r="K135" s="21" t="s">
        <v>8</v>
      </c>
      <c r="L135" s="21" t="s">
        <v>9</v>
      </c>
      <c r="M135" s="21" t="s">
        <v>10</v>
      </c>
      <c r="N135" s="21" t="s">
        <v>11</v>
      </c>
      <c r="O135" s="22" t="s">
        <v>12</v>
      </c>
      <c r="P135" s="21" t="s">
        <v>13</v>
      </c>
      <c r="Q135" s="22" t="s">
        <v>14</v>
      </c>
      <c r="R135" s="21" t="s">
        <v>15</v>
      </c>
      <c r="S135" s="22" t="s">
        <v>16</v>
      </c>
      <c r="T135" s="21" t="s">
        <v>17</v>
      </c>
      <c r="U135" s="22" t="s">
        <v>18</v>
      </c>
      <c r="V135" s="21" t="s">
        <v>19</v>
      </c>
      <c r="W135" s="21" t="s">
        <v>20</v>
      </c>
    </row>
    <row r="136" spans="1:23" ht="13.9" customHeight="1">
      <c r="D136" s="36">
        <f>D20-výdaje!G17</f>
        <v>793560.44000000018</v>
      </c>
      <c r="E136" s="36">
        <f>E20-výdaje!H17</f>
        <v>484066.89999999944</v>
      </c>
      <c r="F136" s="36">
        <f>F20-výdaje!I17</f>
        <v>0</v>
      </c>
      <c r="G136" s="36">
        <f>G20-výdaje!J17</f>
        <v>239174.93999999994</v>
      </c>
      <c r="H136" s="36">
        <f>H20-výdaje!K17</f>
        <v>162691</v>
      </c>
      <c r="I136" s="36">
        <f>I20-výdaje!L17</f>
        <v>0</v>
      </c>
      <c r="J136" s="36">
        <f>J20-výdaje!M17</f>
        <v>-40017</v>
      </c>
      <c r="K136" s="36">
        <f>K20-výdaje!N17</f>
        <v>-102726</v>
      </c>
      <c r="L136" s="36">
        <f>L20-výdaje!O17</f>
        <v>-6708</v>
      </c>
      <c r="M136" s="36">
        <f>M20-výdaje!P17</f>
        <v>13240</v>
      </c>
      <c r="N136" s="36">
        <f>N20-výdaje!Q17</f>
        <v>326752.54000000004</v>
      </c>
      <c r="O136" s="37">
        <f>N136/$M136</f>
        <v>24.679194864048341</v>
      </c>
      <c r="P136" s="36">
        <f>P20-výdaje!S17</f>
        <v>335227.03000000003</v>
      </c>
      <c r="Q136" s="37">
        <f>P136/$M136</f>
        <v>25.319262084592147</v>
      </c>
      <c r="R136" s="36">
        <f>R20-výdaje!U17</f>
        <v>315813.35999999987</v>
      </c>
      <c r="S136" s="37">
        <f>R136/$M136</f>
        <v>23.852972809667666</v>
      </c>
      <c r="T136" s="36">
        <f>T20-výdaje!W17</f>
        <v>573390.06000000099</v>
      </c>
      <c r="U136" s="37">
        <f>T136/$M136</f>
        <v>43.30740634441095</v>
      </c>
      <c r="V136" s="36">
        <f>V20-výdaje!Y17</f>
        <v>0</v>
      </c>
      <c r="W136" s="36">
        <f>W20-výdaje!Z17</f>
        <v>0</v>
      </c>
    </row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8">
    <mergeCell ref="A74:A76"/>
    <mergeCell ref="A81:A110"/>
    <mergeCell ref="A120:A123"/>
    <mergeCell ref="A3:A19"/>
    <mergeCell ref="A29:A36"/>
    <mergeCell ref="A41:A43"/>
    <mergeCell ref="A50:A54"/>
    <mergeCell ref="A56:A57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2" manualBreakCount="2">
    <brk id="21" max="16383" man="1"/>
    <brk id="71" max="16383" man="1"/>
  </row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1048576"/>
  <sheetViews>
    <sheetView topLeftCell="D1" zoomScale="90" zoomScaleNormal="90" workbookViewId="0">
      <pane ySplit="2" topLeftCell="A3" activePane="bottomLeft" state="frozen"/>
      <selection activeCell="D1" sqref="D1"/>
      <selection pane="bottomLeft" activeCell="D3" sqref="D3:D16"/>
    </sheetView>
  </sheetViews>
  <sheetFormatPr defaultColWidth="11.5703125" defaultRowHeight="15"/>
  <cols>
    <col min="1" max="1" width="2.7109375" style="15" hidden="1" customWidth="1"/>
    <col min="2" max="2" width="3.140625" style="15" hidden="1" customWidth="1"/>
    <col min="3" max="3" width="3" style="15" hidden="1" customWidth="1"/>
    <col min="4" max="4" width="11.5703125" style="15" customWidth="1"/>
    <col min="5" max="5" width="8.7109375" style="15" customWidth="1"/>
    <col min="6" max="6" width="18.140625" style="15" customWidth="1"/>
    <col min="7" max="8" width="11.28515625" style="15" hidden="1" customWidth="1"/>
    <col min="9" max="10" width="11" style="15" hidden="1" customWidth="1"/>
    <col min="11" max="11" width="12.7109375" style="15" customWidth="1"/>
    <col min="12" max="15" width="11" style="15" hidden="1" customWidth="1"/>
    <col min="16" max="17" width="12.7109375" style="15" customWidth="1"/>
    <col min="18" max="18" width="6.7109375" style="16" customWidth="1"/>
    <col min="19" max="19" width="12.7109375" style="15" customWidth="1"/>
    <col min="20" max="20" width="6.7109375" style="16" customWidth="1"/>
    <col min="21" max="21" width="12.7109375" style="15" customWidth="1"/>
    <col min="22" max="22" width="6.7109375" style="16" customWidth="1"/>
    <col min="23" max="23" width="12.7109375" style="15" customWidth="1"/>
    <col min="24" max="24" width="6.7109375" style="16" customWidth="1"/>
    <col min="25" max="26" width="11.28515625" style="15" hidden="1" customWidth="1"/>
    <col min="27" max="64" width="8.7109375" style="15" customWidth="1"/>
  </cols>
  <sheetData>
    <row r="1" spans="1:26" ht="13.9" customHeight="1">
      <c r="A1" s="15" t="s">
        <v>113</v>
      </c>
      <c r="B1" s="15" t="s">
        <v>114</v>
      </c>
      <c r="C1" s="15" t="s">
        <v>115</v>
      </c>
      <c r="D1" s="17" t="s">
        <v>116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9"/>
      <c r="U1" s="18"/>
      <c r="V1" s="19"/>
      <c r="W1" s="18"/>
      <c r="X1" s="19"/>
      <c r="Y1" s="18"/>
      <c r="Z1" s="18"/>
    </row>
    <row r="2" spans="1:26" ht="13.9" customHeight="1">
      <c r="D2" s="20"/>
      <c r="E2" s="20"/>
      <c r="F2" s="20"/>
      <c r="G2" s="21" t="s">
        <v>1</v>
      </c>
      <c r="H2" s="21" t="s">
        <v>2</v>
      </c>
      <c r="I2" s="21" t="s">
        <v>3</v>
      </c>
      <c r="J2" s="21" t="s">
        <v>4</v>
      </c>
      <c r="K2" s="21" t="s">
        <v>5</v>
      </c>
      <c r="L2" s="21" t="s">
        <v>6</v>
      </c>
      <c r="M2" s="21" t="s">
        <v>7</v>
      </c>
      <c r="N2" s="21" t="s">
        <v>8</v>
      </c>
      <c r="O2" s="21" t="s">
        <v>9</v>
      </c>
      <c r="P2" s="21" t="s">
        <v>10</v>
      </c>
      <c r="Q2" s="21" t="s">
        <v>11</v>
      </c>
      <c r="R2" s="22" t="s">
        <v>12</v>
      </c>
      <c r="S2" s="21" t="s">
        <v>13</v>
      </c>
      <c r="T2" s="22" t="s">
        <v>14</v>
      </c>
      <c r="U2" s="21" t="s">
        <v>15</v>
      </c>
      <c r="V2" s="22" t="s">
        <v>16</v>
      </c>
      <c r="W2" s="21" t="s">
        <v>17</v>
      </c>
      <c r="X2" s="22" t="s">
        <v>18</v>
      </c>
      <c r="Y2" s="21" t="s">
        <v>19</v>
      </c>
      <c r="Z2" s="21" t="s">
        <v>20</v>
      </c>
    </row>
    <row r="3" spans="1:26" ht="13.9" customHeight="1">
      <c r="D3" s="14" t="s">
        <v>21</v>
      </c>
      <c r="E3" s="23">
        <v>111</v>
      </c>
      <c r="F3" s="23" t="s">
        <v>22</v>
      </c>
      <c r="G3" s="24">
        <f t="shared" ref="G3:Q3" si="0">G21+G153+G183+G209+G247+G347+G449</f>
        <v>692070.66</v>
      </c>
      <c r="H3" s="24">
        <f t="shared" si="0"/>
        <v>722472.33000000007</v>
      </c>
      <c r="I3" s="24">
        <f t="shared" si="0"/>
        <v>629607</v>
      </c>
      <c r="J3" s="24">
        <f t="shared" si="0"/>
        <v>791685.9800000001</v>
      </c>
      <c r="K3" s="24">
        <f t="shared" si="0"/>
        <v>765233</v>
      </c>
      <c r="L3" s="24">
        <f t="shared" si="0"/>
        <v>27664</v>
      </c>
      <c r="M3" s="24">
        <f t="shared" si="0"/>
        <v>45341</v>
      </c>
      <c r="N3" s="24">
        <f t="shared" si="0"/>
        <v>65623</v>
      </c>
      <c r="O3" s="24">
        <f t="shared" si="0"/>
        <v>121821</v>
      </c>
      <c r="P3" s="24">
        <f t="shared" si="0"/>
        <v>1025682</v>
      </c>
      <c r="Q3" s="24">
        <f t="shared" si="0"/>
        <v>159234.78</v>
      </c>
      <c r="R3" s="25">
        <f t="shared" ref="R3:R17" si="1">Q3/$P3</f>
        <v>0.15524770835405124</v>
      </c>
      <c r="S3" s="24">
        <f>S21+S153+S183+S209+S247+S347+S449</f>
        <v>387178.89999999997</v>
      </c>
      <c r="T3" s="25">
        <f t="shared" ref="T3:T17" si="2">S3/$P3</f>
        <v>0.37748434700033728</v>
      </c>
      <c r="U3" s="24">
        <f>U21+U153+U183+U209+U247+U347+U449</f>
        <v>599327.08000000007</v>
      </c>
      <c r="V3" s="25">
        <f t="shared" ref="V3:V17" si="3">U3/$P3</f>
        <v>0.58432055939365235</v>
      </c>
      <c r="W3" s="24">
        <f>W21+W153+W183+W209+W247+W347+W449</f>
        <v>968449.97000000009</v>
      </c>
      <c r="X3" s="25">
        <f t="shared" ref="X3:X17" si="4">W3/$P3</f>
        <v>0.94420099992005324</v>
      </c>
      <c r="Y3" s="24">
        <f>Y21+Y153+Y183+Y209+Y247+Y347+Y449</f>
        <v>761033</v>
      </c>
      <c r="Z3" s="24">
        <f>Z21+Z153+Z183+Z209+Z247+Z347+Z449</f>
        <v>758178</v>
      </c>
    </row>
    <row r="4" spans="1:26" ht="13.9" customHeight="1">
      <c r="D4" s="14"/>
      <c r="E4" s="23">
        <v>41</v>
      </c>
      <c r="F4" s="23" t="s">
        <v>23</v>
      </c>
      <c r="G4" s="24">
        <f t="shared" ref="G4:Q4" si="5">G22+G154+G184+G210+G248+G348+G450</f>
        <v>786886.62999999989</v>
      </c>
      <c r="H4" s="24">
        <f t="shared" si="5"/>
        <v>864930.71</v>
      </c>
      <c r="I4" s="24">
        <f t="shared" si="5"/>
        <v>887875</v>
      </c>
      <c r="J4" s="24">
        <f t="shared" si="5"/>
        <v>905801.05</v>
      </c>
      <c r="K4" s="24">
        <f t="shared" si="5"/>
        <v>1082610</v>
      </c>
      <c r="L4" s="24">
        <f t="shared" si="5"/>
        <v>2485</v>
      </c>
      <c r="M4" s="24">
        <f t="shared" si="5"/>
        <v>11153</v>
      </c>
      <c r="N4" s="24">
        <f t="shared" si="5"/>
        <v>4454</v>
      </c>
      <c r="O4" s="24">
        <f t="shared" si="5"/>
        <v>7360</v>
      </c>
      <c r="P4" s="24">
        <f t="shared" si="5"/>
        <v>1108062</v>
      </c>
      <c r="Q4" s="24">
        <f t="shared" si="5"/>
        <v>194656.11000000002</v>
      </c>
      <c r="R4" s="25">
        <f t="shared" si="1"/>
        <v>0.17567257969319408</v>
      </c>
      <c r="S4" s="24">
        <f>S22+S154+S184+S210+S248+S348+S450</f>
        <v>433581.81999999995</v>
      </c>
      <c r="T4" s="25">
        <f t="shared" si="2"/>
        <v>0.39129743642503756</v>
      </c>
      <c r="U4" s="24">
        <f>U22+U154+U184+U210+U248+U348+U450</f>
        <v>657004.94000000006</v>
      </c>
      <c r="V4" s="25">
        <f t="shared" si="3"/>
        <v>0.59293156881113152</v>
      </c>
      <c r="W4" s="24">
        <f>W22+W154+W184+W210+W248+W348+W450</f>
        <v>916930.86999999988</v>
      </c>
      <c r="X4" s="25">
        <f t="shared" si="4"/>
        <v>0.82750863218845139</v>
      </c>
      <c r="Y4" s="24">
        <f>Y22+Y154+Y184+Y210+Y248+Y348+Y450</f>
        <v>1098949</v>
      </c>
      <c r="Z4" s="24">
        <f>Z22+Z154+Z184+Z210+Z248+Z348+Z450</f>
        <v>1130466</v>
      </c>
    </row>
    <row r="5" spans="1:26" ht="13.9" customHeight="1">
      <c r="D5" s="14"/>
      <c r="E5" s="23">
        <v>71</v>
      </c>
      <c r="F5" s="23" t="s">
        <v>24</v>
      </c>
      <c r="G5" s="24">
        <f t="shared" ref="G5:Q5" si="6">G249</f>
        <v>1400</v>
      </c>
      <c r="H5" s="24">
        <f t="shared" si="6"/>
        <v>3000</v>
      </c>
      <c r="I5" s="24">
        <f t="shared" si="6"/>
        <v>3000</v>
      </c>
      <c r="J5" s="24">
        <f t="shared" si="6"/>
        <v>3000</v>
      </c>
      <c r="K5" s="24">
        <f t="shared" si="6"/>
        <v>3000</v>
      </c>
      <c r="L5" s="24">
        <f t="shared" si="6"/>
        <v>0</v>
      </c>
      <c r="M5" s="24">
        <f t="shared" si="6"/>
        <v>0</v>
      </c>
      <c r="N5" s="24">
        <f t="shared" si="6"/>
        <v>0</v>
      </c>
      <c r="O5" s="24">
        <f t="shared" si="6"/>
        <v>0</v>
      </c>
      <c r="P5" s="24">
        <f t="shared" si="6"/>
        <v>3000</v>
      </c>
      <c r="Q5" s="24">
        <f t="shared" si="6"/>
        <v>0</v>
      </c>
      <c r="R5" s="25">
        <f t="shared" si="1"/>
        <v>0</v>
      </c>
      <c r="S5" s="24">
        <f>S249</f>
        <v>1056.53</v>
      </c>
      <c r="T5" s="25">
        <f t="shared" si="2"/>
        <v>0.35217666666666664</v>
      </c>
      <c r="U5" s="24">
        <f>U249</f>
        <v>3000</v>
      </c>
      <c r="V5" s="25">
        <f t="shared" si="3"/>
        <v>1</v>
      </c>
      <c r="W5" s="24">
        <f>W249</f>
        <v>3000</v>
      </c>
      <c r="X5" s="25">
        <f t="shared" si="4"/>
        <v>1</v>
      </c>
      <c r="Y5" s="24">
        <f>Y249</f>
        <v>3000</v>
      </c>
      <c r="Z5" s="24">
        <f>Z249</f>
        <v>3000</v>
      </c>
    </row>
    <row r="6" spans="1:26" ht="13.9" customHeight="1">
      <c r="D6" s="14"/>
      <c r="E6" s="23">
        <v>72</v>
      </c>
      <c r="F6" s="23" t="s">
        <v>25</v>
      </c>
      <c r="G6" s="24">
        <f t="shared" ref="G6:Q6" si="7">G23+G155+G185+G211+G250+G451</f>
        <v>43817.55000000001</v>
      </c>
      <c r="H6" s="24">
        <f t="shared" si="7"/>
        <v>46431.06</v>
      </c>
      <c r="I6" s="24">
        <f t="shared" si="7"/>
        <v>105360</v>
      </c>
      <c r="J6" s="24">
        <f t="shared" si="7"/>
        <v>74248.110000000015</v>
      </c>
      <c r="K6" s="24">
        <f t="shared" si="7"/>
        <v>153387</v>
      </c>
      <c r="L6" s="24">
        <f t="shared" si="7"/>
        <v>500</v>
      </c>
      <c r="M6" s="24">
        <f t="shared" si="7"/>
        <v>1406</v>
      </c>
      <c r="N6" s="24">
        <f t="shared" si="7"/>
        <v>1755</v>
      </c>
      <c r="O6" s="24">
        <f t="shared" si="7"/>
        <v>18916</v>
      </c>
      <c r="P6" s="24">
        <f t="shared" si="7"/>
        <v>175964</v>
      </c>
      <c r="Q6" s="24">
        <f t="shared" si="7"/>
        <v>25133.71</v>
      </c>
      <c r="R6" s="25">
        <f t="shared" si="1"/>
        <v>0.14283438657907299</v>
      </c>
      <c r="S6" s="24">
        <f>S23+S155+S185+S211+S250+S451</f>
        <v>47233.96</v>
      </c>
      <c r="T6" s="25">
        <f t="shared" si="2"/>
        <v>0.26842967879793594</v>
      </c>
      <c r="U6" s="24">
        <f>U23+U155+U185+U211+U250+U451</f>
        <v>75243.81</v>
      </c>
      <c r="V6" s="25">
        <f t="shared" si="3"/>
        <v>0.42760911322770567</v>
      </c>
      <c r="W6" s="24">
        <f>W23+W155+W185+W211+W250+W451</f>
        <v>100119.76</v>
      </c>
      <c r="X6" s="25">
        <f t="shared" si="4"/>
        <v>0.56897865472483</v>
      </c>
      <c r="Y6" s="24">
        <f>Y23+Y155+Y185+Y211+Y250+Y451</f>
        <v>153387</v>
      </c>
      <c r="Z6" s="24">
        <f>Z23+Z155+Z185+Z211+Z250+Z451</f>
        <v>153387</v>
      </c>
    </row>
    <row r="7" spans="1:26" ht="13.9" customHeight="1">
      <c r="D7" s="14"/>
      <c r="E7" s="23"/>
      <c r="F7" s="26" t="s">
        <v>117</v>
      </c>
      <c r="G7" s="27">
        <f t="shared" ref="G7:Q7" si="8">SUM(G3:G6)</f>
        <v>1524174.84</v>
      </c>
      <c r="H7" s="27">
        <f t="shared" si="8"/>
        <v>1636834.1</v>
      </c>
      <c r="I7" s="27">
        <f t="shared" si="8"/>
        <v>1625842</v>
      </c>
      <c r="J7" s="27">
        <f t="shared" si="8"/>
        <v>1774735.1400000004</v>
      </c>
      <c r="K7" s="27">
        <f t="shared" si="8"/>
        <v>2004230</v>
      </c>
      <c r="L7" s="27">
        <f t="shared" si="8"/>
        <v>30649</v>
      </c>
      <c r="M7" s="27">
        <f t="shared" si="8"/>
        <v>57900</v>
      </c>
      <c r="N7" s="27">
        <f t="shared" si="8"/>
        <v>71832</v>
      </c>
      <c r="O7" s="27">
        <f t="shared" si="8"/>
        <v>148097</v>
      </c>
      <c r="P7" s="27">
        <f t="shared" si="8"/>
        <v>2312708</v>
      </c>
      <c r="Q7" s="27">
        <f t="shared" si="8"/>
        <v>379024.60000000003</v>
      </c>
      <c r="R7" s="28">
        <f t="shared" si="1"/>
        <v>0.16388778868754725</v>
      </c>
      <c r="S7" s="27">
        <f>SUM(S3:S6)</f>
        <v>869051.21</v>
      </c>
      <c r="T7" s="28">
        <f t="shared" si="2"/>
        <v>0.3757721294690034</v>
      </c>
      <c r="U7" s="27">
        <f>SUM(U3:U6)</f>
        <v>1334575.83</v>
      </c>
      <c r="V7" s="28">
        <f t="shared" si="3"/>
        <v>0.57706196804784693</v>
      </c>
      <c r="W7" s="27">
        <f>SUM(W3:W6)</f>
        <v>1988500.5999999999</v>
      </c>
      <c r="X7" s="28">
        <f t="shared" si="4"/>
        <v>0.85981481449452324</v>
      </c>
      <c r="Y7" s="27">
        <f>SUM(Y3:Y6)</f>
        <v>2016369</v>
      </c>
      <c r="Z7" s="27">
        <f>SUM(Z3:Z6)</f>
        <v>2045031</v>
      </c>
    </row>
    <row r="8" spans="1:26" ht="13.9" customHeight="1">
      <c r="D8" s="14"/>
      <c r="E8" s="23">
        <v>111</v>
      </c>
      <c r="F8" s="23" t="s">
        <v>22</v>
      </c>
      <c r="G8" s="24">
        <f t="shared" ref="G8:Q8" si="9">G505</f>
        <v>0</v>
      </c>
      <c r="H8" s="24">
        <f t="shared" si="9"/>
        <v>89115.6</v>
      </c>
      <c r="I8" s="24">
        <f t="shared" si="9"/>
        <v>366765</v>
      </c>
      <c r="J8" s="24">
        <f t="shared" si="9"/>
        <v>190577.56</v>
      </c>
      <c r="K8" s="24">
        <f t="shared" si="9"/>
        <v>400935</v>
      </c>
      <c r="L8" s="24">
        <f t="shared" si="9"/>
        <v>0</v>
      </c>
      <c r="M8" s="24">
        <f t="shared" si="9"/>
        <v>0</v>
      </c>
      <c r="N8" s="24">
        <f t="shared" si="9"/>
        <v>46828</v>
      </c>
      <c r="O8" s="24">
        <f t="shared" si="9"/>
        <v>0</v>
      </c>
      <c r="P8" s="24">
        <f t="shared" si="9"/>
        <v>447763</v>
      </c>
      <c r="Q8" s="24">
        <f t="shared" si="9"/>
        <v>150933.32999999999</v>
      </c>
      <c r="R8" s="25">
        <f t="shared" si="1"/>
        <v>0.33708307743158766</v>
      </c>
      <c r="S8" s="24">
        <f>S505</f>
        <v>150933.32999999999</v>
      </c>
      <c r="T8" s="25">
        <f t="shared" si="2"/>
        <v>0.33708307743158766</v>
      </c>
      <c r="U8" s="24">
        <f>U505</f>
        <v>150933.32999999999</v>
      </c>
      <c r="V8" s="25">
        <f t="shared" si="3"/>
        <v>0.33708307743158766</v>
      </c>
      <c r="W8" s="24">
        <f>W505</f>
        <v>0</v>
      </c>
      <c r="X8" s="25">
        <f t="shared" si="4"/>
        <v>0</v>
      </c>
      <c r="Y8" s="24">
        <f>Y505</f>
        <v>0</v>
      </c>
      <c r="Z8" s="24">
        <f>Z505</f>
        <v>0</v>
      </c>
    </row>
    <row r="9" spans="1:26" ht="13.9" customHeight="1">
      <c r="D9" s="14"/>
      <c r="E9" s="23">
        <v>41</v>
      </c>
      <c r="F9" s="23" t="s">
        <v>23</v>
      </c>
      <c r="G9" s="24">
        <f t="shared" ref="G9:Q9" si="10">G506</f>
        <v>137834.32</v>
      </c>
      <c r="H9" s="24">
        <f t="shared" si="10"/>
        <v>885584.75</v>
      </c>
      <c r="I9" s="24">
        <f t="shared" si="10"/>
        <v>932682</v>
      </c>
      <c r="J9" s="24">
        <f t="shared" si="10"/>
        <v>776952.59000000008</v>
      </c>
      <c r="K9" s="24">
        <f t="shared" si="10"/>
        <v>529835</v>
      </c>
      <c r="L9" s="24">
        <f t="shared" si="10"/>
        <v>0</v>
      </c>
      <c r="M9" s="24">
        <f t="shared" si="10"/>
        <v>28864</v>
      </c>
      <c r="N9" s="24">
        <f t="shared" si="10"/>
        <v>159510</v>
      </c>
      <c r="O9" s="24">
        <f t="shared" si="10"/>
        <v>-21073</v>
      </c>
      <c r="P9" s="24">
        <f t="shared" si="10"/>
        <v>697136</v>
      </c>
      <c r="Q9" s="24">
        <f t="shared" si="10"/>
        <v>11489.130000000005</v>
      </c>
      <c r="R9" s="25">
        <f t="shared" si="1"/>
        <v>1.6480471529228161E-2</v>
      </c>
      <c r="S9" s="24">
        <f>S506</f>
        <v>234351.64</v>
      </c>
      <c r="T9" s="25">
        <f t="shared" si="2"/>
        <v>0.33616344586995939</v>
      </c>
      <c r="U9" s="24">
        <f>U506</f>
        <v>497777.83999999997</v>
      </c>
      <c r="V9" s="25">
        <f t="shared" si="3"/>
        <v>0.71403261343554192</v>
      </c>
      <c r="W9" s="24">
        <f>W506</f>
        <v>765356.6</v>
      </c>
      <c r="X9" s="25">
        <f t="shared" si="4"/>
        <v>1.097858380574235</v>
      </c>
      <c r="Y9" s="24">
        <f>Y506</f>
        <v>417676</v>
      </c>
      <c r="Z9" s="24">
        <f>Z506</f>
        <v>386159</v>
      </c>
    </row>
    <row r="10" spans="1:26" ht="13.9" customHeight="1">
      <c r="D10" s="14"/>
      <c r="E10" s="23"/>
      <c r="F10" s="26" t="s">
        <v>118</v>
      </c>
      <c r="G10" s="27">
        <f t="shared" ref="G10:Q10" si="11">SUM(G8:G9)</f>
        <v>137834.32</v>
      </c>
      <c r="H10" s="27">
        <f t="shared" si="11"/>
        <v>974700.35</v>
      </c>
      <c r="I10" s="27">
        <f t="shared" si="11"/>
        <v>1299447</v>
      </c>
      <c r="J10" s="27">
        <f t="shared" si="11"/>
        <v>967530.15000000014</v>
      </c>
      <c r="K10" s="27">
        <f t="shared" si="11"/>
        <v>930770</v>
      </c>
      <c r="L10" s="27">
        <f t="shared" si="11"/>
        <v>0</v>
      </c>
      <c r="M10" s="27">
        <f t="shared" si="11"/>
        <v>28864</v>
      </c>
      <c r="N10" s="27">
        <f t="shared" si="11"/>
        <v>206338</v>
      </c>
      <c r="O10" s="27">
        <f t="shared" si="11"/>
        <v>-21073</v>
      </c>
      <c r="P10" s="27">
        <f t="shared" si="11"/>
        <v>1144899</v>
      </c>
      <c r="Q10" s="27">
        <f t="shared" si="11"/>
        <v>162422.46</v>
      </c>
      <c r="R10" s="28">
        <f t="shared" si="1"/>
        <v>0.14186619081683188</v>
      </c>
      <c r="S10" s="27">
        <f>SUM(S8:S9)</f>
        <v>385284.97</v>
      </c>
      <c r="T10" s="28">
        <f t="shared" si="2"/>
        <v>0.33652310815189806</v>
      </c>
      <c r="U10" s="27">
        <f>SUM(U8:U9)</f>
        <v>648711.16999999993</v>
      </c>
      <c r="V10" s="28">
        <f t="shared" si="3"/>
        <v>0.56660995424050498</v>
      </c>
      <c r="W10" s="27">
        <f>SUM(W8:W9)</f>
        <v>765356.6</v>
      </c>
      <c r="X10" s="28">
        <f t="shared" si="4"/>
        <v>0.6684926792669047</v>
      </c>
      <c r="Y10" s="27">
        <f>SUM(Y8:Y9)</f>
        <v>417676</v>
      </c>
      <c r="Z10" s="27">
        <f>SUM(Z8:Z9)</f>
        <v>386159</v>
      </c>
    </row>
    <row r="11" spans="1:26" ht="13.9" customHeight="1">
      <c r="D11" s="14"/>
      <c r="E11" s="23">
        <v>71</v>
      </c>
      <c r="F11" s="23" t="s">
        <v>24</v>
      </c>
      <c r="G11" s="24">
        <f t="shared" ref="G11:Q11" si="12">G599</f>
        <v>0</v>
      </c>
      <c r="H11" s="24">
        <f t="shared" si="12"/>
        <v>0</v>
      </c>
      <c r="I11" s="24">
        <f t="shared" si="12"/>
        <v>0</v>
      </c>
      <c r="J11" s="24">
        <f t="shared" si="12"/>
        <v>300</v>
      </c>
      <c r="K11" s="24">
        <f t="shared" si="12"/>
        <v>3000</v>
      </c>
      <c r="L11" s="24">
        <f t="shared" si="12"/>
        <v>0</v>
      </c>
      <c r="M11" s="24">
        <f t="shared" si="12"/>
        <v>0</v>
      </c>
      <c r="N11" s="24">
        <f t="shared" si="12"/>
        <v>0</v>
      </c>
      <c r="O11" s="24">
        <f t="shared" si="12"/>
        <v>26000</v>
      </c>
      <c r="P11" s="24">
        <f t="shared" si="12"/>
        <v>29000</v>
      </c>
      <c r="Q11" s="24">
        <f t="shared" si="12"/>
        <v>0</v>
      </c>
      <c r="R11" s="25">
        <f t="shared" si="1"/>
        <v>0</v>
      </c>
      <c r="S11" s="24">
        <f>S599</f>
        <v>100</v>
      </c>
      <c r="T11" s="25">
        <f t="shared" si="2"/>
        <v>3.4482758620689655E-3</v>
      </c>
      <c r="U11" s="24">
        <f>U599</f>
        <v>370</v>
      </c>
      <c r="V11" s="25">
        <f t="shared" si="3"/>
        <v>1.2758620689655173E-2</v>
      </c>
      <c r="W11" s="24">
        <f>W599</f>
        <v>4020</v>
      </c>
      <c r="X11" s="25">
        <f t="shared" si="4"/>
        <v>0.13862068965517241</v>
      </c>
      <c r="Y11" s="24">
        <f>Y599</f>
        <v>0</v>
      </c>
      <c r="Z11" s="24">
        <f>Z599</f>
        <v>0</v>
      </c>
    </row>
    <row r="12" spans="1:26" ht="13.9" customHeight="1">
      <c r="D12" s="14"/>
      <c r="E12" s="23"/>
      <c r="F12" s="26" t="s">
        <v>28</v>
      </c>
      <c r="G12" s="27">
        <f t="shared" ref="G12:Q12" si="13">SUM(G11:G11)</f>
        <v>0</v>
      </c>
      <c r="H12" s="27">
        <f t="shared" si="13"/>
        <v>0</v>
      </c>
      <c r="I12" s="27">
        <f t="shared" si="13"/>
        <v>0</v>
      </c>
      <c r="J12" s="27">
        <f t="shared" si="13"/>
        <v>300</v>
      </c>
      <c r="K12" s="27">
        <f t="shared" si="13"/>
        <v>3000</v>
      </c>
      <c r="L12" s="27">
        <f t="shared" si="13"/>
        <v>0</v>
      </c>
      <c r="M12" s="27">
        <f t="shared" si="13"/>
        <v>0</v>
      </c>
      <c r="N12" s="27">
        <f t="shared" si="13"/>
        <v>0</v>
      </c>
      <c r="O12" s="27">
        <f t="shared" si="13"/>
        <v>26000</v>
      </c>
      <c r="P12" s="27">
        <f t="shared" si="13"/>
        <v>29000</v>
      </c>
      <c r="Q12" s="27">
        <f t="shared" si="13"/>
        <v>0</v>
      </c>
      <c r="R12" s="28">
        <f t="shared" si="1"/>
        <v>0</v>
      </c>
      <c r="S12" s="27">
        <f>SUM(S11:S11)</f>
        <v>100</v>
      </c>
      <c r="T12" s="28">
        <f t="shared" si="2"/>
        <v>3.4482758620689655E-3</v>
      </c>
      <c r="U12" s="27">
        <f>SUM(U11:U11)</f>
        <v>370</v>
      </c>
      <c r="V12" s="28">
        <f t="shared" si="3"/>
        <v>1.2758620689655173E-2</v>
      </c>
      <c r="W12" s="27">
        <f>SUM(W11:W11)</f>
        <v>4020</v>
      </c>
      <c r="X12" s="28">
        <f t="shared" si="4"/>
        <v>0.13862068965517241</v>
      </c>
      <c r="Y12" s="27">
        <f>SUM(Y11:Y11)</f>
        <v>0</v>
      </c>
      <c r="Z12" s="27">
        <f>SUM(Z11:Z11)</f>
        <v>0</v>
      </c>
    </row>
    <row r="13" spans="1:26" ht="13.9" customHeight="1">
      <c r="D13" s="14"/>
      <c r="E13" s="23">
        <v>111</v>
      </c>
      <c r="F13" s="23" t="s">
        <v>22</v>
      </c>
      <c r="G13" s="24">
        <f t="shared" ref="G13:Q13" si="14">G3+G8</f>
        <v>692070.66</v>
      </c>
      <c r="H13" s="24">
        <f t="shared" si="14"/>
        <v>811587.93</v>
      </c>
      <c r="I13" s="24">
        <f t="shared" si="14"/>
        <v>996372</v>
      </c>
      <c r="J13" s="24">
        <f t="shared" si="14"/>
        <v>982263.54</v>
      </c>
      <c r="K13" s="24">
        <f t="shared" si="14"/>
        <v>1166168</v>
      </c>
      <c r="L13" s="24">
        <f t="shared" si="14"/>
        <v>27664</v>
      </c>
      <c r="M13" s="24">
        <f t="shared" si="14"/>
        <v>45341</v>
      </c>
      <c r="N13" s="24">
        <f t="shared" si="14"/>
        <v>112451</v>
      </c>
      <c r="O13" s="24">
        <f t="shared" si="14"/>
        <v>121821</v>
      </c>
      <c r="P13" s="24">
        <f t="shared" si="14"/>
        <v>1473445</v>
      </c>
      <c r="Q13" s="24">
        <f t="shared" si="14"/>
        <v>310168.11</v>
      </c>
      <c r="R13" s="25">
        <f t="shared" si="1"/>
        <v>0.21050538703514551</v>
      </c>
      <c r="S13" s="24">
        <f>S3+S8</f>
        <v>538112.23</v>
      </c>
      <c r="T13" s="25">
        <f t="shared" si="2"/>
        <v>0.36520686554299614</v>
      </c>
      <c r="U13" s="24">
        <f>U3+U8</f>
        <v>750260.41</v>
      </c>
      <c r="V13" s="25">
        <f t="shared" si="3"/>
        <v>0.50918793032654763</v>
      </c>
      <c r="W13" s="24">
        <f>W3+W8</f>
        <v>968449.97000000009</v>
      </c>
      <c r="X13" s="25">
        <f t="shared" si="4"/>
        <v>0.65726916851324624</v>
      </c>
      <c r="Y13" s="24">
        <f>Y3+Y8</f>
        <v>761033</v>
      </c>
      <c r="Z13" s="24">
        <f>Z3+Z8</f>
        <v>758178</v>
      </c>
    </row>
    <row r="14" spans="1:26" ht="13.9" customHeight="1">
      <c r="D14" s="14"/>
      <c r="E14" s="23">
        <v>41</v>
      </c>
      <c r="F14" s="23" t="s">
        <v>23</v>
      </c>
      <c r="G14" s="24">
        <f t="shared" ref="G14:Q14" si="15">G4+G9</f>
        <v>924720.95</v>
      </c>
      <c r="H14" s="24">
        <f t="shared" si="15"/>
        <v>1750515.46</v>
      </c>
      <c r="I14" s="24">
        <f t="shared" si="15"/>
        <v>1820557</v>
      </c>
      <c r="J14" s="24">
        <f t="shared" si="15"/>
        <v>1682753.6400000001</v>
      </c>
      <c r="K14" s="24">
        <f t="shared" si="15"/>
        <v>1612445</v>
      </c>
      <c r="L14" s="24">
        <f t="shared" si="15"/>
        <v>2485</v>
      </c>
      <c r="M14" s="24">
        <f t="shared" si="15"/>
        <v>40017</v>
      </c>
      <c r="N14" s="24">
        <f t="shared" si="15"/>
        <v>163964</v>
      </c>
      <c r="O14" s="24">
        <f t="shared" si="15"/>
        <v>-13713</v>
      </c>
      <c r="P14" s="24">
        <f t="shared" si="15"/>
        <v>1805198</v>
      </c>
      <c r="Q14" s="24">
        <f t="shared" si="15"/>
        <v>206145.24000000002</v>
      </c>
      <c r="R14" s="25">
        <f t="shared" si="1"/>
        <v>0.1141953625031714</v>
      </c>
      <c r="S14" s="24">
        <f>S4+S9</f>
        <v>667933.46</v>
      </c>
      <c r="T14" s="25">
        <f t="shared" si="2"/>
        <v>0.37000565034971233</v>
      </c>
      <c r="U14" s="24">
        <f>U4+U9</f>
        <v>1154782.78</v>
      </c>
      <c r="V14" s="25">
        <f t="shared" si="3"/>
        <v>0.63969868125269358</v>
      </c>
      <c r="W14" s="24">
        <f>W4+W9</f>
        <v>1682287.4699999997</v>
      </c>
      <c r="X14" s="25">
        <f t="shared" si="4"/>
        <v>0.93191299236981195</v>
      </c>
      <c r="Y14" s="24">
        <f>Y4+Y9</f>
        <v>1516625</v>
      </c>
      <c r="Z14" s="24">
        <f>Z4+Z9</f>
        <v>1516625</v>
      </c>
    </row>
    <row r="15" spans="1:26" ht="13.9" customHeight="1">
      <c r="D15" s="14"/>
      <c r="E15" s="23">
        <v>71</v>
      </c>
      <c r="F15" s="23" t="s">
        <v>24</v>
      </c>
      <c r="G15" s="24">
        <f t="shared" ref="G15:Q15" si="16">G5+G11</f>
        <v>1400</v>
      </c>
      <c r="H15" s="24">
        <f t="shared" si="16"/>
        <v>3000</v>
      </c>
      <c r="I15" s="24">
        <f t="shared" si="16"/>
        <v>3000</v>
      </c>
      <c r="J15" s="24">
        <f t="shared" si="16"/>
        <v>3300</v>
      </c>
      <c r="K15" s="24">
        <f t="shared" si="16"/>
        <v>6000</v>
      </c>
      <c r="L15" s="24">
        <f t="shared" si="16"/>
        <v>0</v>
      </c>
      <c r="M15" s="24">
        <f t="shared" si="16"/>
        <v>0</v>
      </c>
      <c r="N15" s="24">
        <f t="shared" si="16"/>
        <v>0</v>
      </c>
      <c r="O15" s="24">
        <f t="shared" si="16"/>
        <v>26000</v>
      </c>
      <c r="P15" s="24">
        <f t="shared" si="16"/>
        <v>32000</v>
      </c>
      <c r="Q15" s="24">
        <f t="shared" si="16"/>
        <v>0</v>
      </c>
      <c r="R15" s="25">
        <f t="shared" si="1"/>
        <v>0</v>
      </c>
      <c r="S15" s="24">
        <f>S5+S11</f>
        <v>1156.53</v>
      </c>
      <c r="T15" s="25">
        <f t="shared" si="2"/>
        <v>3.6141562500000002E-2</v>
      </c>
      <c r="U15" s="24">
        <f>U5+U11</f>
        <v>3370</v>
      </c>
      <c r="V15" s="25">
        <f t="shared" si="3"/>
        <v>0.1053125</v>
      </c>
      <c r="W15" s="24">
        <f>W5+W11</f>
        <v>7020</v>
      </c>
      <c r="X15" s="25">
        <f t="shared" si="4"/>
        <v>0.21937499999999999</v>
      </c>
      <c r="Y15" s="24">
        <f>Y5+Y11</f>
        <v>3000</v>
      </c>
      <c r="Z15" s="24">
        <f>Z5+Z11</f>
        <v>3000</v>
      </c>
    </row>
    <row r="16" spans="1:26" ht="13.9" customHeight="1">
      <c r="D16" s="14"/>
      <c r="E16" s="23">
        <v>72</v>
      </c>
      <c r="F16" s="23" t="s">
        <v>25</v>
      </c>
      <c r="G16" s="24">
        <f t="shared" ref="G16:Q16" si="17">G6</f>
        <v>43817.55000000001</v>
      </c>
      <c r="H16" s="24">
        <f t="shared" si="17"/>
        <v>46431.06</v>
      </c>
      <c r="I16" s="24">
        <f t="shared" si="17"/>
        <v>105360</v>
      </c>
      <c r="J16" s="24">
        <f t="shared" si="17"/>
        <v>74248.110000000015</v>
      </c>
      <c r="K16" s="24">
        <f t="shared" si="17"/>
        <v>153387</v>
      </c>
      <c r="L16" s="24">
        <f t="shared" si="17"/>
        <v>500</v>
      </c>
      <c r="M16" s="24">
        <f t="shared" si="17"/>
        <v>1406</v>
      </c>
      <c r="N16" s="24">
        <f t="shared" si="17"/>
        <v>1755</v>
      </c>
      <c r="O16" s="24">
        <f t="shared" si="17"/>
        <v>18916</v>
      </c>
      <c r="P16" s="24">
        <f t="shared" si="17"/>
        <v>175964</v>
      </c>
      <c r="Q16" s="24">
        <f t="shared" si="17"/>
        <v>25133.71</v>
      </c>
      <c r="R16" s="25">
        <f t="shared" si="1"/>
        <v>0.14283438657907299</v>
      </c>
      <c r="S16" s="24">
        <f>S6</f>
        <v>47233.96</v>
      </c>
      <c r="T16" s="25">
        <f t="shared" si="2"/>
        <v>0.26842967879793594</v>
      </c>
      <c r="U16" s="24">
        <f>U6</f>
        <v>75243.81</v>
      </c>
      <c r="V16" s="25">
        <f t="shared" si="3"/>
        <v>0.42760911322770567</v>
      </c>
      <c r="W16" s="24">
        <f>W6</f>
        <v>100119.76</v>
      </c>
      <c r="X16" s="25">
        <f t="shared" si="4"/>
        <v>0.56897865472483</v>
      </c>
      <c r="Y16" s="24">
        <f>Y6</f>
        <v>153387</v>
      </c>
      <c r="Z16" s="24">
        <f>Z6</f>
        <v>153387</v>
      </c>
    </row>
    <row r="17" spans="1:26" ht="13.9" customHeight="1">
      <c r="D17" s="30"/>
      <c r="E17" s="31"/>
      <c r="F17" s="26" t="s">
        <v>119</v>
      </c>
      <c r="G17" s="27">
        <f t="shared" ref="G17:Q17" si="18">SUM(G13:G16)</f>
        <v>1662009.16</v>
      </c>
      <c r="H17" s="27">
        <f t="shared" si="18"/>
        <v>2611534.4500000002</v>
      </c>
      <c r="I17" s="27">
        <f t="shared" si="18"/>
        <v>2925289</v>
      </c>
      <c r="J17" s="27">
        <f t="shared" si="18"/>
        <v>2742565.29</v>
      </c>
      <c r="K17" s="27">
        <f t="shared" si="18"/>
        <v>2938000</v>
      </c>
      <c r="L17" s="27">
        <f t="shared" si="18"/>
        <v>30649</v>
      </c>
      <c r="M17" s="27">
        <f t="shared" si="18"/>
        <v>86764</v>
      </c>
      <c r="N17" s="27">
        <f t="shared" si="18"/>
        <v>278170</v>
      </c>
      <c r="O17" s="27">
        <f t="shared" si="18"/>
        <v>153024</v>
      </c>
      <c r="P17" s="27">
        <f t="shared" si="18"/>
        <v>3486607</v>
      </c>
      <c r="Q17" s="27">
        <f t="shared" si="18"/>
        <v>541447.05999999994</v>
      </c>
      <c r="R17" s="28">
        <f t="shared" si="1"/>
        <v>0.15529340129243127</v>
      </c>
      <c r="S17" s="27">
        <f>SUM(S13:S16)</f>
        <v>1254436.18</v>
      </c>
      <c r="T17" s="28">
        <f t="shared" si="2"/>
        <v>0.35978708813468219</v>
      </c>
      <c r="U17" s="27">
        <f>SUM(U13:U16)</f>
        <v>1983657</v>
      </c>
      <c r="V17" s="28">
        <f t="shared" si="3"/>
        <v>0.56893621793336613</v>
      </c>
      <c r="W17" s="27">
        <f>SUM(W13:W16)</f>
        <v>2757877.1999999997</v>
      </c>
      <c r="X17" s="28">
        <f t="shared" si="4"/>
        <v>0.7909917005271887</v>
      </c>
      <c r="Y17" s="27">
        <f>SUM(Y13:Y16)</f>
        <v>2434045</v>
      </c>
      <c r="Z17" s="27">
        <f>SUM(Z13:Z16)</f>
        <v>2431190</v>
      </c>
    </row>
    <row r="19" spans="1:26" ht="13.9" customHeight="1">
      <c r="D19" s="9" t="s">
        <v>120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3.9" customHeight="1">
      <c r="D20" s="20"/>
      <c r="E20" s="20"/>
      <c r="F20" s="20"/>
      <c r="G20" s="21" t="s">
        <v>1</v>
      </c>
      <c r="H20" s="21" t="s">
        <v>2</v>
      </c>
      <c r="I20" s="21" t="s">
        <v>3</v>
      </c>
      <c r="J20" s="21" t="s">
        <v>4</v>
      </c>
      <c r="K20" s="21" t="s">
        <v>5</v>
      </c>
      <c r="L20" s="21" t="s">
        <v>6</v>
      </c>
      <c r="M20" s="21" t="s">
        <v>7</v>
      </c>
      <c r="N20" s="21" t="s">
        <v>8</v>
      </c>
      <c r="O20" s="21" t="s">
        <v>9</v>
      </c>
      <c r="P20" s="21" t="s">
        <v>10</v>
      </c>
      <c r="Q20" s="21" t="s">
        <v>11</v>
      </c>
      <c r="R20" s="22" t="s">
        <v>12</v>
      </c>
      <c r="S20" s="21" t="s">
        <v>13</v>
      </c>
      <c r="T20" s="22" t="s">
        <v>14</v>
      </c>
      <c r="U20" s="21" t="s">
        <v>15</v>
      </c>
      <c r="V20" s="22" t="s">
        <v>16</v>
      </c>
      <c r="W20" s="21" t="s">
        <v>17</v>
      </c>
      <c r="X20" s="22" t="s">
        <v>18</v>
      </c>
      <c r="Y20" s="21" t="s">
        <v>19</v>
      </c>
      <c r="Z20" s="21" t="s">
        <v>20</v>
      </c>
    </row>
    <row r="21" spans="1:26" ht="13.9" customHeight="1">
      <c r="A21" s="15">
        <v>1</v>
      </c>
      <c r="D21" s="12" t="s">
        <v>21</v>
      </c>
      <c r="E21" s="35">
        <v>111</v>
      </c>
      <c r="F21" s="35" t="s">
        <v>46</v>
      </c>
      <c r="G21" s="36">
        <f t="shared" ref="G21:Q21" si="19">G28+G124+G148+G133</f>
        <v>14078.89</v>
      </c>
      <c r="H21" s="36">
        <f t="shared" si="19"/>
        <v>19631.91</v>
      </c>
      <c r="I21" s="36">
        <f t="shared" si="19"/>
        <v>13237</v>
      </c>
      <c r="J21" s="36">
        <f t="shared" si="19"/>
        <v>20286.989999999998</v>
      </c>
      <c r="K21" s="36">
        <f t="shared" si="19"/>
        <v>14638</v>
      </c>
      <c r="L21" s="36">
        <f t="shared" si="19"/>
        <v>0</v>
      </c>
      <c r="M21" s="36">
        <f t="shared" si="19"/>
        <v>2220</v>
      </c>
      <c r="N21" s="36">
        <f t="shared" si="19"/>
        <v>2347</v>
      </c>
      <c r="O21" s="36">
        <f t="shared" si="19"/>
        <v>5345</v>
      </c>
      <c r="P21" s="36">
        <f t="shared" si="19"/>
        <v>24550</v>
      </c>
      <c r="Q21" s="36">
        <f t="shared" si="19"/>
        <v>3681.28</v>
      </c>
      <c r="R21" s="37">
        <f>Q21/$P21</f>
        <v>0.14995030549898167</v>
      </c>
      <c r="S21" s="36">
        <f>S28+S124+S148+S133</f>
        <v>12198.62</v>
      </c>
      <c r="T21" s="37">
        <f>S21/$P21</f>
        <v>0.49688879837067212</v>
      </c>
      <c r="U21" s="36">
        <f>U28+U124+U148+U133</f>
        <v>16498.36</v>
      </c>
      <c r="V21" s="37">
        <f>U21/$P21</f>
        <v>0.67203095723014261</v>
      </c>
      <c r="W21" s="36">
        <f>W28+W124+W148+W133</f>
        <v>24550.83</v>
      </c>
      <c r="X21" s="37">
        <f>W21/$P21</f>
        <v>1.0000338085539715</v>
      </c>
      <c r="Y21" s="36">
        <f>Y28+Y124+Y148+Y133</f>
        <v>14638</v>
      </c>
      <c r="Z21" s="36">
        <f>Z28+Z124+Z148+Z133</f>
        <v>11783</v>
      </c>
    </row>
    <row r="22" spans="1:26" ht="13.9" customHeight="1">
      <c r="A22" s="15">
        <v>1</v>
      </c>
      <c r="D22" s="12"/>
      <c r="E22" s="35">
        <v>41</v>
      </c>
      <c r="F22" s="35" t="s">
        <v>23</v>
      </c>
      <c r="G22" s="36">
        <f t="shared" ref="G22:Q22" si="20">G29+G127+G136</f>
        <v>219088.41999999998</v>
      </c>
      <c r="H22" s="36">
        <f t="shared" si="20"/>
        <v>226132.58999999997</v>
      </c>
      <c r="I22" s="36">
        <f t="shared" si="20"/>
        <v>270610</v>
      </c>
      <c r="J22" s="36">
        <f t="shared" si="20"/>
        <v>261912.26000000004</v>
      </c>
      <c r="K22" s="36">
        <f t="shared" si="20"/>
        <v>314997</v>
      </c>
      <c r="L22" s="36">
        <f t="shared" si="20"/>
        <v>1785</v>
      </c>
      <c r="M22" s="36">
        <f t="shared" si="20"/>
        <v>13323</v>
      </c>
      <c r="N22" s="36">
        <f t="shared" si="20"/>
        <v>7387</v>
      </c>
      <c r="O22" s="36">
        <f t="shared" si="20"/>
        <v>0</v>
      </c>
      <c r="P22" s="36">
        <f t="shared" si="20"/>
        <v>337492</v>
      </c>
      <c r="Q22" s="36">
        <f t="shared" si="20"/>
        <v>72906.33</v>
      </c>
      <c r="R22" s="37">
        <f>Q22/$P22</f>
        <v>0.21602387612150806</v>
      </c>
      <c r="S22" s="36">
        <f>S29+S127+S136</f>
        <v>135842.9</v>
      </c>
      <c r="T22" s="37">
        <f>S22/$P22</f>
        <v>0.4025070223886788</v>
      </c>
      <c r="U22" s="36">
        <f>U29+U127+U136</f>
        <v>208739.81999999998</v>
      </c>
      <c r="V22" s="37">
        <f>U22/$P22</f>
        <v>0.61850301636779537</v>
      </c>
      <c r="W22" s="36">
        <f>W29+W127+W136</f>
        <v>286839.79000000004</v>
      </c>
      <c r="X22" s="37">
        <f>W22/$P22</f>
        <v>0.84991582022684997</v>
      </c>
      <c r="Y22" s="36">
        <f>Y29+Y127+Y136</f>
        <v>346753</v>
      </c>
      <c r="Z22" s="36">
        <f>Z29+Z127+Z136</f>
        <v>369743</v>
      </c>
    </row>
    <row r="23" spans="1:26" ht="13.9" customHeight="1">
      <c r="A23" s="15">
        <v>1</v>
      </c>
      <c r="D23" s="12"/>
      <c r="E23" s="35">
        <v>72</v>
      </c>
      <c r="F23" s="35" t="s">
        <v>25</v>
      </c>
      <c r="G23" s="36">
        <f t="shared" ref="G23:Q23" si="21">G30</f>
        <v>780.65</v>
      </c>
      <c r="H23" s="36">
        <f t="shared" si="21"/>
        <v>904.5</v>
      </c>
      <c r="I23" s="36">
        <f t="shared" si="21"/>
        <v>911</v>
      </c>
      <c r="J23" s="36">
        <f t="shared" si="21"/>
        <v>1134.96</v>
      </c>
      <c r="K23" s="36">
        <f t="shared" si="21"/>
        <v>1570</v>
      </c>
      <c r="L23" s="36">
        <f t="shared" si="21"/>
        <v>0</v>
      </c>
      <c r="M23" s="36">
        <f t="shared" si="21"/>
        <v>0</v>
      </c>
      <c r="N23" s="36">
        <f t="shared" si="21"/>
        <v>0</v>
      </c>
      <c r="O23" s="36">
        <f t="shared" si="21"/>
        <v>0</v>
      </c>
      <c r="P23" s="36">
        <f t="shared" si="21"/>
        <v>1570</v>
      </c>
      <c r="Q23" s="36">
        <f t="shared" si="21"/>
        <v>0</v>
      </c>
      <c r="R23" s="37">
        <f>Q23/$P23</f>
        <v>0</v>
      </c>
      <c r="S23" s="36">
        <f>S30</f>
        <v>0</v>
      </c>
      <c r="T23" s="37">
        <f>S23/$P23</f>
        <v>0</v>
      </c>
      <c r="U23" s="36">
        <f>U30</f>
        <v>0</v>
      </c>
      <c r="V23" s="37">
        <f>U23/$P23</f>
        <v>0</v>
      </c>
      <c r="W23" s="36">
        <f>W30</f>
        <v>1184.8699999999999</v>
      </c>
      <c r="X23" s="37">
        <f>W23/$P23</f>
        <v>0.7546942675159235</v>
      </c>
      <c r="Y23" s="36">
        <f>Y30</f>
        <v>1570</v>
      </c>
      <c r="Z23" s="36">
        <f>Z30</f>
        <v>1570</v>
      </c>
    </row>
    <row r="24" spans="1:26" ht="13.9" customHeight="1">
      <c r="A24" s="15">
        <v>1</v>
      </c>
      <c r="D24" s="30"/>
      <c r="E24" s="31"/>
      <c r="F24" s="38" t="s">
        <v>119</v>
      </c>
      <c r="G24" s="39">
        <f t="shared" ref="G24:Q24" si="22">SUM(G21:G23)</f>
        <v>233947.96</v>
      </c>
      <c r="H24" s="39">
        <f t="shared" si="22"/>
        <v>246668.99999999997</v>
      </c>
      <c r="I24" s="39">
        <f t="shared" si="22"/>
        <v>284758</v>
      </c>
      <c r="J24" s="39">
        <f t="shared" si="22"/>
        <v>283334.21000000008</v>
      </c>
      <c r="K24" s="39">
        <f t="shared" si="22"/>
        <v>331205</v>
      </c>
      <c r="L24" s="39">
        <f t="shared" si="22"/>
        <v>1785</v>
      </c>
      <c r="M24" s="39">
        <f t="shared" si="22"/>
        <v>15543</v>
      </c>
      <c r="N24" s="39">
        <f t="shared" si="22"/>
        <v>9734</v>
      </c>
      <c r="O24" s="39">
        <f t="shared" si="22"/>
        <v>5345</v>
      </c>
      <c r="P24" s="39">
        <f t="shared" si="22"/>
        <v>363612</v>
      </c>
      <c r="Q24" s="39">
        <f t="shared" si="22"/>
        <v>76587.61</v>
      </c>
      <c r="R24" s="40">
        <f>Q24/$P24</f>
        <v>0.21063003971266075</v>
      </c>
      <c r="S24" s="39">
        <f>SUM(S21:S23)</f>
        <v>148041.51999999999</v>
      </c>
      <c r="T24" s="40">
        <f>S24/$P24</f>
        <v>0.40714145847771799</v>
      </c>
      <c r="U24" s="39">
        <f>SUM(U21:U23)</f>
        <v>225238.18</v>
      </c>
      <c r="V24" s="40">
        <f>U24/$P24</f>
        <v>0.61944649791536033</v>
      </c>
      <c r="W24" s="39">
        <f>SUM(W21:W23)</f>
        <v>312575.49000000005</v>
      </c>
      <c r="X24" s="40">
        <f>W24/$P24</f>
        <v>0.8596401933929575</v>
      </c>
      <c r="Y24" s="39">
        <f>SUM(Y21:Y23)</f>
        <v>362961</v>
      </c>
      <c r="Z24" s="39">
        <f>SUM(Z21:Z23)</f>
        <v>383096</v>
      </c>
    </row>
    <row r="26" spans="1:26" ht="13.9" customHeight="1">
      <c r="D26" s="8" t="s">
        <v>121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3.9" customHeight="1">
      <c r="D27" s="21"/>
      <c r="E27" s="21"/>
      <c r="F27" s="21"/>
      <c r="G27" s="21" t="s">
        <v>1</v>
      </c>
      <c r="H27" s="21" t="s">
        <v>2</v>
      </c>
      <c r="I27" s="21" t="s">
        <v>3</v>
      </c>
      <c r="J27" s="21" t="s">
        <v>4</v>
      </c>
      <c r="K27" s="21" t="s">
        <v>5</v>
      </c>
      <c r="L27" s="21" t="s">
        <v>6</v>
      </c>
      <c r="M27" s="21" t="s">
        <v>7</v>
      </c>
      <c r="N27" s="21" t="s">
        <v>8</v>
      </c>
      <c r="O27" s="21" t="s">
        <v>9</v>
      </c>
      <c r="P27" s="21" t="s">
        <v>10</v>
      </c>
      <c r="Q27" s="21" t="s">
        <v>11</v>
      </c>
      <c r="R27" s="22" t="s">
        <v>12</v>
      </c>
      <c r="S27" s="21" t="s">
        <v>13</v>
      </c>
      <c r="T27" s="22" t="s">
        <v>14</v>
      </c>
      <c r="U27" s="21" t="s">
        <v>15</v>
      </c>
      <c r="V27" s="22" t="s">
        <v>16</v>
      </c>
      <c r="W27" s="21" t="s">
        <v>17</v>
      </c>
      <c r="X27" s="22" t="s">
        <v>18</v>
      </c>
      <c r="Y27" s="21" t="s">
        <v>19</v>
      </c>
      <c r="Z27" s="21" t="s">
        <v>20</v>
      </c>
    </row>
    <row r="28" spans="1:26" ht="13.9" customHeight="1">
      <c r="A28" s="15">
        <v>1</v>
      </c>
      <c r="B28" s="15">
        <v>1</v>
      </c>
      <c r="D28" s="13" t="s">
        <v>21</v>
      </c>
      <c r="E28" s="23">
        <v>111</v>
      </c>
      <c r="F28" s="23" t="s">
        <v>46</v>
      </c>
      <c r="G28" s="24">
        <f t="shared" ref="G28:Q28" si="23">G48+G84+G111</f>
        <v>6999.53</v>
      </c>
      <c r="H28" s="24">
        <f t="shared" si="23"/>
        <v>7222.41</v>
      </c>
      <c r="I28" s="24">
        <f t="shared" si="23"/>
        <v>5975</v>
      </c>
      <c r="J28" s="24">
        <f t="shared" si="23"/>
        <v>8543.7099999999991</v>
      </c>
      <c r="K28" s="24">
        <f t="shared" si="23"/>
        <v>7529</v>
      </c>
      <c r="L28" s="24">
        <f t="shared" si="23"/>
        <v>0</v>
      </c>
      <c r="M28" s="24">
        <f t="shared" si="23"/>
        <v>1454</v>
      </c>
      <c r="N28" s="24">
        <f t="shared" si="23"/>
        <v>566</v>
      </c>
      <c r="O28" s="24">
        <f t="shared" si="23"/>
        <v>5292</v>
      </c>
      <c r="P28" s="24">
        <f t="shared" si="23"/>
        <v>14841</v>
      </c>
      <c r="Q28" s="24">
        <f t="shared" si="23"/>
        <v>1652.14</v>
      </c>
      <c r="R28" s="25">
        <f>Q28/$P28</f>
        <v>0.11132268715046156</v>
      </c>
      <c r="S28" s="24">
        <f>S48+S84+S111</f>
        <v>5149.2700000000004</v>
      </c>
      <c r="T28" s="25">
        <f>S28/$P28</f>
        <v>0.34696246883633181</v>
      </c>
      <c r="U28" s="24">
        <f>U48+U84+U111</f>
        <v>7340.11</v>
      </c>
      <c r="V28" s="25">
        <f>U28/$P28</f>
        <v>0.49458324910720297</v>
      </c>
      <c r="W28" s="24">
        <f>W48+W84+W111</f>
        <v>14841.88</v>
      </c>
      <c r="X28" s="25">
        <f>W28/$P28</f>
        <v>1.0000592951957414</v>
      </c>
      <c r="Y28" s="24">
        <f>Y48+Y84+Y111</f>
        <v>7529</v>
      </c>
      <c r="Z28" s="24">
        <f>Z48+Z84+Z111</f>
        <v>7529</v>
      </c>
    </row>
    <row r="29" spans="1:26" ht="13.9" customHeight="1">
      <c r="A29" s="15">
        <v>1</v>
      </c>
      <c r="B29" s="15">
        <v>1</v>
      </c>
      <c r="D29" s="13"/>
      <c r="E29" s="23">
        <v>41</v>
      </c>
      <c r="F29" s="23" t="s">
        <v>23</v>
      </c>
      <c r="G29" s="24">
        <f t="shared" ref="G29:Q29" si="24">G39+G53+G63+G73+G88+G103+G116</f>
        <v>195326.44</v>
      </c>
      <c r="H29" s="24">
        <f t="shared" si="24"/>
        <v>210165.06999999998</v>
      </c>
      <c r="I29" s="24">
        <f t="shared" si="24"/>
        <v>250599</v>
      </c>
      <c r="J29" s="24">
        <f t="shared" si="24"/>
        <v>247481.76000000004</v>
      </c>
      <c r="K29" s="24">
        <f t="shared" si="24"/>
        <v>302448</v>
      </c>
      <c r="L29" s="24">
        <f t="shared" si="24"/>
        <v>1785</v>
      </c>
      <c r="M29" s="24">
        <f t="shared" si="24"/>
        <v>3276</v>
      </c>
      <c r="N29" s="24">
        <f t="shared" si="24"/>
        <v>7441</v>
      </c>
      <c r="O29" s="24">
        <f t="shared" si="24"/>
        <v>0</v>
      </c>
      <c r="P29" s="24">
        <f t="shared" si="24"/>
        <v>314950</v>
      </c>
      <c r="Q29" s="24">
        <f t="shared" si="24"/>
        <v>69034.540000000008</v>
      </c>
      <c r="R29" s="25">
        <f>Q29/$P29</f>
        <v>0.21919206223210036</v>
      </c>
      <c r="S29" s="24">
        <f>S39+S53+S63+S73+S88+S103+S116</f>
        <v>132999.28</v>
      </c>
      <c r="T29" s="25">
        <f>S29/$P29</f>
        <v>0.42228696618510875</v>
      </c>
      <c r="U29" s="24">
        <f>U39+U53+U63+U73+U88+U103+U116</f>
        <v>201543.33</v>
      </c>
      <c r="V29" s="25">
        <f>U29/$P29</f>
        <v>0.63992167010636603</v>
      </c>
      <c r="W29" s="24">
        <f>W39+W53+W63+W73+W88+W103+W116</f>
        <v>275698.64</v>
      </c>
      <c r="X29" s="25">
        <f>W29/$P29</f>
        <v>0.87537272582949677</v>
      </c>
      <c r="Y29" s="24">
        <f>Y39+Y53+Y63+Y73+Y88+Y103+Y116</f>
        <v>334284</v>
      </c>
      <c r="Z29" s="24">
        <f>Z39+Z53+Z63+Z73+Z88+Z103+Z116</f>
        <v>357274</v>
      </c>
    </row>
    <row r="30" spans="1:26" ht="13.9" customHeight="1">
      <c r="A30" s="15">
        <v>1</v>
      </c>
      <c r="B30" s="15">
        <v>1</v>
      </c>
      <c r="D30" s="13"/>
      <c r="E30" s="23">
        <v>72</v>
      </c>
      <c r="F30" s="23" t="s">
        <v>25</v>
      </c>
      <c r="G30" s="24">
        <f t="shared" ref="G30:Q30" si="25">G41+G55+G65+G90+G118</f>
        <v>780.65</v>
      </c>
      <c r="H30" s="24">
        <f t="shared" si="25"/>
        <v>904.5</v>
      </c>
      <c r="I30" s="24">
        <f t="shared" si="25"/>
        <v>911</v>
      </c>
      <c r="J30" s="24">
        <f t="shared" si="25"/>
        <v>1134.96</v>
      </c>
      <c r="K30" s="24">
        <f t="shared" si="25"/>
        <v>1570</v>
      </c>
      <c r="L30" s="24">
        <f t="shared" si="25"/>
        <v>0</v>
      </c>
      <c r="M30" s="24">
        <f t="shared" si="25"/>
        <v>0</v>
      </c>
      <c r="N30" s="24">
        <f t="shared" si="25"/>
        <v>0</v>
      </c>
      <c r="O30" s="24">
        <f t="shared" si="25"/>
        <v>0</v>
      </c>
      <c r="P30" s="24">
        <f t="shared" si="25"/>
        <v>1570</v>
      </c>
      <c r="Q30" s="24">
        <f t="shared" si="25"/>
        <v>0</v>
      </c>
      <c r="R30" s="25">
        <f>Q30/$P30</f>
        <v>0</v>
      </c>
      <c r="S30" s="24">
        <f>S41+S55+S65+S90+S118</f>
        <v>0</v>
      </c>
      <c r="T30" s="25">
        <f>S30/$P30</f>
        <v>0</v>
      </c>
      <c r="U30" s="24">
        <f>U41+U55+U65+U90+U118</f>
        <v>0</v>
      </c>
      <c r="V30" s="25">
        <f>U30/$P30</f>
        <v>0</v>
      </c>
      <c r="W30" s="24">
        <f>W41+W55+W65+W90+W118</f>
        <v>1184.8699999999999</v>
      </c>
      <c r="X30" s="25">
        <f>W30/$P30</f>
        <v>0.7546942675159235</v>
      </c>
      <c r="Y30" s="24">
        <f>Y41+Y55+Y65+Y90+Y118</f>
        <v>1570</v>
      </c>
      <c r="Z30" s="24">
        <f>Z41+Z55+Z65+Z90+Z118</f>
        <v>1570</v>
      </c>
    </row>
    <row r="31" spans="1:26" ht="13.9" customHeight="1">
      <c r="A31" s="15">
        <v>1</v>
      </c>
      <c r="B31" s="15">
        <v>1</v>
      </c>
      <c r="D31" s="30"/>
      <c r="E31" s="31"/>
      <c r="F31" s="26" t="s">
        <v>119</v>
      </c>
      <c r="G31" s="27">
        <f t="shared" ref="G31:Q31" si="26">SUM(G28:G30)</f>
        <v>203106.62</v>
      </c>
      <c r="H31" s="27">
        <f t="shared" si="26"/>
        <v>218291.97999999998</v>
      </c>
      <c r="I31" s="27">
        <f t="shared" si="26"/>
        <v>257485</v>
      </c>
      <c r="J31" s="27">
        <f t="shared" si="26"/>
        <v>257160.43000000002</v>
      </c>
      <c r="K31" s="27">
        <f t="shared" si="26"/>
        <v>311547</v>
      </c>
      <c r="L31" s="27">
        <f t="shared" si="26"/>
        <v>1785</v>
      </c>
      <c r="M31" s="27">
        <f t="shared" si="26"/>
        <v>4730</v>
      </c>
      <c r="N31" s="27">
        <f t="shared" si="26"/>
        <v>8007</v>
      </c>
      <c r="O31" s="27">
        <f t="shared" si="26"/>
        <v>5292</v>
      </c>
      <c r="P31" s="27">
        <f t="shared" si="26"/>
        <v>331361</v>
      </c>
      <c r="Q31" s="27">
        <f t="shared" si="26"/>
        <v>70686.680000000008</v>
      </c>
      <c r="R31" s="28">
        <f>Q31/$P31</f>
        <v>0.21332226785892125</v>
      </c>
      <c r="S31" s="27">
        <f>SUM(S28:S30)</f>
        <v>138148.54999999999</v>
      </c>
      <c r="T31" s="28">
        <f>S31/$P31</f>
        <v>0.41691252138905904</v>
      </c>
      <c r="U31" s="27">
        <f>SUM(U28:U30)</f>
        <v>208883.43999999997</v>
      </c>
      <c r="V31" s="28">
        <f>U31/$P31</f>
        <v>0.63038028011745495</v>
      </c>
      <c r="W31" s="27">
        <f>SUM(W28:W30)</f>
        <v>291725.39</v>
      </c>
      <c r="X31" s="28">
        <f>W31/$P31</f>
        <v>0.88038541047377339</v>
      </c>
      <c r="Y31" s="27">
        <f>SUM(Y28:Y30)</f>
        <v>343383</v>
      </c>
      <c r="Z31" s="27">
        <f>SUM(Z28:Z30)</f>
        <v>366373</v>
      </c>
    </row>
    <row r="33" spans="1:26" ht="13.9" customHeight="1">
      <c r="D33" s="7" t="s">
        <v>122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3.9" customHeight="1">
      <c r="D34" s="21" t="s">
        <v>32</v>
      </c>
      <c r="E34" s="21" t="s">
        <v>33</v>
      </c>
      <c r="F34" s="21" t="s">
        <v>34</v>
      </c>
      <c r="G34" s="21" t="s">
        <v>1</v>
      </c>
      <c r="H34" s="21" t="s">
        <v>2</v>
      </c>
      <c r="I34" s="21" t="s">
        <v>3</v>
      </c>
      <c r="J34" s="21" t="s">
        <v>4</v>
      </c>
      <c r="K34" s="21" t="s">
        <v>5</v>
      </c>
      <c r="L34" s="21" t="s">
        <v>6</v>
      </c>
      <c r="M34" s="21" t="s">
        <v>7</v>
      </c>
      <c r="N34" s="21" t="s">
        <v>8</v>
      </c>
      <c r="O34" s="21" t="s">
        <v>9</v>
      </c>
      <c r="P34" s="21" t="s">
        <v>10</v>
      </c>
      <c r="Q34" s="21" t="s">
        <v>11</v>
      </c>
      <c r="R34" s="22" t="s">
        <v>12</v>
      </c>
      <c r="S34" s="21" t="s">
        <v>13</v>
      </c>
      <c r="T34" s="22" t="s">
        <v>14</v>
      </c>
      <c r="U34" s="21" t="s">
        <v>15</v>
      </c>
      <c r="V34" s="22" t="s">
        <v>16</v>
      </c>
      <c r="W34" s="21" t="s">
        <v>17</v>
      </c>
      <c r="X34" s="22" t="s">
        <v>18</v>
      </c>
      <c r="Y34" s="21" t="s">
        <v>19</v>
      </c>
      <c r="Z34" s="21" t="s">
        <v>20</v>
      </c>
    </row>
    <row r="35" spans="1:26" ht="13.9" customHeight="1">
      <c r="A35" s="15">
        <v>1</v>
      </c>
      <c r="B35" s="15">
        <v>1</v>
      </c>
      <c r="C35" s="15">
        <v>1</v>
      </c>
      <c r="D35" s="11" t="s">
        <v>123</v>
      </c>
      <c r="E35" s="23">
        <v>610</v>
      </c>
      <c r="F35" s="23" t="s">
        <v>124</v>
      </c>
      <c r="G35" s="46">
        <v>46893.75</v>
      </c>
      <c r="H35" s="46">
        <v>47784.959999999999</v>
      </c>
      <c r="I35" s="46">
        <v>50865</v>
      </c>
      <c r="J35" s="46">
        <v>52112.15</v>
      </c>
      <c r="K35" s="46">
        <v>55881</v>
      </c>
      <c r="L35" s="46"/>
      <c r="M35" s="46"/>
      <c r="N35" s="46"/>
      <c r="O35" s="46">
        <v>285</v>
      </c>
      <c r="P35" s="46">
        <f>K35+SUM(L35:O35)</f>
        <v>56166</v>
      </c>
      <c r="Q35" s="46">
        <v>13137</v>
      </c>
      <c r="R35" s="47">
        <f t="shared" ref="R35:R42" si="27">Q35/$P35</f>
        <v>0.23389595128725563</v>
      </c>
      <c r="S35" s="46">
        <v>27913.19</v>
      </c>
      <c r="T35" s="47">
        <f t="shared" ref="T35:T42" si="28">S35/$P35</f>
        <v>0.4969766406722928</v>
      </c>
      <c r="U35" s="46">
        <v>42028.84</v>
      </c>
      <c r="V35" s="47">
        <f t="shared" ref="V35:V42" si="29">U35/$P35</f>
        <v>0.7482968343837908</v>
      </c>
      <c r="W35" s="46">
        <v>56165.73</v>
      </c>
      <c r="X35" s="47">
        <f t="shared" ref="X35:X42" si="30">W35/$P35</f>
        <v>0.9999951928212798</v>
      </c>
      <c r="Y35" s="24">
        <v>61469</v>
      </c>
      <c r="Z35" s="24">
        <v>67616</v>
      </c>
    </row>
    <row r="36" spans="1:26" ht="13.9" customHeight="1">
      <c r="A36" s="15">
        <v>1</v>
      </c>
      <c r="B36" s="15">
        <v>1</v>
      </c>
      <c r="C36" s="15">
        <v>1</v>
      </c>
      <c r="D36" s="11"/>
      <c r="E36" s="23">
        <v>620</v>
      </c>
      <c r="F36" s="23" t="s">
        <v>125</v>
      </c>
      <c r="G36" s="24">
        <v>17196.669999999998</v>
      </c>
      <c r="H36" s="24">
        <v>20218.939999999999</v>
      </c>
      <c r="I36" s="24">
        <v>21085</v>
      </c>
      <c r="J36" s="24">
        <v>21535.56</v>
      </c>
      <c r="K36" s="24">
        <v>23419</v>
      </c>
      <c r="L36" s="24"/>
      <c r="M36" s="24"/>
      <c r="N36" s="24"/>
      <c r="O36" s="24">
        <v>66</v>
      </c>
      <c r="P36" s="24">
        <f>K36+SUM(L36:O36)</f>
        <v>23485</v>
      </c>
      <c r="Q36" s="24">
        <v>5535.15</v>
      </c>
      <c r="R36" s="25">
        <f t="shared" si="27"/>
        <v>0.23568873749201616</v>
      </c>
      <c r="S36" s="24">
        <v>11699.53</v>
      </c>
      <c r="T36" s="25">
        <f t="shared" si="28"/>
        <v>0.49817032148179691</v>
      </c>
      <c r="U36" s="24">
        <v>17587.79</v>
      </c>
      <c r="V36" s="25">
        <f t="shared" si="29"/>
        <v>0.74889461358313825</v>
      </c>
      <c r="W36" s="24">
        <v>23483.96</v>
      </c>
      <c r="X36" s="25">
        <f t="shared" si="30"/>
        <v>0.9999557164147328</v>
      </c>
      <c r="Y36" s="24">
        <v>27667</v>
      </c>
      <c r="Z36" s="24">
        <v>29939</v>
      </c>
    </row>
    <row r="37" spans="1:26" ht="13.9" customHeight="1">
      <c r="A37" s="15">
        <v>1</v>
      </c>
      <c r="B37" s="15">
        <v>1</v>
      </c>
      <c r="C37" s="15">
        <v>1</v>
      </c>
      <c r="D37" s="11"/>
      <c r="E37" s="23">
        <v>630</v>
      </c>
      <c r="F37" s="23" t="s">
        <v>126</v>
      </c>
      <c r="G37" s="46">
        <v>5330.35</v>
      </c>
      <c r="H37" s="46">
        <v>9718.6</v>
      </c>
      <c r="I37" s="46">
        <f>7913+8351</f>
        <v>16264</v>
      </c>
      <c r="J37" s="46">
        <v>10452.84</v>
      </c>
      <c r="K37" s="46">
        <v>11844</v>
      </c>
      <c r="L37" s="46">
        <v>-91</v>
      </c>
      <c r="M37" s="46"/>
      <c r="N37" s="46"/>
      <c r="O37" s="46">
        <v>-351</v>
      </c>
      <c r="P37" s="46">
        <f>K37+SUM(L37:O37)</f>
        <v>11402</v>
      </c>
      <c r="Q37" s="46">
        <v>2789.7</v>
      </c>
      <c r="R37" s="47">
        <f t="shared" si="27"/>
        <v>0.24466760217505698</v>
      </c>
      <c r="S37" s="46">
        <v>5609.75</v>
      </c>
      <c r="T37" s="47">
        <f t="shared" si="28"/>
        <v>0.4919970180670058</v>
      </c>
      <c r="U37" s="46">
        <v>8189.45</v>
      </c>
      <c r="V37" s="47">
        <f t="shared" si="29"/>
        <v>0.71824679880722675</v>
      </c>
      <c r="W37" s="46">
        <v>10925.91</v>
      </c>
      <c r="X37" s="47">
        <f t="shared" si="30"/>
        <v>0.95824504472899485</v>
      </c>
      <c r="Y37" s="24">
        <v>18168</v>
      </c>
      <c r="Z37" s="24">
        <v>18209</v>
      </c>
    </row>
    <row r="38" spans="1:26" ht="13.9" customHeight="1">
      <c r="A38" s="15">
        <v>1</v>
      </c>
      <c r="B38" s="15">
        <v>1</v>
      </c>
      <c r="C38" s="15">
        <v>1</v>
      </c>
      <c r="D38" s="11"/>
      <c r="E38" s="23">
        <v>640</v>
      </c>
      <c r="F38" s="23" t="s">
        <v>127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91</v>
      </c>
      <c r="M38" s="46"/>
      <c r="N38" s="46"/>
      <c r="O38" s="46"/>
      <c r="P38" s="46">
        <f>K38+SUM(L38:O38)</f>
        <v>91</v>
      </c>
      <c r="Q38" s="46">
        <v>90.83</v>
      </c>
      <c r="R38" s="47">
        <f t="shared" si="27"/>
        <v>0.99813186813186816</v>
      </c>
      <c r="S38" s="46">
        <v>90.83</v>
      </c>
      <c r="T38" s="47">
        <f t="shared" si="28"/>
        <v>0.99813186813186816</v>
      </c>
      <c r="U38" s="46">
        <v>90.83</v>
      </c>
      <c r="V38" s="47">
        <f t="shared" si="29"/>
        <v>0.99813186813186816</v>
      </c>
      <c r="W38" s="46">
        <v>90.83</v>
      </c>
      <c r="X38" s="47">
        <f t="shared" si="30"/>
        <v>0.99813186813186816</v>
      </c>
      <c r="Y38" s="24">
        <v>0</v>
      </c>
      <c r="Z38" s="24">
        <v>0</v>
      </c>
    </row>
    <row r="39" spans="1:26" ht="13.9" customHeight="1">
      <c r="A39" s="15">
        <v>1</v>
      </c>
      <c r="B39" s="15">
        <v>1</v>
      </c>
      <c r="C39" s="15">
        <v>1</v>
      </c>
      <c r="D39" s="83" t="s">
        <v>21</v>
      </c>
      <c r="E39" s="48">
        <v>41</v>
      </c>
      <c r="F39" s="48" t="s">
        <v>23</v>
      </c>
      <c r="G39" s="49">
        <f t="shared" ref="G39:Q39" si="31">SUM(G35:G38)</f>
        <v>69420.77</v>
      </c>
      <c r="H39" s="49">
        <f t="shared" si="31"/>
        <v>77722.5</v>
      </c>
      <c r="I39" s="49">
        <f t="shared" si="31"/>
        <v>88214</v>
      </c>
      <c r="J39" s="49">
        <f t="shared" si="31"/>
        <v>84100.55</v>
      </c>
      <c r="K39" s="49">
        <f t="shared" si="31"/>
        <v>91144</v>
      </c>
      <c r="L39" s="49">
        <f t="shared" si="31"/>
        <v>0</v>
      </c>
      <c r="M39" s="49">
        <f t="shared" si="31"/>
        <v>0</v>
      </c>
      <c r="N39" s="49">
        <f t="shared" si="31"/>
        <v>0</v>
      </c>
      <c r="O39" s="49">
        <f t="shared" si="31"/>
        <v>0</v>
      </c>
      <c r="P39" s="49">
        <f t="shared" si="31"/>
        <v>91144</v>
      </c>
      <c r="Q39" s="49">
        <f t="shared" si="31"/>
        <v>21552.680000000004</v>
      </c>
      <c r="R39" s="50">
        <f t="shared" si="27"/>
        <v>0.23646844553673313</v>
      </c>
      <c r="S39" s="49">
        <f>SUM(S35:S38)</f>
        <v>45313.3</v>
      </c>
      <c r="T39" s="50">
        <f t="shared" si="28"/>
        <v>0.49716163433687355</v>
      </c>
      <c r="U39" s="49">
        <f>SUM(U35:U38)</f>
        <v>67896.91</v>
      </c>
      <c r="V39" s="50">
        <f t="shared" si="29"/>
        <v>0.74494108224348288</v>
      </c>
      <c r="W39" s="49">
        <f>SUM(W35:W38)</f>
        <v>90666.430000000008</v>
      </c>
      <c r="X39" s="50">
        <f t="shared" si="30"/>
        <v>0.99476026946370588</v>
      </c>
      <c r="Y39" s="49">
        <f>SUM(Y35:Y38)</f>
        <v>107304</v>
      </c>
      <c r="Z39" s="49">
        <f>SUM(Z35:Z38)</f>
        <v>115764</v>
      </c>
    </row>
    <row r="40" spans="1:26" ht="13.9" customHeight="1">
      <c r="A40" s="15">
        <v>1</v>
      </c>
      <c r="B40" s="15">
        <v>1</v>
      </c>
      <c r="C40" s="15">
        <v>1</v>
      </c>
      <c r="D40" s="23" t="s">
        <v>123</v>
      </c>
      <c r="E40" s="23">
        <v>640</v>
      </c>
      <c r="F40" s="23" t="s">
        <v>127</v>
      </c>
      <c r="G40" s="24">
        <v>145.6</v>
      </c>
      <c r="H40" s="24">
        <v>161.25</v>
      </c>
      <c r="I40" s="24">
        <v>149</v>
      </c>
      <c r="J40" s="24">
        <v>180.3</v>
      </c>
      <c r="K40" s="24">
        <v>198</v>
      </c>
      <c r="L40" s="24"/>
      <c r="M40" s="24"/>
      <c r="N40" s="24"/>
      <c r="O40" s="24"/>
      <c r="P40" s="24">
        <f>K40+SUM(L40:O40)</f>
        <v>198</v>
      </c>
      <c r="Q40" s="24">
        <v>0</v>
      </c>
      <c r="R40" s="25">
        <f t="shared" si="27"/>
        <v>0</v>
      </c>
      <c r="S40" s="24">
        <v>0</v>
      </c>
      <c r="T40" s="25">
        <f t="shared" si="28"/>
        <v>0</v>
      </c>
      <c r="U40" s="24">
        <v>0</v>
      </c>
      <c r="V40" s="25">
        <f t="shared" si="29"/>
        <v>0</v>
      </c>
      <c r="W40" s="24">
        <v>171.74</v>
      </c>
      <c r="X40" s="25">
        <f t="shared" si="30"/>
        <v>0.86737373737373746</v>
      </c>
      <c r="Y40" s="24">
        <f>K40</f>
        <v>198</v>
      </c>
      <c r="Z40" s="24">
        <f>Y40</f>
        <v>198</v>
      </c>
    </row>
    <row r="41" spans="1:26" ht="13.9" customHeight="1">
      <c r="A41" s="15">
        <v>1</v>
      </c>
      <c r="B41" s="15">
        <v>1</v>
      </c>
      <c r="C41" s="15">
        <v>1</v>
      </c>
      <c r="D41" s="83" t="s">
        <v>21</v>
      </c>
      <c r="E41" s="84">
        <v>72</v>
      </c>
      <c r="F41" s="48" t="s">
        <v>25</v>
      </c>
      <c r="G41" s="49">
        <f t="shared" ref="G41:Q41" si="32">SUM(G40)</f>
        <v>145.6</v>
      </c>
      <c r="H41" s="49">
        <f t="shared" si="32"/>
        <v>161.25</v>
      </c>
      <c r="I41" s="49">
        <f t="shared" si="32"/>
        <v>149</v>
      </c>
      <c r="J41" s="49">
        <f t="shared" si="32"/>
        <v>180.3</v>
      </c>
      <c r="K41" s="49">
        <f t="shared" si="32"/>
        <v>198</v>
      </c>
      <c r="L41" s="49">
        <f t="shared" si="32"/>
        <v>0</v>
      </c>
      <c r="M41" s="49">
        <f t="shared" si="32"/>
        <v>0</v>
      </c>
      <c r="N41" s="49">
        <f t="shared" si="32"/>
        <v>0</v>
      </c>
      <c r="O41" s="49">
        <f t="shared" si="32"/>
        <v>0</v>
      </c>
      <c r="P41" s="49">
        <f t="shared" si="32"/>
        <v>198</v>
      </c>
      <c r="Q41" s="49">
        <f t="shared" si="32"/>
        <v>0</v>
      </c>
      <c r="R41" s="50">
        <f t="shared" si="27"/>
        <v>0</v>
      </c>
      <c r="S41" s="49">
        <f>SUM(S40)</f>
        <v>0</v>
      </c>
      <c r="T41" s="50">
        <f t="shared" si="28"/>
        <v>0</v>
      </c>
      <c r="U41" s="49">
        <f>SUM(U40)</f>
        <v>0</v>
      </c>
      <c r="V41" s="50">
        <f t="shared" si="29"/>
        <v>0</v>
      </c>
      <c r="W41" s="49">
        <f>SUM(W40)</f>
        <v>171.74</v>
      </c>
      <c r="X41" s="50">
        <f t="shared" si="30"/>
        <v>0.86737373737373746</v>
      </c>
      <c r="Y41" s="49">
        <f>SUM(Y40)</f>
        <v>198</v>
      </c>
      <c r="Z41" s="49">
        <f>SUM(Z40)</f>
        <v>198</v>
      </c>
    </row>
    <row r="42" spans="1:26" ht="13.9" customHeight="1">
      <c r="A42" s="15">
        <v>1</v>
      </c>
      <c r="B42" s="15">
        <v>1</v>
      </c>
      <c r="C42" s="15">
        <v>1</v>
      </c>
      <c r="D42" s="85"/>
      <c r="E42" s="86"/>
      <c r="F42" s="26" t="s">
        <v>119</v>
      </c>
      <c r="G42" s="27">
        <f t="shared" ref="G42:Q42" si="33">G39+G41</f>
        <v>69566.37000000001</v>
      </c>
      <c r="H42" s="27">
        <f t="shared" si="33"/>
        <v>77883.75</v>
      </c>
      <c r="I42" s="27">
        <f t="shared" si="33"/>
        <v>88363</v>
      </c>
      <c r="J42" s="27">
        <f t="shared" si="33"/>
        <v>84280.85</v>
      </c>
      <c r="K42" s="27">
        <f t="shared" si="33"/>
        <v>91342</v>
      </c>
      <c r="L42" s="27">
        <f t="shared" si="33"/>
        <v>0</v>
      </c>
      <c r="M42" s="27">
        <f t="shared" si="33"/>
        <v>0</v>
      </c>
      <c r="N42" s="27">
        <f t="shared" si="33"/>
        <v>0</v>
      </c>
      <c r="O42" s="27">
        <f t="shared" si="33"/>
        <v>0</v>
      </c>
      <c r="P42" s="27">
        <f t="shared" si="33"/>
        <v>91342</v>
      </c>
      <c r="Q42" s="27">
        <f t="shared" si="33"/>
        <v>21552.680000000004</v>
      </c>
      <c r="R42" s="28">
        <f t="shared" si="27"/>
        <v>0.23595585820323622</v>
      </c>
      <c r="S42" s="27">
        <f>S39+S41</f>
        <v>45313.3</v>
      </c>
      <c r="T42" s="28">
        <f t="shared" si="28"/>
        <v>0.49608394823848834</v>
      </c>
      <c r="U42" s="27">
        <f>U39+U41</f>
        <v>67896.91</v>
      </c>
      <c r="V42" s="28">
        <f t="shared" si="29"/>
        <v>0.74332629020603891</v>
      </c>
      <c r="W42" s="27">
        <f>W39+W41</f>
        <v>90838.170000000013</v>
      </c>
      <c r="X42" s="28">
        <f t="shared" si="30"/>
        <v>0.99448413654178813</v>
      </c>
      <c r="Y42" s="27">
        <f>Y39+Y41</f>
        <v>107502</v>
      </c>
      <c r="Z42" s="27">
        <f>Z39+Z41</f>
        <v>115962</v>
      </c>
    </row>
    <row r="43" spans="1:26" ht="13.9" customHeight="1">
      <c r="D43" s="87"/>
      <c r="E43" s="44"/>
      <c r="F43" s="44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9"/>
      <c r="S43" s="88"/>
      <c r="T43" s="89"/>
      <c r="U43" s="88"/>
      <c r="V43" s="89"/>
      <c r="W43" s="88"/>
      <c r="X43" s="89"/>
      <c r="Y43" s="88"/>
      <c r="Z43" s="88"/>
    </row>
    <row r="44" spans="1:26" ht="13.9" customHeight="1">
      <c r="D44" s="7" t="s">
        <v>128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3.9" customHeight="1">
      <c r="D45" s="21" t="s">
        <v>32</v>
      </c>
      <c r="E45" s="21" t="s">
        <v>33</v>
      </c>
      <c r="F45" s="21" t="s">
        <v>34</v>
      </c>
      <c r="G45" s="21" t="s">
        <v>1</v>
      </c>
      <c r="H45" s="21" t="s">
        <v>2</v>
      </c>
      <c r="I45" s="21" t="s">
        <v>3</v>
      </c>
      <c r="J45" s="21" t="s">
        <v>4</v>
      </c>
      <c r="K45" s="21" t="s">
        <v>5</v>
      </c>
      <c r="L45" s="21" t="s">
        <v>6</v>
      </c>
      <c r="M45" s="21" t="s">
        <v>7</v>
      </c>
      <c r="N45" s="21" t="s">
        <v>8</v>
      </c>
      <c r="O45" s="21" t="s">
        <v>9</v>
      </c>
      <c r="P45" s="21" t="s">
        <v>10</v>
      </c>
      <c r="Q45" s="21" t="s">
        <v>11</v>
      </c>
      <c r="R45" s="22" t="s">
        <v>12</v>
      </c>
      <c r="S45" s="21" t="s">
        <v>13</v>
      </c>
      <c r="T45" s="22" t="s">
        <v>14</v>
      </c>
      <c r="U45" s="21" t="s">
        <v>15</v>
      </c>
      <c r="V45" s="22" t="s">
        <v>16</v>
      </c>
      <c r="W45" s="21" t="s">
        <v>17</v>
      </c>
      <c r="X45" s="22" t="s">
        <v>18</v>
      </c>
      <c r="Y45" s="21" t="s">
        <v>19</v>
      </c>
      <c r="Z45" s="21" t="s">
        <v>20</v>
      </c>
    </row>
    <row r="46" spans="1:26" ht="13.9" customHeight="1">
      <c r="A46" s="15">
        <v>1</v>
      </c>
      <c r="B46" s="15">
        <v>1</v>
      </c>
      <c r="C46" s="15">
        <v>2</v>
      </c>
      <c r="D46" s="13" t="s">
        <v>123</v>
      </c>
      <c r="E46" s="23">
        <v>610</v>
      </c>
      <c r="F46" s="23" t="s">
        <v>124</v>
      </c>
      <c r="G46" s="24">
        <v>298.29000000000002</v>
      </c>
      <c r="H46" s="24">
        <v>310.47000000000003</v>
      </c>
      <c r="I46" s="24">
        <v>310</v>
      </c>
      <c r="J46" s="24">
        <v>1318.27</v>
      </c>
      <c r="K46" s="24">
        <f>príjmy!H103</f>
        <v>352</v>
      </c>
      <c r="L46" s="24"/>
      <c r="M46" s="24"/>
      <c r="N46" s="24"/>
      <c r="O46" s="24"/>
      <c r="P46" s="24">
        <f>K46+SUM(L46:O46)</f>
        <v>352</v>
      </c>
      <c r="Q46" s="24">
        <v>0</v>
      </c>
      <c r="R46" s="25">
        <f t="shared" ref="R46:R56" si="34">Q46/$P46</f>
        <v>0</v>
      </c>
      <c r="S46" s="24">
        <v>352.33</v>
      </c>
      <c r="T46" s="25">
        <f t="shared" ref="T46:T56" si="35">S46/$P46</f>
        <v>1.0009375</v>
      </c>
      <c r="U46" s="24">
        <v>352.33</v>
      </c>
      <c r="V46" s="25">
        <f t="shared" ref="V46:V56" si="36">U46/$P46</f>
        <v>1.0009375</v>
      </c>
      <c r="W46" s="24">
        <v>352.33</v>
      </c>
      <c r="X46" s="25">
        <f t="shared" ref="X46:X56" si="37">W46/$P46</f>
        <v>1.0009375</v>
      </c>
      <c r="Y46" s="24">
        <f>príjmy!V103</f>
        <v>352</v>
      </c>
      <c r="Z46" s="24">
        <f>príjmy!W103</f>
        <v>352</v>
      </c>
    </row>
    <row r="47" spans="1:26" ht="13.9" hidden="1" customHeight="1">
      <c r="A47" s="15">
        <v>1</v>
      </c>
      <c r="B47" s="15">
        <v>1</v>
      </c>
      <c r="C47" s="15">
        <v>2</v>
      </c>
      <c r="D47" s="13"/>
      <c r="E47" s="23">
        <v>620</v>
      </c>
      <c r="F47" s="23" t="s">
        <v>125</v>
      </c>
      <c r="G47" s="24">
        <v>0</v>
      </c>
      <c r="H47" s="24">
        <v>0</v>
      </c>
      <c r="I47" s="24">
        <v>0</v>
      </c>
      <c r="J47" s="24">
        <v>349.5</v>
      </c>
      <c r="K47" s="24">
        <v>0</v>
      </c>
      <c r="L47" s="24"/>
      <c r="M47" s="24"/>
      <c r="N47" s="24"/>
      <c r="O47" s="24"/>
      <c r="P47" s="24">
        <f>K47+SUM(L47:O47)</f>
        <v>0</v>
      </c>
      <c r="Q47" s="24">
        <v>0</v>
      </c>
      <c r="R47" s="25" t="e">
        <f t="shared" si="34"/>
        <v>#DIV/0!</v>
      </c>
      <c r="S47" s="24">
        <v>0</v>
      </c>
      <c r="T47" s="25" t="e">
        <f t="shared" si="35"/>
        <v>#DIV/0!</v>
      </c>
      <c r="U47" s="24">
        <v>0</v>
      </c>
      <c r="V47" s="25" t="e">
        <f t="shared" si="36"/>
        <v>#DIV/0!</v>
      </c>
      <c r="W47" s="24"/>
      <c r="X47" s="25" t="e">
        <f t="shared" si="37"/>
        <v>#DIV/0!</v>
      </c>
      <c r="Y47" s="24">
        <v>0</v>
      </c>
      <c r="Z47" s="24">
        <v>0</v>
      </c>
    </row>
    <row r="48" spans="1:26" ht="13.9" customHeight="1">
      <c r="A48" s="15">
        <v>1</v>
      </c>
      <c r="B48" s="15">
        <v>1</v>
      </c>
      <c r="C48" s="15">
        <v>2</v>
      </c>
      <c r="D48" s="83" t="s">
        <v>21</v>
      </c>
      <c r="E48" s="48">
        <v>111</v>
      </c>
      <c r="F48" s="48" t="s">
        <v>129</v>
      </c>
      <c r="G48" s="49">
        <f t="shared" ref="G48:Q48" si="38">SUM(G46:G47)</f>
        <v>298.29000000000002</v>
      </c>
      <c r="H48" s="49">
        <f t="shared" si="38"/>
        <v>310.47000000000003</v>
      </c>
      <c r="I48" s="49">
        <f t="shared" si="38"/>
        <v>310</v>
      </c>
      <c r="J48" s="49">
        <f t="shared" si="38"/>
        <v>1667.77</v>
      </c>
      <c r="K48" s="49">
        <f t="shared" si="38"/>
        <v>352</v>
      </c>
      <c r="L48" s="49">
        <f t="shared" si="38"/>
        <v>0</v>
      </c>
      <c r="M48" s="49">
        <f t="shared" si="38"/>
        <v>0</v>
      </c>
      <c r="N48" s="49">
        <f t="shared" si="38"/>
        <v>0</v>
      </c>
      <c r="O48" s="49">
        <f t="shared" si="38"/>
        <v>0</v>
      </c>
      <c r="P48" s="49">
        <f t="shared" si="38"/>
        <v>352</v>
      </c>
      <c r="Q48" s="49">
        <f t="shared" si="38"/>
        <v>0</v>
      </c>
      <c r="R48" s="50">
        <f t="shared" si="34"/>
        <v>0</v>
      </c>
      <c r="S48" s="49">
        <f>SUM(S46:S47)</f>
        <v>352.33</v>
      </c>
      <c r="T48" s="50">
        <f t="shared" si="35"/>
        <v>1.0009375</v>
      </c>
      <c r="U48" s="49">
        <f>SUM(U46:U47)</f>
        <v>352.33</v>
      </c>
      <c r="V48" s="50">
        <f t="shared" si="36"/>
        <v>1.0009375</v>
      </c>
      <c r="W48" s="49">
        <f>SUM(W46:W47)</f>
        <v>352.33</v>
      </c>
      <c r="X48" s="50">
        <f t="shared" si="37"/>
        <v>1.0009375</v>
      </c>
      <c r="Y48" s="49">
        <f>SUM(Y46:Y47)</f>
        <v>352</v>
      </c>
      <c r="Z48" s="49">
        <f>SUM(Z46:Z47)</f>
        <v>352</v>
      </c>
    </row>
    <row r="49" spans="1:26" ht="13.9" customHeight="1">
      <c r="A49" s="15">
        <v>1</v>
      </c>
      <c r="B49" s="15">
        <v>1</v>
      </c>
      <c r="C49" s="15">
        <v>2</v>
      </c>
      <c r="D49" s="6" t="s">
        <v>123</v>
      </c>
      <c r="E49" s="23">
        <v>610</v>
      </c>
      <c r="F49" s="23" t="s">
        <v>124</v>
      </c>
      <c r="G49" s="46">
        <v>53896.7</v>
      </c>
      <c r="H49" s="46">
        <v>57163.21</v>
      </c>
      <c r="I49" s="46">
        <v>60505</v>
      </c>
      <c r="J49" s="46">
        <v>63568.65</v>
      </c>
      <c r="K49" s="46">
        <v>65734</v>
      </c>
      <c r="L49" s="46">
        <v>-135</v>
      </c>
      <c r="M49" s="46"/>
      <c r="N49" s="46">
        <v>4094</v>
      </c>
      <c r="O49" s="46">
        <v>-156</v>
      </c>
      <c r="P49" s="46">
        <f>K49+SUM(L49:O49)</f>
        <v>69537</v>
      </c>
      <c r="Q49" s="46">
        <v>14842.23</v>
      </c>
      <c r="R49" s="47">
        <f t="shared" si="34"/>
        <v>0.21344363432417274</v>
      </c>
      <c r="S49" s="46">
        <v>30162.9</v>
      </c>
      <c r="T49" s="47">
        <f t="shared" si="35"/>
        <v>0.43376763449674277</v>
      </c>
      <c r="U49" s="46">
        <v>47273.31</v>
      </c>
      <c r="V49" s="47">
        <f t="shared" si="36"/>
        <v>0.67982958712627806</v>
      </c>
      <c r="W49" s="46">
        <v>69536.92</v>
      </c>
      <c r="X49" s="47">
        <f t="shared" si="37"/>
        <v>0.99999884953334195</v>
      </c>
      <c r="Y49" s="46">
        <v>71986</v>
      </c>
      <c r="Z49" s="46">
        <v>78863</v>
      </c>
    </row>
    <row r="50" spans="1:26" ht="13.9" customHeight="1">
      <c r="A50" s="15">
        <v>1</v>
      </c>
      <c r="B50" s="15">
        <v>1</v>
      </c>
      <c r="C50" s="15">
        <v>2</v>
      </c>
      <c r="D50" s="6"/>
      <c r="E50" s="23">
        <v>620</v>
      </c>
      <c r="F50" s="23" t="s">
        <v>125</v>
      </c>
      <c r="G50" s="24">
        <v>18796.07</v>
      </c>
      <c r="H50" s="24">
        <v>21110.48</v>
      </c>
      <c r="I50" s="24">
        <v>22598</v>
      </c>
      <c r="J50" s="24">
        <v>23647.39</v>
      </c>
      <c r="K50" s="24">
        <v>24642</v>
      </c>
      <c r="L50" s="24"/>
      <c r="M50" s="24"/>
      <c r="N50" s="24">
        <v>1439</v>
      </c>
      <c r="O50" s="24">
        <v>11</v>
      </c>
      <c r="P50" s="24">
        <f>K50+SUM(L50:O50)</f>
        <v>26092</v>
      </c>
      <c r="Q50" s="24">
        <v>5513.62</v>
      </c>
      <c r="R50" s="25">
        <f t="shared" si="34"/>
        <v>0.21131457918135826</v>
      </c>
      <c r="S50" s="24">
        <v>11242.99</v>
      </c>
      <c r="T50" s="25">
        <f t="shared" si="35"/>
        <v>0.43089797639123101</v>
      </c>
      <c r="U50" s="24">
        <v>17588.95</v>
      </c>
      <c r="V50" s="25">
        <f t="shared" si="36"/>
        <v>0.67411275486739231</v>
      </c>
      <c r="W50" s="24">
        <v>25792.63</v>
      </c>
      <c r="X50" s="25">
        <f t="shared" si="37"/>
        <v>0.98852636823547446</v>
      </c>
      <c r="Y50" s="24">
        <v>26951</v>
      </c>
      <c r="Z50" s="24">
        <v>29490</v>
      </c>
    </row>
    <row r="51" spans="1:26" ht="13.9" customHeight="1">
      <c r="A51" s="15">
        <v>1</v>
      </c>
      <c r="B51" s="15">
        <v>1</v>
      </c>
      <c r="C51" s="15">
        <v>2</v>
      </c>
      <c r="D51" s="6"/>
      <c r="E51" s="23">
        <v>630</v>
      </c>
      <c r="F51" s="23" t="s">
        <v>126</v>
      </c>
      <c r="G51" s="24">
        <v>4785.57</v>
      </c>
      <c r="H51" s="24">
        <v>4516.49</v>
      </c>
      <c r="I51" s="24">
        <f>4641+640</f>
        <v>5281</v>
      </c>
      <c r="J51" s="24">
        <v>5608.13</v>
      </c>
      <c r="K51" s="24">
        <v>6927</v>
      </c>
      <c r="L51" s="24"/>
      <c r="M51" s="24"/>
      <c r="N51" s="24">
        <v>394</v>
      </c>
      <c r="O51" s="24">
        <v>145</v>
      </c>
      <c r="P51" s="24">
        <f>K51+SUM(L51:O51)</f>
        <v>7466</v>
      </c>
      <c r="Q51" s="24">
        <v>1666.14</v>
      </c>
      <c r="R51" s="25">
        <f t="shared" si="34"/>
        <v>0.22316367532815432</v>
      </c>
      <c r="S51" s="24">
        <v>4185.6499999999996</v>
      </c>
      <c r="T51" s="25">
        <f t="shared" si="35"/>
        <v>0.56062818108759704</v>
      </c>
      <c r="U51" s="24">
        <v>5545.99</v>
      </c>
      <c r="V51" s="25">
        <f t="shared" si="36"/>
        <v>0.74283284221805512</v>
      </c>
      <c r="W51" s="24">
        <v>7464.93</v>
      </c>
      <c r="X51" s="25">
        <f t="shared" si="37"/>
        <v>0.99985668363246727</v>
      </c>
      <c r="Y51" s="24">
        <v>7067</v>
      </c>
      <c r="Z51" s="24">
        <v>7068</v>
      </c>
    </row>
    <row r="52" spans="1:26" ht="13.9" customHeight="1">
      <c r="A52" s="15">
        <v>1</v>
      </c>
      <c r="B52" s="15">
        <v>1</v>
      </c>
      <c r="C52" s="15">
        <v>2</v>
      </c>
      <c r="D52" s="6"/>
      <c r="E52" s="23">
        <v>640</v>
      </c>
      <c r="F52" s="23" t="s">
        <v>127</v>
      </c>
      <c r="G52" s="24">
        <v>0</v>
      </c>
      <c r="H52" s="24">
        <v>132.54</v>
      </c>
      <c r="I52" s="24">
        <v>0</v>
      </c>
      <c r="J52" s="24">
        <v>134.83000000000001</v>
      </c>
      <c r="K52" s="24">
        <v>0</v>
      </c>
      <c r="L52" s="24">
        <v>135</v>
      </c>
      <c r="M52" s="24"/>
      <c r="N52" s="24"/>
      <c r="O52" s="24"/>
      <c r="P52" s="24">
        <f>K52+SUM(L52:O52)</f>
        <v>135</v>
      </c>
      <c r="Q52" s="24">
        <v>134.83000000000001</v>
      </c>
      <c r="R52" s="25">
        <f t="shared" si="34"/>
        <v>0.99874074074074082</v>
      </c>
      <c r="S52" s="24">
        <v>134.83000000000001</v>
      </c>
      <c r="T52" s="25">
        <f t="shared" si="35"/>
        <v>0.99874074074074082</v>
      </c>
      <c r="U52" s="24">
        <v>134.83000000000001</v>
      </c>
      <c r="V52" s="25">
        <f t="shared" si="36"/>
        <v>0.99874074074074082</v>
      </c>
      <c r="W52" s="24">
        <v>134.83000000000001</v>
      </c>
      <c r="X52" s="25">
        <f t="shared" si="37"/>
        <v>0.99874074074074082</v>
      </c>
      <c r="Y52" s="24">
        <v>0</v>
      </c>
      <c r="Z52" s="24">
        <v>0</v>
      </c>
    </row>
    <row r="53" spans="1:26" ht="13.9" customHeight="1">
      <c r="A53" s="15">
        <v>1</v>
      </c>
      <c r="B53" s="15">
        <v>1</v>
      </c>
      <c r="C53" s="15">
        <v>2</v>
      </c>
      <c r="D53" s="83" t="s">
        <v>21</v>
      </c>
      <c r="E53" s="48">
        <v>41</v>
      </c>
      <c r="F53" s="48" t="s">
        <v>23</v>
      </c>
      <c r="G53" s="49">
        <f t="shared" ref="G53:Q53" si="39">SUM(G49:G52)</f>
        <v>77478.34</v>
      </c>
      <c r="H53" s="49">
        <f t="shared" si="39"/>
        <v>82922.720000000001</v>
      </c>
      <c r="I53" s="49">
        <f t="shared" si="39"/>
        <v>88384</v>
      </c>
      <c r="J53" s="49">
        <f t="shared" si="39"/>
        <v>92959.000000000015</v>
      </c>
      <c r="K53" s="49">
        <f t="shared" si="39"/>
        <v>97303</v>
      </c>
      <c r="L53" s="49">
        <f t="shared" si="39"/>
        <v>0</v>
      </c>
      <c r="M53" s="49">
        <f t="shared" si="39"/>
        <v>0</v>
      </c>
      <c r="N53" s="49">
        <f t="shared" si="39"/>
        <v>5927</v>
      </c>
      <c r="O53" s="49">
        <f t="shared" si="39"/>
        <v>0</v>
      </c>
      <c r="P53" s="49">
        <f t="shared" si="39"/>
        <v>103230</v>
      </c>
      <c r="Q53" s="49">
        <f t="shared" si="39"/>
        <v>22156.82</v>
      </c>
      <c r="R53" s="50">
        <f t="shared" si="34"/>
        <v>0.21463547418386128</v>
      </c>
      <c r="S53" s="49">
        <f>SUM(S49:S52)</f>
        <v>45726.37</v>
      </c>
      <c r="T53" s="50">
        <f t="shared" si="35"/>
        <v>0.44295621427879495</v>
      </c>
      <c r="U53" s="49">
        <f>SUM(U49:U52)</f>
        <v>70543.08</v>
      </c>
      <c r="V53" s="50">
        <f t="shared" si="36"/>
        <v>0.68335832606800351</v>
      </c>
      <c r="W53" s="49">
        <f>SUM(W49:W52)</f>
        <v>102929.31000000001</v>
      </c>
      <c r="X53" s="50">
        <f t="shared" si="37"/>
        <v>0.99708718395815177</v>
      </c>
      <c r="Y53" s="49">
        <f>SUM(Y49:Y52)</f>
        <v>106004</v>
      </c>
      <c r="Z53" s="49">
        <f>SUM(Z49:Z52)</f>
        <v>115421</v>
      </c>
    </row>
    <row r="54" spans="1:26" ht="13.9" customHeight="1">
      <c r="A54" s="15">
        <v>1</v>
      </c>
      <c r="B54" s="15">
        <v>1</v>
      </c>
      <c r="C54" s="15">
        <v>2</v>
      </c>
      <c r="D54" s="23" t="s">
        <v>123</v>
      </c>
      <c r="E54" s="23">
        <v>640</v>
      </c>
      <c r="F54" s="23" t="s">
        <v>127</v>
      </c>
      <c r="G54" s="24">
        <v>550.54999999999995</v>
      </c>
      <c r="H54" s="24">
        <v>638.25</v>
      </c>
      <c r="I54" s="24">
        <v>643</v>
      </c>
      <c r="J54" s="24">
        <v>688.32</v>
      </c>
      <c r="K54" s="24">
        <v>773</v>
      </c>
      <c r="L54" s="24"/>
      <c r="M54" s="24"/>
      <c r="N54" s="24"/>
      <c r="O54" s="24"/>
      <c r="P54" s="24">
        <f>K54+SUM(L54:O54)</f>
        <v>773</v>
      </c>
      <c r="Q54" s="24">
        <v>0</v>
      </c>
      <c r="R54" s="25">
        <f t="shared" si="34"/>
        <v>0</v>
      </c>
      <c r="S54" s="24">
        <v>0</v>
      </c>
      <c r="T54" s="25">
        <f t="shared" si="35"/>
        <v>0</v>
      </c>
      <c r="U54" s="24">
        <v>0</v>
      </c>
      <c r="V54" s="25">
        <f t="shared" si="36"/>
        <v>0</v>
      </c>
      <c r="W54" s="24">
        <v>687.73</v>
      </c>
      <c r="X54" s="25">
        <f t="shared" si="37"/>
        <v>0.88968952134540757</v>
      </c>
      <c r="Y54" s="24">
        <f>K54</f>
        <v>773</v>
      </c>
      <c r="Z54" s="24">
        <f>Y54</f>
        <v>773</v>
      </c>
    </row>
    <row r="55" spans="1:26" ht="13.9" customHeight="1">
      <c r="A55" s="15">
        <v>1</v>
      </c>
      <c r="B55" s="15">
        <v>1</v>
      </c>
      <c r="C55" s="15">
        <v>2</v>
      </c>
      <c r="D55" s="83" t="s">
        <v>21</v>
      </c>
      <c r="E55" s="84">
        <v>72</v>
      </c>
      <c r="F55" s="48" t="s">
        <v>25</v>
      </c>
      <c r="G55" s="49">
        <f t="shared" ref="G55:Q55" si="40">SUM(G54)</f>
        <v>550.54999999999995</v>
      </c>
      <c r="H55" s="49">
        <f t="shared" si="40"/>
        <v>638.25</v>
      </c>
      <c r="I55" s="49">
        <f t="shared" si="40"/>
        <v>643</v>
      </c>
      <c r="J55" s="49">
        <f t="shared" si="40"/>
        <v>688.32</v>
      </c>
      <c r="K55" s="49">
        <f t="shared" si="40"/>
        <v>773</v>
      </c>
      <c r="L55" s="49">
        <f t="shared" si="40"/>
        <v>0</v>
      </c>
      <c r="M55" s="49">
        <f t="shared" si="40"/>
        <v>0</v>
      </c>
      <c r="N55" s="49">
        <f t="shared" si="40"/>
        <v>0</v>
      </c>
      <c r="O55" s="49">
        <f t="shared" si="40"/>
        <v>0</v>
      </c>
      <c r="P55" s="49">
        <f t="shared" si="40"/>
        <v>773</v>
      </c>
      <c r="Q55" s="49">
        <f t="shared" si="40"/>
        <v>0</v>
      </c>
      <c r="R55" s="50">
        <f t="shared" si="34"/>
        <v>0</v>
      </c>
      <c r="S55" s="49">
        <f>SUM(S54)</f>
        <v>0</v>
      </c>
      <c r="T55" s="50">
        <f t="shared" si="35"/>
        <v>0</v>
      </c>
      <c r="U55" s="49">
        <f>SUM(U54)</f>
        <v>0</v>
      </c>
      <c r="V55" s="50">
        <f t="shared" si="36"/>
        <v>0</v>
      </c>
      <c r="W55" s="49">
        <f>SUM(W54)</f>
        <v>687.73</v>
      </c>
      <c r="X55" s="50">
        <f t="shared" si="37"/>
        <v>0.88968952134540757</v>
      </c>
      <c r="Y55" s="49">
        <f>SUM(Y54)</f>
        <v>773</v>
      </c>
      <c r="Z55" s="49">
        <f>SUM(Z54)</f>
        <v>773</v>
      </c>
    </row>
    <row r="56" spans="1:26" ht="13.9" customHeight="1">
      <c r="A56" s="15">
        <v>1</v>
      </c>
      <c r="B56" s="15">
        <v>1</v>
      </c>
      <c r="C56" s="15">
        <v>2</v>
      </c>
      <c r="D56" s="85"/>
      <c r="E56" s="86"/>
      <c r="F56" s="26" t="s">
        <v>119</v>
      </c>
      <c r="G56" s="27">
        <f t="shared" ref="G56:Q56" si="41">G48+G53+G55</f>
        <v>78327.179999999993</v>
      </c>
      <c r="H56" s="27">
        <f t="shared" si="41"/>
        <v>83871.44</v>
      </c>
      <c r="I56" s="27">
        <f t="shared" si="41"/>
        <v>89337</v>
      </c>
      <c r="J56" s="27">
        <f t="shared" si="41"/>
        <v>95315.090000000026</v>
      </c>
      <c r="K56" s="27">
        <f t="shared" si="41"/>
        <v>98428</v>
      </c>
      <c r="L56" s="27">
        <f t="shared" si="41"/>
        <v>0</v>
      </c>
      <c r="M56" s="27">
        <f t="shared" si="41"/>
        <v>0</v>
      </c>
      <c r="N56" s="27">
        <f t="shared" si="41"/>
        <v>5927</v>
      </c>
      <c r="O56" s="27">
        <f t="shared" si="41"/>
        <v>0</v>
      </c>
      <c r="P56" s="27">
        <f t="shared" si="41"/>
        <v>104355</v>
      </c>
      <c r="Q56" s="27">
        <f t="shared" si="41"/>
        <v>22156.82</v>
      </c>
      <c r="R56" s="28">
        <f t="shared" si="34"/>
        <v>0.21232159455704086</v>
      </c>
      <c r="S56" s="27">
        <f>S48+S53+S55</f>
        <v>46078.700000000004</v>
      </c>
      <c r="T56" s="28">
        <f t="shared" si="35"/>
        <v>0.44155718461022475</v>
      </c>
      <c r="U56" s="27">
        <f>U48+U53+U55</f>
        <v>70895.41</v>
      </c>
      <c r="V56" s="28">
        <f t="shared" si="36"/>
        <v>0.67936763930813093</v>
      </c>
      <c r="W56" s="27">
        <f>W48+W53+W55</f>
        <v>103969.37000000001</v>
      </c>
      <c r="X56" s="28">
        <f t="shared" si="37"/>
        <v>0.99630463322313267</v>
      </c>
      <c r="Y56" s="27">
        <f>Y48+Y53+Y55</f>
        <v>107129</v>
      </c>
      <c r="Z56" s="27">
        <f>Z48+Z53+Z55</f>
        <v>116546</v>
      </c>
    </row>
    <row r="57" spans="1:26" ht="13.9" customHeight="1">
      <c r="D57" s="87"/>
      <c r="E57" s="44"/>
      <c r="F57" s="44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9"/>
      <c r="S57" s="88"/>
      <c r="T57" s="89"/>
      <c r="U57" s="88"/>
      <c r="V57" s="89"/>
      <c r="W57" s="88"/>
      <c r="X57" s="89"/>
      <c r="Y57" s="88"/>
      <c r="Z57" s="88"/>
    </row>
    <row r="58" spans="1:26" ht="13.9" customHeight="1">
      <c r="D58" s="7" t="s">
        <v>130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3.9" customHeight="1">
      <c r="D59" s="21" t="s">
        <v>32</v>
      </c>
      <c r="E59" s="21" t="s">
        <v>33</v>
      </c>
      <c r="F59" s="21" t="s">
        <v>34</v>
      </c>
      <c r="G59" s="21" t="s">
        <v>1</v>
      </c>
      <c r="H59" s="21" t="s">
        <v>2</v>
      </c>
      <c r="I59" s="21" t="s">
        <v>3</v>
      </c>
      <c r="J59" s="21" t="s">
        <v>4</v>
      </c>
      <c r="K59" s="21" t="s">
        <v>5</v>
      </c>
      <c r="L59" s="21" t="s">
        <v>6</v>
      </c>
      <c r="M59" s="21" t="s">
        <v>7</v>
      </c>
      <c r="N59" s="21" t="s">
        <v>8</v>
      </c>
      <c r="O59" s="21" t="s">
        <v>9</v>
      </c>
      <c r="P59" s="21" t="s">
        <v>10</v>
      </c>
      <c r="Q59" s="21" t="s">
        <v>11</v>
      </c>
      <c r="R59" s="22" t="s">
        <v>12</v>
      </c>
      <c r="S59" s="21" t="s">
        <v>13</v>
      </c>
      <c r="T59" s="22" t="s">
        <v>14</v>
      </c>
      <c r="U59" s="21" t="s">
        <v>15</v>
      </c>
      <c r="V59" s="22" t="s">
        <v>16</v>
      </c>
      <c r="W59" s="21" t="s">
        <v>17</v>
      </c>
      <c r="X59" s="22" t="s">
        <v>18</v>
      </c>
      <c r="Y59" s="21" t="s">
        <v>19</v>
      </c>
      <c r="Z59" s="21" t="s">
        <v>20</v>
      </c>
    </row>
    <row r="60" spans="1:26" ht="13.9" customHeight="1">
      <c r="A60" s="15">
        <v>1</v>
      </c>
      <c r="B60" s="15">
        <v>1</v>
      </c>
      <c r="C60" s="15">
        <v>3</v>
      </c>
      <c r="D60" s="6" t="s">
        <v>131</v>
      </c>
      <c r="E60" s="23">
        <v>610</v>
      </c>
      <c r="F60" s="23" t="s">
        <v>124</v>
      </c>
      <c r="G60" s="24">
        <v>4378</v>
      </c>
      <c r="H60" s="46">
        <v>4315.55</v>
      </c>
      <c r="I60" s="24">
        <v>6907</v>
      </c>
      <c r="J60" s="24">
        <v>8114</v>
      </c>
      <c r="K60" s="24">
        <v>10384</v>
      </c>
      <c r="L60" s="24"/>
      <c r="M60" s="24"/>
      <c r="N60" s="24"/>
      <c r="O60" s="24">
        <v>77</v>
      </c>
      <c r="P60" s="46">
        <f>K60+SUM(L60:O60)</f>
        <v>10461</v>
      </c>
      <c r="Q60" s="46">
        <v>2442</v>
      </c>
      <c r="R60" s="47">
        <f t="shared" ref="R60:R66" si="42">Q60/$P60</f>
        <v>0.2334384858044164</v>
      </c>
      <c r="S60" s="46">
        <v>5199</v>
      </c>
      <c r="T60" s="47">
        <f t="shared" ref="T60:T66" si="43">S60/$P60</f>
        <v>0.49698881560080299</v>
      </c>
      <c r="U60" s="46">
        <v>7830</v>
      </c>
      <c r="V60" s="47">
        <f t="shared" ref="V60:V66" si="44">U60/$P60</f>
        <v>0.74849440780040144</v>
      </c>
      <c r="W60" s="46">
        <v>10461</v>
      </c>
      <c r="X60" s="47">
        <f t="shared" ref="X60:X66" si="45">W60/$P60</f>
        <v>1</v>
      </c>
      <c r="Y60" s="24">
        <v>11422</v>
      </c>
      <c r="Z60" s="24">
        <v>12564</v>
      </c>
    </row>
    <row r="61" spans="1:26" ht="13.9" customHeight="1">
      <c r="A61" s="15">
        <v>1</v>
      </c>
      <c r="B61" s="15">
        <v>1</v>
      </c>
      <c r="C61" s="15">
        <v>3</v>
      </c>
      <c r="D61" s="6"/>
      <c r="E61" s="23">
        <v>620</v>
      </c>
      <c r="F61" s="23" t="s">
        <v>125</v>
      </c>
      <c r="G61" s="24">
        <v>1277.92</v>
      </c>
      <c r="H61" s="46">
        <v>1335.44</v>
      </c>
      <c r="I61" s="24">
        <v>2138</v>
      </c>
      <c r="J61" s="24">
        <v>2545.6999999999998</v>
      </c>
      <c r="K61" s="24">
        <v>3265</v>
      </c>
      <c r="L61" s="24"/>
      <c r="M61" s="24"/>
      <c r="N61" s="24"/>
      <c r="O61" s="24">
        <v>25</v>
      </c>
      <c r="P61" s="46">
        <f>K61+SUM(L61:O61)</f>
        <v>3290</v>
      </c>
      <c r="Q61" s="46">
        <v>767.97</v>
      </c>
      <c r="R61" s="47">
        <f t="shared" si="42"/>
        <v>0.23342553191489362</v>
      </c>
      <c r="S61" s="46">
        <v>1634.98</v>
      </c>
      <c r="T61" s="47">
        <f t="shared" si="43"/>
        <v>0.49695440729483281</v>
      </c>
      <c r="U61" s="46">
        <v>2462.35</v>
      </c>
      <c r="V61" s="47">
        <f t="shared" si="44"/>
        <v>0.74843465045592705</v>
      </c>
      <c r="W61" s="46">
        <v>3289.72</v>
      </c>
      <c r="X61" s="47">
        <f t="shared" si="45"/>
        <v>0.99991489361702124</v>
      </c>
      <c r="Y61" s="24">
        <v>3592</v>
      </c>
      <c r="Z61" s="24">
        <v>3952</v>
      </c>
    </row>
    <row r="62" spans="1:26" ht="13.9" customHeight="1">
      <c r="A62" s="15">
        <v>1</v>
      </c>
      <c r="B62" s="15">
        <v>1</v>
      </c>
      <c r="C62" s="15">
        <v>3</v>
      </c>
      <c r="D62" s="6"/>
      <c r="E62" s="23">
        <v>630</v>
      </c>
      <c r="F62" s="23" t="s">
        <v>126</v>
      </c>
      <c r="G62" s="24">
        <v>1759.03</v>
      </c>
      <c r="H62" s="46">
        <v>1756.65</v>
      </c>
      <c r="I62" s="24">
        <f>247+1545</f>
        <v>1792</v>
      </c>
      <c r="J62" s="24">
        <v>2407.87</v>
      </c>
      <c r="K62" s="24">
        <v>2631</v>
      </c>
      <c r="L62" s="24"/>
      <c r="M62" s="24"/>
      <c r="N62" s="24"/>
      <c r="O62" s="24">
        <v>-102</v>
      </c>
      <c r="P62" s="46">
        <f>K62+SUM(L62:O62)</f>
        <v>2529</v>
      </c>
      <c r="Q62" s="46">
        <v>171.96</v>
      </c>
      <c r="R62" s="47">
        <f t="shared" si="42"/>
        <v>6.799525504151839E-2</v>
      </c>
      <c r="S62" s="46">
        <v>295.23</v>
      </c>
      <c r="T62" s="47">
        <f t="shared" si="43"/>
        <v>0.11673784104389087</v>
      </c>
      <c r="U62" s="46">
        <v>396.08</v>
      </c>
      <c r="V62" s="47">
        <f t="shared" si="44"/>
        <v>0.15661526294978251</v>
      </c>
      <c r="W62" s="46">
        <v>2065.62</v>
      </c>
      <c r="X62" s="47">
        <f t="shared" si="45"/>
        <v>0.81677342823250287</v>
      </c>
      <c r="Y62" s="24">
        <v>2641</v>
      </c>
      <c r="Z62" s="24">
        <v>2651</v>
      </c>
    </row>
    <row r="63" spans="1:26" ht="13.9" customHeight="1">
      <c r="A63" s="15">
        <v>1</v>
      </c>
      <c r="B63" s="15">
        <v>1</v>
      </c>
      <c r="C63" s="15">
        <v>3</v>
      </c>
      <c r="D63" s="83" t="s">
        <v>21</v>
      </c>
      <c r="E63" s="48">
        <v>41</v>
      </c>
      <c r="F63" s="48" t="s">
        <v>23</v>
      </c>
      <c r="G63" s="49">
        <f t="shared" ref="G63:Q63" si="46">SUM(G60:G62)</f>
        <v>7414.95</v>
      </c>
      <c r="H63" s="49">
        <f t="shared" si="46"/>
        <v>7407.6399999999994</v>
      </c>
      <c r="I63" s="49">
        <f t="shared" si="46"/>
        <v>10837</v>
      </c>
      <c r="J63" s="49">
        <f t="shared" si="46"/>
        <v>13067.57</v>
      </c>
      <c r="K63" s="49">
        <f t="shared" si="46"/>
        <v>16280</v>
      </c>
      <c r="L63" s="49">
        <f t="shared" si="46"/>
        <v>0</v>
      </c>
      <c r="M63" s="49">
        <f t="shared" si="46"/>
        <v>0</v>
      </c>
      <c r="N63" s="49">
        <f t="shared" si="46"/>
        <v>0</v>
      </c>
      <c r="O63" s="49">
        <f t="shared" si="46"/>
        <v>0</v>
      </c>
      <c r="P63" s="49">
        <f t="shared" si="46"/>
        <v>16280</v>
      </c>
      <c r="Q63" s="49">
        <f t="shared" si="46"/>
        <v>3381.9300000000003</v>
      </c>
      <c r="R63" s="50">
        <f t="shared" si="42"/>
        <v>0.20773525798525799</v>
      </c>
      <c r="S63" s="49">
        <f>SUM(S60:S62)</f>
        <v>7129.2099999999991</v>
      </c>
      <c r="T63" s="50">
        <f t="shared" si="43"/>
        <v>0.43791216216216211</v>
      </c>
      <c r="U63" s="49">
        <f>SUM(U60:U62)</f>
        <v>10688.43</v>
      </c>
      <c r="V63" s="50">
        <f t="shared" si="44"/>
        <v>0.65653746928746926</v>
      </c>
      <c r="W63" s="49">
        <f>SUM(W60:W62)</f>
        <v>15816.34</v>
      </c>
      <c r="X63" s="50">
        <f t="shared" si="45"/>
        <v>0.97151965601965606</v>
      </c>
      <c r="Y63" s="49">
        <f>SUM(Y60:Y62)</f>
        <v>17655</v>
      </c>
      <c r="Z63" s="49">
        <f>SUM(Z60:Z62)</f>
        <v>19167</v>
      </c>
    </row>
    <row r="64" spans="1:26" ht="13.9" customHeight="1">
      <c r="A64" s="15">
        <v>1</v>
      </c>
      <c r="B64" s="15">
        <v>1</v>
      </c>
      <c r="C64" s="15">
        <v>3</v>
      </c>
      <c r="D64" s="80" t="s">
        <v>131</v>
      </c>
      <c r="E64" s="23">
        <v>640</v>
      </c>
      <c r="F64" s="23" t="s">
        <v>127</v>
      </c>
      <c r="G64" s="24">
        <v>29.9</v>
      </c>
      <c r="H64" s="24">
        <v>33</v>
      </c>
      <c r="I64" s="24">
        <v>33</v>
      </c>
      <c r="J64" s="24">
        <v>65.790000000000006</v>
      </c>
      <c r="K64" s="24">
        <v>85</v>
      </c>
      <c r="L64" s="24"/>
      <c r="M64" s="24"/>
      <c r="N64" s="24"/>
      <c r="O64" s="24"/>
      <c r="P64" s="24">
        <f>K64+SUM(L64:O64)</f>
        <v>85</v>
      </c>
      <c r="Q64" s="24">
        <v>0</v>
      </c>
      <c r="R64" s="25">
        <f t="shared" si="42"/>
        <v>0</v>
      </c>
      <c r="S64" s="24">
        <v>0</v>
      </c>
      <c r="T64" s="25">
        <f t="shared" si="43"/>
        <v>0</v>
      </c>
      <c r="U64" s="24">
        <v>0</v>
      </c>
      <c r="V64" s="25">
        <f t="shared" si="44"/>
        <v>0</v>
      </c>
      <c r="W64" s="24">
        <v>61.14</v>
      </c>
      <c r="X64" s="25">
        <f t="shared" si="45"/>
        <v>0.71929411764705886</v>
      </c>
      <c r="Y64" s="24">
        <f>K64</f>
        <v>85</v>
      </c>
      <c r="Z64" s="24">
        <f>Y64</f>
        <v>85</v>
      </c>
    </row>
    <row r="65" spans="1:26" ht="13.9" customHeight="1">
      <c r="A65" s="15">
        <v>1</v>
      </c>
      <c r="B65" s="15">
        <v>1</v>
      </c>
      <c r="C65" s="15">
        <v>3</v>
      </c>
      <c r="D65" s="83" t="s">
        <v>21</v>
      </c>
      <c r="E65" s="48">
        <v>72</v>
      </c>
      <c r="F65" s="48" t="s">
        <v>25</v>
      </c>
      <c r="G65" s="49">
        <f t="shared" ref="G65:Q65" si="47">SUM(G64:G64)</f>
        <v>29.9</v>
      </c>
      <c r="H65" s="49">
        <f t="shared" si="47"/>
        <v>33</v>
      </c>
      <c r="I65" s="49">
        <f t="shared" si="47"/>
        <v>33</v>
      </c>
      <c r="J65" s="49">
        <f t="shared" si="47"/>
        <v>65.790000000000006</v>
      </c>
      <c r="K65" s="49">
        <f t="shared" si="47"/>
        <v>85</v>
      </c>
      <c r="L65" s="49">
        <f t="shared" si="47"/>
        <v>0</v>
      </c>
      <c r="M65" s="49">
        <f t="shared" si="47"/>
        <v>0</v>
      </c>
      <c r="N65" s="49">
        <f t="shared" si="47"/>
        <v>0</v>
      </c>
      <c r="O65" s="49">
        <f t="shared" si="47"/>
        <v>0</v>
      </c>
      <c r="P65" s="49">
        <f t="shared" si="47"/>
        <v>85</v>
      </c>
      <c r="Q65" s="49">
        <f t="shared" si="47"/>
        <v>0</v>
      </c>
      <c r="R65" s="50">
        <f t="shared" si="42"/>
        <v>0</v>
      </c>
      <c r="S65" s="49">
        <f>SUM(S64:S64)</f>
        <v>0</v>
      </c>
      <c r="T65" s="50">
        <f t="shared" si="43"/>
        <v>0</v>
      </c>
      <c r="U65" s="49">
        <f>SUM(U64:U64)</f>
        <v>0</v>
      </c>
      <c r="V65" s="50">
        <f t="shared" si="44"/>
        <v>0</v>
      </c>
      <c r="W65" s="49">
        <f>SUM(W64:W64)</f>
        <v>61.14</v>
      </c>
      <c r="X65" s="50">
        <f t="shared" si="45"/>
        <v>0.71929411764705886</v>
      </c>
      <c r="Y65" s="49">
        <f>SUM(Y64:Y64)</f>
        <v>85</v>
      </c>
      <c r="Z65" s="49">
        <f>SUM(Z64:Z64)</f>
        <v>85</v>
      </c>
    </row>
    <row r="66" spans="1:26" ht="13.9" customHeight="1">
      <c r="A66" s="15">
        <v>1</v>
      </c>
      <c r="B66" s="15">
        <v>1</v>
      </c>
      <c r="C66" s="15">
        <v>3</v>
      </c>
      <c r="D66" s="85"/>
      <c r="E66" s="86"/>
      <c r="F66" s="26" t="s">
        <v>119</v>
      </c>
      <c r="G66" s="27">
        <f t="shared" ref="G66:Q66" si="48">G63+G65</f>
        <v>7444.8499999999995</v>
      </c>
      <c r="H66" s="27">
        <f t="shared" si="48"/>
        <v>7440.6399999999994</v>
      </c>
      <c r="I66" s="27">
        <f t="shared" si="48"/>
        <v>10870</v>
      </c>
      <c r="J66" s="27">
        <f t="shared" si="48"/>
        <v>13133.36</v>
      </c>
      <c r="K66" s="27">
        <f t="shared" si="48"/>
        <v>16365</v>
      </c>
      <c r="L66" s="27">
        <f t="shared" si="48"/>
        <v>0</v>
      </c>
      <c r="M66" s="27">
        <f t="shared" si="48"/>
        <v>0</v>
      </c>
      <c r="N66" s="27">
        <f t="shared" si="48"/>
        <v>0</v>
      </c>
      <c r="O66" s="27">
        <f t="shared" si="48"/>
        <v>0</v>
      </c>
      <c r="P66" s="27">
        <f t="shared" si="48"/>
        <v>16365</v>
      </c>
      <c r="Q66" s="27">
        <f t="shared" si="48"/>
        <v>3381.9300000000003</v>
      </c>
      <c r="R66" s="28">
        <f t="shared" si="42"/>
        <v>0.20665627864344641</v>
      </c>
      <c r="S66" s="27">
        <f>S63+S65</f>
        <v>7129.2099999999991</v>
      </c>
      <c r="T66" s="28">
        <f t="shared" si="43"/>
        <v>0.43563764130766874</v>
      </c>
      <c r="U66" s="27">
        <f>U63+U65</f>
        <v>10688.43</v>
      </c>
      <c r="V66" s="28">
        <f t="shared" si="44"/>
        <v>0.65312740604949593</v>
      </c>
      <c r="W66" s="27">
        <f>W63+W65</f>
        <v>15877.48</v>
      </c>
      <c r="X66" s="28">
        <f t="shared" si="45"/>
        <v>0.97020959364497406</v>
      </c>
      <c r="Y66" s="27">
        <f>Y63+Y65</f>
        <v>17740</v>
      </c>
      <c r="Z66" s="27">
        <f>Z63+Z65</f>
        <v>19252</v>
      </c>
    </row>
    <row r="67" spans="1:26" ht="13.9" customHeight="1">
      <c r="D67" s="87"/>
      <c r="E67" s="44"/>
      <c r="F67" s="44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9"/>
      <c r="S67" s="88"/>
      <c r="T67" s="89"/>
      <c r="U67" s="88"/>
      <c r="V67" s="89"/>
      <c r="W67" s="88"/>
      <c r="X67" s="89"/>
      <c r="Y67" s="88"/>
      <c r="Z67" s="88"/>
    </row>
    <row r="68" spans="1:26" ht="13.9" customHeight="1">
      <c r="D68" s="7" t="s">
        <v>132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3.9" customHeight="1">
      <c r="D69" s="21" t="s">
        <v>32</v>
      </c>
      <c r="E69" s="21" t="s">
        <v>33</v>
      </c>
      <c r="F69" s="21" t="s">
        <v>34</v>
      </c>
      <c r="G69" s="21" t="s">
        <v>1</v>
      </c>
      <c r="H69" s="21" t="s">
        <v>2</v>
      </c>
      <c r="I69" s="21" t="s">
        <v>3</v>
      </c>
      <c r="J69" s="21" t="s">
        <v>4</v>
      </c>
      <c r="K69" s="21" t="s">
        <v>5</v>
      </c>
      <c r="L69" s="21" t="s">
        <v>6</v>
      </c>
      <c r="M69" s="21" t="s">
        <v>7</v>
      </c>
      <c r="N69" s="21" t="s">
        <v>8</v>
      </c>
      <c r="O69" s="21" t="s">
        <v>9</v>
      </c>
      <c r="P69" s="21" t="s">
        <v>10</v>
      </c>
      <c r="Q69" s="21" t="s">
        <v>11</v>
      </c>
      <c r="R69" s="22" t="s">
        <v>12</v>
      </c>
      <c r="S69" s="21" t="s">
        <v>13</v>
      </c>
      <c r="T69" s="22" t="s">
        <v>14</v>
      </c>
      <c r="U69" s="21" t="s">
        <v>15</v>
      </c>
      <c r="V69" s="22" t="s">
        <v>16</v>
      </c>
      <c r="W69" s="21" t="s">
        <v>17</v>
      </c>
      <c r="X69" s="22" t="s">
        <v>18</v>
      </c>
      <c r="Y69" s="21" t="s">
        <v>19</v>
      </c>
      <c r="Z69" s="21" t="s">
        <v>20</v>
      </c>
    </row>
    <row r="70" spans="1:26" ht="13.9" customHeight="1">
      <c r="A70" s="15">
        <v>1</v>
      </c>
      <c r="B70" s="15">
        <v>1</v>
      </c>
      <c r="C70" s="15">
        <v>4</v>
      </c>
      <c r="D70" s="11" t="s">
        <v>123</v>
      </c>
      <c r="E70" s="23">
        <v>630</v>
      </c>
      <c r="F70" s="23" t="s">
        <v>126</v>
      </c>
      <c r="G70" s="24">
        <v>14593.72</v>
      </c>
      <c r="H70" s="24">
        <v>18200.669999999998</v>
      </c>
      <c r="I70" s="24">
        <v>14236</v>
      </c>
      <c r="J70" s="24">
        <v>14039.46</v>
      </c>
      <c r="K70" s="24">
        <v>19227</v>
      </c>
      <c r="L70" s="24">
        <v>1478</v>
      </c>
      <c r="M70" s="24">
        <f>3000+1670</f>
        <v>4670</v>
      </c>
      <c r="N70" s="24">
        <v>2000</v>
      </c>
      <c r="O70" s="24"/>
      <c r="P70" s="24">
        <f>K70+SUM(L70:O70)</f>
        <v>27375</v>
      </c>
      <c r="Q70" s="24">
        <v>9801.41</v>
      </c>
      <c r="R70" s="25">
        <f>Q70/$P70</f>
        <v>0.35804237442922376</v>
      </c>
      <c r="S70" s="24">
        <v>13360.78</v>
      </c>
      <c r="T70" s="25">
        <f>S70/$P70</f>
        <v>0.48806502283105024</v>
      </c>
      <c r="U70" s="24">
        <v>19998.060000000001</v>
      </c>
      <c r="V70" s="25">
        <f>U70/$P70</f>
        <v>0.73052273972602744</v>
      </c>
      <c r="W70" s="24">
        <v>25459.84</v>
      </c>
      <c r="X70" s="25">
        <f>W70/$P70</f>
        <v>0.93003981735159813</v>
      </c>
      <c r="Y70" s="24">
        <f>K70</f>
        <v>19227</v>
      </c>
      <c r="Z70" s="24">
        <f>Y70</f>
        <v>19227</v>
      </c>
    </row>
    <row r="71" spans="1:26" ht="13.9" customHeight="1">
      <c r="A71" s="15">
        <v>1</v>
      </c>
      <c r="B71" s="15">
        <v>1</v>
      </c>
      <c r="C71" s="15">
        <v>4</v>
      </c>
      <c r="D71" s="11"/>
      <c r="E71" s="23">
        <v>640</v>
      </c>
      <c r="F71" s="23" t="s">
        <v>127</v>
      </c>
      <c r="G71" s="24">
        <v>0</v>
      </c>
      <c r="H71" s="24">
        <v>0</v>
      </c>
      <c r="I71" s="24">
        <v>0</v>
      </c>
      <c r="J71" s="24">
        <v>258.5</v>
      </c>
      <c r="K71" s="24">
        <v>259</v>
      </c>
      <c r="L71" s="24"/>
      <c r="M71" s="24"/>
      <c r="N71" s="24"/>
      <c r="O71" s="24"/>
      <c r="P71" s="24">
        <f>K71+SUM(L71:O71)</f>
        <v>259</v>
      </c>
      <c r="Q71" s="24">
        <v>258.8</v>
      </c>
      <c r="R71" s="25">
        <f>Q71/$P71</f>
        <v>0.99922779922779925</v>
      </c>
      <c r="S71" s="24">
        <v>258.8</v>
      </c>
      <c r="T71" s="25">
        <f>S71/$P71</f>
        <v>0.99922779922779925</v>
      </c>
      <c r="U71" s="24">
        <v>258.8</v>
      </c>
      <c r="V71" s="25">
        <f>U71/$P71</f>
        <v>0.99922779922779925</v>
      </c>
      <c r="W71" s="24">
        <v>258.8</v>
      </c>
      <c r="X71" s="25">
        <f>W71/$P71</f>
        <v>0.99922779922779925</v>
      </c>
      <c r="Y71" s="24">
        <f>K71</f>
        <v>259</v>
      </c>
      <c r="Z71" s="24">
        <f>Y71</f>
        <v>259</v>
      </c>
    </row>
    <row r="72" spans="1:26" ht="13.9" customHeight="1">
      <c r="A72" s="15">
        <v>1</v>
      </c>
      <c r="B72" s="15">
        <v>1</v>
      </c>
      <c r="C72" s="15">
        <v>4</v>
      </c>
      <c r="D72" s="51" t="s">
        <v>131</v>
      </c>
      <c r="E72" s="23">
        <v>630</v>
      </c>
      <c r="F72" s="23" t="s">
        <v>133</v>
      </c>
      <c r="G72" s="24">
        <v>209.4</v>
      </c>
      <c r="H72" s="24">
        <v>234.69</v>
      </c>
      <c r="I72" s="24">
        <v>140</v>
      </c>
      <c r="J72" s="24">
        <v>251.79</v>
      </c>
      <c r="K72" s="24">
        <v>250</v>
      </c>
      <c r="L72" s="24"/>
      <c r="M72" s="24"/>
      <c r="N72" s="24"/>
      <c r="O72" s="24"/>
      <c r="P72" s="24">
        <f>K72+SUM(L72:O72)</f>
        <v>250</v>
      </c>
      <c r="Q72" s="24">
        <v>39.1</v>
      </c>
      <c r="R72" s="25">
        <f>Q72/$P72</f>
        <v>0.15640000000000001</v>
      </c>
      <c r="S72" s="24">
        <v>72.040000000000006</v>
      </c>
      <c r="T72" s="25">
        <f>S72/$P72</f>
        <v>0.28816000000000003</v>
      </c>
      <c r="U72" s="24">
        <v>112.87</v>
      </c>
      <c r="V72" s="25">
        <f>U72/$P72</f>
        <v>0.45147999999999999</v>
      </c>
      <c r="W72" s="24">
        <v>248.35</v>
      </c>
      <c r="X72" s="25">
        <f>W72/$P72</f>
        <v>0.99339999999999995</v>
      </c>
      <c r="Y72" s="24">
        <f>K72</f>
        <v>250</v>
      </c>
      <c r="Z72" s="24">
        <f>Y72</f>
        <v>250</v>
      </c>
    </row>
    <row r="73" spans="1:26" ht="13.9" customHeight="1">
      <c r="A73" s="15">
        <v>1</v>
      </c>
      <c r="B73" s="15">
        <v>1</v>
      </c>
      <c r="C73" s="15">
        <v>4</v>
      </c>
      <c r="D73" s="83" t="s">
        <v>21</v>
      </c>
      <c r="E73" s="48">
        <v>41</v>
      </c>
      <c r="F73" s="48" t="s">
        <v>23</v>
      </c>
      <c r="G73" s="49">
        <f t="shared" ref="G73:Q73" si="49">SUM(G70:G72)</f>
        <v>14803.119999999999</v>
      </c>
      <c r="H73" s="49">
        <f t="shared" si="49"/>
        <v>18435.359999999997</v>
      </c>
      <c r="I73" s="49">
        <f t="shared" si="49"/>
        <v>14376</v>
      </c>
      <c r="J73" s="49">
        <f t="shared" si="49"/>
        <v>14549.75</v>
      </c>
      <c r="K73" s="49">
        <f t="shared" si="49"/>
        <v>19736</v>
      </c>
      <c r="L73" s="49">
        <f t="shared" si="49"/>
        <v>1478</v>
      </c>
      <c r="M73" s="49">
        <f t="shared" si="49"/>
        <v>4670</v>
      </c>
      <c r="N73" s="49">
        <f t="shared" si="49"/>
        <v>2000</v>
      </c>
      <c r="O73" s="49">
        <f t="shared" si="49"/>
        <v>0</v>
      </c>
      <c r="P73" s="49">
        <f t="shared" si="49"/>
        <v>27884</v>
      </c>
      <c r="Q73" s="49">
        <f t="shared" si="49"/>
        <v>10099.31</v>
      </c>
      <c r="R73" s="50">
        <f>Q73/$P73</f>
        <v>0.36219014488595608</v>
      </c>
      <c r="S73" s="49">
        <f>SUM(S70:S72)</f>
        <v>13691.62</v>
      </c>
      <c r="T73" s="50">
        <f>S73/$P73</f>
        <v>0.49102065700760295</v>
      </c>
      <c r="U73" s="49">
        <f>SUM(U70:U72)</f>
        <v>20369.73</v>
      </c>
      <c r="V73" s="50">
        <f>U73/$P73</f>
        <v>0.73051678381867735</v>
      </c>
      <c r="W73" s="49">
        <f>SUM(W70:W72)</f>
        <v>25966.989999999998</v>
      </c>
      <c r="X73" s="50">
        <f>W73/$P73</f>
        <v>0.93125053794290624</v>
      </c>
      <c r="Y73" s="49">
        <f>SUM(Y70:Y72)</f>
        <v>19736</v>
      </c>
      <c r="Z73" s="49">
        <f>SUM(Z70:Z72)</f>
        <v>19736</v>
      </c>
    </row>
    <row r="74" spans="1:26" ht="13.9" customHeight="1">
      <c r="A74" s="15">
        <v>1</v>
      </c>
      <c r="B74" s="15">
        <v>1</v>
      </c>
      <c r="C74" s="15">
        <v>4</v>
      </c>
      <c r="D74" s="85"/>
      <c r="E74" s="86"/>
      <c r="F74" s="26" t="s">
        <v>119</v>
      </c>
      <c r="G74" s="27">
        <f t="shared" ref="G74:Q74" si="50">G73</f>
        <v>14803.119999999999</v>
      </c>
      <c r="H74" s="27">
        <f t="shared" si="50"/>
        <v>18435.359999999997</v>
      </c>
      <c r="I74" s="27">
        <f t="shared" si="50"/>
        <v>14376</v>
      </c>
      <c r="J74" s="27">
        <f t="shared" si="50"/>
        <v>14549.75</v>
      </c>
      <c r="K74" s="27">
        <f t="shared" si="50"/>
        <v>19736</v>
      </c>
      <c r="L74" s="27">
        <f t="shared" si="50"/>
        <v>1478</v>
      </c>
      <c r="M74" s="27">
        <f t="shared" si="50"/>
        <v>4670</v>
      </c>
      <c r="N74" s="27">
        <f t="shared" si="50"/>
        <v>2000</v>
      </c>
      <c r="O74" s="27">
        <f t="shared" si="50"/>
        <v>0</v>
      </c>
      <c r="P74" s="27">
        <f t="shared" si="50"/>
        <v>27884</v>
      </c>
      <c r="Q74" s="27">
        <f t="shared" si="50"/>
        <v>10099.31</v>
      </c>
      <c r="R74" s="28">
        <f>Q74/$P74</f>
        <v>0.36219014488595608</v>
      </c>
      <c r="S74" s="27">
        <f>S73</f>
        <v>13691.62</v>
      </c>
      <c r="T74" s="28">
        <f>S74/$P74</f>
        <v>0.49102065700760295</v>
      </c>
      <c r="U74" s="27">
        <f>U73</f>
        <v>20369.73</v>
      </c>
      <c r="V74" s="28">
        <f>U74/$P74</f>
        <v>0.73051678381867735</v>
      </c>
      <c r="W74" s="27">
        <f>W73</f>
        <v>25966.989999999998</v>
      </c>
      <c r="X74" s="28">
        <f>W74/$P74</f>
        <v>0.93125053794290624</v>
      </c>
      <c r="Y74" s="27">
        <f>Y73</f>
        <v>19736</v>
      </c>
      <c r="Z74" s="27">
        <f>Z73</f>
        <v>19736</v>
      </c>
    </row>
    <row r="75" spans="1:26" ht="13.9" customHeight="1">
      <c r="D75" s="87"/>
      <c r="E75" s="44"/>
      <c r="F75" s="44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9"/>
      <c r="S75" s="88"/>
      <c r="T75" s="89"/>
      <c r="U75" s="88"/>
      <c r="V75" s="89"/>
      <c r="W75" s="88"/>
      <c r="X75" s="89"/>
      <c r="Y75" s="88"/>
      <c r="Z75" s="88"/>
    </row>
    <row r="76" spans="1:26" ht="13.9" customHeight="1">
      <c r="D76" s="87"/>
      <c r="E76" s="52" t="s">
        <v>56</v>
      </c>
      <c r="F76" s="30" t="s">
        <v>134</v>
      </c>
      <c r="G76" s="53">
        <v>2486.6999999999998</v>
      </c>
      <c r="H76" s="53">
        <v>2681.3</v>
      </c>
      <c r="I76" s="53">
        <v>2600</v>
      </c>
      <c r="J76" s="53">
        <v>2615.9499999999998</v>
      </c>
      <c r="K76" s="53">
        <v>2890</v>
      </c>
      <c r="L76" s="53"/>
      <c r="M76" s="53"/>
      <c r="N76" s="53">
        <v>-45</v>
      </c>
      <c r="O76" s="53"/>
      <c r="P76" s="53">
        <f>K76+SUM(L76:O76)</f>
        <v>2845</v>
      </c>
      <c r="Q76" s="53">
        <v>742.8</v>
      </c>
      <c r="R76" s="54">
        <f>Q76/$P76</f>
        <v>0.2610896309314587</v>
      </c>
      <c r="S76" s="53">
        <v>1224.55</v>
      </c>
      <c r="T76" s="54">
        <f>S76/$P76</f>
        <v>0.43042179261862917</v>
      </c>
      <c r="U76" s="53">
        <v>1622.35</v>
      </c>
      <c r="V76" s="54">
        <f>U76/$P76</f>
        <v>0.57024604569420034</v>
      </c>
      <c r="W76" s="53">
        <v>2588.9499999999998</v>
      </c>
      <c r="X76" s="55">
        <f>W76/$P76</f>
        <v>0.90999999999999992</v>
      </c>
      <c r="Y76" s="53">
        <f>K76</f>
        <v>2890</v>
      </c>
      <c r="Z76" s="56">
        <f>Y76</f>
        <v>2890</v>
      </c>
    </row>
    <row r="77" spans="1:26" ht="13.9" customHeight="1">
      <c r="D77" s="87"/>
      <c r="E77" s="57"/>
      <c r="F77" s="91" t="s">
        <v>135</v>
      </c>
      <c r="G77" s="92">
        <v>1844.33</v>
      </c>
      <c r="H77" s="92">
        <v>7331.48</v>
      </c>
      <c r="I77" s="92">
        <v>2000</v>
      </c>
      <c r="J77" s="92">
        <v>913.96</v>
      </c>
      <c r="K77" s="92">
        <v>7000</v>
      </c>
      <c r="L77" s="92"/>
      <c r="M77" s="92">
        <v>3000</v>
      </c>
      <c r="N77" s="92">
        <v>-641</v>
      </c>
      <c r="O77" s="92">
        <v>-964</v>
      </c>
      <c r="P77" s="92">
        <f>K77+SUM(L77:O77)</f>
        <v>8395</v>
      </c>
      <c r="Q77" s="92">
        <v>5192.57</v>
      </c>
      <c r="R77" s="93">
        <f>Q77/$P77</f>
        <v>0.61853126861226915</v>
      </c>
      <c r="S77" s="92">
        <v>5288.57</v>
      </c>
      <c r="T77" s="93">
        <f>S77/$P77</f>
        <v>0.6299666468135795</v>
      </c>
      <c r="U77" s="92">
        <v>7285.12</v>
      </c>
      <c r="V77" s="93">
        <f>U77/$P77</f>
        <v>0.86779273377010124</v>
      </c>
      <c r="W77" s="92">
        <v>7374.24</v>
      </c>
      <c r="X77" s="64">
        <f>W77/$P77</f>
        <v>0.87840857653365101</v>
      </c>
      <c r="Y77" s="81">
        <v>2000</v>
      </c>
      <c r="Z77" s="61">
        <f>Y77</f>
        <v>2000</v>
      </c>
    </row>
    <row r="78" spans="1:26" ht="13.9" customHeight="1">
      <c r="D78" s="87"/>
      <c r="E78" s="57"/>
      <c r="F78" s="15" t="s">
        <v>136</v>
      </c>
      <c r="G78" s="59">
        <v>1671.38</v>
      </c>
      <c r="H78" s="59">
        <v>1284</v>
      </c>
      <c r="I78" s="59">
        <v>1605</v>
      </c>
      <c r="J78" s="59">
        <v>2178</v>
      </c>
      <c r="K78" s="59">
        <v>2178</v>
      </c>
      <c r="L78" s="59"/>
      <c r="M78" s="59"/>
      <c r="N78" s="59">
        <v>202</v>
      </c>
      <c r="O78" s="59"/>
      <c r="P78" s="59">
        <f>K78+SUM(L78:O78)</f>
        <v>2380</v>
      </c>
      <c r="Q78" s="59">
        <v>525</v>
      </c>
      <c r="R78" s="16">
        <f>Q78/$P78</f>
        <v>0.22058823529411764</v>
      </c>
      <c r="S78" s="59">
        <v>1117.2</v>
      </c>
      <c r="T78" s="16">
        <f>S78/$P78</f>
        <v>0.46941176470588236</v>
      </c>
      <c r="U78" s="59">
        <v>1709.4</v>
      </c>
      <c r="V78" s="16">
        <f>U78/$P78</f>
        <v>0.71823529411764708</v>
      </c>
      <c r="W78" s="59">
        <v>2379.6</v>
      </c>
      <c r="X78" s="60">
        <f>W78/$P78</f>
        <v>0.99983193277310922</v>
      </c>
      <c r="Y78" s="59">
        <f>K78</f>
        <v>2178</v>
      </c>
      <c r="Z78" s="61">
        <f>Y78</f>
        <v>2178</v>
      </c>
    </row>
    <row r="79" spans="1:26" ht="13.9" customHeight="1">
      <c r="D79" s="87"/>
      <c r="E79" s="65"/>
      <c r="F79" s="94" t="s">
        <v>137</v>
      </c>
      <c r="G79" s="67">
        <v>1900.8</v>
      </c>
      <c r="H79" s="67">
        <v>661.26</v>
      </c>
      <c r="I79" s="67">
        <v>1901</v>
      </c>
      <c r="J79" s="67">
        <v>3249.6</v>
      </c>
      <c r="K79" s="67">
        <v>2141</v>
      </c>
      <c r="L79" s="67"/>
      <c r="M79" s="67"/>
      <c r="N79" s="67"/>
      <c r="O79" s="67"/>
      <c r="P79" s="67">
        <f>K79+SUM(L79:O79)</f>
        <v>2141</v>
      </c>
      <c r="Q79" s="67">
        <v>475.2</v>
      </c>
      <c r="R79" s="68">
        <f>Q79/$P79</f>
        <v>0.22195235871088276</v>
      </c>
      <c r="S79" s="67">
        <v>950.4</v>
      </c>
      <c r="T79" s="68">
        <f>S79/$P79</f>
        <v>0.44390471742176552</v>
      </c>
      <c r="U79" s="67">
        <v>1665.6</v>
      </c>
      <c r="V79" s="68">
        <f>U79/$P79</f>
        <v>0.77795422699673045</v>
      </c>
      <c r="W79" s="67">
        <v>2140.8000000000002</v>
      </c>
      <c r="X79" s="69">
        <f>W79/$P79</f>
        <v>0.99990658570761337</v>
      </c>
      <c r="Y79" s="67">
        <f>K79</f>
        <v>2141</v>
      </c>
      <c r="Z79" s="70">
        <f>Y79</f>
        <v>2141</v>
      </c>
    </row>
    <row r="80" spans="1:26" ht="13.9" customHeight="1">
      <c r="D80" s="87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S80" s="59"/>
      <c r="U80" s="59"/>
      <c r="W80" s="59"/>
      <c r="Y80" s="59"/>
      <c r="Z80" s="59"/>
    </row>
    <row r="81" spans="1:26" ht="13.9" customHeight="1">
      <c r="D81" s="7" t="s">
        <v>138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3.9" customHeight="1">
      <c r="D82" s="21" t="s">
        <v>32</v>
      </c>
      <c r="E82" s="21" t="s">
        <v>33</v>
      </c>
      <c r="F82" s="21" t="s">
        <v>34</v>
      </c>
      <c r="G82" s="21" t="s">
        <v>1</v>
      </c>
      <c r="H82" s="21" t="s">
        <v>2</v>
      </c>
      <c r="I82" s="21" t="s">
        <v>3</v>
      </c>
      <c r="J82" s="21" t="s">
        <v>4</v>
      </c>
      <c r="K82" s="21" t="s">
        <v>5</v>
      </c>
      <c r="L82" s="21" t="s">
        <v>6</v>
      </c>
      <c r="M82" s="21" t="s">
        <v>7</v>
      </c>
      <c r="N82" s="21" t="s">
        <v>8</v>
      </c>
      <c r="O82" s="21" t="s">
        <v>9</v>
      </c>
      <c r="P82" s="21" t="s">
        <v>10</v>
      </c>
      <c r="Q82" s="21" t="s">
        <v>11</v>
      </c>
      <c r="R82" s="22" t="s">
        <v>12</v>
      </c>
      <c r="S82" s="21" t="s">
        <v>13</v>
      </c>
      <c r="T82" s="22" t="s">
        <v>14</v>
      </c>
      <c r="U82" s="21" t="s">
        <v>15</v>
      </c>
      <c r="V82" s="22" t="s">
        <v>16</v>
      </c>
      <c r="W82" s="21" t="s">
        <v>17</v>
      </c>
      <c r="X82" s="22" t="s">
        <v>18</v>
      </c>
      <c r="Y82" s="21" t="s">
        <v>19</v>
      </c>
      <c r="Z82" s="21" t="s">
        <v>20</v>
      </c>
    </row>
    <row r="83" spans="1:26" ht="13.9" customHeight="1">
      <c r="A83" s="15">
        <v>1</v>
      </c>
      <c r="B83" s="15">
        <v>1</v>
      </c>
      <c r="C83" s="15">
        <v>5</v>
      </c>
      <c r="D83" s="51" t="s">
        <v>123</v>
      </c>
      <c r="E83" s="23">
        <v>630</v>
      </c>
      <c r="F83" s="23" t="s">
        <v>126</v>
      </c>
      <c r="G83" s="24">
        <v>0</v>
      </c>
      <c r="H83" s="46">
        <v>0</v>
      </c>
      <c r="I83" s="24">
        <v>0</v>
      </c>
      <c r="J83" s="24">
        <v>0</v>
      </c>
      <c r="K83" s="24">
        <v>0</v>
      </c>
      <c r="L83" s="24"/>
      <c r="M83" s="24">
        <v>1454</v>
      </c>
      <c r="N83" s="24">
        <v>566</v>
      </c>
      <c r="O83" s="24">
        <v>5292</v>
      </c>
      <c r="P83" s="46">
        <f>K83+SUM(L83:O83)</f>
        <v>7312</v>
      </c>
      <c r="Q83" s="46">
        <v>0</v>
      </c>
      <c r="R83" s="47">
        <f t="shared" ref="R83:R91" si="51">Q83/$P83</f>
        <v>0</v>
      </c>
      <c r="S83" s="46">
        <v>1454.5</v>
      </c>
      <c r="T83" s="47">
        <f t="shared" ref="T83:T91" si="52">S83/$P83</f>
        <v>0.19891958424507658</v>
      </c>
      <c r="U83" s="46">
        <v>2019.75</v>
      </c>
      <c r="V83" s="47">
        <f t="shared" ref="V83:V91" si="53">U83/$P83</f>
        <v>0.27622401531728663</v>
      </c>
      <c r="W83" s="46">
        <v>7311.57</v>
      </c>
      <c r="X83" s="47">
        <f t="shared" ref="X83:X91" si="54">W83/$P83</f>
        <v>0.999941192560175</v>
      </c>
      <c r="Y83" s="24">
        <v>0</v>
      </c>
      <c r="Z83" s="24">
        <v>0</v>
      </c>
    </row>
    <row r="84" spans="1:26" ht="13.9" customHeight="1">
      <c r="A84" s="15">
        <v>1</v>
      </c>
      <c r="B84" s="15">
        <v>1</v>
      </c>
      <c r="C84" s="15">
        <v>5</v>
      </c>
      <c r="D84" s="83" t="s">
        <v>21</v>
      </c>
      <c r="E84" s="48">
        <v>111</v>
      </c>
      <c r="F84" s="48" t="s">
        <v>23</v>
      </c>
      <c r="G84" s="49">
        <f t="shared" ref="G84:Q84" si="55">SUM(G83:G83)</f>
        <v>0</v>
      </c>
      <c r="H84" s="49">
        <f t="shared" si="55"/>
        <v>0</v>
      </c>
      <c r="I84" s="49">
        <f t="shared" si="55"/>
        <v>0</v>
      </c>
      <c r="J84" s="49">
        <f t="shared" si="55"/>
        <v>0</v>
      </c>
      <c r="K84" s="49">
        <f t="shared" si="55"/>
        <v>0</v>
      </c>
      <c r="L84" s="49">
        <f t="shared" si="55"/>
        <v>0</v>
      </c>
      <c r="M84" s="49">
        <f t="shared" si="55"/>
        <v>1454</v>
      </c>
      <c r="N84" s="49">
        <f t="shared" si="55"/>
        <v>566</v>
      </c>
      <c r="O84" s="49">
        <f t="shared" si="55"/>
        <v>5292</v>
      </c>
      <c r="P84" s="49">
        <f t="shared" si="55"/>
        <v>7312</v>
      </c>
      <c r="Q84" s="49">
        <f t="shared" si="55"/>
        <v>0</v>
      </c>
      <c r="R84" s="50">
        <f t="shared" si="51"/>
        <v>0</v>
      </c>
      <c r="S84" s="49">
        <f>SUM(S83:S83)</f>
        <v>1454.5</v>
      </c>
      <c r="T84" s="50">
        <f t="shared" si="52"/>
        <v>0.19891958424507658</v>
      </c>
      <c r="U84" s="49">
        <f>SUM(U83:U83)</f>
        <v>2019.75</v>
      </c>
      <c r="V84" s="50">
        <f t="shared" si="53"/>
        <v>0.27622401531728663</v>
      </c>
      <c r="W84" s="49">
        <f>SUM(W83:W83)</f>
        <v>7311.57</v>
      </c>
      <c r="X84" s="50">
        <f t="shared" si="54"/>
        <v>0.999941192560175</v>
      </c>
      <c r="Y84" s="49">
        <f>SUM(Y83:Y83)</f>
        <v>0</v>
      </c>
      <c r="Z84" s="49">
        <f>SUM(Z83:Z83)</f>
        <v>0</v>
      </c>
    </row>
    <row r="85" spans="1:26" ht="13.9" customHeight="1">
      <c r="A85" s="15">
        <v>1</v>
      </c>
      <c r="B85" s="15">
        <v>1</v>
      </c>
      <c r="C85" s="15">
        <v>5</v>
      </c>
      <c r="D85" s="11" t="s">
        <v>123</v>
      </c>
      <c r="E85" s="23">
        <v>610</v>
      </c>
      <c r="F85" s="23" t="s">
        <v>124</v>
      </c>
      <c r="G85" s="24">
        <v>700</v>
      </c>
      <c r="H85" s="46">
        <v>660.66</v>
      </c>
      <c r="I85" s="24">
        <v>13283</v>
      </c>
      <c r="J85" s="24">
        <v>6153.5</v>
      </c>
      <c r="K85" s="24">
        <v>20861</v>
      </c>
      <c r="L85" s="24"/>
      <c r="M85" s="24"/>
      <c r="N85" s="24"/>
      <c r="O85" s="24"/>
      <c r="P85" s="46">
        <f>K85+SUM(L85:O85)</f>
        <v>20861</v>
      </c>
      <c r="Q85" s="46">
        <v>2074.5</v>
      </c>
      <c r="R85" s="47">
        <f t="shared" si="51"/>
        <v>9.9443938449738742E-2</v>
      </c>
      <c r="S85" s="46">
        <v>4195.5</v>
      </c>
      <c r="T85" s="47">
        <f t="shared" si="52"/>
        <v>0.20111691673457649</v>
      </c>
      <c r="U85" s="46">
        <v>6316.5</v>
      </c>
      <c r="V85" s="47">
        <f t="shared" si="53"/>
        <v>0.30278989501941422</v>
      </c>
      <c r="W85" s="46">
        <v>9364.5</v>
      </c>
      <c r="X85" s="47">
        <f t="shared" si="54"/>
        <v>0.44889986098461243</v>
      </c>
      <c r="Y85" s="24">
        <v>26508</v>
      </c>
      <c r="Z85" s="24">
        <v>29016</v>
      </c>
    </row>
    <row r="86" spans="1:26" ht="13.9" customHeight="1">
      <c r="A86" s="15">
        <v>1</v>
      </c>
      <c r="B86" s="15">
        <v>1</v>
      </c>
      <c r="C86" s="15">
        <v>5</v>
      </c>
      <c r="D86" s="11"/>
      <c r="E86" s="23">
        <v>620</v>
      </c>
      <c r="F86" s="23" t="s">
        <v>125</v>
      </c>
      <c r="G86" s="24">
        <v>458.04</v>
      </c>
      <c r="H86" s="46">
        <v>234.16</v>
      </c>
      <c r="I86" s="24">
        <v>5093</v>
      </c>
      <c r="J86" s="24">
        <v>2601.7600000000002</v>
      </c>
      <c r="K86" s="24">
        <v>7743</v>
      </c>
      <c r="L86" s="24"/>
      <c r="M86" s="24"/>
      <c r="N86" s="24"/>
      <c r="O86" s="24"/>
      <c r="P86" s="46">
        <f>K86+SUM(L86:O86)</f>
        <v>7743</v>
      </c>
      <c r="Q86" s="46">
        <v>724.96</v>
      </c>
      <c r="R86" s="47">
        <f t="shared" si="51"/>
        <v>9.3627792845150465E-2</v>
      </c>
      <c r="S86" s="46">
        <v>1466.17</v>
      </c>
      <c r="T86" s="47">
        <f t="shared" si="52"/>
        <v>0.18935425545654141</v>
      </c>
      <c r="U86" s="46">
        <v>2207.38</v>
      </c>
      <c r="V86" s="47">
        <f t="shared" si="53"/>
        <v>0.28508071806793234</v>
      </c>
      <c r="W86" s="46">
        <v>3272.62</v>
      </c>
      <c r="X86" s="47">
        <f t="shared" si="54"/>
        <v>0.42265530156270176</v>
      </c>
      <c r="Y86" s="24">
        <v>9963</v>
      </c>
      <c r="Z86" s="24">
        <v>10838</v>
      </c>
    </row>
    <row r="87" spans="1:26" ht="13.9" customHeight="1">
      <c r="A87" s="15">
        <v>1</v>
      </c>
      <c r="B87" s="15">
        <v>1</v>
      </c>
      <c r="C87" s="15">
        <v>5</v>
      </c>
      <c r="D87" s="11"/>
      <c r="E87" s="23">
        <v>630</v>
      </c>
      <c r="F87" s="23" t="s">
        <v>126</v>
      </c>
      <c r="G87" s="24">
        <v>18565.439999999999</v>
      </c>
      <c r="H87" s="46">
        <v>18617.55</v>
      </c>
      <c r="I87" s="24">
        <f>3160+21229</f>
        <v>24389</v>
      </c>
      <c r="J87" s="24">
        <v>29350.68</v>
      </c>
      <c r="K87" s="24">
        <v>44595</v>
      </c>
      <c r="L87" s="24">
        <v>307</v>
      </c>
      <c r="M87" s="24">
        <v>-1454</v>
      </c>
      <c r="N87" s="24">
        <v>-566</v>
      </c>
      <c r="O87" s="24"/>
      <c r="P87" s="46">
        <f>K87+SUM(L87:O87)</f>
        <v>42882</v>
      </c>
      <c r="Q87" s="46">
        <v>8380.89</v>
      </c>
      <c r="R87" s="47">
        <f t="shared" si="51"/>
        <v>0.19544074436826639</v>
      </c>
      <c r="S87" s="46">
        <v>14055.2</v>
      </c>
      <c r="T87" s="47">
        <f t="shared" si="52"/>
        <v>0.32776456321999908</v>
      </c>
      <c r="U87" s="46">
        <v>21175.29</v>
      </c>
      <c r="V87" s="47">
        <f t="shared" si="53"/>
        <v>0.49380369385756262</v>
      </c>
      <c r="W87" s="46">
        <v>23501.93</v>
      </c>
      <c r="X87" s="47">
        <f t="shared" si="54"/>
        <v>0.54806049158154935</v>
      </c>
      <c r="Y87" s="24">
        <v>42122</v>
      </c>
      <c r="Z87" s="24">
        <v>42115</v>
      </c>
    </row>
    <row r="88" spans="1:26" ht="13.9" customHeight="1">
      <c r="A88" s="15">
        <v>1</v>
      </c>
      <c r="B88" s="15">
        <v>1</v>
      </c>
      <c r="C88" s="15">
        <v>5</v>
      </c>
      <c r="D88" s="83" t="s">
        <v>21</v>
      </c>
      <c r="E88" s="48">
        <v>41</v>
      </c>
      <c r="F88" s="48" t="s">
        <v>23</v>
      </c>
      <c r="G88" s="49">
        <f t="shared" ref="G88:Q88" si="56">SUM(G85:G87)</f>
        <v>19723.48</v>
      </c>
      <c r="H88" s="49">
        <f t="shared" si="56"/>
        <v>19512.37</v>
      </c>
      <c r="I88" s="49">
        <f t="shared" si="56"/>
        <v>42765</v>
      </c>
      <c r="J88" s="49">
        <f t="shared" si="56"/>
        <v>38105.94</v>
      </c>
      <c r="K88" s="49">
        <f t="shared" si="56"/>
        <v>73199</v>
      </c>
      <c r="L88" s="49">
        <f t="shared" si="56"/>
        <v>307</v>
      </c>
      <c r="M88" s="49">
        <f t="shared" si="56"/>
        <v>-1454</v>
      </c>
      <c r="N88" s="49">
        <f t="shared" si="56"/>
        <v>-566</v>
      </c>
      <c r="O88" s="49">
        <f t="shared" si="56"/>
        <v>0</v>
      </c>
      <c r="P88" s="49">
        <f t="shared" si="56"/>
        <v>71486</v>
      </c>
      <c r="Q88" s="49">
        <f t="shared" si="56"/>
        <v>11180.349999999999</v>
      </c>
      <c r="R88" s="50">
        <f t="shared" si="51"/>
        <v>0.1563991550793162</v>
      </c>
      <c r="S88" s="49">
        <f>SUM(S85:S87)</f>
        <v>19716.870000000003</v>
      </c>
      <c r="T88" s="50">
        <f t="shared" si="52"/>
        <v>0.2758144252021375</v>
      </c>
      <c r="U88" s="49">
        <f>SUM(U85:U87)</f>
        <v>29699.170000000002</v>
      </c>
      <c r="V88" s="50">
        <f t="shared" si="53"/>
        <v>0.41545435469882219</v>
      </c>
      <c r="W88" s="49">
        <f>SUM(W85:W87)</f>
        <v>36139.050000000003</v>
      </c>
      <c r="X88" s="50">
        <f t="shared" si="54"/>
        <v>0.50554024564250344</v>
      </c>
      <c r="Y88" s="49">
        <f>SUM(Y85:Y87)</f>
        <v>78593</v>
      </c>
      <c r="Z88" s="49">
        <f>SUM(Z85:Z87)</f>
        <v>81969</v>
      </c>
    </row>
    <row r="89" spans="1:26" ht="13.9" customHeight="1">
      <c r="A89" s="15">
        <v>1</v>
      </c>
      <c r="B89" s="15">
        <v>1</v>
      </c>
      <c r="C89" s="15">
        <v>5</v>
      </c>
      <c r="D89" s="80" t="s">
        <v>123</v>
      </c>
      <c r="E89" s="23">
        <v>640</v>
      </c>
      <c r="F89" s="23" t="s">
        <v>127</v>
      </c>
      <c r="G89" s="24">
        <v>0</v>
      </c>
      <c r="H89" s="24">
        <v>6</v>
      </c>
      <c r="I89" s="24">
        <v>20</v>
      </c>
      <c r="J89" s="24">
        <v>132.69</v>
      </c>
      <c r="K89" s="24">
        <v>386</v>
      </c>
      <c r="L89" s="24"/>
      <c r="M89" s="24"/>
      <c r="N89" s="24"/>
      <c r="O89" s="24"/>
      <c r="P89" s="24">
        <f>K89+SUM(L89:O89)</f>
        <v>386</v>
      </c>
      <c r="Q89" s="24">
        <v>0</v>
      </c>
      <c r="R89" s="25">
        <f t="shared" si="51"/>
        <v>0</v>
      </c>
      <c r="S89" s="24">
        <v>0</v>
      </c>
      <c r="T89" s="25">
        <f t="shared" si="52"/>
        <v>0</v>
      </c>
      <c r="U89" s="24">
        <v>0</v>
      </c>
      <c r="V89" s="25">
        <f t="shared" si="53"/>
        <v>0</v>
      </c>
      <c r="W89" s="24">
        <v>153.72</v>
      </c>
      <c r="X89" s="25">
        <f t="shared" si="54"/>
        <v>0.39823834196891189</v>
      </c>
      <c r="Y89" s="24">
        <f>K89</f>
        <v>386</v>
      </c>
      <c r="Z89" s="24">
        <f>Y89</f>
        <v>386</v>
      </c>
    </row>
    <row r="90" spans="1:26" ht="13.9" customHeight="1">
      <c r="A90" s="15">
        <v>1</v>
      </c>
      <c r="B90" s="15">
        <v>1</v>
      </c>
      <c r="C90" s="15">
        <v>5</v>
      </c>
      <c r="D90" s="83" t="s">
        <v>21</v>
      </c>
      <c r="E90" s="48">
        <v>72</v>
      </c>
      <c r="F90" s="48" t="s">
        <v>25</v>
      </c>
      <c r="G90" s="49">
        <f t="shared" ref="G90:Q90" si="57">SUM(G89:G89)</f>
        <v>0</v>
      </c>
      <c r="H90" s="49">
        <f t="shared" si="57"/>
        <v>6</v>
      </c>
      <c r="I90" s="49">
        <f t="shared" si="57"/>
        <v>20</v>
      </c>
      <c r="J90" s="49">
        <f t="shared" si="57"/>
        <v>132.69</v>
      </c>
      <c r="K90" s="49">
        <f t="shared" si="57"/>
        <v>386</v>
      </c>
      <c r="L90" s="49">
        <f t="shared" si="57"/>
        <v>0</v>
      </c>
      <c r="M90" s="49">
        <f t="shared" si="57"/>
        <v>0</v>
      </c>
      <c r="N90" s="49">
        <f t="shared" si="57"/>
        <v>0</v>
      </c>
      <c r="O90" s="49">
        <f t="shared" si="57"/>
        <v>0</v>
      </c>
      <c r="P90" s="49">
        <f t="shared" si="57"/>
        <v>386</v>
      </c>
      <c r="Q90" s="49">
        <f t="shared" si="57"/>
        <v>0</v>
      </c>
      <c r="R90" s="50">
        <f t="shared" si="51"/>
        <v>0</v>
      </c>
      <c r="S90" s="49">
        <f>SUM(S89:S89)</f>
        <v>0</v>
      </c>
      <c r="T90" s="50">
        <f t="shared" si="52"/>
        <v>0</v>
      </c>
      <c r="U90" s="49">
        <f>SUM(U89:U89)</f>
        <v>0</v>
      </c>
      <c r="V90" s="50">
        <f t="shared" si="53"/>
        <v>0</v>
      </c>
      <c r="W90" s="49">
        <f>SUM(W89:W89)</f>
        <v>153.72</v>
      </c>
      <c r="X90" s="50">
        <f t="shared" si="54"/>
        <v>0.39823834196891189</v>
      </c>
      <c r="Y90" s="49">
        <f>SUM(Y89:Y89)</f>
        <v>386</v>
      </c>
      <c r="Z90" s="49">
        <f>SUM(Z89:Z89)</f>
        <v>386</v>
      </c>
    </row>
    <row r="91" spans="1:26" ht="13.9" customHeight="1">
      <c r="A91" s="15">
        <v>1</v>
      </c>
      <c r="B91" s="15">
        <v>1</v>
      </c>
      <c r="C91" s="15">
        <v>5</v>
      </c>
      <c r="D91" s="85"/>
      <c r="E91" s="86"/>
      <c r="F91" s="26" t="s">
        <v>119</v>
      </c>
      <c r="G91" s="27">
        <f t="shared" ref="G91:Q91" si="58">G84+G88+G90</f>
        <v>19723.48</v>
      </c>
      <c r="H91" s="27">
        <f t="shared" si="58"/>
        <v>19518.37</v>
      </c>
      <c r="I91" s="27">
        <f t="shared" si="58"/>
        <v>42785</v>
      </c>
      <c r="J91" s="27">
        <f t="shared" si="58"/>
        <v>38238.630000000005</v>
      </c>
      <c r="K91" s="27">
        <f t="shared" si="58"/>
        <v>73585</v>
      </c>
      <c r="L91" s="27">
        <f t="shared" si="58"/>
        <v>307</v>
      </c>
      <c r="M91" s="27">
        <f t="shared" si="58"/>
        <v>0</v>
      </c>
      <c r="N91" s="27">
        <f t="shared" si="58"/>
        <v>0</v>
      </c>
      <c r="O91" s="27">
        <f t="shared" si="58"/>
        <v>5292</v>
      </c>
      <c r="P91" s="27">
        <f t="shared" si="58"/>
        <v>79184</v>
      </c>
      <c r="Q91" s="27">
        <f t="shared" si="58"/>
        <v>11180.349999999999</v>
      </c>
      <c r="R91" s="28">
        <f t="shared" si="51"/>
        <v>0.14119455950697107</v>
      </c>
      <c r="S91" s="27">
        <f>S84+S88+S90</f>
        <v>21171.370000000003</v>
      </c>
      <c r="T91" s="28">
        <f t="shared" si="52"/>
        <v>0.2673692917761164</v>
      </c>
      <c r="U91" s="27">
        <f>U84+U88+U90</f>
        <v>31718.920000000002</v>
      </c>
      <c r="V91" s="28">
        <f t="shared" si="53"/>
        <v>0.40057233784602952</v>
      </c>
      <c r="W91" s="27">
        <f>W84+W88+W90</f>
        <v>43604.340000000004</v>
      </c>
      <c r="X91" s="28">
        <f t="shared" si="54"/>
        <v>0.55067109517074164</v>
      </c>
      <c r="Y91" s="27">
        <f>Y84+Y88+Y90</f>
        <v>78979</v>
      </c>
      <c r="Z91" s="27">
        <f>Z84+Z88+Z90</f>
        <v>82355</v>
      </c>
    </row>
    <row r="92" spans="1:26" ht="13.9" customHeight="1">
      <c r="D92" s="87"/>
      <c r="E92" s="44"/>
      <c r="F92" s="44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9"/>
      <c r="S92" s="88"/>
      <c r="T92" s="89"/>
      <c r="U92" s="88"/>
      <c r="V92" s="89"/>
      <c r="W92" s="88"/>
      <c r="X92" s="89"/>
      <c r="Y92" s="88"/>
      <c r="Z92" s="88"/>
    </row>
    <row r="93" spans="1:26" ht="13.9" customHeight="1">
      <c r="D93" s="87"/>
      <c r="E93" s="52" t="s">
        <v>56</v>
      </c>
      <c r="F93" s="30" t="s">
        <v>139</v>
      </c>
      <c r="G93" s="53">
        <v>1161.42</v>
      </c>
      <c r="H93" s="53">
        <v>981.75</v>
      </c>
      <c r="I93" s="53">
        <v>1635</v>
      </c>
      <c r="J93" s="53">
        <v>1361.02</v>
      </c>
      <c r="K93" s="53">
        <v>3609</v>
      </c>
      <c r="L93" s="53"/>
      <c r="M93" s="53"/>
      <c r="N93" s="53"/>
      <c r="O93" s="53">
        <v>214</v>
      </c>
      <c r="P93" s="53">
        <f t="shared" ref="P93:P98" si="59">K93+SUM(L93:O93)</f>
        <v>3823</v>
      </c>
      <c r="Q93" s="53">
        <v>720.48</v>
      </c>
      <c r="R93" s="54">
        <f t="shared" ref="R93:R98" si="60">Q93/$P93</f>
        <v>0.18845932513732672</v>
      </c>
      <c r="S93" s="53">
        <v>1565.48</v>
      </c>
      <c r="T93" s="54">
        <f t="shared" ref="T93:T98" si="61">S93/$P93</f>
        <v>0.40948992937483653</v>
      </c>
      <c r="U93" s="53">
        <v>2351.48</v>
      </c>
      <c r="V93" s="54">
        <f t="shared" ref="V93:V98" si="62">U93/$P93</f>
        <v>0.61508762751765633</v>
      </c>
      <c r="W93" s="53">
        <f>723</f>
        <v>723</v>
      </c>
      <c r="X93" s="55">
        <f t="shared" ref="X93:X98" si="63">W93/$P93</f>
        <v>0.18911849332984568</v>
      </c>
      <c r="Y93" s="53">
        <f>K93</f>
        <v>3609</v>
      </c>
      <c r="Z93" s="56">
        <f t="shared" ref="Z93:Z98" si="64">Y93</f>
        <v>3609</v>
      </c>
    </row>
    <row r="94" spans="1:26" ht="13.9" customHeight="1">
      <c r="D94" s="87"/>
      <c r="E94" s="57"/>
      <c r="F94" s="15" t="s">
        <v>140</v>
      </c>
      <c r="G94" s="59">
        <v>1457.25</v>
      </c>
      <c r="H94" s="59">
        <v>1522.8</v>
      </c>
      <c r="I94" s="59">
        <v>4497</v>
      </c>
      <c r="J94" s="59">
        <v>4493.5</v>
      </c>
      <c r="K94" s="59">
        <v>12403</v>
      </c>
      <c r="L94" s="59"/>
      <c r="M94" s="59"/>
      <c r="N94" s="59"/>
      <c r="O94" s="59">
        <v>5078</v>
      </c>
      <c r="P94" s="59">
        <f t="shared" si="59"/>
        <v>17481</v>
      </c>
      <c r="Q94" s="59">
        <v>3110.42</v>
      </c>
      <c r="R94" s="16">
        <f t="shared" si="60"/>
        <v>0.1779314684514616</v>
      </c>
      <c r="S94" s="59">
        <v>6207.92</v>
      </c>
      <c r="T94" s="16">
        <f t="shared" si="61"/>
        <v>0.35512384875007152</v>
      </c>
      <c r="U94" s="59">
        <v>9305.42</v>
      </c>
      <c r="V94" s="16">
        <f t="shared" si="62"/>
        <v>0.53231622904868148</v>
      </c>
      <c r="W94" s="59">
        <f>6588.57</f>
        <v>6588.57</v>
      </c>
      <c r="X94" s="60">
        <f t="shared" si="63"/>
        <v>0.37689891882615412</v>
      </c>
      <c r="Y94" s="59">
        <f>K94</f>
        <v>12403</v>
      </c>
      <c r="Z94" s="61">
        <f t="shared" si="64"/>
        <v>12403</v>
      </c>
    </row>
    <row r="95" spans="1:26" ht="13.9" customHeight="1">
      <c r="D95" s="87"/>
      <c r="E95" s="57"/>
      <c r="F95" s="15" t="s">
        <v>141</v>
      </c>
      <c r="G95" s="59">
        <v>1831</v>
      </c>
      <c r="H95" s="59">
        <v>1845.31</v>
      </c>
      <c r="I95" s="59">
        <v>1831</v>
      </c>
      <c r="J95" s="59">
        <v>1923.15</v>
      </c>
      <c r="K95" s="59">
        <v>1950</v>
      </c>
      <c r="L95" s="59"/>
      <c r="M95" s="59"/>
      <c r="N95" s="59"/>
      <c r="O95" s="59">
        <v>35</v>
      </c>
      <c r="P95" s="59">
        <f t="shared" si="59"/>
        <v>1985</v>
      </c>
      <c r="Q95" s="59">
        <v>234.63</v>
      </c>
      <c r="R95" s="16">
        <f t="shared" si="60"/>
        <v>0.1182015113350126</v>
      </c>
      <c r="S95" s="59">
        <v>276.91000000000003</v>
      </c>
      <c r="T95" s="16">
        <f t="shared" si="61"/>
        <v>0.13950125944584385</v>
      </c>
      <c r="U95" s="59">
        <v>332.91</v>
      </c>
      <c r="V95" s="16">
        <f t="shared" si="62"/>
        <v>0.16771284634760705</v>
      </c>
      <c r="W95" s="59">
        <v>1961.49</v>
      </c>
      <c r="X95" s="60">
        <f t="shared" si="63"/>
        <v>0.98815617128463473</v>
      </c>
      <c r="Y95" s="59">
        <f>K95</f>
        <v>1950</v>
      </c>
      <c r="Z95" s="61">
        <f t="shared" si="64"/>
        <v>1950</v>
      </c>
    </row>
    <row r="96" spans="1:26" ht="13.9" customHeight="1">
      <c r="D96" s="87"/>
      <c r="E96" s="57"/>
      <c r="F96" s="15" t="s">
        <v>142</v>
      </c>
      <c r="G96" s="59">
        <v>1483</v>
      </c>
      <c r="H96" s="59">
        <v>4552.34</v>
      </c>
      <c r="I96" s="59">
        <v>2380</v>
      </c>
      <c r="J96" s="59">
        <v>6812.17</v>
      </c>
      <c r="K96" s="59">
        <v>6800</v>
      </c>
      <c r="L96" s="59"/>
      <c r="M96" s="59">
        <v>-11</v>
      </c>
      <c r="N96" s="59"/>
      <c r="O96" s="59">
        <v>-68</v>
      </c>
      <c r="P96" s="59">
        <f t="shared" si="59"/>
        <v>6721</v>
      </c>
      <c r="Q96" s="59">
        <v>692</v>
      </c>
      <c r="R96" s="16">
        <f t="shared" si="60"/>
        <v>0.10296086891831573</v>
      </c>
      <c r="S96" s="59">
        <v>1458</v>
      </c>
      <c r="T96" s="16">
        <f t="shared" si="61"/>
        <v>0.21693200416604672</v>
      </c>
      <c r="U96" s="59">
        <v>3457.45</v>
      </c>
      <c r="V96" s="16">
        <f t="shared" si="62"/>
        <v>0.51442493676536227</v>
      </c>
      <c r="W96" s="59">
        <v>5084.7</v>
      </c>
      <c r="X96" s="60">
        <f t="shared" si="63"/>
        <v>0.75653920547537568</v>
      </c>
      <c r="Y96" s="59">
        <f>K96</f>
        <v>6800</v>
      </c>
      <c r="Z96" s="61">
        <f t="shared" si="64"/>
        <v>6800</v>
      </c>
    </row>
    <row r="97" spans="1:26" ht="13.9" customHeight="1">
      <c r="D97" s="87"/>
      <c r="E97" s="57"/>
      <c r="F97" s="15" t="s">
        <v>143</v>
      </c>
      <c r="G97" s="59">
        <v>4434.34</v>
      </c>
      <c r="H97" s="59">
        <v>5534.03</v>
      </c>
      <c r="I97" s="59">
        <v>8140</v>
      </c>
      <c r="J97" s="59">
        <v>7632.27</v>
      </c>
      <c r="K97" s="59">
        <v>7650</v>
      </c>
      <c r="L97" s="59"/>
      <c r="M97" s="59"/>
      <c r="N97" s="59"/>
      <c r="O97" s="59">
        <v>-20</v>
      </c>
      <c r="P97" s="59">
        <f t="shared" si="59"/>
        <v>7630</v>
      </c>
      <c r="Q97" s="59">
        <v>3185.8</v>
      </c>
      <c r="R97" s="16">
        <f t="shared" si="60"/>
        <v>0.41753604193971167</v>
      </c>
      <c r="S97" s="59">
        <v>4735.8</v>
      </c>
      <c r="T97" s="16">
        <f t="shared" si="61"/>
        <v>0.62068152031454782</v>
      </c>
      <c r="U97" s="59">
        <v>6148.91</v>
      </c>
      <c r="V97" s="16">
        <f t="shared" si="62"/>
        <v>0.80588597640891213</v>
      </c>
      <c r="W97" s="59">
        <v>5194.79</v>
      </c>
      <c r="X97" s="60">
        <f t="shared" si="63"/>
        <v>0.68083748361730012</v>
      </c>
      <c r="Y97" s="59">
        <f>K97</f>
        <v>7650</v>
      </c>
      <c r="Z97" s="61">
        <f t="shared" si="64"/>
        <v>7650</v>
      </c>
    </row>
    <row r="98" spans="1:26" ht="13.9" customHeight="1">
      <c r="D98" s="87"/>
      <c r="E98" s="65"/>
      <c r="F98" s="94" t="s">
        <v>144</v>
      </c>
      <c r="G98" s="95"/>
      <c r="H98" s="95"/>
      <c r="I98" s="95"/>
      <c r="J98" s="95"/>
      <c r="K98" s="95">
        <v>3000</v>
      </c>
      <c r="L98" s="95"/>
      <c r="M98" s="95"/>
      <c r="N98" s="95"/>
      <c r="O98" s="95"/>
      <c r="P98" s="95">
        <f t="shared" si="59"/>
        <v>3000</v>
      </c>
      <c r="Q98" s="95">
        <v>0</v>
      </c>
      <c r="R98" s="96">
        <f t="shared" si="60"/>
        <v>0</v>
      </c>
      <c r="S98" s="95">
        <v>0</v>
      </c>
      <c r="T98" s="96">
        <f t="shared" si="61"/>
        <v>0</v>
      </c>
      <c r="U98" s="95">
        <v>0</v>
      </c>
      <c r="V98" s="96">
        <f t="shared" si="62"/>
        <v>0</v>
      </c>
      <c r="W98" s="95">
        <v>0</v>
      </c>
      <c r="X98" s="97">
        <f t="shared" si="63"/>
        <v>0</v>
      </c>
      <c r="Y98" s="67">
        <v>250</v>
      </c>
      <c r="Z98" s="70">
        <f t="shared" si="64"/>
        <v>250</v>
      </c>
    </row>
    <row r="99" spans="1:26" ht="13.9" customHeight="1">
      <c r="D99" s="87"/>
      <c r="E99" s="44"/>
      <c r="F99" s="44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9"/>
      <c r="S99" s="88"/>
      <c r="T99" s="89"/>
      <c r="U99" s="88"/>
      <c r="V99" s="89"/>
      <c r="W99" s="88"/>
      <c r="X99" s="89"/>
      <c r="Y99" s="88"/>
      <c r="Z99" s="88"/>
    </row>
    <row r="100" spans="1:26" ht="13.9" customHeight="1">
      <c r="D100" s="7" t="s">
        <v>145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3.9" customHeight="1">
      <c r="D101" s="21" t="s">
        <v>32</v>
      </c>
      <c r="E101" s="21" t="s">
        <v>33</v>
      </c>
      <c r="F101" s="21" t="s">
        <v>34</v>
      </c>
      <c r="G101" s="21" t="s">
        <v>1</v>
      </c>
      <c r="H101" s="21" t="s">
        <v>2</v>
      </c>
      <c r="I101" s="21" t="s">
        <v>3</v>
      </c>
      <c r="J101" s="21" t="s">
        <v>4</v>
      </c>
      <c r="K101" s="21" t="s">
        <v>5</v>
      </c>
      <c r="L101" s="21" t="s">
        <v>6</v>
      </c>
      <c r="M101" s="21" t="s">
        <v>7</v>
      </c>
      <c r="N101" s="21" t="s">
        <v>8</v>
      </c>
      <c r="O101" s="21" t="s">
        <v>9</v>
      </c>
      <c r="P101" s="21" t="s">
        <v>10</v>
      </c>
      <c r="Q101" s="21" t="s">
        <v>11</v>
      </c>
      <c r="R101" s="22" t="s">
        <v>12</v>
      </c>
      <c r="S101" s="21" t="s">
        <v>13</v>
      </c>
      <c r="T101" s="22" t="s">
        <v>14</v>
      </c>
      <c r="U101" s="21" t="s">
        <v>15</v>
      </c>
      <c r="V101" s="22" t="s">
        <v>16</v>
      </c>
      <c r="W101" s="21" t="s">
        <v>17</v>
      </c>
      <c r="X101" s="22" t="s">
        <v>18</v>
      </c>
      <c r="Y101" s="21" t="s">
        <v>19</v>
      </c>
      <c r="Z101" s="21" t="s">
        <v>20</v>
      </c>
    </row>
    <row r="102" spans="1:26" ht="13.9" customHeight="1">
      <c r="A102" s="15">
        <v>1</v>
      </c>
      <c r="B102" s="15">
        <v>1</v>
      </c>
      <c r="C102" s="15">
        <v>6</v>
      </c>
      <c r="D102" s="90" t="s">
        <v>146</v>
      </c>
      <c r="E102" s="23">
        <v>630</v>
      </c>
      <c r="F102" s="23" t="s">
        <v>126</v>
      </c>
      <c r="G102" s="24">
        <v>2179.25</v>
      </c>
      <c r="H102" s="24">
        <v>390.89</v>
      </c>
      <c r="I102" s="24">
        <v>792</v>
      </c>
      <c r="J102" s="24">
        <v>968.47</v>
      </c>
      <c r="K102" s="24">
        <v>977</v>
      </c>
      <c r="L102" s="24"/>
      <c r="M102" s="24"/>
      <c r="N102" s="24"/>
      <c r="O102" s="24"/>
      <c r="P102" s="24">
        <f>K102+SUM(L102:O102)</f>
        <v>977</v>
      </c>
      <c r="Q102" s="24">
        <v>366.96</v>
      </c>
      <c r="R102" s="25">
        <f>Q102/$P102</f>
        <v>0.37559877175025586</v>
      </c>
      <c r="S102" s="24">
        <v>381.71</v>
      </c>
      <c r="T102" s="25">
        <f>S102/$P102</f>
        <v>0.39069600818833161</v>
      </c>
      <c r="U102" s="24">
        <v>274.93</v>
      </c>
      <c r="V102" s="25">
        <f>U102/$P102</f>
        <v>0.28140225179119754</v>
      </c>
      <c r="W102" s="24">
        <v>328.99</v>
      </c>
      <c r="X102" s="25">
        <f>W102/$P102</f>
        <v>0.33673490276356194</v>
      </c>
      <c r="Y102" s="24">
        <f>K102</f>
        <v>977</v>
      </c>
      <c r="Z102" s="24">
        <f>Y102</f>
        <v>977</v>
      </c>
    </row>
    <row r="103" spans="1:26" ht="13.9" customHeight="1">
      <c r="A103" s="15">
        <v>1</v>
      </c>
      <c r="B103" s="15">
        <v>1</v>
      </c>
      <c r="C103" s="15">
        <v>6</v>
      </c>
      <c r="D103" s="83" t="s">
        <v>21</v>
      </c>
      <c r="E103" s="48">
        <v>41</v>
      </c>
      <c r="F103" s="48" t="s">
        <v>23</v>
      </c>
      <c r="G103" s="49">
        <f t="shared" ref="G103:Q103" si="65">SUM(G102)</f>
        <v>2179.25</v>
      </c>
      <c r="H103" s="49">
        <f t="shared" si="65"/>
        <v>390.89</v>
      </c>
      <c r="I103" s="49">
        <f t="shared" si="65"/>
        <v>792</v>
      </c>
      <c r="J103" s="49">
        <f t="shared" si="65"/>
        <v>968.47</v>
      </c>
      <c r="K103" s="49">
        <f t="shared" si="65"/>
        <v>977</v>
      </c>
      <c r="L103" s="49">
        <f t="shared" si="65"/>
        <v>0</v>
      </c>
      <c r="M103" s="49">
        <f t="shared" si="65"/>
        <v>0</v>
      </c>
      <c r="N103" s="49">
        <f t="shared" si="65"/>
        <v>0</v>
      </c>
      <c r="O103" s="49">
        <f t="shared" si="65"/>
        <v>0</v>
      </c>
      <c r="P103" s="49">
        <f t="shared" si="65"/>
        <v>977</v>
      </c>
      <c r="Q103" s="49">
        <f t="shared" si="65"/>
        <v>366.96</v>
      </c>
      <c r="R103" s="50">
        <f>Q103/$P103</f>
        <v>0.37559877175025586</v>
      </c>
      <c r="S103" s="49">
        <f>SUM(S102)</f>
        <v>381.71</v>
      </c>
      <c r="T103" s="50">
        <f>S103/$P103</f>
        <v>0.39069600818833161</v>
      </c>
      <c r="U103" s="49">
        <f>SUM(U102)</f>
        <v>274.93</v>
      </c>
      <c r="V103" s="50">
        <f>U103/$P103</f>
        <v>0.28140225179119754</v>
      </c>
      <c r="W103" s="49">
        <f>SUM(W102)</f>
        <v>328.99</v>
      </c>
      <c r="X103" s="50">
        <f>W103/$P103</f>
        <v>0.33673490276356194</v>
      </c>
      <c r="Y103" s="49">
        <f>SUM(Y102)</f>
        <v>977</v>
      </c>
      <c r="Z103" s="49">
        <f>SUM(Z102)</f>
        <v>977</v>
      </c>
    </row>
    <row r="104" spans="1:26" ht="13.9" customHeight="1">
      <c r="A104" s="15">
        <v>1</v>
      </c>
      <c r="B104" s="15">
        <v>1</v>
      </c>
      <c r="C104" s="15">
        <v>6</v>
      </c>
      <c r="D104" s="85"/>
      <c r="E104" s="86"/>
      <c r="F104" s="26" t="s">
        <v>119</v>
      </c>
      <c r="G104" s="27">
        <f t="shared" ref="G104:Q104" si="66">G103</f>
        <v>2179.25</v>
      </c>
      <c r="H104" s="27">
        <f t="shared" si="66"/>
        <v>390.89</v>
      </c>
      <c r="I104" s="27">
        <f t="shared" si="66"/>
        <v>792</v>
      </c>
      <c r="J104" s="27">
        <f t="shared" si="66"/>
        <v>968.47</v>
      </c>
      <c r="K104" s="27">
        <f t="shared" si="66"/>
        <v>977</v>
      </c>
      <c r="L104" s="27">
        <f t="shared" si="66"/>
        <v>0</v>
      </c>
      <c r="M104" s="27">
        <f t="shared" si="66"/>
        <v>0</v>
      </c>
      <c r="N104" s="27">
        <f t="shared" si="66"/>
        <v>0</v>
      </c>
      <c r="O104" s="27">
        <f t="shared" si="66"/>
        <v>0</v>
      </c>
      <c r="P104" s="27">
        <f t="shared" si="66"/>
        <v>977</v>
      </c>
      <c r="Q104" s="27">
        <f t="shared" si="66"/>
        <v>366.96</v>
      </c>
      <c r="R104" s="28">
        <f>Q104/$P104</f>
        <v>0.37559877175025586</v>
      </c>
      <c r="S104" s="27">
        <f>S103</f>
        <v>381.71</v>
      </c>
      <c r="T104" s="28">
        <f>S104/$P104</f>
        <v>0.39069600818833161</v>
      </c>
      <c r="U104" s="27">
        <f>U103</f>
        <v>274.93</v>
      </c>
      <c r="V104" s="28">
        <f>U104/$P104</f>
        <v>0.28140225179119754</v>
      </c>
      <c r="W104" s="27">
        <f>W103</f>
        <v>328.99</v>
      </c>
      <c r="X104" s="28">
        <f>W104/$P104</f>
        <v>0.33673490276356194</v>
      </c>
      <c r="Y104" s="27">
        <f>Y103</f>
        <v>977</v>
      </c>
      <c r="Z104" s="27">
        <f>Z103</f>
        <v>977</v>
      </c>
    </row>
    <row r="105" spans="1:26" ht="13.9" customHeight="1">
      <c r="D105" s="87"/>
      <c r="E105" s="44"/>
      <c r="F105" s="44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9"/>
      <c r="S105" s="88"/>
      <c r="T105" s="89"/>
      <c r="U105" s="88"/>
      <c r="V105" s="89"/>
      <c r="W105" s="88"/>
      <c r="X105" s="89"/>
      <c r="Y105" s="88"/>
      <c r="Z105" s="88"/>
    </row>
    <row r="106" spans="1:26" ht="13.9" customHeight="1">
      <c r="D106" s="7" t="s">
        <v>147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9" customHeight="1">
      <c r="D107" s="21" t="s">
        <v>32</v>
      </c>
      <c r="E107" s="21" t="s">
        <v>33</v>
      </c>
      <c r="F107" s="21" t="s">
        <v>34</v>
      </c>
      <c r="G107" s="21" t="s">
        <v>1</v>
      </c>
      <c r="H107" s="21" t="s">
        <v>2</v>
      </c>
      <c r="I107" s="21" t="s">
        <v>3</v>
      </c>
      <c r="J107" s="21" t="s">
        <v>4</v>
      </c>
      <c r="K107" s="21" t="s">
        <v>5</v>
      </c>
      <c r="L107" s="21" t="s">
        <v>6</v>
      </c>
      <c r="M107" s="21" t="s">
        <v>7</v>
      </c>
      <c r="N107" s="21" t="s">
        <v>8</v>
      </c>
      <c r="O107" s="21" t="s">
        <v>9</v>
      </c>
      <c r="P107" s="21" t="s">
        <v>10</v>
      </c>
      <c r="Q107" s="21" t="s">
        <v>11</v>
      </c>
      <c r="R107" s="22" t="s">
        <v>12</v>
      </c>
      <c r="S107" s="21" t="s">
        <v>13</v>
      </c>
      <c r="T107" s="22" t="s">
        <v>14</v>
      </c>
      <c r="U107" s="21" t="s">
        <v>15</v>
      </c>
      <c r="V107" s="22" t="s">
        <v>16</v>
      </c>
      <c r="W107" s="21" t="s">
        <v>17</v>
      </c>
      <c r="X107" s="22" t="s">
        <v>18</v>
      </c>
      <c r="Y107" s="21" t="s">
        <v>19</v>
      </c>
      <c r="Z107" s="21" t="s">
        <v>20</v>
      </c>
    </row>
    <row r="108" spans="1:26" ht="13.9" customHeight="1">
      <c r="A108" s="15">
        <v>1</v>
      </c>
      <c r="B108" s="15">
        <v>1</v>
      </c>
      <c r="C108" s="15">
        <v>7</v>
      </c>
      <c r="D108" s="6" t="s">
        <v>148</v>
      </c>
      <c r="E108" s="23">
        <v>610</v>
      </c>
      <c r="F108" s="23" t="s">
        <v>124</v>
      </c>
      <c r="G108" s="24">
        <v>4294.7299999999996</v>
      </c>
      <c r="H108" s="46">
        <v>4266.1499999999996</v>
      </c>
      <c r="I108" s="24">
        <v>3235</v>
      </c>
      <c r="J108" s="24">
        <v>4560.1499999999996</v>
      </c>
      <c r="K108" s="24">
        <v>4728</v>
      </c>
      <c r="L108" s="24"/>
      <c r="M108" s="24"/>
      <c r="N108" s="24">
        <v>-5</v>
      </c>
      <c r="O108" s="24">
        <v>-13</v>
      </c>
      <c r="P108" s="46">
        <f>K108+SUM(L108:O108)</f>
        <v>4710</v>
      </c>
      <c r="Q108" s="46">
        <v>1181.71</v>
      </c>
      <c r="R108" s="47">
        <f t="shared" ref="R108:R119" si="67">Q108/$P108</f>
        <v>0.25089384288747346</v>
      </c>
      <c r="S108" s="46">
        <v>2363.44</v>
      </c>
      <c r="T108" s="47">
        <f t="shared" ref="T108:T119" si="68">S108/$P108</f>
        <v>0.50179193205944794</v>
      </c>
      <c r="U108" s="46">
        <v>3541.5</v>
      </c>
      <c r="V108" s="47">
        <f t="shared" ref="V108:V119" si="69">U108/$P108</f>
        <v>0.75191082802547771</v>
      </c>
      <c r="W108" s="46">
        <v>4709.78</v>
      </c>
      <c r="X108" s="47">
        <f t="shared" ref="X108:X119" si="70">W108/$P108</f>
        <v>0.99995329087048823</v>
      </c>
      <c r="Y108" s="24">
        <f>K108</f>
        <v>4728</v>
      </c>
      <c r="Z108" s="24">
        <f>Y108</f>
        <v>4728</v>
      </c>
    </row>
    <row r="109" spans="1:26" ht="13.9" customHeight="1">
      <c r="A109" s="15">
        <v>1</v>
      </c>
      <c r="B109" s="15">
        <v>1</v>
      </c>
      <c r="C109" s="15">
        <v>7</v>
      </c>
      <c r="D109" s="6"/>
      <c r="E109" s="23">
        <v>620</v>
      </c>
      <c r="F109" s="23" t="s">
        <v>125</v>
      </c>
      <c r="G109" s="24">
        <v>1545.8</v>
      </c>
      <c r="H109" s="46">
        <v>1517.13</v>
      </c>
      <c r="I109" s="24">
        <v>1131</v>
      </c>
      <c r="J109" s="24">
        <v>1516.21</v>
      </c>
      <c r="K109" s="24">
        <v>1652</v>
      </c>
      <c r="L109" s="24"/>
      <c r="M109" s="24"/>
      <c r="N109" s="24"/>
      <c r="O109" s="24">
        <v>-4</v>
      </c>
      <c r="P109" s="46">
        <f>K109+SUM(L109:O109)</f>
        <v>1648</v>
      </c>
      <c r="Q109" s="46">
        <v>413.43</v>
      </c>
      <c r="R109" s="47">
        <f t="shared" si="67"/>
        <v>0.25086771844660194</v>
      </c>
      <c r="S109" s="46">
        <v>826.84</v>
      </c>
      <c r="T109" s="47">
        <f t="shared" si="68"/>
        <v>0.50172330097087381</v>
      </c>
      <c r="U109" s="46">
        <v>1239.42</v>
      </c>
      <c r="V109" s="47">
        <f t="shared" si="69"/>
        <v>0.75207524271844661</v>
      </c>
      <c r="W109" s="46">
        <v>1648.28</v>
      </c>
      <c r="X109" s="47">
        <f t="shared" si="70"/>
        <v>1.0001699029126214</v>
      </c>
      <c r="Y109" s="24">
        <f>K109</f>
        <v>1652</v>
      </c>
      <c r="Z109" s="24">
        <f>Y109</f>
        <v>1652</v>
      </c>
    </row>
    <row r="110" spans="1:26" ht="13.9" customHeight="1">
      <c r="A110" s="15">
        <v>1</v>
      </c>
      <c r="B110" s="15">
        <v>1</v>
      </c>
      <c r="C110" s="15">
        <v>7</v>
      </c>
      <c r="D110" s="6"/>
      <c r="E110" s="23">
        <v>630</v>
      </c>
      <c r="F110" s="23" t="s">
        <v>126</v>
      </c>
      <c r="G110" s="46">
        <v>860.71</v>
      </c>
      <c r="H110" s="46">
        <v>1128.6600000000001</v>
      </c>
      <c r="I110" s="46">
        <v>1299</v>
      </c>
      <c r="J110" s="46">
        <v>799.58</v>
      </c>
      <c r="K110" s="46">
        <v>797</v>
      </c>
      <c r="L110" s="46"/>
      <c r="M110" s="46"/>
      <c r="N110" s="46">
        <v>5</v>
      </c>
      <c r="O110" s="46">
        <v>17</v>
      </c>
      <c r="P110" s="46">
        <f>K110+SUM(L110:O110)</f>
        <v>819</v>
      </c>
      <c r="Q110" s="46">
        <v>57</v>
      </c>
      <c r="R110" s="47">
        <f t="shared" si="67"/>
        <v>6.95970695970696E-2</v>
      </c>
      <c r="S110" s="46">
        <v>152.16</v>
      </c>
      <c r="T110" s="47">
        <f t="shared" si="68"/>
        <v>0.18578754578754578</v>
      </c>
      <c r="U110" s="46">
        <v>187.11</v>
      </c>
      <c r="V110" s="47">
        <f t="shared" si="69"/>
        <v>0.22846153846153847</v>
      </c>
      <c r="W110" s="46">
        <v>819.92</v>
      </c>
      <c r="X110" s="47">
        <f t="shared" si="70"/>
        <v>1.001123321123321</v>
      </c>
      <c r="Y110" s="24">
        <f>K110</f>
        <v>797</v>
      </c>
      <c r="Z110" s="24">
        <f>Y110</f>
        <v>797</v>
      </c>
    </row>
    <row r="111" spans="1:26" ht="13.9" customHeight="1">
      <c r="A111" s="15">
        <v>1</v>
      </c>
      <c r="B111" s="15">
        <v>1</v>
      </c>
      <c r="C111" s="15">
        <v>7</v>
      </c>
      <c r="D111" s="83" t="s">
        <v>21</v>
      </c>
      <c r="E111" s="48">
        <v>111</v>
      </c>
      <c r="F111" s="48" t="s">
        <v>129</v>
      </c>
      <c r="G111" s="49">
        <f t="shared" ref="G111:Q111" si="71">SUM(G108:G110)</f>
        <v>6701.24</v>
      </c>
      <c r="H111" s="98">
        <f t="shared" si="71"/>
        <v>6911.94</v>
      </c>
      <c r="I111" s="98">
        <f t="shared" si="71"/>
        <v>5665</v>
      </c>
      <c r="J111" s="98">
        <f t="shared" si="71"/>
        <v>6875.94</v>
      </c>
      <c r="K111" s="98">
        <f t="shared" si="71"/>
        <v>7177</v>
      </c>
      <c r="L111" s="98">
        <f t="shared" si="71"/>
        <v>0</v>
      </c>
      <c r="M111" s="98">
        <f t="shared" si="71"/>
        <v>0</v>
      </c>
      <c r="N111" s="98">
        <f t="shared" si="71"/>
        <v>0</v>
      </c>
      <c r="O111" s="98">
        <f t="shared" si="71"/>
        <v>0</v>
      </c>
      <c r="P111" s="98">
        <f t="shared" si="71"/>
        <v>7177</v>
      </c>
      <c r="Q111" s="98">
        <f t="shared" si="71"/>
        <v>1652.14</v>
      </c>
      <c r="R111" s="99">
        <f t="shared" si="67"/>
        <v>0.2301992475964888</v>
      </c>
      <c r="S111" s="98">
        <f>SUM(S108:S110)</f>
        <v>3342.44</v>
      </c>
      <c r="T111" s="99">
        <f t="shared" si="68"/>
        <v>0.46571548000557339</v>
      </c>
      <c r="U111" s="98">
        <f>SUM(U108:U110)</f>
        <v>4968.03</v>
      </c>
      <c r="V111" s="99">
        <f t="shared" si="69"/>
        <v>0.69221541033858158</v>
      </c>
      <c r="W111" s="98">
        <f>SUM(W108:W110)</f>
        <v>7177.98</v>
      </c>
      <c r="X111" s="99">
        <f t="shared" si="70"/>
        <v>1.0001365473038875</v>
      </c>
      <c r="Y111" s="49">
        <f>SUM(Y108:Y110)</f>
        <v>7177</v>
      </c>
      <c r="Z111" s="49">
        <f>SUM(Z108:Z110)</f>
        <v>7177</v>
      </c>
    </row>
    <row r="112" spans="1:26" ht="13.9" customHeight="1">
      <c r="A112" s="15">
        <v>1</v>
      </c>
      <c r="B112" s="15">
        <v>1</v>
      </c>
      <c r="C112" s="15">
        <v>7</v>
      </c>
      <c r="D112" s="6" t="s">
        <v>148</v>
      </c>
      <c r="E112" s="23">
        <v>610</v>
      </c>
      <c r="F112" s="23" t="s">
        <v>124</v>
      </c>
      <c r="G112" s="24">
        <v>2793.14</v>
      </c>
      <c r="H112" s="46">
        <v>1902.26</v>
      </c>
      <c r="I112" s="24">
        <v>2732</v>
      </c>
      <c r="J112" s="24">
        <v>1733.62</v>
      </c>
      <c r="K112" s="24">
        <v>1848</v>
      </c>
      <c r="L112" s="24"/>
      <c r="M112" s="24"/>
      <c r="N112" s="24"/>
      <c r="O112" s="24">
        <v>-182</v>
      </c>
      <c r="P112" s="46">
        <f>K112+SUM(L112:O112)</f>
        <v>1666</v>
      </c>
      <c r="Q112" s="46">
        <v>25.15</v>
      </c>
      <c r="R112" s="47">
        <f t="shared" si="67"/>
        <v>1.5096038415366145E-2</v>
      </c>
      <c r="S112" s="46">
        <v>320.93</v>
      </c>
      <c r="T112" s="47">
        <f t="shared" si="68"/>
        <v>0.19263505402160866</v>
      </c>
      <c r="U112" s="46">
        <v>670.38</v>
      </c>
      <c r="V112" s="47">
        <f t="shared" si="69"/>
        <v>0.40238895558223287</v>
      </c>
      <c r="W112" s="46">
        <v>1665.88</v>
      </c>
      <c r="X112" s="47">
        <f t="shared" si="70"/>
        <v>0.99992797118847543</v>
      </c>
      <c r="Y112" s="24">
        <v>1997</v>
      </c>
      <c r="Z112" s="24">
        <v>2161</v>
      </c>
    </row>
    <row r="113" spans="1:26" ht="13.9" customHeight="1">
      <c r="A113" s="15">
        <v>1</v>
      </c>
      <c r="B113" s="15">
        <v>1</v>
      </c>
      <c r="C113" s="15">
        <v>7</v>
      </c>
      <c r="D113" s="6"/>
      <c r="E113" s="23">
        <v>620</v>
      </c>
      <c r="F113" s="23" t="s">
        <v>125</v>
      </c>
      <c r="G113" s="24">
        <v>990.48</v>
      </c>
      <c r="H113" s="46">
        <v>716.96</v>
      </c>
      <c r="I113" s="24">
        <v>1090</v>
      </c>
      <c r="J113" s="24">
        <v>730.48</v>
      </c>
      <c r="K113" s="24">
        <v>860</v>
      </c>
      <c r="L113" s="24"/>
      <c r="M113" s="24"/>
      <c r="N113" s="24"/>
      <c r="O113" s="24">
        <v>-40</v>
      </c>
      <c r="P113" s="46">
        <f>K113+SUM(L113:O113)</f>
        <v>820</v>
      </c>
      <c r="Q113" s="46">
        <v>32.369999999999997</v>
      </c>
      <c r="R113" s="47">
        <f t="shared" si="67"/>
        <v>3.9475609756097554E-2</v>
      </c>
      <c r="S113" s="46">
        <v>170.65</v>
      </c>
      <c r="T113" s="47">
        <f t="shared" si="68"/>
        <v>0.20810975609756099</v>
      </c>
      <c r="U113" s="46">
        <v>327.01</v>
      </c>
      <c r="V113" s="47">
        <f t="shared" si="69"/>
        <v>0.39879268292682923</v>
      </c>
      <c r="W113" s="46">
        <v>723.38</v>
      </c>
      <c r="X113" s="47">
        <f t="shared" si="70"/>
        <v>0.88217073170731708</v>
      </c>
      <c r="Y113" s="24">
        <v>915</v>
      </c>
      <c r="Z113" s="24">
        <v>975</v>
      </c>
    </row>
    <row r="114" spans="1:26" ht="13.9" customHeight="1">
      <c r="A114" s="15">
        <v>1</v>
      </c>
      <c r="B114" s="15">
        <v>1</v>
      </c>
      <c r="C114" s="15">
        <v>7</v>
      </c>
      <c r="D114" s="6"/>
      <c r="E114" s="23">
        <v>630</v>
      </c>
      <c r="F114" s="23" t="s">
        <v>126</v>
      </c>
      <c r="G114" s="24">
        <v>378.35</v>
      </c>
      <c r="H114" s="46">
        <v>1154.3699999999999</v>
      </c>
      <c r="I114" s="24">
        <f>1174+235</f>
        <v>1409</v>
      </c>
      <c r="J114" s="24">
        <v>1184.9000000000001</v>
      </c>
      <c r="K114" s="24">
        <v>1101</v>
      </c>
      <c r="L114" s="24"/>
      <c r="M114" s="24">
        <v>60</v>
      </c>
      <c r="N114" s="24">
        <v>80</v>
      </c>
      <c r="O114" s="24">
        <v>222</v>
      </c>
      <c r="P114" s="46">
        <f>K114+SUM(L114:O114)</f>
        <v>1463</v>
      </c>
      <c r="Q114" s="46">
        <v>238.97</v>
      </c>
      <c r="R114" s="47">
        <f t="shared" si="67"/>
        <v>0.16334244702665754</v>
      </c>
      <c r="S114" s="46">
        <v>548.62</v>
      </c>
      <c r="T114" s="47">
        <f t="shared" si="68"/>
        <v>0.37499658236500344</v>
      </c>
      <c r="U114" s="46">
        <v>1073.69</v>
      </c>
      <c r="V114" s="47">
        <f t="shared" si="69"/>
        <v>0.73389610389610394</v>
      </c>
      <c r="W114" s="46">
        <v>1462.27</v>
      </c>
      <c r="X114" s="47">
        <f t="shared" si="70"/>
        <v>0.999501025290499</v>
      </c>
      <c r="Y114" s="24">
        <v>1103</v>
      </c>
      <c r="Z114" s="24">
        <v>1104</v>
      </c>
    </row>
    <row r="115" spans="1:26" ht="13.9" hidden="1" customHeight="1">
      <c r="A115" s="15">
        <v>1</v>
      </c>
      <c r="B115" s="15">
        <v>1</v>
      </c>
      <c r="C115" s="15">
        <v>7</v>
      </c>
      <c r="D115" s="6"/>
      <c r="E115" s="23">
        <v>640</v>
      </c>
      <c r="F115" s="23" t="s">
        <v>127</v>
      </c>
      <c r="G115" s="24">
        <v>144.56</v>
      </c>
      <c r="H115" s="24">
        <v>0</v>
      </c>
      <c r="I115" s="24">
        <v>0</v>
      </c>
      <c r="J115" s="24">
        <v>81.48</v>
      </c>
      <c r="K115" s="24">
        <v>0</v>
      </c>
      <c r="L115" s="24"/>
      <c r="M115" s="24"/>
      <c r="N115" s="24"/>
      <c r="O115" s="24"/>
      <c r="P115" s="24">
        <f>K115+SUM(L115:O115)</f>
        <v>0</v>
      </c>
      <c r="Q115" s="24">
        <v>0</v>
      </c>
      <c r="R115" s="25" t="e">
        <f t="shared" si="67"/>
        <v>#DIV/0!</v>
      </c>
      <c r="S115" s="24">
        <v>0</v>
      </c>
      <c r="T115" s="25" t="e">
        <f t="shared" si="68"/>
        <v>#DIV/0!</v>
      </c>
      <c r="U115" s="24">
        <v>0</v>
      </c>
      <c r="V115" s="25" t="e">
        <f t="shared" si="69"/>
        <v>#DIV/0!</v>
      </c>
      <c r="W115" s="24"/>
      <c r="X115" s="25" t="e">
        <f t="shared" si="70"/>
        <v>#DIV/0!</v>
      </c>
      <c r="Y115" s="24">
        <f>K115</f>
        <v>0</v>
      </c>
      <c r="Z115" s="24">
        <f>Y115</f>
        <v>0</v>
      </c>
    </row>
    <row r="116" spans="1:26" ht="13.9" customHeight="1">
      <c r="A116" s="15">
        <v>1</v>
      </c>
      <c r="B116" s="15">
        <v>1</v>
      </c>
      <c r="C116" s="15">
        <v>7</v>
      </c>
      <c r="D116" s="83" t="s">
        <v>21</v>
      </c>
      <c r="E116" s="48">
        <v>41</v>
      </c>
      <c r="F116" s="48" t="s">
        <v>23</v>
      </c>
      <c r="G116" s="49">
        <f t="shared" ref="G116:Q116" si="72">SUM(G112:G115)</f>
        <v>4306.5300000000007</v>
      </c>
      <c r="H116" s="49">
        <f t="shared" si="72"/>
        <v>3773.59</v>
      </c>
      <c r="I116" s="49">
        <f t="shared" si="72"/>
        <v>5231</v>
      </c>
      <c r="J116" s="49">
        <f t="shared" si="72"/>
        <v>3730.48</v>
      </c>
      <c r="K116" s="49">
        <f t="shared" si="72"/>
        <v>3809</v>
      </c>
      <c r="L116" s="49">
        <f t="shared" si="72"/>
        <v>0</v>
      </c>
      <c r="M116" s="49">
        <f t="shared" si="72"/>
        <v>60</v>
      </c>
      <c r="N116" s="49">
        <f t="shared" si="72"/>
        <v>80</v>
      </c>
      <c r="O116" s="49">
        <f t="shared" si="72"/>
        <v>0</v>
      </c>
      <c r="P116" s="49">
        <f t="shared" si="72"/>
        <v>3949</v>
      </c>
      <c r="Q116" s="49">
        <f t="shared" si="72"/>
        <v>296.49</v>
      </c>
      <c r="R116" s="50">
        <f t="shared" si="67"/>
        <v>7.507976702962775E-2</v>
      </c>
      <c r="S116" s="49">
        <f>SUM(S112:S115)</f>
        <v>1040.2</v>
      </c>
      <c r="T116" s="50">
        <f t="shared" si="68"/>
        <v>0.26340845783742722</v>
      </c>
      <c r="U116" s="49">
        <f>SUM(U112:U115)</f>
        <v>2071.08</v>
      </c>
      <c r="V116" s="50">
        <f t="shared" si="69"/>
        <v>0.52445682451253484</v>
      </c>
      <c r="W116" s="49">
        <f>SUM(W112:W115)</f>
        <v>3851.53</v>
      </c>
      <c r="X116" s="50">
        <f t="shared" si="70"/>
        <v>0.9753178019751837</v>
      </c>
      <c r="Y116" s="49">
        <f>SUM(Y112:Y115)</f>
        <v>4015</v>
      </c>
      <c r="Z116" s="49">
        <f>SUM(Z112:Z115)</f>
        <v>4240</v>
      </c>
    </row>
    <row r="117" spans="1:26" ht="13.9" customHeight="1">
      <c r="A117" s="15">
        <v>1</v>
      </c>
      <c r="B117" s="15">
        <v>1</v>
      </c>
      <c r="C117" s="15">
        <v>7</v>
      </c>
      <c r="D117" s="80" t="s">
        <v>148</v>
      </c>
      <c r="E117" s="23">
        <v>640</v>
      </c>
      <c r="F117" s="23" t="s">
        <v>127</v>
      </c>
      <c r="G117" s="24">
        <v>54.6</v>
      </c>
      <c r="H117" s="24">
        <v>66</v>
      </c>
      <c r="I117" s="24">
        <v>66</v>
      </c>
      <c r="J117" s="24">
        <v>67.86</v>
      </c>
      <c r="K117" s="24">
        <v>128</v>
      </c>
      <c r="L117" s="24"/>
      <c r="M117" s="24"/>
      <c r="N117" s="24"/>
      <c r="O117" s="24"/>
      <c r="P117" s="24">
        <f>K117+SUM(L117:O117)</f>
        <v>128</v>
      </c>
      <c r="Q117" s="24">
        <v>0</v>
      </c>
      <c r="R117" s="25">
        <f t="shared" si="67"/>
        <v>0</v>
      </c>
      <c r="S117" s="24">
        <v>0</v>
      </c>
      <c r="T117" s="25">
        <f t="shared" si="68"/>
        <v>0</v>
      </c>
      <c r="U117" s="24">
        <v>0</v>
      </c>
      <c r="V117" s="25">
        <f t="shared" si="69"/>
        <v>0</v>
      </c>
      <c r="W117" s="24">
        <v>110.54</v>
      </c>
      <c r="X117" s="25">
        <f t="shared" si="70"/>
        <v>0.86359375000000005</v>
      </c>
      <c r="Y117" s="24">
        <f>K117</f>
        <v>128</v>
      </c>
      <c r="Z117" s="24">
        <f>Y117</f>
        <v>128</v>
      </c>
    </row>
    <row r="118" spans="1:26" ht="13.9" customHeight="1">
      <c r="A118" s="15">
        <v>1</v>
      </c>
      <c r="B118" s="15">
        <v>1</v>
      </c>
      <c r="C118" s="15">
        <v>7</v>
      </c>
      <c r="D118" s="83" t="s">
        <v>21</v>
      </c>
      <c r="E118" s="48">
        <v>72</v>
      </c>
      <c r="F118" s="48" t="s">
        <v>25</v>
      </c>
      <c r="G118" s="49">
        <f t="shared" ref="G118:Q118" si="73">SUM(G117:G117)</f>
        <v>54.6</v>
      </c>
      <c r="H118" s="49">
        <f t="shared" si="73"/>
        <v>66</v>
      </c>
      <c r="I118" s="49">
        <f t="shared" si="73"/>
        <v>66</v>
      </c>
      <c r="J118" s="49">
        <f t="shared" si="73"/>
        <v>67.86</v>
      </c>
      <c r="K118" s="49">
        <f t="shared" si="73"/>
        <v>128</v>
      </c>
      <c r="L118" s="49">
        <f t="shared" si="73"/>
        <v>0</v>
      </c>
      <c r="M118" s="49">
        <f t="shared" si="73"/>
        <v>0</v>
      </c>
      <c r="N118" s="49">
        <f t="shared" si="73"/>
        <v>0</v>
      </c>
      <c r="O118" s="49">
        <f t="shared" si="73"/>
        <v>0</v>
      </c>
      <c r="P118" s="49">
        <f t="shared" si="73"/>
        <v>128</v>
      </c>
      <c r="Q118" s="49">
        <f t="shared" si="73"/>
        <v>0</v>
      </c>
      <c r="R118" s="50">
        <f t="shared" si="67"/>
        <v>0</v>
      </c>
      <c r="S118" s="49">
        <f>SUM(S117:S117)</f>
        <v>0</v>
      </c>
      <c r="T118" s="50">
        <f t="shared" si="68"/>
        <v>0</v>
      </c>
      <c r="U118" s="49">
        <f>SUM(U117:U117)</f>
        <v>0</v>
      </c>
      <c r="V118" s="50">
        <f t="shared" si="69"/>
        <v>0</v>
      </c>
      <c r="W118" s="49">
        <f>SUM(W117:W117)</f>
        <v>110.54</v>
      </c>
      <c r="X118" s="50">
        <f t="shared" si="70"/>
        <v>0.86359375000000005</v>
      </c>
      <c r="Y118" s="49">
        <f>SUM(Y117:Y117)</f>
        <v>128</v>
      </c>
      <c r="Z118" s="49">
        <f>SUM(Z117:Z117)</f>
        <v>128</v>
      </c>
    </row>
    <row r="119" spans="1:26" ht="13.9" customHeight="1">
      <c r="A119" s="15">
        <v>1</v>
      </c>
      <c r="B119" s="15">
        <v>1</v>
      </c>
      <c r="C119" s="15">
        <v>7</v>
      </c>
      <c r="D119" s="30"/>
      <c r="E119" s="31"/>
      <c r="F119" s="26" t="s">
        <v>119</v>
      </c>
      <c r="G119" s="27">
        <f t="shared" ref="G119:Q119" si="74">G111+G116+G118</f>
        <v>11062.37</v>
      </c>
      <c r="H119" s="27">
        <f t="shared" si="74"/>
        <v>10751.529999999999</v>
      </c>
      <c r="I119" s="27">
        <f t="shared" si="74"/>
        <v>10962</v>
      </c>
      <c r="J119" s="27">
        <f t="shared" si="74"/>
        <v>10674.28</v>
      </c>
      <c r="K119" s="27">
        <f t="shared" si="74"/>
        <v>11114</v>
      </c>
      <c r="L119" s="27">
        <f t="shared" si="74"/>
        <v>0</v>
      </c>
      <c r="M119" s="27">
        <f t="shared" si="74"/>
        <v>60</v>
      </c>
      <c r="N119" s="27">
        <f t="shared" si="74"/>
        <v>80</v>
      </c>
      <c r="O119" s="27">
        <f t="shared" si="74"/>
        <v>0</v>
      </c>
      <c r="P119" s="27">
        <f t="shared" si="74"/>
        <v>11254</v>
      </c>
      <c r="Q119" s="27">
        <f t="shared" si="74"/>
        <v>1948.63</v>
      </c>
      <c r="R119" s="28">
        <f t="shared" si="67"/>
        <v>0.17314999111427049</v>
      </c>
      <c r="S119" s="27">
        <f>S111+S116+S118</f>
        <v>4382.6400000000003</v>
      </c>
      <c r="T119" s="28">
        <f t="shared" si="68"/>
        <v>0.38942953616491915</v>
      </c>
      <c r="U119" s="27">
        <f>U111+U116+U118</f>
        <v>7039.11</v>
      </c>
      <c r="V119" s="28">
        <f t="shared" si="69"/>
        <v>0.62547627510218584</v>
      </c>
      <c r="W119" s="27">
        <f>W111+W116+W118</f>
        <v>11140.050000000001</v>
      </c>
      <c r="X119" s="28">
        <f t="shared" si="70"/>
        <v>0.98987471121379078</v>
      </c>
      <c r="Y119" s="27">
        <f>Y111+Y116+Y118</f>
        <v>11320</v>
      </c>
      <c r="Z119" s="27">
        <f>Z111+Z116+Z118</f>
        <v>11545</v>
      </c>
    </row>
    <row r="121" spans="1:26" ht="13.9" customHeight="1">
      <c r="D121" s="8" t="s">
        <v>149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9" customHeight="1">
      <c r="D122" s="21" t="s">
        <v>32</v>
      </c>
      <c r="E122" s="21" t="s">
        <v>33</v>
      </c>
      <c r="F122" s="21" t="s">
        <v>34</v>
      </c>
      <c r="G122" s="21" t="s">
        <v>1</v>
      </c>
      <c r="H122" s="21" t="s">
        <v>2</v>
      </c>
      <c r="I122" s="21" t="s">
        <v>3</v>
      </c>
      <c r="J122" s="21" t="s">
        <v>4</v>
      </c>
      <c r="K122" s="21" t="s">
        <v>5</v>
      </c>
      <c r="L122" s="21" t="s">
        <v>6</v>
      </c>
      <c r="M122" s="21" t="s">
        <v>7</v>
      </c>
      <c r="N122" s="21" t="s">
        <v>8</v>
      </c>
      <c r="O122" s="21" t="s">
        <v>9</v>
      </c>
      <c r="P122" s="21" t="s">
        <v>10</v>
      </c>
      <c r="Q122" s="21" t="s">
        <v>11</v>
      </c>
      <c r="R122" s="22" t="s">
        <v>12</v>
      </c>
      <c r="S122" s="21" t="s">
        <v>13</v>
      </c>
      <c r="T122" s="22" t="s">
        <v>14</v>
      </c>
      <c r="U122" s="21" t="s">
        <v>15</v>
      </c>
      <c r="V122" s="22" t="s">
        <v>16</v>
      </c>
      <c r="W122" s="21" t="s">
        <v>17</v>
      </c>
      <c r="X122" s="22" t="s">
        <v>18</v>
      </c>
      <c r="Y122" s="21" t="s">
        <v>19</v>
      </c>
      <c r="Z122" s="21" t="s">
        <v>20</v>
      </c>
    </row>
    <row r="123" spans="1:26" ht="13.9" customHeight="1">
      <c r="A123" s="15">
        <v>1</v>
      </c>
      <c r="B123" s="15">
        <v>2</v>
      </c>
      <c r="D123" s="23" t="s">
        <v>123</v>
      </c>
      <c r="E123" s="23">
        <v>640</v>
      </c>
      <c r="F123" s="23" t="s">
        <v>91</v>
      </c>
      <c r="G123" s="24">
        <v>4719.74</v>
      </c>
      <c r="H123" s="24">
        <v>4241.95</v>
      </c>
      <c r="I123" s="24">
        <v>4242</v>
      </c>
      <c r="J123" s="24">
        <v>4253.4399999999996</v>
      </c>
      <c r="K123" s="24">
        <v>4254</v>
      </c>
      <c r="L123" s="24"/>
      <c r="M123" s="24">
        <v>713</v>
      </c>
      <c r="N123" s="24"/>
      <c r="O123" s="24"/>
      <c r="P123" s="24">
        <f>K123+SUM(L123:O123)</f>
        <v>4967</v>
      </c>
      <c r="Q123" s="24">
        <v>0</v>
      </c>
      <c r="R123" s="25">
        <f t="shared" ref="R123:R128" si="75">Q123/$P123</f>
        <v>0</v>
      </c>
      <c r="S123" s="24">
        <v>4966.72</v>
      </c>
      <c r="T123" s="25">
        <f t="shared" ref="T123:T128" si="76">S123/$P123</f>
        <v>0.99994362794443326</v>
      </c>
      <c r="U123" s="24">
        <v>4966.72</v>
      </c>
      <c r="V123" s="25">
        <f t="shared" ref="V123:V128" si="77">U123/$P123</f>
        <v>0.99994362794443326</v>
      </c>
      <c r="W123" s="24">
        <v>4966.72</v>
      </c>
      <c r="X123" s="25">
        <f t="shared" ref="X123:X128" si="78">W123/$P123</f>
        <v>0.99994362794443326</v>
      </c>
      <c r="Y123" s="24">
        <f>príjmy!V101+príjmy!V102</f>
        <v>4254</v>
      </c>
      <c r="Z123" s="24">
        <f>príjmy!W101+príjmy!W102</f>
        <v>4254</v>
      </c>
    </row>
    <row r="124" spans="1:26" ht="13.9" customHeight="1">
      <c r="A124" s="15">
        <v>1</v>
      </c>
      <c r="B124" s="15">
        <v>2</v>
      </c>
      <c r="D124" s="83" t="s">
        <v>21</v>
      </c>
      <c r="E124" s="48">
        <v>111</v>
      </c>
      <c r="F124" s="48" t="s">
        <v>129</v>
      </c>
      <c r="G124" s="49">
        <f t="shared" ref="G124:Q124" si="79">SUM(G123)</f>
        <v>4719.74</v>
      </c>
      <c r="H124" s="49">
        <f t="shared" si="79"/>
        <v>4241.95</v>
      </c>
      <c r="I124" s="49">
        <f t="shared" si="79"/>
        <v>4242</v>
      </c>
      <c r="J124" s="49">
        <f t="shared" si="79"/>
        <v>4253.4399999999996</v>
      </c>
      <c r="K124" s="49">
        <f t="shared" si="79"/>
        <v>4254</v>
      </c>
      <c r="L124" s="49">
        <f t="shared" si="79"/>
        <v>0</v>
      </c>
      <c r="M124" s="49">
        <f t="shared" si="79"/>
        <v>713</v>
      </c>
      <c r="N124" s="49">
        <f t="shared" si="79"/>
        <v>0</v>
      </c>
      <c r="O124" s="49">
        <f t="shared" si="79"/>
        <v>0</v>
      </c>
      <c r="P124" s="49">
        <f t="shared" si="79"/>
        <v>4967</v>
      </c>
      <c r="Q124" s="49">
        <f t="shared" si="79"/>
        <v>0</v>
      </c>
      <c r="R124" s="50">
        <f t="shared" si="75"/>
        <v>0</v>
      </c>
      <c r="S124" s="49">
        <f>SUM(S123)</f>
        <v>4966.72</v>
      </c>
      <c r="T124" s="50">
        <f t="shared" si="76"/>
        <v>0.99994362794443326</v>
      </c>
      <c r="U124" s="49">
        <f>SUM(U123)</f>
        <v>4966.72</v>
      </c>
      <c r="V124" s="50">
        <f t="shared" si="77"/>
        <v>0.99994362794443326</v>
      </c>
      <c r="W124" s="49">
        <f>SUM(W123)</f>
        <v>4966.72</v>
      </c>
      <c r="X124" s="50">
        <f t="shared" si="78"/>
        <v>0.99994362794443326</v>
      </c>
      <c r="Y124" s="49">
        <f>SUM(Y123)</f>
        <v>4254</v>
      </c>
      <c r="Z124" s="49">
        <f>SUM(Z123)</f>
        <v>4254</v>
      </c>
    </row>
    <row r="125" spans="1:26" ht="13.9" customHeight="1">
      <c r="A125" s="15">
        <v>1</v>
      </c>
      <c r="B125" s="15">
        <v>2</v>
      </c>
      <c r="D125" s="43" t="s">
        <v>150</v>
      </c>
      <c r="E125" s="23">
        <v>640</v>
      </c>
      <c r="F125" s="23" t="s">
        <v>151</v>
      </c>
      <c r="G125" s="24">
        <v>215.58</v>
      </c>
      <c r="H125" s="24">
        <v>196.32</v>
      </c>
      <c r="I125" s="24">
        <v>231</v>
      </c>
      <c r="J125" s="24">
        <v>230.99</v>
      </c>
      <c r="K125" s="24">
        <v>250</v>
      </c>
      <c r="L125" s="24"/>
      <c r="M125" s="24"/>
      <c r="N125" s="24"/>
      <c r="O125" s="24"/>
      <c r="P125" s="24">
        <f>K125+SUM(L125:O125)</f>
        <v>250</v>
      </c>
      <c r="Q125" s="24">
        <v>125.05</v>
      </c>
      <c r="R125" s="25">
        <f t="shared" si="75"/>
        <v>0.50019999999999998</v>
      </c>
      <c r="S125" s="24">
        <v>125.05</v>
      </c>
      <c r="T125" s="25">
        <f t="shared" si="76"/>
        <v>0.50019999999999998</v>
      </c>
      <c r="U125" s="24">
        <v>250.09</v>
      </c>
      <c r="V125" s="25">
        <f t="shared" si="77"/>
        <v>1.0003599999999999</v>
      </c>
      <c r="W125" s="24">
        <v>250.09</v>
      </c>
      <c r="X125" s="25">
        <f t="shared" si="78"/>
        <v>1.0003599999999999</v>
      </c>
      <c r="Y125" s="24">
        <f>K125</f>
        <v>250</v>
      </c>
      <c r="Z125" s="24">
        <f>Y125</f>
        <v>250</v>
      </c>
    </row>
    <row r="126" spans="1:26" ht="13.9" customHeight="1">
      <c r="A126" s="15">
        <v>1</v>
      </c>
      <c r="B126" s="15">
        <v>2</v>
      </c>
      <c r="D126" s="23" t="s">
        <v>123</v>
      </c>
      <c r="E126" s="23">
        <v>640</v>
      </c>
      <c r="F126" s="23" t="s">
        <v>91</v>
      </c>
      <c r="G126" s="24">
        <v>10026.26</v>
      </c>
      <c r="H126" s="24">
        <v>10885.05</v>
      </c>
      <c r="I126" s="24">
        <v>11767</v>
      </c>
      <c r="J126" s="24">
        <v>11755.13</v>
      </c>
      <c r="K126" s="24">
        <v>9538</v>
      </c>
      <c r="L126" s="24"/>
      <c r="M126" s="24"/>
      <c r="N126" s="24"/>
      <c r="O126" s="24"/>
      <c r="P126" s="24">
        <f>K126+SUM(L126:O126)</f>
        <v>9538</v>
      </c>
      <c r="Q126" s="24">
        <v>3448.04</v>
      </c>
      <c r="R126" s="25">
        <f t="shared" si="75"/>
        <v>0.36150555672048645</v>
      </c>
      <c r="S126" s="24">
        <v>1929.36</v>
      </c>
      <c r="T126" s="25">
        <f t="shared" si="76"/>
        <v>0.20228140071293771</v>
      </c>
      <c r="U126" s="24">
        <v>5377.4</v>
      </c>
      <c r="V126" s="25">
        <f t="shared" si="77"/>
        <v>0.56378695743342411</v>
      </c>
      <c r="W126" s="24">
        <v>8825.44</v>
      </c>
      <c r="X126" s="25">
        <f t="shared" si="78"/>
        <v>0.92529251415391067</v>
      </c>
      <c r="Y126" s="24">
        <f>K126</f>
        <v>9538</v>
      </c>
      <c r="Z126" s="24">
        <f>Y126</f>
        <v>9538</v>
      </c>
    </row>
    <row r="127" spans="1:26" ht="13.9" customHeight="1">
      <c r="A127" s="15">
        <v>1</v>
      </c>
      <c r="B127" s="15">
        <v>2</v>
      </c>
      <c r="D127" s="83" t="s">
        <v>21</v>
      </c>
      <c r="E127" s="48">
        <v>41</v>
      </c>
      <c r="F127" s="48" t="s">
        <v>23</v>
      </c>
      <c r="G127" s="49">
        <f t="shared" ref="G127:Q127" si="80">SUM(G125:G126)</f>
        <v>10241.84</v>
      </c>
      <c r="H127" s="49">
        <f t="shared" si="80"/>
        <v>11081.369999999999</v>
      </c>
      <c r="I127" s="49">
        <f t="shared" si="80"/>
        <v>11998</v>
      </c>
      <c r="J127" s="49">
        <f t="shared" si="80"/>
        <v>11986.119999999999</v>
      </c>
      <c r="K127" s="49">
        <f t="shared" si="80"/>
        <v>9788</v>
      </c>
      <c r="L127" s="49">
        <f t="shared" si="80"/>
        <v>0</v>
      </c>
      <c r="M127" s="49">
        <f t="shared" si="80"/>
        <v>0</v>
      </c>
      <c r="N127" s="49">
        <f t="shared" si="80"/>
        <v>0</v>
      </c>
      <c r="O127" s="49">
        <f t="shared" si="80"/>
        <v>0</v>
      </c>
      <c r="P127" s="49">
        <f t="shared" si="80"/>
        <v>9788</v>
      </c>
      <c r="Q127" s="49">
        <f t="shared" si="80"/>
        <v>3573.09</v>
      </c>
      <c r="R127" s="50">
        <f t="shared" si="75"/>
        <v>0.36504801798120151</v>
      </c>
      <c r="S127" s="49">
        <f>SUM(S125:S126)</f>
        <v>2054.41</v>
      </c>
      <c r="T127" s="50">
        <f t="shared" si="76"/>
        <v>0.20989068246832854</v>
      </c>
      <c r="U127" s="49">
        <f>SUM(U125:U126)</f>
        <v>5627.49</v>
      </c>
      <c r="V127" s="50">
        <f t="shared" si="77"/>
        <v>0.57493767879035551</v>
      </c>
      <c r="W127" s="49">
        <f>SUM(W125:W126)</f>
        <v>9075.5300000000007</v>
      </c>
      <c r="X127" s="50">
        <f t="shared" si="78"/>
        <v>0.92720984879444224</v>
      </c>
      <c r="Y127" s="49">
        <f>SUM(Y125:Y126)</f>
        <v>9788</v>
      </c>
      <c r="Z127" s="49">
        <f>SUM(Z125:Z126)</f>
        <v>9788</v>
      </c>
    </row>
    <row r="128" spans="1:26" ht="13.9" customHeight="1">
      <c r="A128" s="15">
        <v>1</v>
      </c>
      <c r="B128" s="15">
        <v>2</v>
      </c>
      <c r="D128" s="30"/>
      <c r="E128" s="31"/>
      <c r="F128" s="26" t="s">
        <v>119</v>
      </c>
      <c r="G128" s="27">
        <f t="shared" ref="G128:Q128" si="81">G124+G127</f>
        <v>14961.58</v>
      </c>
      <c r="H128" s="27">
        <f t="shared" si="81"/>
        <v>15323.32</v>
      </c>
      <c r="I128" s="27">
        <f t="shared" si="81"/>
        <v>16240</v>
      </c>
      <c r="J128" s="27">
        <f t="shared" si="81"/>
        <v>16239.559999999998</v>
      </c>
      <c r="K128" s="27">
        <f t="shared" si="81"/>
        <v>14042</v>
      </c>
      <c r="L128" s="27">
        <f t="shared" si="81"/>
        <v>0</v>
      </c>
      <c r="M128" s="27">
        <f t="shared" si="81"/>
        <v>713</v>
      </c>
      <c r="N128" s="27">
        <f t="shared" si="81"/>
        <v>0</v>
      </c>
      <c r="O128" s="27">
        <f t="shared" si="81"/>
        <v>0</v>
      </c>
      <c r="P128" s="27">
        <f t="shared" si="81"/>
        <v>14755</v>
      </c>
      <c r="Q128" s="27">
        <f t="shared" si="81"/>
        <v>3573.09</v>
      </c>
      <c r="R128" s="28">
        <f t="shared" si="75"/>
        <v>0.24216130125381227</v>
      </c>
      <c r="S128" s="27">
        <f>S124+S127</f>
        <v>7021.13</v>
      </c>
      <c r="T128" s="28">
        <f t="shared" si="76"/>
        <v>0.47584750931887498</v>
      </c>
      <c r="U128" s="27">
        <f>U124+U127</f>
        <v>10594.21</v>
      </c>
      <c r="V128" s="28">
        <f t="shared" si="77"/>
        <v>0.71800813283632658</v>
      </c>
      <c r="W128" s="27">
        <f>W124+W127</f>
        <v>14042.25</v>
      </c>
      <c r="X128" s="28">
        <f t="shared" si="78"/>
        <v>0.95169434090138938</v>
      </c>
      <c r="Y128" s="27">
        <f>Y124+Y127</f>
        <v>14042</v>
      </c>
      <c r="Z128" s="27">
        <f>Z124+Z127</f>
        <v>14042</v>
      </c>
    </row>
    <row r="130" spans="1:26" ht="13.9" customHeight="1">
      <c r="D130" s="8" t="s">
        <v>152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9" customHeight="1">
      <c r="D131" s="21" t="s">
        <v>32</v>
      </c>
      <c r="E131" s="21" t="s">
        <v>33</v>
      </c>
      <c r="F131" s="21" t="s">
        <v>34</v>
      </c>
      <c r="G131" s="21" t="s">
        <v>1</v>
      </c>
      <c r="H131" s="21" t="s">
        <v>2</v>
      </c>
      <c r="I131" s="21" t="s">
        <v>3</v>
      </c>
      <c r="J131" s="21" t="s">
        <v>4</v>
      </c>
      <c r="K131" s="21" t="s">
        <v>5</v>
      </c>
      <c r="L131" s="21" t="s">
        <v>6</v>
      </c>
      <c r="M131" s="21" t="s">
        <v>7</v>
      </c>
      <c r="N131" s="21" t="s">
        <v>8</v>
      </c>
      <c r="O131" s="21" t="s">
        <v>9</v>
      </c>
      <c r="P131" s="21" t="s">
        <v>10</v>
      </c>
      <c r="Q131" s="21" t="s">
        <v>11</v>
      </c>
      <c r="R131" s="22" t="s">
        <v>12</v>
      </c>
      <c r="S131" s="21" t="s">
        <v>13</v>
      </c>
      <c r="T131" s="22" t="s">
        <v>14</v>
      </c>
      <c r="U131" s="21" t="s">
        <v>15</v>
      </c>
      <c r="V131" s="22" t="s">
        <v>16</v>
      </c>
      <c r="W131" s="21" t="s">
        <v>17</v>
      </c>
      <c r="X131" s="22" t="s">
        <v>18</v>
      </c>
      <c r="Y131" s="21" t="s">
        <v>19</v>
      </c>
      <c r="Z131" s="21" t="s">
        <v>20</v>
      </c>
    </row>
    <row r="132" spans="1:26" ht="13.9" customHeight="1">
      <c r="A132" s="15">
        <v>1</v>
      </c>
      <c r="B132" s="15">
        <v>3</v>
      </c>
      <c r="D132" s="51" t="s">
        <v>123</v>
      </c>
      <c r="E132" s="23">
        <v>630</v>
      </c>
      <c r="F132" s="23" t="s">
        <v>126</v>
      </c>
      <c r="G132" s="24">
        <v>0</v>
      </c>
      <c r="H132" s="46">
        <v>0</v>
      </c>
      <c r="I132" s="24">
        <v>0</v>
      </c>
      <c r="J132" s="24">
        <v>0</v>
      </c>
      <c r="K132" s="24">
        <v>0</v>
      </c>
      <c r="L132" s="24"/>
      <c r="M132" s="24">
        <v>53</v>
      </c>
      <c r="N132" s="24">
        <v>54</v>
      </c>
      <c r="O132" s="24">
        <v>53</v>
      </c>
      <c r="P132" s="46">
        <f>K132+SUM(L132:O132)</f>
        <v>160</v>
      </c>
      <c r="Q132" s="46">
        <v>0</v>
      </c>
      <c r="R132" s="47">
        <f t="shared" ref="R132:R137" si="82">Q132/$P132</f>
        <v>0</v>
      </c>
      <c r="S132" s="46">
        <v>53.49</v>
      </c>
      <c r="T132" s="47">
        <f t="shared" ref="T132:T137" si="83">S132/$P132</f>
        <v>0.33431250000000001</v>
      </c>
      <c r="U132" s="46">
        <v>106.98</v>
      </c>
      <c r="V132" s="47">
        <f t="shared" ref="V132:V137" si="84">U132/$P132</f>
        <v>0.66862500000000002</v>
      </c>
      <c r="W132" s="46">
        <v>160.47</v>
      </c>
      <c r="X132" s="47">
        <f t="shared" ref="X132:X137" si="85">W132/$P132</f>
        <v>1.0029375</v>
      </c>
      <c r="Y132" s="24">
        <v>0</v>
      </c>
      <c r="Z132" s="24">
        <v>0</v>
      </c>
    </row>
    <row r="133" spans="1:26" ht="13.9" customHeight="1">
      <c r="A133" s="15">
        <v>1</v>
      </c>
      <c r="B133" s="15">
        <v>3</v>
      </c>
      <c r="D133" s="83" t="s">
        <v>21</v>
      </c>
      <c r="E133" s="48">
        <v>111</v>
      </c>
      <c r="F133" s="48" t="s">
        <v>23</v>
      </c>
      <c r="G133" s="49">
        <f t="shared" ref="G133:Q133" si="86">SUM(G132:G132)</f>
        <v>0</v>
      </c>
      <c r="H133" s="49">
        <f t="shared" si="86"/>
        <v>0</v>
      </c>
      <c r="I133" s="49">
        <f t="shared" si="86"/>
        <v>0</v>
      </c>
      <c r="J133" s="49">
        <f t="shared" si="86"/>
        <v>0</v>
      </c>
      <c r="K133" s="49">
        <f t="shared" si="86"/>
        <v>0</v>
      </c>
      <c r="L133" s="49">
        <f t="shared" si="86"/>
        <v>0</v>
      </c>
      <c r="M133" s="49">
        <f t="shared" si="86"/>
        <v>53</v>
      </c>
      <c r="N133" s="49">
        <f t="shared" si="86"/>
        <v>54</v>
      </c>
      <c r="O133" s="49">
        <f t="shared" si="86"/>
        <v>53</v>
      </c>
      <c r="P133" s="49">
        <f t="shared" si="86"/>
        <v>160</v>
      </c>
      <c r="Q133" s="49">
        <f t="shared" si="86"/>
        <v>0</v>
      </c>
      <c r="R133" s="50">
        <f t="shared" si="82"/>
        <v>0</v>
      </c>
      <c r="S133" s="49">
        <f>SUM(S132:S132)</f>
        <v>53.49</v>
      </c>
      <c r="T133" s="50">
        <f t="shared" si="83"/>
        <v>0.33431250000000001</v>
      </c>
      <c r="U133" s="49">
        <f>SUM(U132:U132)</f>
        <v>106.98</v>
      </c>
      <c r="V133" s="50">
        <f t="shared" si="84"/>
        <v>0.66862500000000002</v>
      </c>
      <c r="W133" s="49">
        <f>SUM(W132:W132)</f>
        <v>160.47</v>
      </c>
      <c r="X133" s="50">
        <f t="shared" si="85"/>
        <v>1.0029375</v>
      </c>
      <c r="Y133" s="49">
        <f>SUM(Y132:Y132)</f>
        <v>0</v>
      </c>
      <c r="Z133" s="49">
        <f>SUM(Z132:Z132)</f>
        <v>0</v>
      </c>
    </row>
    <row r="134" spans="1:26" ht="13.9" customHeight="1">
      <c r="A134" s="15">
        <v>1</v>
      </c>
      <c r="B134" s="15">
        <v>3</v>
      </c>
      <c r="D134" s="23" t="s">
        <v>153</v>
      </c>
      <c r="E134" s="23">
        <v>630</v>
      </c>
      <c r="F134" s="23" t="s">
        <v>154</v>
      </c>
      <c r="G134" s="24">
        <v>9816.9599999999991</v>
      </c>
      <c r="H134" s="24">
        <v>2730.72</v>
      </c>
      <c r="I134" s="24">
        <v>6300</v>
      </c>
      <c r="J134" s="24">
        <v>480</v>
      </c>
      <c r="K134" s="24">
        <v>480</v>
      </c>
      <c r="L134" s="24"/>
      <c r="M134" s="24">
        <v>10000</v>
      </c>
      <c r="N134" s="24"/>
      <c r="O134" s="24"/>
      <c r="P134" s="24">
        <f>K134+SUM(L134:O134)</f>
        <v>10480</v>
      </c>
      <c r="Q134" s="24">
        <v>0</v>
      </c>
      <c r="R134" s="25">
        <f t="shared" si="82"/>
        <v>0</v>
      </c>
      <c r="S134" s="24">
        <v>0</v>
      </c>
      <c r="T134" s="25">
        <f t="shared" si="83"/>
        <v>0</v>
      </c>
      <c r="U134" s="24">
        <v>116.28</v>
      </c>
      <c r="V134" s="25">
        <f t="shared" si="84"/>
        <v>1.1095419847328244E-2</v>
      </c>
      <c r="W134" s="24">
        <v>232.56</v>
      </c>
      <c r="X134" s="25">
        <f t="shared" si="85"/>
        <v>2.2190839694656489E-2</v>
      </c>
      <c r="Y134" s="24">
        <f>K134</f>
        <v>480</v>
      </c>
      <c r="Z134" s="24">
        <f>Y134</f>
        <v>480</v>
      </c>
    </row>
    <row r="135" spans="1:26" ht="13.9" customHeight="1">
      <c r="A135" s="15">
        <v>1</v>
      </c>
      <c r="B135" s="15">
        <v>3</v>
      </c>
      <c r="D135" s="43" t="s">
        <v>123</v>
      </c>
      <c r="E135" s="23">
        <v>630</v>
      </c>
      <c r="F135" s="23" t="s">
        <v>126</v>
      </c>
      <c r="G135" s="24">
        <v>3703.18</v>
      </c>
      <c r="H135" s="24">
        <v>2155.4299999999998</v>
      </c>
      <c r="I135" s="24">
        <v>1713</v>
      </c>
      <c r="J135" s="24">
        <v>1964.38</v>
      </c>
      <c r="K135" s="24">
        <v>2281</v>
      </c>
      <c r="L135" s="24"/>
      <c r="M135" s="24">
        <v>47</v>
      </c>
      <c r="N135" s="24">
        <v>-54</v>
      </c>
      <c r="O135" s="24"/>
      <c r="P135" s="24">
        <f>K135+SUM(L135:O135)</f>
        <v>2274</v>
      </c>
      <c r="Q135" s="24">
        <v>298.7</v>
      </c>
      <c r="R135" s="25">
        <f t="shared" si="82"/>
        <v>0.13135444151275286</v>
      </c>
      <c r="S135" s="24">
        <v>789.21</v>
      </c>
      <c r="T135" s="25">
        <f t="shared" si="83"/>
        <v>0.34705804749340369</v>
      </c>
      <c r="U135" s="24">
        <v>1452.72</v>
      </c>
      <c r="V135" s="25">
        <f t="shared" si="84"/>
        <v>0.6388390501319261</v>
      </c>
      <c r="W135" s="24">
        <v>1833.06</v>
      </c>
      <c r="X135" s="25">
        <f t="shared" si="85"/>
        <v>0.80609498680738789</v>
      </c>
      <c r="Y135" s="24">
        <v>2201</v>
      </c>
      <c r="Z135" s="24">
        <f>Y135</f>
        <v>2201</v>
      </c>
    </row>
    <row r="136" spans="1:26" ht="13.9" customHeight="1">
      <c r="A136" s="15">
        <v>1</v>
      </c>
      <c r="B136" s="15">
        <v>3</v>
      </c>
      <c r="D136" s="83" t="s">
        <v>21</v>
      </c>
      <c r="E136" s="48">
        <v>41</v>
      </c>
      <c r="F136" s="48" t="s">
        <v>23</v>
      </c>
      <c r="G136" s="49">
        <f t="shared" ref="G136:Q136" si="87">SUM(G134:G135)</f>
        <v>13520.14</v>
      </c>
      <c r="H136" s="49">
        <f t="shared" si="87"/>
        <v>4886.1499999999996</v>
      </c>
      <c r="I136" s="49">
        <f t="shared" si="87"/>
        <v>8013</v>
      </c>
      <c r="J136" s="49">
        <f t="shared" si="87"/>
        <v>2444.38</v>
      </c>
      <c r="K136" s="49">
        <f t="shared" si="87"/>
        <v>2761</v>
      </c>
      <c r="L136" s="49">
        <f t="shared" si="87"/>
        <v>0</v>
      </c>
      <c r="M136" s="49">
        <f t="shared" si="87"/>
        <v>10047</v>
      </c>
      <c r="N136" s="49">
        <f t="shared" si="87"/>
        <v>-54</v>
      </c>
      <c r="O136" s="49">
        <f t="shared" si="87"/>
        <v>0</v>
      </c>
      <c r="P136" s="49">
        <f t="shared" si="87"/>
        <v>12754</v>
      </c>
      <c r="Q136" s="49">
        <f t="shared" si="87"/>
        <v>298.7</v>
      </c>
      <c r="R136" s="50">
        <f t="shared" si="82"/>
        <v>2.3420103496942134E-2</v>
      </c>
      <c r="S136" s="49">
        <f>SUM(S134:S135)</f>
        <v>789.21</v>
      </c>
      <c r="T136" s="50">
        <f t="shared" si="83"/>
        <v>6.1879410381056925E-2</v>
      </c>
      <c r="U136" s="49">
        <f>SUM(U134:U135)</f>
        <v>1569</v>
      </c>
      <c r="V136" s="50">
        <f t="shared" si="84"/>
        <v>0.12302022894778109</v>
      </c>
      <c r="W136" s="49">
        <f>SUM(W134:W135)</f>
        <v>2065.62</v>
      </c>
      <c r="X136" s="50">
        <f t="shared" si="85"/>
        <v>0.16195860122314568</v>
      </c>
      <c r="Y136" s="49">
        <f>SUM(Y134:Y135)</f>
        <v>2681</v>
      </c>
      <c r="Z136" s="49">
        <f>SUM(Z134:Z135)</f>
        <v>2681</v>
      </c>
    </row>
    <row r="137" spans="1:26" ht="13.9" customHeight="1">
      <c r="A137" s="15">
        <v>1</v>
      </c>
      <c r="B137" s="15">
        <v>3</v>
      </c>
      <c r="D137" s="85"/>
      <c r="E137" s="86"/>
      <c r="F137" s="26" t="s">
        <v>119</v>
      </c>
      <c r="G137" s="27">
        <f t="shared" ref="G137:Q137" si="88">G133+G136</f>
        <v>13520.14</v>
      </c>
      <c r="H137" s="27">
        <f t="shared" si="88"/>
        <v>4886.1499999999996</v>
      </c>
      <c r="I137" s="27">
        <f t="shared" si="88"/>
        <v>8013</v>
      </c>
      <c r="J137" s="27">
        <f t="shared" si="88"/>
        <v>2444.38</v>
      </c>
      <c r="K137" s="27">
        <f t="shared" si="88"/>
        <v>2761</v>
      </c>
      <c r="L137" s="27">
        <f t="shared" si="88"/>
        <v>0</v>
      </c>
      <c r="M137" s="27">
        <f t="shared" si="88"/>
        <v>10100</v>
      </c>
      <c r="N137" s="27">
        <f t="shared" si="88"/>
        <v>0</v>
      </c>
      <c r="O137" s="27">
        <f t="shared" si="88"/>
        <v>53</v>
      </c>
      <c r="P137" s="27">
        <f t="shared" si="88"/>
        <v>12914</v>
      </c>
      <c r="Q137" s="27">
        <f t="shared" si="88"/>
        <v>298.7</v>
      </c>
      <c r="R137" s="28">
        <f t="shared" si="82"/>
        <v>2.3129936503019977E-2</v>
      </c>
      <c r="S137" s="27">
        <f>S133+S136</f>
        <v>842.7</v>
      </c>
      <c r="T137" s="28">
        <f t="shared" si="83"/>
        <v>6.5254762273501632E-2</v>
      </c>
      <c r="U137" s="27">
        <f>U133+U136</f>
        <v>1675.98</v>
      </c>
      <c r="V137" s="28">
        <f t="shared" si="84"/>
        <v>0.12978008363016882</v>
      </c>
      <c r="W137" s="27">
        <f>W133+W136</f>
        <v>2226.0899999999997</v>
      </c>
      <c r="X137" s="28">
        <f t="shared" si="85"/>
        <v>0.17237803933715345</v>
      </c>
      <c r="Y137" s="27">
        <f>Y133+Y136</f>
        <v>2681</v>
      </c>
      <c r="Z137" s="27">
        <f>Z133+Z136</f>
        <v>2681</v>
      </c>
    </row>
    <row r="139" spans="1:26" ht="13.9" customHeight="1">
      <c r="E139" s="52" t="s">
        <v>56</v>
      </c>
      <c r="F139" s="30" t="s">
        <v>139</v>
      </c>
      <c r="G139" s="53">
        <v>539</v>
      </c>
      <c r="H139" s="53">
        <v>440</v>
      </c>
      <c r="I139" s="53">
        <v>574</v>
      </c>
      <c r="J139" s="53">
        <v>407</v>
      </c>
      <c r="K139" s="53">
        <v>923</v>
      </c>
      <c r="L139" s="53"/>
      <c r="M139" s="53"/>
      <c r="N139" s="53"/>
      <c r="O139" s="53">
        <v>53</v>
      </c>
      <c r="P139" s="53">
        <f>K139+SUM(L139:O139)</f>
        <v>976</v>
      </c>
      <c r="Q139" s="53">
        <v>202.7</v>
      </c>
      <c r="R139" s="54">
        <f>Q139/$P139</f>
        <v>0.2076844262295082</v>
      </c>
      <c r="S139" s="53">
        <v>412.7</v>
      </c>
      <c r="T139" s="54">
        <f>S139/$P139</f>
        <v>0.42284836065573772</v>
      </c>
      <c r="U139" s="53">
        <v>607.70000000000005</v>
      </c>
      <c r="V139" s="54">
        <f>U139/$P139</f>
        <v>0.6226434426229509</v>
      </c>
      <c r="W139" s="53">
        <v>802.7</v>
      </c>
      <c r="X139" s="55">
        <f>W139/$P139</f>
        <v>0.82243852459016398</v>
      </c>
      <c r="Y139" s="53">
        <f>K139</f>
        <v>923</v>
      </c>
      <c r="Z139" s="56">
        <f>Y139</f>
        <v>923</v>
      </c>
    </row>
    <row r="140" spans="1:26" ht="13.9" customHeight="1">
      <c r="E140" s="57"/>
      <c r="F140" s="15" t="s">
        <v>140</v>
      </c>
      <c r="G140" s="59">
        <v>420</v>
      </c>
      <c r="H140" s="59">
        <v>72</v>
      </c>
      <c r="I140" s="59">
        <v>110</v>
      </c>
      <c r="J140" s="59">
        <v>242</v>
      </c>
      <c r="K140" s="59">
        <v>88</v>
      </c>
      <c r="L140" s="59"/>
      <c r="M140" s="59"/>
      <c r="N140" s="59"/>
      <c r="O140" s="59"/>
      <c r="P140" s="59">
        <f>K140+SUM(L140:O140)</f>
        <v>88</v>
      </c>
      <c r="Q140" s="59">
        <v>16</v>
      </c>
      <c r="R140" s="16">
        <f>Q140/$P140</f>
        <v>0.18181818181818182</v>
      </c>
      <c r="S140" s="59">
        <v>40</v>
      </c>
      <c r="T140" s="16">
        <f>S140/$P140</f>
        <v>0.45454545454545453</v>
      </c>
      <c r="U140" s="59">
        <v>64</v>
      </c>
      <c r="V140" s="16">
        <f>U140/$P140</f>
        <v>0.72727272727272729</v>
      </c>
      <c r="W140" s="59">
        <v>88</v>
      </c>
      <c r="X140" s="60">
        <f>W140/$P140</f>
        <v>1</v>
      </c>
      <c r="Y140" s="59">
        <f>K140</f>
        <v>88</v>
      </c>
      <c r="Z140" s="61">
        <f>Y140</f>
        <v>88</v>
      </c>
    </row>
    <row r="141" spans="1:26" ht="13.9" customHeight="1">
      <c r="E141" s="100"/>
      <c r="F141" s="101" t="s">
        <v>155</v>
      </c>
      <c r="G141" s="102">
        <v>8556.9599999999991</v>
      </c>
      <c r="H141" s="102">
        <v>2730.72</v>
      </c>
      <c r="I141" s="102">
        <v>6000</v>
      </c>
      <c r="J141" s="102">
        <v>0</v>
      </c>
      <c r="K141" s="102">
        <v>0</v>
      </c>
      <c r="L141" s="102"/>
      <c r="M141" s="102">
        <v>10000</v>
      </c>
      <c r="N141" s="102"/>
      <c r="O141" s="102"/>
      <c r="P141" s="102">
        <f>K141+SUM(L141:O141)</f>
        <v>10000</v>
      </c>
      <c r="Q141" s="102">
        <v>0</v>
      </c>
      <c r="R141" s="103">
        <f>Q141/$P141</f>
        <v>0</v>
      </c>
      <c r="S141" s="102">
        <v>0</v>
      </c>
      <c r="T141" s="103">
        <f>S141/$P141</f>
        <v>0</v>
      </c>
      <c r="U141" s="102">
        <v>0</v>
      </c>
      <c r="V141" s="103">
        <f>U141/$P141</f>
        <v>0</v>
      </c>
      <c r="W141" s="102">
        <v>0</v>
      </c>
      <c r="X141" s="104">
        <f>W141/$P141</f>
        <v>0</v>
      </c>
      <c r="Y141" s="105">
        <v>3000</v>
      </c>
      <c r="Z141" s="106">
        <f>Y141</f>
        <v>3000</v>
      </c>
    </row>
    <row r="142" spans="1:26" ht="13.9" customHeight="1"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S142" s="59"/>
      <c r="U142" s="59"/>
      <c r="W142" s="59"/>
      <c r="Y142" s="59"/>
      <c r="Z142" s="59"/>
    </row>
    <row r="143" spans="1:26" ht="13.9" customHeight="1">
      <c r="D143" s="8" t="s">
        <v>156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9" customHeight="1">
      <c r="D144" s="21" t="s">
        <v>32</v>
      </c>
      <c r="E144" s="21" t="s">
        <v>33</v>
      </c>
      <c r="F144" s="21" t="s">
        <v>34</v>
      </c>
      <c r="G144" s="21" t="s">
        <v>1</v>
      </c>
      <c r="H144" s="21" t="s">
        <v>2</v>
      </c>
      <c r="I144" s="21" t="s">
        <v>3</v>
      </c>
      <c r="J144" s="21" t="s">
        <v>4</v>
      </c>
      <c r="K144" s="21" t="s">
        <v>5</v>
      </c>
      <c r="L144" s="21" t="s">
        <v>6</v>
      </c>
      <c r="M144" s="21" t="s">
        <v>7</v>
      </c>
      <c r="N144" s="21" t="s">
        <v>8</v>
      </c>
      <c r="O144" s="21" t="s">
        <v>9</v>
      </c>
      <c r="P144" s="21" t="s">
        <v>10</v>
      </c>
      <c r="Q144" s="21" t="s">
        <v>11</v>
      </c>
      <c r="R144" s="22" t="s">
        <v>12</v>
      </c>
      <c r="S144" s="21" t="s">
        <v>13</v>
      </c>
      <c r="T144" s="22" t="s">
        <v>14</v>
      </c>
      <c r="U144" s="21" t="s">
        <v>15</v>
      </c>
      <c r="V144" s="22" t="s">
        <v>16</v>
      </c>
      <c r="W144" s="21" t="s">
        <v>17</v>
      </c>
      <c r="X144" s="22" t="s">
        <v>18</v>
      </c>
      <c r="Y144" s="21" t="s">
        <v>19</v>
      </c>
      <c r="Z144" s="21" t="s">
        <v>20</v>
      </c>
    </row>
    <row r="145" spans="1:26" ht="13.9" customHeight="1">
      <c r="A145" s="15">
        <v>1</v>
      </c>
      <c r="B145" s="15">
        <v>4</v>
      </c>
      <c r="D145" s="13" t="s">
        <v>157</v>
      </c>
      <c r="E145" s="107">
        <v>610</v>
      </c>
      <c r="F145" s="107" t="s">
        <v>124</v>
      </c>
      <c r="G145" s="46">
        <v>0</v>
      </c>
      <c r="H145" s="46">
        <v>1500</v>
      </c>
      <c r="I145" s="46">
        <v>0</v>
      </c>
      <c r="J145" s="46">
        <v>315.83999999999997</v>
      </c>
      <c r="K145" s="46">
        <v>105</v>
      </c>
      <c r="L145" s="46"/>
      <c r="M145" s="46"/>
      <c r="N145" s="46">
        <v>120</v>
      </c>
      <c r="O145" s="46"/>
      <c r="P145" s="46">
        <f>K145+SUM(L145:O145)</f>
        <v>225</v>
      </c>
      <c r="Q145" s="46">
        <v>120</v>
      </c>
      <c r="R145" s="47">
        <f>Q145/$P145</f>
        <v>0.53333333333333333</v>
      </c>
      <c r="S145" s="46">
        <v>120</v>
      </c>
      <c r="T145" s="47">
        <f>S145/$P145</f>
        <v>0.53333333333333333</v>
      </c>
      <c r="U145" s="46">
        <v>120</v>
      </c>
      <c r="V145" s="47">
        <f>U145/$P145</f>
        <v>0.53333333333333333</v>
      </c>
      <c r="W145" s="46">
        <v>240</v>
      </c>
      <c r="X145" s="47">
        <f>W145/$P145</f>
        <v>1.0666666666666667</v>
      </c>
      <c r="Y145" s="24">
        <f>K145</f>
        <v>105</v>
      </c>
      <c r="Z145" s="24">
        <v>0</v>
      </c>
    </row>
    <row r="146" spans="1:26" ht="13.9" customHeight="1">
      <c r="A146" s="15">
        <v>1</v>
      </c>
      <c r="B146" s="15">
        <v>4</v>
      </c>
      <c r="D146" s="13"/>
      <c r="E146" s="107">
        <v>620</v>
      </c>
      <c r="F146" s="107" t="s">
        <v>125</v>
      </c>
      <c r="G146" s="46">
        <v>57.27</v>
      </c>
      <c r="H146" s="46">
        <v>1622.09</v>
      </c>
      <c r="I146" s="46">
        <v>102</v>
      </c>
      <c r="J146" s="46">
        <v>110.33</v>
      </c>
      <c r="K146" s="46">
        <v>85</v>
      </c>
      <c r="L146" s="46"/>
      <c r="M146" s="46"/>
      <c r="N146" s="46">
        <v>31</v>
      </c>
      <c r="O146" s="46"/>
      <c r="P146" s="46">
        <f>K146+SUM(L146:O146)</f>
        <v>116</v>
      </c>
      <c r="Q146" s="46">
        <v>42.48</v>
      </c>
      <c r="R146" s="47">
        <f>Q146/$P146</f>
        <v>0.36620689655172411</v>
      </c>
      <c r="S146" s="46">
        <v>42.48</v>
      </c>
      <c r="T146" s="47">
        <f>S146/$P146</f>
        <v>0.36620689655172411</v>
      </c>
      <c r="U146" s="46">
        <v>76.36</v>
      </c>
      <c r="V146" s="47">
        <f>U146/$P146</f>
        <v>0.65827586206896549</v>
      </c>
      <c r="W146" s="46">
        <v>118.3</v>
      </c>
      <c r="X146" s="47">
        <f>W146/$P146</f>
        <v>1.0198275862068966</v>
      </c>
      <c r="Y146" s="24">
        <v>0</v>
      </c>
      <c r="Z146" s="24">
        <v>0</v>
      </c>
    </row>
    <row r="147" spans="1:26" ht="13.9" customHeight="1">
      <c r="A147" s="15">
        <v>1</v>
      </c>
      <c r="B147" s="15">
        <v>4</v>
      </c>
      <c r="D147" s="13"/>
      <c r="E147" s="107">
        <v>630</v>
      </c>
      <c r="F147" s="107" t="s">
        <v>126</v>
      </c>
      <c r="G147" s="46">
        <f>2145.65+156.7</f>
        <v>2302.35</v>
      </c>
      <c r="H147" s="46">
        <v>5045.46</v>
      </c>
      <c r="I147" s="46">
        <v>2918</v>
      </c>
      <c r="J147" s="46">
        <v>7063.67</v>
      </c>
      <c r="K147" s="46">
        <v>2665</v>
      </c>
      <c r="L147" s="46"/>
      <c r="M147" s="46"/>
      <c r="N147" s="46">
        <v>1576</v>
      </c>
      <c r="O147" s="46"/>
      <c r="P147" s="46">
        <f>K147+SUM(L147:O147)</f>
        <v>4241</v>
      </c>
      <c r="Q147" s="46">
        <v>1866.66</v>
      </c>
      <c r="R147" s="47">
        <f>Q147/$P147</f>
        <v>0.44014619193586418</v>
      </c>
      <c r="S147" s="46">
        <v>1866.66</v>
      </c>
      <c r="T147" s="47">
        <f>S147/$P147</f>
        <v>0.44014619193586418</v>
      </c>
      <c r="U147" s="46">
        <v>3888.19</v>
      </c>
      <c r="V147" s="47">
        <f>U147/$P147</f>
        <v>0.91680971468993167</v>
      </c>
      <c r="W147" s="46">
        <v>4223.46</v>
      </c>
      <c r="X147" s="47">
        <f>W147/$P147</f>
        <v>0.99586418297571333</v>
      </c>
      <c r="Y147" s="46">
        <f>príjmy!V92-Y145</f>
        <v>2750</v>
      </c>
      <c r="Z147" s="46">
        <v>0</v>
      </c>
    </row>
    <row r="148" spans="1:26" ht="13.9" customHeight="1">
      <c r="A148" s="15">
        <v>1</v>
      </c>
      <c r="B148" s="15">
        <v>4</v>
      </c>
      <c r="D148" s="108" t="s">
        <v>21</v>
      </c>
      <c r="E148" s="109">
        <v>111</v>
      </c>
      <c r="F148" s="109" t="s">
        <v>129</v>
      </c>
      <c r="G148" s="98">
        <f t="shared" ref="G148:Q148" si="89">SUM(G145:G147)</f>
        <v>2359.62</v>
      </c>
      <c r="H148" s="98">
        <f t="shared" si="89"/>
        <v>8167.55</v>
      </c>
      <c r="I148" s="98">
        <f t="shared" si="89"/>
        <v>3020</v>
      </c>
      <c r="J148" s="98">
        <f t="shared" si="89"/>
        <v>7489.84</v>
      </c>
      <c r="K148" s="98">
        <f t="shared" si="89"/>
        <v>2855</v>
      </c>
      <c r="L148" s="98">
        <f t="shared" si="89"/>
        <v>0</v>
      </c>
      <c r="M148" s="98">
        <f t="shared" si="89"/>
        <v>0</v>
      </c>
      <c r="N148" s="98">
        <f t="shared" si="89"/>
        <v>1727</v>
      </c>
      <c r="O148" s="98">
        <f t="shared" si="89"/>
        <v>0</v>
      </c>
      <c r="P148" s="98">
        <f t="shared" si="89"/>
        <v>4582</v>
      </c>
      <c r="Q148" s="98">
        <f t="shared" si="89"/>
        <v>2029.14</v>
      </c>
      <c r="R148" s="99">
        <f>Q148/$P148</f>
        <v>0.44285028371890006</v>
      </c>
      <c r="S148" s="98">
        <f>SUM(S145:S147)</f>
        <v>2029.14</v>
      </c>
      <c r="T148" s="99">
        <f>S148/$P148</f>
        <v>0.44285028371890006</v>
      </c>
      <c r="U148" s="98">
        <f>SUM(U145:U147)</f>
        <v>4084.55</v>
      </c>
      <c r="V148" s="99">
        <f>U148/$P148</f>
        <v>0.89143387167175914</v>
      </c>
      <c r="W148" s="98">
        <f>SUM(W145:W147)</f>
        <v>4581.76</v>
      </c>
      <c r="X148" s="99">
        <f>W148/$P148</f>
        <v>0.99994762112614588</v>
      </c>
      <c r="Y148" s="98">
        <f>SUM(Y145:Y147)</f>
        <v>2855</v>
      </c>
      <c r="Z148" s="98">
        <f>SUM(Z145:Z147)</f>
        <v>0</v>
      </c>
    </row>
    <row r="149" spans="1:26" ht="13.9" customHeight="1">
      <c r="A149" s="15">
        <v>1</v>
      </c>
      <c r="B149" s="15">
        <v>4</v>
      </c>
      <c r="D149" s="110"/>
      <c r="E149" s="111"/>
      <c r="F149" s="112" t="s">
        <v>119</v>
      </c>
      <c r="G149" s="113">
        <f t="shared" ref="G149:Q149" si="90">G148</f>
        <v>2359.62</v>
      </c>
      <c r="H149" s="113">
        <f t="shared" si="90"/>
        <v>8167.55</v>
      </c>
      <c r="I149" s="113">
        <f t="shared" si="90"/>
        <v>3020</v>
      </c>
      <c r="J149" s="113">
        <f t="shared" si="90"/>
        <v>7489.84</v>
      </c>
      <c r="K149" s="113">
        <f t="shared" si="90"/>
        <v>2855</v>
      </c>
      <c r="L149" s="113">
        <f t="shared" si="90"/>
        <v>0</v>
      </c>
      <c r="M149" s="113">
        <f t="shared" si="90"/>
        <v>0</v>
      </c>
      <c r="N149" s="113">
        <f t="shared" si="90"/>
        <v>1727</v>
      </c>
      <c r="O149" s="113">
        <f t="shared" si="90"/>
        <v>0</v>
      </c>
      <c r="P149" s="113">
        <f t="shared" si="90"/>
        <v>4582</v>
      </c>
      <c r="Q149" s="113">
        <f t="shared" si="90"/>
        <v>2029.14</v>
      </c>
      <c r="R149" s="114">
        <f>Q149/$P149</f>
        <v>0.44285028371890006</v>
      </c>
      <c r="S149" s="113">
        <f>S148</f>
        <v>2029.14</v>
      </c>
      <c r="T149" s="114">
        <f>S149/$P149</f>
        <v>0.44285028371890006</v>
      </c>
      <c r="U149" s="113">
        <f>U148</f>
        <v>4084.55</v>
      </c>
      <c r="V149" s="114">
        <f>U149/$P149</f>
        <v>0.89143387167175914</v>
      </c>
      <c r="W149" s="113">
        <f>W148</f>
        <v>4581.76</v>
      </c>
      <c r="X149" s="114">
        <f>W149/$P149</f>
        <v>0.99994762112614588</v>
      </c>
      <c r="Y149" s="113">
        <f>Y148</f>
        <v>2855</v>
      </c>
      <c r="Z149" s="113">
        <f>Z148</f>
        <v>0</v>
      </c>
    </row>
    <row r="151" spans="1:26" ht="13.9" customHeight="1">
      <c r="D151" s="9" t="s">
        <v>158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9" customHeight="1">
      <c r="D152" s="20"/>
      <c r="E152" s="20"/>
      <c r="F152" s="20"/>
      <c r="G152" s="21" t="s">
        <v>1</v>
      </c>
      <c r="H152" s="21" t="s">
        <v>2</v>
      </c>
      <c r="I152" s="21" t="s">
        <v>3</v>
      </c>
      <c r="J152" s="21" t="s">
        <v>4</v>
      </c>
      <c r="K152" s="21" t="s">
        <v>5</v>
      </c>
      <c r="L152" s="21" t="s">
        <v>6</v>
      </c>
      <c r="M152" s="21" t="s">
        <v>7</v>
      </c>
      <c r="N152" s="21" t="s">
        <v>8</v>
      </c>
      <c r="O152" s="21" t="s">
        <v>9</v>
      </c>
      <c r="P152" s="21" t="s">
        <v>10</v>
      </c>
      <c r="Q152" s="21" t="s">
        <v>11</v>
      </c>
      <c r="R152" s="22" t="s">
        <v>12</v>
      </c>
      <c r="S152" s="21" t="s">
        <v>13</v>
      </c>
      <c r="T152" s="22" t="s">
        <v>14</v>
      </c>
      <c r="U152" s="21" t="s">
        <v>15</v>
      </c>
      <c r="V152" s="22" t="s">
        <v>16</v>
      </c>
      <c r="W152" s="21" t="s">
        <v>17</v>
      </c>
      <c r="X152" s="22" t="s">
        <v>18</v>
      </c>
      <c r="Y152" s="21" t="s">
        <v>19</v>
      </c>
      <c r="Z152" s="21" t="s">
        <v>20</v>
      </c>
    </row>
    <row r="153" spans="1:26" ht="13.9" customHeight="1">
      <c r="A153" s="15">
        <v>2</v>
      </c>
      <c r="D153" s="5" t="s">
        <v>21</v>
      </c>
      <c r="E153" s="35">
        <v>111</v>
      </c>
      <c r="F153" s="35" t="s">
        <v>46</v>
      </c>
      <c r="G153" s="36">
        <f t="shared" ref="G153:Q153" si="91">G162</f>
        <v>611878.44000000006</v>
      </c>
      <c r="H153" s="36">
        <f t="shared" si="91"/>
        <v>609340.98</v>
      </c>
      <c r="I153" s="36">
        <f t="shared" si="91"/>
        <v>558785</v>
      </c>
      <c r="J153" s="36">
        <f t="shared" si="91"/>
        <v>647334.14</v>
      </c>
      <c r="K153" s="36">
        <f t="shared" si="91"/>
        <v>693983</v>
      </c>
      <c r="L153" s="36">
        <f t="shared" si="91"/>
        <v>9564</v>
      </c>
      <c r="M153" s="36">
        <f t="shared" si="91"/>
        <v>23395</v>
      </c>
      <c r="N153" s="36">
        <f t="shared" si="91"/>
        <v>43681</v>
      </c>
      <c r="O153" s="36">
        <f t="shared" si="91"/>
        <v>82645</v>
      </c>
      <c r="P153" s="36">
        <f t="shared" si="91"/>
        <v>853268</v>
      </c>
      <c r="Q153" s="36">
        <f t="shared" si="91"/>
        <v>122558.54</v>
      </c>
      <c r="R153" s="37">
        <f>Q153/$P153</f>
        <v>0.14363428606252665</v>
      </c>
      <c r="S153" s="36">
        <f>S162</f>
        <v>307178.20999999996</v>
      </c>
      <c r="T153" s="37">
        <f>S153/$P153</f>
        <v>0.36000202749898036</v>
      </c>
      <c r="U153" s="36">
        <f>U162</f>
        <v>488567.10000000003</v>
      </c>
      <c r="V153" s="37">
        <f>U153/$P153</f>
        <v>0.5725834087297309</v>
      </c>
      <c r="W153" s="36">
        <f>W162</f>
        <v>799105.12</v>
      </c>
      <c r="X153" s="37">
        <f>W153/$P153</f>
        <v>0.93652301504333924</v>
      </c>
      <c r="Y153" s="36">
        <f>Y162</f>
        <v>693983</v>
      </c>
      <c r="Z153" s="36">
        <f>Z162</f>
        <v>693983</v>
      </c>
    </row>
    <row r="154" spans="1:26" ht="13.9" customHeight="1">
      <c r="A154" s="15">
        <v>2</v>
      </c>
      <c r="D154" s="5"/>
      <c r="E154" s="35">
        <v>41</v>
      </c>
      <c r="F154" s="35" t="s">
        <v>23</v>
      </c>
      <c r="G154" s="36">
        <f t="shared" ref="G154:Q154" si="92">G169</f>
        <v>258605.11</v>
      </c>
      <c r="H154" s="36">
        <f t="shared" si="92"/>
        <v>291580.33</v>
      </c>
      <c r="I154" s="36">
        <f t="shared" si="92"/>
        <v>331955</v>
      </c>
      <c r="J154" s="36">
        <f t="shared" si="92"/>
        <v>336431.55</v>
      </c>
      <c r="K154" s="36">
        <f t="shared" si="92"/>
        <v>396340</v>
      </c>
      <c r="L154" s="36">
        <f t="shared" si="92"/>
        <v>0</v>
      </c>
      <c r="M154" s="36">
        <f t="shared" si="92"/>
        <v>-2840</v>
      </c>
      <c r="N154" s="36">
        <f t="shared" si="92"/>
        <v>-1742</v>
      </c>
      <c r="O154" s="36">
        <f t="shared" si="92"/>
        <v>2360</v>
      </c>
      <c r="P154" s="36">
        <f t="shared" si="92"/>
        <v>394118</v>
      </c>
      <c r="Q154" s="36">
        <f t="shared" si="92"/>
        <v>57795.17</v>
      </c>
      <c r="R154" s="37">
        <f>Q154/$P154</f>
        <v>0.14664432987074935</v>
      </c>
      <c r="S154" s="36">
        <f>S169</f>
        <v>141479.56</v>
      </c>
      <c r="T154" s="37">
        <f>S154/$P154</f>
        <v>0.35897766658716423</v>
      </c>
      <c r="U154" s="36">
        <f>U169</f>
        <v>221040.48</v>
      </c>
      <c r="V154" s="37">
        <f>U154/$P154</f>
        <v>0.56084847685211026</v>
      </c>
      <c r="W154" s="36">
        <f>W169</f>
        <v>323565.08999999997</v>
      </c>
      <c r="X154" s="37">
        <f>W154/$P154</f>
        <v>0.82098531404300223</v>
      </c>
      <c r="Y154" s="36">
        <f>Y169</f>
        <v>393340</v>
      </c>
      <c r="Z154" s="36">
        <f>Z169</f>
        <v>393340</v>
      </c>
    </row>
    <row r="155" spans="1:26" ht="13.9" customHeight="1">
      <c r="A155" s="15">
        <v>2</v>
      </c>
      <c r="D155" s="5"/>
      <c r="E155" s="35">
        <v>72</v>
      </c>
      <c r="F155" s="35" t="s">
        <v>25</v>
      </c>
      <c r="G155" s="36">
        <f t="shared" ref="G155:Q155" si="93">G171</f>
        <v>41689.450000000004</v>
      </c>
      <c r="H155" s="36">
        <f t="shared" si="93"/>
        <v>44043.81</v>
      </c>
      <c r="I155" s="36">
        <f t="shared" si="93"/>
        <v>103140</v>
      </c>
      <c r="J155" s="36">
        <f t="shared" si="93"/>
        <v>71545.320000000007</v>
      </c>
      <c r="K155" s="36">
        <f t="shared" si="93"/>
        <v>150267</v>
      </c>
      <c r="L155" s="36">
        <f t="shared" si="93"/>
        <v>500</v>
      </c>
      <c r="M155" s="36">
        <f t="shared" si="93"/>
        <v>1406</v>
      </c>
      <c r="N155" s="36">
        <f t="shared" si="93"/>
        <v>1755</v>
      </c>
      <c r="O155" s="36">
        <f t="shared" si="93"/>
        <v>18866</v>
      </c>
      <c r="P155" s="36">
        <f t="shared" si="93"/>
        <v>172794</v>
      </c>
      <c r="Q155" s="36">
        <f t="shared" si="93"/>
        <v>25133.71</v>
      </c>
      <c r="R155" s="37">
        <f>Q155/$P155</f>
        <v>0.14545476116068845</v>
      </c>
      <c r="S155" s="36">
        <f>S171</f>
        <v>47233.96</v>
      </c>
      <c r="T155" s="37">
        <f>S155/$P155</f>
        <v>0.2733541673900714</v>
      </c>
      <c r="U155" s="36">
        <f>U171</f>
        <v>75243.81</v>
      </c>
      <c r="V155" s="37">
        <f>U155/$P155</f>
        <v>0.43545383520261116</v>
      </c>
      <c r="W155" s="36">
        <f>W171</f>
        <v>97546.64</v>
      </c>
      <c r="X155" s="37">
        <f>W155/$P155</f>
        <v>0.56452562010254981</v>
      </c>
      <c r="Y155" s="36">
        <f>Y171</f>
        <v>150267</v>
      </c>
      <c r="Z155" s="36">
        <f>Z171</f>
        <v>150267</v>
      </c>
    </row>
    <row r="156" spans="1:26" ht="13.9" customHeight="1">
      <c r="A156" s="15">
        <v>2</v>
      </c>
      <c r="D156" s="30"/>
      <c r="E156" s="31"/>
      <c r="F156" s="38" t="s">
        <v>119</v>
      </c>
      <c r="G156" s="39">
        <f t="shared" ref="G156:Q156" si="94">SUM(G153:G155)</f>
        <v>912173</v>
      </c>
      <c r="H156" s="39">
        <f t="shared" si="94"/>
        <v>944965.12000000011</v>
      </c>
      <c r="I156" s="39">
        <f t="shared" si="94"/>
        <v>993880</v>
      </c>
      <c r="J156" s="39">
        <f t="shared" si="94"/>
        <v>1055311.01</v>
      </c>
      <c r="K156" s="39">
        <f t="shared" si="94"/>
        <v>1240590</v>
      </c>
      <c r="L156" s="39">
        <f t="shared" si="94"/>
        <v>10064</v>
      </c>
      <c r="M156" s="39">
        <f t="shared" si="94"/>
        <v>21961</v>
      </c>
      <c r="N156" s="39">
        <f t="shared" si="94"/>
        <v>43694</v>
      </c>
      <c r="O156" s="39">
        <f t="shared" si="94"/>
        <v>103871</v>
      </c>
      <c r="P156" s="39">
        <f t="shared" si="94"/>
        <v>1420180</v>
      </c>
      <c r="Q156" s="39">
        <f t="shared" si="94"/>
        <v>205487.41999999998</v>
      </c>
      <c r="R156" s="40">
        <f>Q156/$P156</f>
        <v>0.14469110957765915</v>
      </c>
      <c r="S156" s="39">
        <f>SUM(S153:S155)</f>
        <v>495891.73</v>
      </c>
      <c r="T156" s="40">
        <f>S156/$P156</f>
        <v>0.34917526651551212</v>
      </c>
      <c r="U156" s="39">
        <f>SUM(U153:U155)</f>
        <v>784851.39000000013</v>
      </c>
      <c r="V156" s="40">
        <f>U156/$P156</f>
        <v>0.55264219324311015</v>
      </c>
      <c r="W156" s="39">
        <f>SUM(W153:W155)</f>
        <v>1220216.8499999999</v>
      </c>
      <c r="X156" s="40">
        <f>W156/$P156</f>
        <v>0.8591987283302116</v>
      </c>
      <c r="Y156" s="39">
        <f>SUM(Y153:Y155)</f>
        <v>1237590</v>
      </c>
      <c r="Z156" s="39">
        <f>SUM(Z153:Z155)</f>
        <v>1237590</v>
      </c>
    </row>
    <row r="158" spans="1:26" ht="13.9" customHeight="1">
      <c r="D158" s="41" t="s">
        <v>159</v>
      </c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2"/>
      <c r="S158" s="41"/>
      <c r="T158" s="42"/>
      <c r="U158" s="41"/>
      <c r="V158" s="42"/>
      <c r="W158" s="41"/>
      <c r="X158" s="42"/>
      <c r="Y158" s="41"/>
      <c r="Z158" s="41"/>
    </row>
    <row r="159" spans="1:26" ht="13.9" customHeight="1">
      <c r="D159" s="21" t="s">
        <v>32</v>
      </c>
      <c r="E159" s="21" t="s">
        <v>33</v>
      </c>
      <c r="F159" s="21" t="s">
        <v>34</v>
      </c>
      <c r="G159" s="21" t="s">
        <v>1</v>
      </c>
      <c r="H159" s="21" t="s">
        <v>2</v>
      </c>
      <c r="I159" s="21" t="s">
        <v>3</v>
      </c>
      <c r="J159" s="21" t="s">
        <v>4</v>
      </c>
      <c r="K159" s="21" t="s">
        <v>5</v>
      </c>
      <c r="L159" s="21" t="s">
        <v>6</v>
      </c>
      <c r="M159" s="21" t="s">
        <v>7</v>
      </c>
      <c r="N159" s="21" t="s">
        <v>8</v>
      </c>
      <c r="O159" s="21" t="s">
        <v>9</v>
      </c>
      <c r="P159" s="21" t="s">
        <v>10</v>
      </c>
      <c r="Q159" s="21" t="s">
        <v>11</v>
      </c>
      <c r="R159" s="22" t="s">
        <v>12</v>
      </c>
      <c r="S159" s="21" t="s">
        <v>13</v>
      </c>
      <c r="T159" s="22" t="s">
        <v>14</v>
      </c>
      <c r="U159" s="21" t="s">
        <v>15</v>
      </c>
      <c r="V159" s="22" t="s">
        <v>16</v>
      </c>
      <c r="W159" s="21" t="s">
        <v>17</v>
      </c>
      <c r="X159" s="22" t="s">
        <v>18</v>
      </c>
      <c r="Y159" s="21" t="s">
        <v>19</v>
      </c>
      <c r="Z159" s="21" t="s">
        <v>20</v>
      </c>
    </row>
    <row r="160" spans="1:26" ht="13.9" customHeight="1">
      <c r="A160" s="15">
        <v>2</v>
      </c>
      <c r="B160" s="15">
        <v>1</v>
      </c>
      <c r="D160" s="51" t="s">
        <v>160</v>
      </c>
      <c r="E160" s="23">
        <v>630</v>
      </c>
      <c r="F160" s="23" t="s">
        <v>126</v>
      </c>
      <c r="G160" s="46">
        <v>0</v>
      </c>
      <c r="H160" s="46">
        <v>0</v>
      </c>
      <c r="I160" s="46">
        <v>0</v>
      </c>
      <c r="J160" s="46">
        <v>4581.01</v>
      </c>
      <c r="K160" s="46">
        <v>0</v>
      </c>
      <c r="L160" s="46"/>
      <c r="M160" s="46">
        <v>3237</v>
      </c>
      <c r="N160" s="46">
        <f>305+1437</f>
        <v>1742</v>
      </c>
      <c r="O160" s="46">
        <v>20717</v>
      </c>
      <c r="P160" s="24">
        <f>K160+SUM(L160:O160)</f>
        <v>25696</v>
      </c>
      <c r="Q160" s="46">
        <v>480</v>
      </c>
      <c r="R160" s="47">
        <f t="shared" ref="R160:R172" si="95">Q160/$P160</f>
        <v>1.86799501867995E-2</v>
      </c>
      <c r="S160" s="46">
        <v>4717.41</v>
      </c>
      <c r="T160" s="47">
        <f t="shared" ref="T160:T172" si="96">S160/$P160</f>
        <v>0.18358538293897883</v>
      </c>
      <c r="U160" s="46">
        <v>6459.26</v>
      </c>
      <c r="V160" s="47">
        <f t="shared" ref="V160:V172" si="97">U160/$P160</f>
        <v>0.25137219800747201</v>
      </c>
      <c r="W160" s="46">
        <v>32424.78</v>
      </c>
      <c r="X160" s="47">
        <f t="shared" ref="X160:X172" si="98">W160/$P160</f>
        <v>1.2618609900373599</v>
      </c>
      <c r="Y160" s="24">
        <f>K160</f>
        <v>0</v>
      </c>
      <c r="Z160" s="24">
        <f>Y160</f>
        <v>0</v>
      </c>
    </row>
    <row r="161" spans="1:26" ht="13.9" customHeight="1">
      <c r="A161" s="15">
        <v>2</v>
      </c>
      <c r="B161" s="15">
        <v>1</v>
      </c>
      <c r="D161" s="51" t="s">
        <v>160</v>
      </c>
      <c r="E161" s="23" t="s">
        <v>49</v>
      </c>
      <c r="F161" s="23" t="s">
        <v>22</v>
      </c>
      <c r="G161" s="46">
        <f>572522.38+6050+32308.06+998</f>
        <v>611878.44000000006</v>
      </c>
      <c r="H161" s="46">
        <f>4578.98+604762</f>
        <v>609340.98</v>
      </c>
      <c r="I161" s="46">
        <v>558785</v>
      </c>
      <c r="J161" s="46">
        <v>642753.13</v>
      </c>
      <c r="K161" s="46">
        <v>693983</v>
      </c>
      <c r="L161" s="46">
        <v>9564</v>
      </c>
      <c r="M161" s="46">
        <v>20158</v>
      </c>
      <c r="N161" s="46">
        <v>41939</v>
      </c>
      <c r="O161" s="46">
        <v>61928</v>
      </c>
      <c r="P161" s="24">
        <f>K161+SUM(L161:O161)</f>
        <v>827572</v>
      </c>
      <c r="Q161" s="46">
        <v>122078.54</v>
      </c>
      <c r="R161" s="47">
        <f t="shared" si="95"/>
        <v>0.14751410149207561</v>
      </c>
      <c r="S161" s="46">
        <v>302460.79999999999</v>
      </c>
      <c r="T161" s="47">
        <f t="shared" si="96"/>
        <v>0.36547974073554929</v>
      </c>
      <c r="U161" s="46">
        <v>482107.84</v>
      </c>
      <c r="V161" s="47">
        <f t="shared" si="97"/>
        <v>0.58255697389471861</v>
      </c>
      <c r="W161" s="46">
        <v>766680.34</v>
      </c>
      <c r="X161" s="47">
        <f t="shared" si="98"/>
        <v>0.92642131439923048</v>
      </c>
      <c r="Y161" s="24">
        <f>K161</f>
        <v>693983</v>
      </c>
      <c r="Z161" s="24">
        <f>Y161</f>
        <v>693983</v>
      </c>
    </row>
    <row r="162" spans="1:26" ht="13.9" customHeight="1">
      <c r="A162" s="15">
        <v>2</v>
      </c>
      <c r="B162" s="15">
        <v>1</v>
      </c>
      <c r="D162" s="83" t="s">
        <v>21</v>
      </c>
      <c r="E162" s="48" t="s">
        <v>161</v>
      </c>
      <c r="F162" s="48" t="s">
        <v>129</v>
      </c>
      <c r="G162" s="49">
        <f t="shared" ref="G162:Q162" si="99">SUM(G160:G161)</f>
        <v>611878.44000000006</v>
      </c>
      <c r="H162" s="49">
        <f t="shared" si="99"/>
        <v>609340.98</v>
      </c>
      <c r="I162" s="49">
        <f t="shared" si="99"/>
        <v>558785</v>
      </c>
      <c r="J162" s="49">
        <f t="shared" si="99"/>
        <v>647334.14</v>
      </c>
      <c r="K162" s="49">
        <f t="shared" si="99"/>
        <v>693983</v>
      </c>
      <c r="L162" s="49">
        <f t="shared" si="99"/>
        <v>9564</v>
      </c>
      <c r="M162" s="49">
        <f t="shared" si="99"/>
        <v>23395</v>
      </c>
      <c r="N162" s="49">
        <f t="shared" si="99"/>
        <v>43681</v>
      </c>
      <c r="O162" s="49">
        <f t="shared" si="99"/>
        <v>82645</v>
      </c>
      <c r="P162" s="49">
        <f t="shared" si="99"/>
        <v>853268</v>
      </c>
      <c r="Q162" s="49">
        <f t="shared" si="99"/>
        <v>122558.54</v>
      </c>
      <c r="R162" s="50">
        <f t="shared" si="95"/>
        <v>0.14363428606252665</v>
      </c>
      <c r="S162" s="49">
        <f>SUM(S160:S161)</f>
        <v>307178.20999999996</v>
      </c>
      <c r="T162" s="50">
        <f t="shared" si="96"/>
        <v>0.36000202749898036</v>
      </c>
      <c r="U162" s="49">
        <f>SUM(U160:U161)</f>
        <v>488567.10000000003</v>
      </c>
      <c r="V162" s="50">
        <f t="shared" si="97"/>
        <v>0.5725834087297309</v>
      </c>
      <c r="W162" s="49">
        <f>SUM(W160:W161)</f>
        <v>799105.12</v>
      </c>
      <c r="X162" s="50">
        <f t="shared" si="98"/>
        <v>0.93652301504333924</v>
      </c>
      <c r="Y162" s="49">
        <f>SUM(Y160:Y161)</f>
        <v>693983</v>
      </c>
      <c r="Z162" s="49">
        <f>SUM(Z160:Z161)</f>
        <v>693983</v>
      </c>
    </row>
    <row r="163" spans="1:26" ht="13.9" customHeight="1">
      <c r="A163" s="15">
        <v>2</v>
      </c>
      <c r="B163" s="15">
        <v>1</v>
      </c>
      <c r="D163" s="80" t="s">
        <v>162</v>
      </c>
      <c r="E163" s="48">
        <v>630</v>
      </c>
      <c r="F163" s="48" t="s">
        <v>126</v>
      </c>
      <c r="G163" s="49">
        <v>18808.05</v>
      </c>
      <c r="H163" s="49">
        <v>16591.310000000001</v>
      </c>
      <c r="I163" s="49">
        <v>7971</v>
      </c>
      <c r="J163" s="49">
        <v>17602.3</v>
      </c>
      <c r="K163" s="49">
        <v>20184</v>
      </c>
      <c r="L163" s="49"/>
      <c r="M163" s="49">
        <v>-676</v>
      </c>
      <c r="N163" s="49">
        <v>-305</v>
      </c>
      <c r="O163" s="49">
        <v>1573</v>
      </c>
      <c r="P163" s="24">
        <f t="shared" ref="P163:P168" si="100">K163+SUM(L163:O163)</f>
        <v>20776</v>
      </c>
      <c r="Q163" s="49">
        <v>4711.38</v>
      </c>
      <c r="R163" s="47">
        <f t="shared" si="95"/>
        <v>0.22677031189834426</v>
      </c>
      <c r="S163" s="49">
        <v>9854.93</v>
      </c>
      <c r="T163" s="47">
        <f t="shared" si="96"/>
        <v>0.474342029264536</v>
      </c>
      <c r="U163" s="49">
        <v>14304.81</v>
      </c>
      <c r="V163" s="47">
        <f t="shared" si="97"/>
        <v>0.68852570273392377</v>
      </c>
      <c r="W163" s="49">
        <v>12250.49</v>
      </c>
      <c r="X163" s="47">
        <f t="shared" si="98"/>
        <v>0.58964622641509434</v>
      </c>
      <c r="Y163" s="24">
        <f>K163</f>
        <v>20184</v>
      </c>
      <c r="Z163" s="24">
        <f t="shared" ref="Z163:Z168" si="101">Y163</f>
        <v>20184</v>
      </c>
    </row>
    <row r="164" spans="1:26" ht="13.9" customHeight="1">
      <c r="A164" s="15">
        <v>2</v>
      </c>
      <c r="B164" s="15">
        <v>1</v>
      </c>
      <c r="D164" s="51" t="s">
        <v>163</v>
      </c>
      <c r="E164" s="23">
        <v>630</v>
      </c>
      <c r="F164" s="23" t="s">
        <v>126</v>
      </c>
      <c r="G164" s="24">
        <v>1168.71</v>
      </c>
      <c r="H164" s="24">
        <v>19656.91</v>
      </c>
      <c r="I164" s="24">
        <v>693</v>
      </c>
      <c r="J164" s="24">
        <v>7682.49</v>
      </c>
      <c r="K164" s="24">
        <v>5140</v>
      </c>
      <c r="L164" s="24"/>
      <c r="M164" s="24">
        <v>397</v>
      </c>
      <c r="N164" s="24"/>
      <c r="O164" s="24"/>
      <c r="P164" s="24">
        <f t="shared" si="100"/>
        <v>5537</v>
      </c>
      <c r="Q164" s="24">
        <v>0</v>
      </c>
      <c r="R164" s="25">
        <f t="shared" si="95"/>
        <v>0</v>
      </c>
      <c r="S164" s="24">
        <v>1477.2</v>
      </c>
      <c r="T164" s="25">
        <f t="shared" si="96"/>
        <v>0.26678706880982483</v>
      </c>
      <c r="U164" s="24">
        <v>1477.2</v>
      </c>
      <c r="V164" s="25">
        <f t="shared" si="97"/>
        <v>0.26678706880982483</v>
      </c>
      <c r="W164" s="24">
        <v>2309.44</v>
      </c>
      <c r="X164" s="25">
        <f t="shared" si="98"/>
        <v>0.41709228824273076</v>
      </c>
      <c r="Y164" s="24">
        <f>2140</f>
        <v>2140</v>
      </c>
      <c r="Z164" s="24">
        <f t="shared" si="101"/>
        <v>2140</v>
      </c>
    </row>
    <row r="165" spans="1:26" ht="13.9" hidden="1" customHeight="1">
      <c r="A165" s="15">
        <v>2</v>
      </c>
      <c r="B165" s="15">
        <v>1</v>
      </c>
      <c r="D165" s="4" t="s">
        <v>164</v>
      </c>
      <c r="E165" s="23">
        <v>630</v>
      </c>
      <c r="F165" s="23" t="s">
        <v>126</v>
      </c>
      <c r="G165" s="24">
        <v>833.71</v>
      </c>
      <c r="H165" s="24">
        <v>328.03</v>
      </c>
      <c r="I165" s="24">
        <v>51</v>
      </c>
      <c r="J165" s="24">
        <v>0</v>
      </c>
      <c r="K165" s="24">
        <v>0</v>
      </c>
      <c r="L165" s="24"/>
      <c r="M165" s="24"/>
      <c r="N165" s="24"/>
      <c r="O165" s="24"/>
      <c r="P165" s="24">
        <f t="shared" si="100"/>
        <v>0</v>
      </c>
      <c r="Q165" s="24">
        <v>0</v>
      </c>
      <c r="R165" s="25" t="e">
        <f t="shared" si="95"/>
        <v>#DIV/0!</v>
      </c>
      <c r="S165" s="24">
        <v>0</v>
      </c>
      <c r="T165" s="25" t="e">
        <f t="shared" si="96"/>
        <v>#DIV/0!</v>
      </c>
      <c r="U165" s="24">
        <v>0</v>
      </c>
      <c r="V165" s="25" t="e">
        <f t="shared" si="97"/>
        <v>#DIV/0!</v>
      </c>
      <c r="W165" s="24"/>
      <c r="X165" s="25" t="e">
        <f t="shared" si="98"/>
        <v>#DIV/0!</v>
      </c>
      <c r="Y165" s="24">
        <f>K165</f>
        <v>0</v>
      </c>
      <c r="Z165" s="24">
        <f t="shared" si="101"/>
        <v>0</v>
      </c>
    </row>
    <row r="166" spans="1:26" ht="13.9" hidden="1" customHeight="1">
      <c r="A166" s="15">
        <v>2</v>
      </c>
      <c r="B166" s="15">
        <v>1</v>
      </c>
      <c r="D166" s="4"/>
      <c r="E166" s="23">
        <v>640</v>
      </c>
      <c r="F166" s="23" t="s">
        <v>127</v>
      </c>
      <c r="G166" s="24">
        <v>1490.08</v>
      </c>
      <c r="H166" s="24">
        <v>974.05</v>
      </c>
      <c r="I166" s="24">
        <v>1624</v>
      </c>
      <c r="J166" s="24">
        <v>1624.18</v>
      </c>
      <c r="K166" s="24">
        <v>0</v>
      </c>
      <c r="L166" s="24"/>
      <c r="M166" s="24"/>
      <c r="N166" s="24"/>
      <c r="O166" s="24"/>
      <c r="P166" s="24">
        <f t="shared" si="100"/>
        <v>0</v>
      </c>
      <c r="Q166" s="24">
        <v>0</v>
      </c>
      <c r="R166" s="25" t="e">
        <f t="shared" si="95"/>
        <v>#DIV/0!</v>
      </c>
      <c r="S166" s="24">
        <v>0</v>
      </c>
      <c r="T166" s="25" t="e">
        <f t="shared" si="96"/>
        <v>#DIV/0!</v>
      </c>
      <c r="U166" s="24">
        <v>0</v>
      </c>
      <c r="V166" s="25" t="e">
        <f t="shared" si="97"/>
        <v>#DIV/0!</v>
      </c>
      <c r="W166" s="24"/>
      <c r="X166" s="25" t="e">
        <f t="shared" si="98"/>
        <v>#DIV/0!</v>
      </c>
      <c r="Y166" s="24">
        <f>K166</f>
        <v>0</v>
      </c>
      <c r="Z166" s="24">
        <f t="shared" si="101"/>
        <v>0</v>
      </c>
    </row>
    <row r="167" spans="1:26" ht="13.9" customHeight="1">
      <c r="A167" s="15">
        <v>2</v>
      </c>
      <c r="B167" s="15">
        <v>1</v>
      </c>
      <c r="D167" s="115" t="s">
        <v>165</v>
      </c>
      <c r="E167" s="23">
        <v>630</v>
      </c>
      <c r="F167" s="23" t="s">
        <v>126</v>
      </c>
      <c r="G167" s="24">
        <v>6871.88</v>
      </c>
      <c r="H167" s="24">
        <v>5342.45</v>
      </c>
      <c r="I167" s="24">
        <v>8869</v>
      </c>
      <c r="J167" s="24">
        <v>8909.4</v>
      </c>
      <c r="K167" s="24">
        <v>18995</v>
      </c>
      <c r="L167" s="24"/>
      <c r="M167" s="24">
        <v>-2561</v>
      </c>
      <c r="N167" s="24">
        <v>-1437</v>
      </c>
      <c r="O167" s="24"/>
      <c r="P167" s="24">
        <f t="shared" si="100"/>
        <v>14997</v>
      </c>
      <c r="Q167" s="24">
        <v>5258.3</v>
      </c>
      <c r="R167" s="25">
        <f t="shared" si="95"/>
        <v>0.35062345802493833</v>
      </c>
      <c r="S167" s="24">
        <v>7931.64</v>
      </c>
      <c r="T167" s="25">
        <f t="shared" si="96"/>
        <v>0.52888177635527112</v>
      </c>
      <c r="U167" s="24">
        <v>11153.58</v>
      </c>
      <c r="V167" s="25">
        <f t="shared" si="97"/>
        <v>0.74372074414882972</v>
      </c>
      <c r="W167" s="24">
        <v>5300.67</v>
      </c>
      <c r="X167" s="25">
        <f t="shared" si="98"/>
        <v>0.35344868973794757</v>
      </c>
      <c r="Y167" s="24">
        <f>K167</f>
        <v>18995</v>
      </c>
      <c r="Z167" s="24">
        <f t="shared" si="101"/>
        <v>18995</v>
      </c>
    </row>
    <row r="168" spans="1:26" ht="13.9" customHeight="1">
      <c r="A168" s="15">
        <v>2</v>
      </c>
      <c r="B168" s="15">
        <v>1</v>
      </c>
      <c r="D168" s="116" t="s">
        <v>160</v>
      </c>
      <c r="E168" s="23" t="s">
        <v>49</v>
      </c>
      <c r="F168" s="23" t="s">
        <v>166</v>
      </c>
      <c r="G168" s="46">
        <f>82080.35+139041.81+8310.52</f>
        <v>229432.68</v>
      </c>
      <c r="H168" s="46">
        <f>138588.76+107980.44+2118.38</f>
        <v>248687.58000000002</v>
      </c>
      <c r="I168" s="46">
        <v>312747</v>
      </c>
      <c r="J168" s="46">
        <v>300613.18</v>
      </c>
      <c r="K168" s="46">
        <v>352021</v>
      </c>
      <c r="L168" s="46"/>
      <c r="M168" s="46"/>
      <c r="N168" s="46"/>
      <c r="O168" s="46">
        <v>787</v>
      </c>
      <c r="P168" s="24">
        <f t="shared" si="100"/>
        <v>352808</v>
      </c>
      <c r="Q168" s="46">
        <v>47825.49</v>
      </c>
      <c r="R168" s="47">
        <f t="shared" si="95"/>
        <v>0.13555670506337725</v>
      </c>
      <c r="S168" s="46">
        <v>122215.79</v>
      </c>
      <c r="T168" s="47">
        <f t="shared" si="96"/>
        <v>0.34640878324754537</v>
      </c>
      <c r="U168" s="46">
        <v>194104.89</v>
      </c>
      <c r="V168" s="47">
        <f t="shared" si="97"/>
        <v>0.55017145302827608</v>
      </c>
      <c r="W168" s="46">
        <v>303704.49</v>
      </c>
      <c r="X168" s="47">
        <f t="shared" si="98"/>
        <v>0.86082087140881158</v>
      </c>
      <c r="Y168" s="24">
        <f>K168</f>
        <v>352021</v>
      </c>
      <c r="Z168" s="24">
        <f t="shared" si="101"/>
        <v>352021</v>
      </c>
    </row>
    <row r="169" spans="1:26" ht="13.9" customHeight="1">
      <c r="A169" s="15">
        <v>2</v>
      </c>
      <c r="B169" s="15">
        <v>1</v>
      </c>
      <c r="D169" s="83" t="s">
        <v>21</v>
      </c>
      <c r="E169" s="48">
        <v>41</v>
      </c>
      <c r="F169" s="48" t="s">
        <v>23</v>
      </c>
      <c r="G169" s="49">
        <f t="shared" ref="G169:Q169" si="102">SUM(G163:G168)</f>
        <v>258605.11</v>
      </c>
      <c r="H169" s="49">
        <f t="shared" si="102"/>
        <v>291580.33</v>
      </c>
      <c r="I169" s="49">
        <f t="shared" si="102"/>
        <v>331955</v>
      </c>
      <c r="J169" s="49">
        <f t="shared" si="102"/>
        <v>336431.55</v>
      </c>
      <c r="K169" s="49">
        <f t="shared" si="102"/>
        <v>396340</v>
      </c>
      <c r="L169" s="49">
        <f t="shared" si="102"/>
        <v>0</v>
      </c>
      <c r="M169" s="49">
        <f t="shared" si="102"/>
        <v>-2840</v>
      </c>
      <c r="N169" s="49">
        <f t="shared" si="102"/>
        <v>-1742</v>
      </c>
      <c r="O169" s="49">
        <f t="shared" si="102"/>
        <v>2360</v>
      </c>
      <c r="P169" s="49">
        <f t="shared" si="102"/>
        <v>394118</v>
      </c>
      <c r="Q169" s="49">
        <f t="shared" si="102"/>
        <v>57795.17</v>
      </c>
      <c r="R169" s="50">
        <f t="shared" si="95"/>
        <v>0.14664432987074935</v>
      </c>
      <c r="S169" s="49">
        <f>SUM(S163:S168)</f>
        <v>141479.56</v>
      </c>
      <c r="T169" s="50">
        <f t="shared" si="96"/>
        <v>0.35897766658716423</v>
      </c>
      <c r="U169" s="49">
        <f>SUM(U163:U168)</f>
        <v>221040.48</v>
      </c>
      <c r="V169" s="50">
        <f t="shared" si="97"/>
        <v>0.56084847685211026</v>
      </c>
      <c r="W169" s="49">
        <f>SUM(W163:W168)</f>
        <v>323565.08999999997</v>
      </c>
      <c r="X169" s="50">
        <f t="shared" si="98"/>
        <v>0.82098531404300223</v>
      </c>
      <c r="Y169" s="49">
        <f>SUM(Y163:Y168)</f>
        <v>393340</v>
      </c>
      <c r="Z169" s="49">
        <f>SUM(Z163:Z168)</f>
        <v>393340</v>
      </c>
    </row>
    <row r="170" spans="1:26" ht="13.9" customHeight="1">
      <c r="A170" s="15">
        <v>2</v>
      </c>
      <c r="B170" s="15">
        <v>1</v>
      </c>
      <c r="D170" s="51" t="s">
        <v>160</v>
      </c>
      <c r="E170" s="23" t="s">
        <v>49</v>
      </c>
      <c r="F170" s="23" t="s">
        <v>25</v>
      </c>
      <c r="G170" s="46">
        <f>39950.8+1704.85+33.8</f>
        <v>41689.450000000004</v>
      </c>
      <c r="H170" s="46">
        <f>43278.39+765.42</f>
        <v>44043.81</v>
      </c>
      <c r="I170" s="46">
        <v>103140</v>
      </c>
      <c r="J170" s="46">
        <v>71545.320000000007</v>
      </c>
      <c r="K170" s="46">
        <v>150267</v>
      </c>
      <c r="L170" s="46">
        <v>500</v>
      </c>
      <c r="M170" s="46">
        <v>1406</v>
      </c>
      <c r="N170" s="46">
        <v>1755</v>
      </c>
      <c r="O170" s="46">
        <v>18866</v>
      </c>
      <c r="P170" s="24">
        <f>K170+SUM(L170:O170)</f>
        <v>172794</v>
      </c>
      <c r="Q170" s="46">
        <v>25133.71</v>
      </c>
      <c r="R170" s="47">
        <f t="shared" si="95"/>
        <v>0.14545476116068845</v>
      </c>
      <c r="S170" s="46">
        <v>47233.96</v>
      </c>
      <c r="T170" s="47">
        <f t="shared" si="96"/>
        <v>0.2733541673900714</v>
      </c>
      <c r="U170" s="46">
        <v>75243.81</v>
      </c>
      <c r="V170" s="47">
        <f t="shared" si="97"/>
        <v>0.43545383520261116</v>
      </c>
      <c r="W170" s="46">
        <v>97546.64</v>
      </c>
      <c r="X170" s="47">
        <f t="shared" si="98"/>
        <v>0.56452562010254981</v>
      </c>
      <c r="Y170" s="24">
        <f>K170</f>
        <v>150267</v>
      </c>
      <c r="Z170" s="24">
        <f>Y170</f>
        <v>150267</v>
      </c>
    </row>
    <row r="171" spans="1:26" ht="13.9" customHeight="1">
      <c r="A171" s="15">
        <v>2</v>
      </c>
      <c r="B171" s="15">
        <v>1</v>
      </c>
      <c r="D171" s="83" t="s">
        <v>21</v>
      </c>
      <c r="E171" s="48">
        <v>72</v>
      </c>
      <c r="F171" s="48" t="s">
        <v>25</v>
      </c>
      <c r="G171" s="49">
        <f t="shared" ref="G171:Q171" si="103">SUM(G170:G170)</f>
        <v>41689.450000000004</v>
      </c>
      <c r="H171" s="49">
        <f t="shared" si="103"/>
        <v>44043.81</v>
      </c>
      <c r="I171" s="49">
        <f t="shared" si="103"/>
        <v>103140</v>
      </c>
      <c r="J171" s="49">
        <f t="shared" si="103"/>
        <v>71545.320000000007</v>
      </c>
      <c r="K171" s="98">
        <f t="shared" si="103"/>
        <v>150267</v>
      </c>
      <c r="L171" s="49">
        <f t="shared" si="103"/>
        <v>500</v>
      </c>
      <c r="M171" s="49">
        <f t="shared" si="103"/>
        <v>1406</v>
      </c>
      <c r="N171" s="49">
        <f t="shared" si="103"/>
        <v>1755</v>
      </c>
      <c r="O171" s="49">
        <f t="shared" si="103"/>
        <v>18866</v>
      </c>
      <c r="P171" s="49">
        <f t="shared" si="103"/>
        <v>172794</v>
      </c>
      <c r="Q171" s="49">
        <f t="shared" si="103"/>
        <v>25133.71</v>
      </c>
      <c r="R171" s="50">
        <f t="shared" si="95"/>
        <v>0.14545476116068845</v>
      </c>
      <c r="S171" s="49">
        <f>SUM(S170:S170)</f>
        <v>47233.96</v>
      </c>
      <c r="T171" s="50">
        <f t="shared" si="96"/>
        <v>0.2733541673900714</v>
      </c>
      <c r="U171" s="49">
        <f>SUM(U170:U170)</f>
        <v>75243.81</v>
      </c>
      <c r="V171" s="50">
        <f t="shared" si="97"/>
        <v>0.43545383520261116</v>
      </c>
      <c r="W171" s="49">
        <f>SUM(W170:W170)</f>
        <v>97546.64</v>
      </c>
      <c r="X171" s="50">
        <f t="shared" si="98"/>
        <v>0.56452562010254981</v>
      </c>
      <c r="Y171" s="49">
        <f>SUM(Y170:Y170)</f>
        <v>150267</v>
      </c>
      <c r="Z171" s="49">
        <f>SUM(Z170:Z170)</f>
        <v>150267</v>
      </c>
    </row>
    <row r="172" spans="1:26" ht="13.9" customHeight="1">
      <c r="A172" s="15">
        <v>2</v>
      </c>
      <c r="B172" s="15">
        <v>1</v>
      </c>
      <c r="D172" s="30"/>
      <c r="E172" s="31"/>
      <c r="F172" s="26" t="s">
        <v>119</v>
      </c>
      <c r="G172" s="27">
        <f t="shared" ref="G172:Q172" si="104">G162+G169+G171</f>
        <v>912173</v>
      </c>
      <c r="H172" s="27">
        <f t="shared" si="104"/>
        <v>944965.12000000011</v>
      </c>
      <c r="I172" s="27">
        <f t="shared" si="104"/>
        <v>993880</v>
      </c>
      <c r="J172" s="27">
        <f t="shared" si="104"/>
        <v>1055311.01</v>
      </c>
      <c r="K172" s="27">
        <f t="shared" si="104"/>
        <v>1240590</v>
      </c>
      <c r="L172" s="27">
        <f t="shared" si="104"/>
        <v>10064</v>
      </c>
      <c r="M172" s="27">
        <f t="shared" si="104"/>
        <v>21961</v>
      </c>
      <c r="N172" s="27">
        <f t="shared" si="104"/>
        <v>43694</v>
      </c>
      <c r="O172" s="27">
        <f t="shared" si="104"/>
        <v>103871</v>
      </c>
      <c r="P172" s="27">
        <f t="shared" si="104"/>
        <v>1420180</v>
      </c>
      <c r="Q172" s="27">
        <f t="shared" si="104"/>
        <v>205487.41999999998</v>
      </c>
      <c r="R172" s="28">
        <f t="shared" si="95"/>
        <v>0.14469110957765915</v>
      </c>
      <c r="S172" s="27">
        <f>S162+S169+S171</f>
        <v>495891.73</v>
      </c>
      <c r="T172" s="28">
        <f t="shared" si="96"/>
        <v>0.34917526651551212</v>
      </c>
      <c r="U172" s="27">
        <f>U162+U169+U171</f>
        <v>784851.39000000013</v>
      </c>
      <c r="V172" s="28">
        <f t="shared" si="97"/>
        <v>0.55264219324311015</v>
      </c>
      <c r="W172" s="27">
        <f>W162+W169+W171</f>
        <v>1220216.8499999999</v>
      </c>
      <c r="X172" s="28">
        <f t="shared" si="98"/>
        <v>0.8591987283302116</v>
      </c>
      <c r="Y172" s="27">
        <f>Y162+Y169+Y171</f>
        <v>1237590</v>
      </c>
      <c r="Z172" s="27">
        <f>Z162+Z169+Z171</f>
        <v>1237590</v>
      </c>
    </row>
    <row r="174" spans="1:26" ht="13.9" customHeight="1">
      <c r="E174" s="52" t="s">
        <v>56</v>
      </c>
      <c r="F174" s="30" t="s">
        <v>167</v>
      </c>
      <c r="G174" s="53">
        <v>1107.6300000000001</v>
      </c>
      <c r="H174" s="53">
        <v>881.57</v>
      </c>
      <c r="I174" s="117">
        <v>1403</v>
      </c>
      <c r="J174" s="53">
        <v>1228.8599999999999</v>
      </c>
      <c r="K174" s="117">
        <v>2445</v>
      </c>
      <c r="L174" s="53"/>
      <c r="M174" s="53"/>
      <c r="N174" s="53"/>
      <c r="O174" s="53">
        <v>157</v>
      </c>
      <c r="P174" s="53">
        <f t="shared" ref="P174:P179" si="105">K174+SUM(L174:O174)</f>
        <v>2602</v>
      </c>
      <c r="Q174" s="53">
        <v>694.96</v>
      </c>
      <c r="R174" s="54">
        <f t="shared" ref="R174:R179" si="106">Q174/$P174</f>
        <v>0.26708685626441203</v>
      </c>
      <c r="S174" s="53">
        <v>1392.87</v>
      </c>
      <c r="T174" s="54">
        <f t="shared" ref="T174:T179" si="107">S174/$P174</f>
        <v>0.53530745580322825</v>
      </c>
      <c r="U174" s="53">
        <v>1989.92</v>
      </c>
      <c r="V174" s="54">
        <f t="shared" ref="V174:V179" si="108">U174/$P174</f>
        <v>0.76476556495003845</v>
      </c>
      <c r="W174" s="53">
        <v>2601.7399999999998</v>
      </c>
      <c r="X174" s="55">
        <f t="shared" ref="X174:X179" si="109">W174/$P174</f>
        <v>0.99990007686395077</v>
      </c>
      <c r="Y174" s="53">
        <f>K174</f>
        <v>2445</v>
      </c>
      <c r="Z174" s="56">
        <f>Y174</f>
        <v>2445</v>
      </c>
    </row>
    <row r="175" spans="1:26" ht="13.9" customHeight="1">
      <c r="E175" s="57"/>
      <c r="F175" s="91" t="s">
        <v>168</v>
      </c>
      <c r="G175" s="81">
        <v>2622.33</v>
      </c>
      <c r="H175" s="81">
        <v>2628</v>
      </c>
      <c r="I175" s="92">
        <v>5279</v>
      </c>
      <c r="J175" s="81">
        <v>5873.63</v>
      </c>
      <c r="K175" s="92">
        <v>15154</v>
      </c>
      <c r="L175" s="81"/>
      <c r="M175" s="81"/>
      <c r="N175" s="81"/>
      <c r="O175" s="81">
        <v>8505</v>
      </c>
      <c r="P175" s="81">
        <f t="shared" si="105"/>
        <v>23659</v>
      </c>
      <c r="Q175" s="81">
        <v>3898.65</v>
      </c>
      <c r="R175" s="82">
        <f t="shared" si="106"/>
        <v>0.16478507122025446</v>
      </c>
      <c r="S175" s="81">
        <v>7650.51</v>
      </c>
      <c r="T175" s="82">
        <f t="shared" si="107"/>
        <v>0.32336573819688069</v>
      </c>
      <c r="U175" s="81">
        <v>11402.37</v>
      </c>
      <c r="V175" s="82">
        <f t="shared" si="108"/>
        <v>0.48194640517350695</v>
      </c>
      <c r="W175" s="81">
        <v>15154.23</v>
      </c>
      <c r="X175" s="60">
        <f t="shared" si="109"/>
        <v>0.64052707215013316</v>
      </c>
      <c r="Y175" s="81">
        <f>K175</f>
        <v>15154</v>
      </c>
      <c r="Z175" s="61">
        <f>Y175</f>
        <v>15154</v>
      </c>
    </row>
    <row r="176" spans="1:26" ht="13.9" customHeight="1">
      <c r="E176" s="57"/>
      <c r="F176" s="91" t="s">
        <v>169</v>
      </c>
      <c r="G176" s="81">
        <v>5541.77</v>
      </c>
      <c r="H176" s="81">
        <v>4466.45</v>
      </c>
      <c r="I176" s="92">
        <v>7110</v>
      </c>
      <c r="J176" s="81">
        <v>6951.59</v>
      </c>
      <c r="K176" s="92">
        <v>13943</v>
      </c>
      <c r="L176" s="81"/>
      <c r="M176" s="81"/>
      <c r="N176" s="81"/>
      <c r="O176" s="81">
        <v>10510</v>
      </c>
      <c r="P176" s="81">
        <f t="shared" si="105"/>
        <v>24453</v>
      </c>
      <c r="Q176" s="81">
        <v>3958.65</v>
      </c>
      <c r="R176" s="82">
        <f t="shared" si="106"/>
        <v>0.16188811188811189</v>
      </c>
      <c r="S176" s="81">
        <v>7942.07</v>
      </c>
      <c r="T176" s="82">
        <f t="shared" si="107"/>
        <v>0.32478918742076635</v>
      </c>
      <c r="U176" s="81">
        <v>11351.22</v>
      </c>
      <c r="V176" s="82">
        <f t="shared" si="108"/>
        <v>0.46420561894246104</v>
      </c>
      <c r="W176" s="81">
        <v>14844.64</v>
      </c>
      <c r="X176" s="60">
        <f t="shared" si="109"/>
        <v>0.6070682533840428</v>
      </c>
      <c r="Y176" s="81">
        <f>K176</f>
        <v>13943</v>
      </c>
      <c r="Z176" s="61">
        <f>Y176</f>
        <v>13943</v>
      </c>
    </row>
    <row r="177" spans="1:26" ht="13.9" customHeight="1">
      <c r="E177" s="57"/>
      <c r="F177" s="91" t="s">
        <v>170</v>
      </c>
      <c r="G177" s="92">
        <v>874.11</v>
      </c>
      <c r="H177" s="92">
        <v>876</v>
      </c>
      <c r="I177" s="92">
        <v>1759</v>
      </c>
      <c r="J177" s="92">
        <v>1957.81</v>
      </c>
      <c r="K177" s="92">
        <v>5052</v>
      </c>
      <c r="L177" s="92"/>
      <c r="M177" s="92"/>
      <c r="N177" s="92"/>
      <c r="O177" s="92">
        <v>88</v>
      </c>
      <c r="P177" s="92">
        <f t="shared" si="105"/>
        <v>5140</v>
      </c>
      <c r="Q177" s="92">
        <v>1299.6500000000001</v>
      </c>
      <c r="R177" s="93">
        <f t="shared" si="106"/>
        <v>0.25285019455252922</v>
      </c>
      <c r="S177" s="92">
        <v>2550.29</v>
      </c>
      <c r="T177" s="93">
        <f t="shared" si="107"/>
        <v>0.49616536964980545</v>
      </c>
      <c r="U177" s="92">
        <v>3200.93</v>
      </c>
      <c r="V177" s="93">
        <f t="shared" si="108"/>
        <v>0.62274902723735404</v>
      </c>
      <c r="W177" s="92">
        <v>5051.57</v>
      </c>
      <c r="X177" s="64">
        <f t="shared" si="109"/>
        <v>0.98279571984435787</v>
      </c>
      <c r="Y177" s="81">
        <f>K177</f>
        <v>5052</v>
      </c>
      <c r="Z177" s="61">
        <f>Y177</f>
        <v>5052</v>
      </c>
    </row>
    <row r="178" spans="1:26" ht="13.9" customHeight="1">
      <c r="E178" s="100"/>
      <c r="F178" s="118" t="s">
        <v>171</v>
      </c>
      <c r="G178" s="102"/>
      <c r="H178" s="102"/>
      <c r="I178" s="102"/>
      <c r="J178" s="102">
        <v>5180</v>
      </c>
      <c r="K178" s="102">
        <v>3250</v>
      </c>
      <c r="L178" s="102"/>
      <c r="M178" s="102"/>
      <c r="N178" s="102"/>
      <c r="O178" s="102"/>
      <c r="P178" s="102">
        <f t="shared" si="105"/>
        <v>3250</v>
      </c>
      <c r="Q178" s="102">
        <v>0</v>
      </c>
      <c r="R178" s="103">
        <f t="shared" si="106"/>
        <v>0</v>
      </c>
      <c r="S178" s="102">
        <v>1080</v>
      </c>
      <c r="T178" s="103">
        <f t="shared" si="107"/>
        <v>0.3323076923076923</v>
      </c>
      <c r="U178" s="102">
        <v>1080</v>
      </c>
      <c r="V178" s="103">
        <f t="shared" si="108"/>
        <v>0.3323076923076923</v>
      </c>
      <c r="W178" s="102">
        <v>1080</v>
      </c>
      <c r="X178" s="104">
        <f t="shared" si="109"/>
        <v>0.3323076923076923</v>
      </c>
      <c r="Y178" s="105">
        <v>250</v>
      </c>
      <c r="Z178" s="106">
        <v>250</v>
      </c>
    </row>
    <row r="179" spans="1:26" ht="13.9" hidden="1" customHeight="1">
      <c r="E179" s="65"/>
      <c r="F179" s="94" t="s">
        <v>172</v>
      </c>
      <c r="G179" s="95">
        <v>1383.6</v>
      </c>
      <c r="H179" s="95">
        <v>974.05</v>
      </c>
      <c r="I179" s="95">
        <v>1624</v>
      </c>
      <c r="J179" s="95">
        <v>1624.18</v>
      </c>
      <c r="K179" s="95">
        <v>0</v>
      </c>
      <c r="L179" s="95"/>
      <c r="M179" s="95"/>
      <c r="N179" s="95"/>
      <c r="O179" s="95"/>
      <c r="P179" s="95">
        <f t="shared" si="105"/>
        <v>0</v>
      </c>
      <c r="Q179" s="95">
        <v>0</v>
      </c>
      <c r="R179" s="96" t="e">
        <f t="shared" si="106"/>
        <v>#DIV/0!</v>
      </c>
      <c r="S179" s="95">
        <v>0</v>
      </c>
      <c r="T179" s="96" t="e">
        <f t="shared" si="107"/>
        <v>#DIV/0!</v>
      </c>
      <c r="U179" s="95">
        <v>0</v>
      </c>
      <c r="V179" s="96" t="e">
        <f t="shared" si="108"/>
        <v>#DIV/0!</v>
      </c>
      <c r="W179" s="95"/>
      <c r="X179" s="97" t="e">
        <f t="shared" si="109"/>
        <v>#DIV/0!</v>
      </c>
      <c r="Y179" s="67">
        <f>K179</f>
        <v>0</v>
      </c>
      <c r="Z179" s="70">
        <f>Y179</f>
        <v>0</v>
      </c>
    </row>
    <row r="181" spans="1:26" ht="13.9" customHeight="1">
      <c r="D181" s="32" t="s">
        <v>173</v>
      </c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3"/>
      <c r="S181" s="32"/>
      <c r="T181" s="33"/>
      <c r="U181" s="32"/>
      <c r="V181" s="33"/>
      <c r="W181" s="32"/>
      <c r="X181" s="33"/>
      <c r="Y181" s="32"/>
      <c r="Z181" s="32"/>
    </row>
    <row r="182" spans="1:26" ht="13.9" customHeight="1">
      <c r="D182" s="20"/>
      <c r="E182" s="20"/>
      <c r="F182" s="20"/>
      <c r="G182" s="21" t="s">
        <v>1</v>
      </c>
      <c r="H182" s="21" t="s">
        <v>2</v>
      </c>
      <c r="I182" s="21" t="s">
        <v>3</v>
      </c>
      <c r="J182" s="21" t="s">
        <v>4</v>
      </c>
      <c r="K182" s="21" t="s">
        <v>5</v>
      </c>
      <c r="L182" s="21" t="s">
        <v>6</v>
      </c>
      <c r="M182" s="21" t="s">
        <v>7</v>
      </c>
      <c r="N182" s="21" t="s">
        <v>8</v>
      </c>
      <c r="O182" s="21" t="s">
        <v>9</v>
      </c>
      <c r="P182" s="21" t="s">
        <v>10</v>
      </c>
      <c r="Q182" s="21" t="s">
        <v>11</v>
      </c>
      <c r="R182" s="22" t="s">
        <v>12</v>
      </c>
      <c r="S182" s="21" t="s">
        <v>13</v>
      </c>
      <c r="T182" s="22" t="s">
        <v>14</v>
      </c>
      <c r="U182" s="21" t="s">
        <v>15</v>
      </c>
      <c r="V182" s="22" t="s">
        <v>16</v>
      </c>
      <c r="W182" s="21" t="s">
        <v>17</v>
      </c>
      <c r="X182" s="22" t="s">
        <v>18</v>
      </c>
      <c r="Y182" s="21" t="s">
        <v>19</v>
      </c>
      <c r="Z182" s="21" t="s">
        <v>20</v>
      </c>
    </row>
    <row r="183" spans="1:26" ht="13.9" customHeight="1">
      <c r="A183" s="15">
        <v>3</v>
      </c>
      <c r="D183" s="12" t="s">
        <v>21</v>
      </c>
      <c r="E183" s="35">
        <v>111</v>
      </c>
      <c r="F183" s="35" t="s">
        <v>46</v>
      </c>
      <c r="G183" s="36">
        <f t="shared" ref="G183:Q183" si="110">G191</f>
        <v>0</v>
      </c>
      <c r="H183" s="36">
        <f t="shared" si="110"/>
        <v>0</v>
      </c>
      <c r="I183" s="36">
        <f t="shared" si="110"/>
        <v>0</v>
      </c>
      <c r="J183" s="36">
        <f t="shared" si="110"/>
        <v>0</v>
      </c>
      <c r="K183" s="36">
        <f t="shared" si="110"/>
        <v>0</v>
      </c>
      <c r="L183" s="36">
        <f t="shared" si="110"/>
        <v>0</v>
      </c>
      <c r="M183" s="36">
        <f t="shared" si="110"/>
        <v>220</v>
      </c>
      <c r="N183" s="36">
        <f t="shared" si="110"/>
        <v>220</v>
      </c>
      <c r="O183" s="36">
        <f t="shared" si="110"/>
        <v>220</v>
      </c>
      <c r="P183" s="36">
        <f t="shared" si="110"/>
        <v>660</v>
      </c>
      <c r="Q183" s="36">
        <f t="shared" si="110"/>
        <v>0</v>
      </c>
      <c r="R183" s="37">
        <f>Q183/$P183</f>
        <v>0</v>
      </c>
      <c r="S183" s="36">
        <f>S191</f>
        <v>219.84</v>
      </c>
      <c r="T183" s="37">
        <f>S183/$P183</f>
        <v>0.3330909090909091</v>
      </c>
      <c r="U183" s="36">
        <f>U191</f>
        <v>439.68</v>
      </c>
      <c r="V183" s="37">
        <f>U183/$P183</f>
        <v>0.66618181818181821</v>
      </c>
      <c r="W183" s="36">
        <f>W191</f>
        <v>659.52</v>
      </c>
      <c r="X183" s="37">
        <f>W183/$P183</f>
        <v>0.9992727272727272</v>
      </c>
      <c r="Y183" s="36">
        <f>Y191</f>
        <v>0</v>
      </c>
      <c r="Z183" s="36">
        <f>Z191</f>
        <v>0</v>
      </c>
    </row>
    <row r="184" spans="1:26" ht="13.9" customHeight="1">
      <c r="A184" s="15">
        <v>3</v>
      </c>
      <c r="D184" s="12" t="s">
        <v>21</v>
      </c>
      <c r="E184" s="35">
        <v>41</v>
      </c>
      <c r="F184" s="35" t="s">
        <v>23</v>
      </c>
      <c r="G184" s="36">
        <f t="shared" ref="G184:Q184" si="111">G196</f>
        <v>50768.509999999995</v>
      </c>
      <c r="H184" s="36">
        <f t="shared" si="111"/>
        <v>38483.79</v>
      </c>
      <c r="I184" s="36">
        <f t="shared" si="111"/>
        <v>37325</v>
      </c>
      <c r="J184" s="36">
        <f t="shared" si="111"/>
        <v>38948.019999999997</v>
      </c>
      <c r="K184" s="36">
        <f t="shared" si="111"/>
        <v>53508</v>
      </c>
      <c r="L184" s="36">
        <f t="shared" si="111"/>
        <v>0</v>
      </c>
      <c r="M184" s="36">
        <f t="shared" si="111"/>
        <v>-220</v>
      </c>
      <c r="N184" s="36">
        <f t="shared" si="111"/>
        <v>545</v>
      </c>
      <c r="O184" s="36">
        <f t="shared" si="111"/>
        <v>0</v>
      </c>
      <c r="P184" s="36">
        <f t="shared" si="111"/>
        <v>53833</v>
      </c>
      <c r="Q184" s="36">
        <f t="shared" si="111"/>
        <v>9091.23</v>
      </c>
      <c r="R184" s="37">
        <f>Q184/$P184</f>
        <v>0.16887838314788325</v>
      </c>
      <c r="S184" s="36">
        <f>S196</f>
        <v>18373.64</v>
      </c>
      <c r="T184" s="37">
        <f>S184/$P184</f>
        <v>0.34130811955491985</v>
      </c>
      <c r="U184" s="36">
        <f>U196</f>
        <v>24866.14</v>
      </c>
      <c r="V184" s="37">
        <f>U184/$P184</f>
        <v>0.46191258150205261</v>
      </c>
      <c r="W184" s="36">
        <f>W196</f>
        <v>35654.6</v>
      </c>
      <c r="X184" s="37">
        <f>W184/$P184</f>
        <v>0.66231865212787688</v>
      </c>
      <c r="Y184" s="36">
        <f>Y196</f>
        <v>42307</v>
      </c>
      <c r="Z184" s="36">
        <f>Z196</f>
        <v>44249</v>
      </c>
    </row>
    <row r="185" spans="1:26" ht="13.9" customHeight="1">
      <c r="A185" s="15">
        <v>3</v>
      </c>
      <c r="D185" s="12" t="s">
        <v>21</v>
      </c>
      <c r="E185" s="35">
        <v>72</v>
      </c>
      <c r="F185" s="35" t="s">
        <v>25</v>
      </c>
      <c r="G185" s="36">
        <f t="shared" ref="G185:Q185" si="112">G198</f>
        <v>141.05000000000001</v>
      </c>
      <c r="H185" s="36">
        <f t="shared" si="112"/>
        <v>165.75</v>
      </c>
      <c r="I185" s="36">
        <f t="shared" si="112"/>
        <v>167</v>
      </c>
      <c r="J185" s="36">
        <f t="shared" si="112"/>
        <v>174.69</v>
      </c>
      <c r="K185" s="36">
        <f t="shared" si="112"/>
        <v>198</v>
      </c>
      <c r="L185" s="36">
        <f t="shared" si="112"/>
        <v>0</v>
      </c>
      <c r="M185" s="36">
        <f t="shared" si="112"/>
        <v>0</v>
      </c>
      <c r="N185" s="36">
        <f t="shared" si="112"/>
        <v>0</v>
      </c>
      <c r="O185" s="36">
        <f t="shared" si="112"/>
        <v>0</v>
      </c>
      <c r="P185" s="36">
        <f t="shared" si="112"/>
        <v>198</v>
      </c>
      <c r="Q185" s="36">
        <f t="shared" si="112"/>
        <v>0</v>
      </c>
      <c r="R185" s="37">
        <f>Q185/$P185</f>
        <v>0</v>
      </c>
      <c r="S185" s="36">
        <f>S198</f>
        <v>0</v>
      </c>
      <c r="T185" s="37">
        <f>S185/$P185</f>
        <v>0</v>
      </c>
      <c r="U185" s="36">
        <f>U198</f>
        <v>0</v>
      </c>
      <c r="V185" s="37">
        <f>U185/$P185</f>
        <v>0</v>
      </c>
      <c r="W185" s="36">
        <f>W198</f>
        <v>171.89</v>
      </c>
      <c r="X185" s="37">
        <f>W185/$P185</f>
        <v>0.86813131313131309</v>
      </c>
      <c r="Y185" s="36">
        <f>Y198</f>
        <v>198</v>
      </c>
      <c r="Z185" s="36">
        <f>Z198</f>
        <v>198</v>
      </c>
    </row>
    <row r="186" spans="1:26" ht="13.9" customHeight="1">
      <c r="A186" s="15">
        <v>3</v>
      </c>
      <c r="D186" s="30"/>
      <c r="E186" s="31"/>
      <c r="F186" s="38" t="s">
        <v>119</v>
      </c>
      <c r="G186" s="39">
        <f t="shared" ref="G186:Q186" si="113">SUM(G183:G185)</f>
        <v>50909.56</v>
      </c>
      <c r="H186" s="39">
        <f t="shared" si="113"/>
        <v>38649.54</v>
      </c>
      <c r="I186" s="39">
        <f t="shared" si="113"/>
        <v>37492</v>
      </c>
      <c r="J186" s="39">
        <f t="shared" si="113"/>
        <v>39122.71</v>
      </c>
      <c r="K186" s="39">
        <f t="shared" si="113"/>
        <v>53706</v>
      </c>
      <c r="L186" s="39">
        <f t="shared" si="113"/>
        <v>0</v>
      </c>
      <c r="M186" s="39">
        <f t="shared" si="113"/>
        <v>0</v>
      </c>
      <c r="N186" s="39">
        <f t="shared" si="113"/>
        <v>765</v>
      </c>
      <c r="O186" s="39">
        <f t="shared" si="113"/>
        <v>220</v>
      </c>
      <c r="P186" s="39">
        <f t="shared" si="113"/>
        <v>54691</v>
      </c>
      <c r="Q186" s="39">
        <f t="shared" si="113"/>
        <v>9091.23</v>
      </c>
      <c r="R186" s="40">
        <f>Q186/$P186</f>
        <v>0.16622899562999396</v>
      </c>
      <c r="S186" s="39">
        <f>SUM(S183:S185)</f>
        <v>18593.48</v>
      </c>
      <c r="T186" s="40">
        <f>S186/$P186</f>
        <v>0.33997330456565067</v>
      </c>
      <c r="U186" s="39">
        <f>SUM(U183:U185)</f>
        <v>25305.82</v>
      </c>
      <c r="V186" s="40">
        <f>U186/$P186</f>
        <v>0.46270538114132126</v>
      </c>
      <c r="W186" s="39">
        <f>SUM(W183:W185)</f>
        <v>36486.009999999995</v>
      </c>
      <c r="X186" s="40">
        <f>W186/$P186</f>
        <v>0.66713005796200464</v>
      </c>
      <c r="Y186" s="39">
        <f>SUM(Y183:Y185)</f>
        <v>42505</v>
      </c>
      <c r="Z186" s="39">
        <f>SUM(Z183:Z185)</f>
        <v>44447</v>
      </c>
    </row>
    <row r="188" spans="1:26" ht="13.9" customHeight="1">
      <c r="D188" s="73" t="s">
        <v>174</v>
      </c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4"/>
      <c r="S188" s="73"/>
      <c r="T188" s="74"/>
      <c r="U188" s="73"/>
      <c r="V188" s="74"/>
      <c r="W188" s="73"/>
      <c r="X188" s="74"/>
      <c r="Y188" s="73"/>
      <c r="Z188" s="73"/>
    </row>
    <row r="189" spans="1:26" ht="13.9" customHeight="1">
      <c r="D189" s="21" t="s">
        <v>32</v>
      </c>
      <c r="E189" s="21" t="s">
        <v>33</v>
      </c>
      <c r="F189" s="21" t="s">
        <v>34</v>
      </c>
      <c r="G189" s="21" t="s">
        <v>1</v>
      </c>
      <c r="H189" s="21" t="s">
        <v>2</v>
      </c>
      <c r="I189" s="21" t="s">
        <v>3</v>
      </c>
      <c r="J189" s="21" t="s">
        <v>4</v>
      </c>
      <c r="K189" s="21" t="s">
        <v>5</v>
      </c>
      <c r="L189" s="21" t="s">
        <v>6</v>
      </c>
      <c r="M189" s="21" t="s">
        <v>7</v>
      </c>
      <c r="N189" s="21" t="s">
        <v>8</v>
      </c>
      <c r="O189" s="21" t="s">
        <v>9</v>
      </c>
      <c r="P189" s="21" t="s">
        <v>10</v>
      </c>
      <c r="Q189" s="21" t="s">
        <v>11</v>
      </c>
      <c r="R189" s="22" t="s">
        <v>12</v>
      </c>
      <c r="S189" s="21" t="s">
        <v>13</v>
      </c>
      <c r="T189" s="22" t="s">
        <v>14</v>
      </c>
      <c r="U189" s="21" t="s">
        <v>15</v>
      </c>
      <c r="V189" s="22" t="s">
        <v>16</v>
      </c>
      <c r="W189" s="21" t="s">
        <v>17</v>
      </c>
      <c r="X189" s="22" t="s">
        <v>18</v>
      </c>
      <c r="Y189" s="21" t="s">
        <v>19</v>
      </c>
      <c r="Z189" s="21" t="s">
        <v>20</v>
      </c>
    </row>
    <row r="190" spans="1:26" ht="13.9" customHeight="1">
      <c r="A190" s="15">
        <v>3</v>
      </c>
      <c r="B190" s="15">
        <v>1</v>
      </c>
      <c r="D190" s="51" t="s">
        <v>175</v>
      </c>
      <c r="E190" s="23">
        <v>630</v>
      </c>
      <c r="F190" s="23" t="s">
        <v>126</v>
      </c>
      <c r="G190" s="24">
        <v>0</v>
      </c>
      <c r="H190" s="46">
        <v>0</v>
      </c>
      <c r="I190" s="24">
        <v>0</v>
      </c>
      <c r="J190" s="24">
        <v>0</v>
      </c>
      <c r="K190" s="24">
        <v>0</v>
      </c>
      <c r="L190" s="24"/>
      <c r="M190" s="24">
        <v>220</v>
      </c>
      <c r="N190" s="24">
        <v>220</v>
      </c>
      <c r="O190" s="24">
        <v>220</v>
      </c>
      <c r="P190" s="46">
        <f>K190+SUM(L190:O190)</f>
        <v>660</v>
      </c>
      <c r="Q190" s="46">
        <v>0</v>
      </c>
      <c r="R190" s="47">
        <f t="shared" ref="R190:R199" si="114">Q190/$P190</f>
        <v>0</v>
      </c>
      <c r="S190" s="46">
        <v>219.84</v>
      </c>
      <c r="T190" s="47">
        <f t="shared" ref="T190:T199" si="115">S190/$P190</f>
        <v>0.3330909090909091</v>
      </c>
      <c r="U190" s="46">
        <v>439.68</v>
      </c>
      <c r="V190" s="47">
        <f t="shared" ref="V190:V199" si="116">U190/$P190</f>
        <v>0.66618181818181821</v>
      </c>
      <c r="W190" s="46">
        <v>659.52</v>
      </c>
      <c r="X190" s="47">
        <f t="shared" ref="X190:X199" si="117">W190/$P190</f>
        <v>0.9992727272727272</v>
      </c>
      <c r="Y190" s="24">
        <v>0</v>
      </c>
      <c r="Z190" s="24">
        <v>0</v>
      </c>
    </row>
    <row r="191" spans="1:26" ht="13.9" customHeight="1">
      <c r="A191" s="15">
        <v>3</v>
      </c>
      <c r="B191" s="15">
        <v>1</v>
      </c>
      <c r="D191" s="83" t="s">
        <v>21</v>
      </c>
      <c r="E191" s="48">
        <v>111</v>
      </c>
      <c r="F191" s="48" t="s">
        <v>23</v>
      </c>
      <c r="G191" s="49">
        <f t="shared" ref="G191:Q191" si="118">SUM(G190:G190)</f>
        <v>0</v>
      </c>
      <c r="H191" s="49">
        <f t="shared" si="118"/>
        <v>0</v>
      </c>
      <c r="I191" s="49">
        <f t="shared" si="118"/>
        <v>0</v>
      </c>
      <c r="J191" s="49">
        <f t="shared" si="118"/>
        <v>0</v>
      </c>
      <c r="K191" s="49">
        <f t="shared" si="118"/>
        <v>0</v>
      </c>
      <c r="L191" s="49">
        <f t="shared" si="118"/>
        <v>0</v>
      </c>
      <c r="M191" s="49">
        <f t="shared" si="118"/>
        <v>220</v>
      </c>
      <c r="N191" s="49">
        <f t="shared" si="118"/>
        <v>220</v>
      </c>
      <c r="O191" s="49">
        <f t="shared" si="118"/>
        <v>220</v>
      </c>
      <c r="P191" s="49">
        <f t="shared" si="118"/>
        <v>660</v>
      </c>
      <c r="Q191" s="49">
        <f t="shared" si="118"/>
        <v>0</v>
      </c>
      <c r="R191" s="50">
        <f t="shared" si="114"/>
        <v>0</v>
      </c>
      <c r="S191" s="49">
        <f>SUM(S190:S190)</f>
        <v>219.84</v>
      </c>
      <c r="T191" s="50">
        <f t="shared" si="115"/>
        <v>0.3330909090909091</v>
      </c>
      <c r="U191" s="49">
        <f>SUM(U190:U190)</f>
        <v>439.68</v>
      </c>
      <c r="V191" s="50">
        <f t="shared" si="116"/>
        <v>0.66618181818181821</v>
      </c>
      <c r="W191" s="49">
        <f>SUM(W190:W190)</f>
        <v>659.52</v>
      </c>
      <c r="X191" s="50">
        <f t="shared" si="117"/>
        <v>0.9992727272727272</v>
      </c>
      <c r="Y191" s="49">
        <f>SUM(Y190:Y190)</f>
        <v>0</v>
      </c>
      <c r="Z191" s="49">
        <f>SUM(Z190:Z190)</f>
        <v>0</v>
      </c>
    </row>
    <row r="192" spans="1:26" ht="13.9" customHeight="1">
      <c r="A192" s="15">
        <v>3</v>
      </c>
      <c r="B192" s="15">
        <v>1</v>
      </c>
      <c r="D192" s="11" t="s">
        <v>175</v>
      </c>
      <c r="E192" s="23">
        <v>610</v>
      </c>
      <c r="F192" s="23" t="s">
        <v>124</v>
      </c>
      <c r="G192" s="24">
        <v>12487.58</v>
      </c>
      <c r="H192" s="24">
        <v>12067.2</v>
      </c>
      <c r="I192" s="24">
        <v>12820</v>
      </c>
      <c r="J192" s="24">
        <v>15333.22</v>
      </c>
      <c r="K192" s="24">
        <v>14511</v>
      </c>
      <c r="L192" s="24"/>
      <c r="M192" s="24"/>
      <c r="N192" s="24"/>
      <c r="O192" s="24"/>
      <c r="P192" s="24">
        <f>K192+SUM(L192:O192)</f>
        <v>14511</v>
      </c>
      <c r="Q192" s="24">
        <v>4444.83</v>
      </c>
      <c r="R192" s="25">
        <f t="shared" si="114"/>
        <v>0.3063076286954724</v>
      </c>
      <c r="S192" s="24">
        <v>6755.22</v>
      </c>
      <c r="T192" s="25">
        <f t="shared" si="115"/>
        <v>0.46552408517676247</v>
      </c>
      <c r="U192" s="24">
        <v>9985.2199999999993</v>
      </c>
      <c r="V192" s="25">
        <f t="shared" si="116"/>
        <v>0.68811384466956094</v>
      </c>
      <c r="W192" s="24">
        <v>14189.72</v>
      </c>
      <c r="X192" s="25">
        <f t="shared" si="117"/>
        <v>0.97785955482048093</v>
      </c>
      <c r="Y192" s="24">
        <v>15820</v>
      </c>
      <c r="Z192" s="24">
        <v>17260</v>
      </c>
    </row>
    <row r="193" spans="1:26" ht="13.9" customHeight="1">
      <c r="A193" s="15">
        <v>3</v>
      </c>
      <c r="B193" s="15">
        <v>1</v>
      </c>
      <c r="D193" s="11"/>
      <c r="E193" s="23">
        <v>620</v>
      </c>
      <c r="F193" s="23" t="s">
        <v>125</v>
      </c>
      <c r="G193" s="24">
        <v>3965.37</v>
      </c>
      <c r="H193" s="24">
        <v>4217.28</v>
      </c>
      <c r="I193" s="24">
        <v>4481</v>
      </c>
      <c r="J193" s="24">
        <v>5358.63</v>
      </c>
      <c r="K193" s="24">
        <v>5071</v>
      </c>
      <c r="L193" s="24"/>
      <c r="M193" s="24"/>
      <c r="N193" s="24"/>
      <c r="O193" s="24"/>
      <c r="P193" s="24">
        <f>K193+SUM(L193:O193)</f>
        <v>5071</v>
      </c>
      <c r="Q193" s="24">
        <v>1235.8</v>
      </c>
      <c r="R193" s="25">
        <f t="shared" si="114"/>
        <v>0.24369946756063893</v>
      </c>
      <c r="S193" s="24">
        <v>2360.77</v>
      </c>
      <c r="T193" s="25">
        <f t="shared" si="115"/>
        <v>0.46554328534805756</v>
      </c>
      <c r="U193" s="24">
        <v>3489.6</v>
      </c>
      <c r="V193" s="25">
        <f t="shared" si="116"/>
        <v>0.68814829422204693</v>
      </c>
      <c r="W193" s="24">
        <v>4958.96</v>
      </c>
      <c r="X193" s="25">
        <f t="shared" si="117"/>
        <v>0.9779057385131138</v>
      </c>
      <c r="Y193" s="24">
        <v>5529</v>
      </c>
      <c r="Z193" s="24">
        <v>6033</v>
      </c>
    </row>
    <row r="194" spans="1:26" ht="13.9" customHeight="1">
      <c r="A194" s="15">
        <v>3</v>
      </c>
      <c r="B194" s="15">
        <v>1</v>
      </c>
      <c r="D194" s="11"/>
      <c r="E194" s="23">
        <v>630</v>
      </c>
      <c r="F194" s="23" t="s">
        <v>126</v>
      </c>
      <c r="G194" s="24">
        <v>34315.56</v>
      </c>
      <c r="H194" s="24">
        <v>21899.31</v>
      </c>
      <c r="I194" s="24">
        <f>976+19048</f>
        <v>20024</v>
      </c>
      <c r="J194" s="24">
        <v>18256.169999999998</v>
      </c>
      <c r="K194" s="24">
        <v>33926</v>
      </c>
      <c r="L194" s="24"/>
      <c r="M194" s="24">
        <v>-220</v>
      </c>
      <c r="N194" s="24">
        <v>545</v>
      </c>
      <c r="O194" s="24"/>
      <c r="P194" s="24">
        <f>K194+SUM(L194:O194)</f>
        <v>34251</v>
      </c>
      <c r="Q194" s="24">
        <v>3410.6</v>
      </c>
      <c r="R194" s="25">
        <f t="shared" si="114"/>
        <v>9.957665469621324E-2</v>
      </c>
      <c r="S194" s="24">
        <v>9257.65</v>
      </c>
      <c r="T194" s="25">
        <f t="shared" si="115"/>
        <v>0.27028845873113194</v>
      </c>
      <c r="U194" s="24">
        <v>11391.32</v>
      </c>
      <c r="V194" s="25">
        <f t="shared" si="116"/>
        <v>0.33258357420221307</v>
      </c>
      <c r="W194" s="24">
        <v>16505.919999999998</v>
      </c>
      <c r="X194" s="25">
        <f t="shared" si="117"/>
        <v>0.48191060115033135</v>
      </c>
      <c r="Y194" s="24">
        <v>20958</v>
      </c>
      <c r="Z194" s="24">
        <v>20956</v>
      </c>
    </row>
    <row r="195" spans="1:26" ht="13.9" hidden="1" customHeight="1">
      <c r="A195" s="15">
        <v>3</v>
      </c>
      <c r="B195" s="15">
        <v>1</v>
      </c>
      <c r="D195" s="11"/>
      <c r="E195" s="23">
        <v>640</v>
      </c>
      <c r="F195" s="23" t="s">
        <v>127</v>
      </c>
      <c r="G195" s="24">
        <v>0</v>
      </c>
      <c r="H195" s="24">
        <v>300</v>
      </c>
      <c r="I195" s="24">
        <v>0</v>
      </c>
      <c r="J195" s="24">
        <v>0</v>
      </c>
      <c r="K195" s="24">
        <v>0</v>
      </c>
      <c r="L195" s="24"/>
      <c r="M195" s="24"/>
      <c r="N195" s="24"/>
      <c r="O195" s="24"/>
      <c r="P195" s="24">
        <f>K195+SUM(L195:O195)</f>
        <v>0</v>
      </c>
      <c r="Q195" s="24"/>
      <c r="R195" s="25" t="e">
        <f t="shared" si="114"/>
        <v>#DIV/0!</v>
      </c>
      <c r="S195" s="24"/>
      <c r="T195" s="25" t="e">
        <f t="shared" si="115"/>
        <v>#DIV/0!</v>
      </c>
      <c r="U195" s="24"/>
      <c r="V195" s="25" t="e">
        <f t="shared" si="116"/>
        <v>#DIV/0!</v>
      </c>
      <c r="W195" s="24"/>
      <c r="X195" s="25" t="e">
        <f t="shared" si="117"/>
        <v>#DIV/0!</v>
      </c>
      <c r="Y195" s="24">
        <v>0</v>
      </c>
      <c r="Z195" s="24">
        <v>0</v>
      </c>
    </row>
    <row r="196" spans="1:26" ht="13.9" customHeight="1">
      <c r="A196" s="15">
        <v>3</v>
      </c>
      <c r="B196" s="15">
        <v>1</v>
      </c>
      <c r="D196" s="83" t="s">
        <v>21</v>
      </c>
      <c r="E196" s="48">
        <v>41</v>
      </c>
      <c r="F196" s="48" t="s">
        <v>23</v>
      </c>
      <c r="G196" s="49">
        <f t="shared" ref="G196:Q196" si="119">SUM(G192:G195)</f>
        <v>50768.509999999995</v>
      </c>
      <c r="H196" s="49">
        <f t="shared" si="119"/>
        <v>38483.79</v>
      </c>
      <c r="I196" s="49">
        <f t="shared" si="119"/>
        <v>37325</v>
      </c>
      <c r="J196" s="49">
        <f t="shared" si="119"/>
        <v>38948.019999999997</v>
      </c>
      <c r="K196" s="49">
        <f t="shared" si="119"/>
        <v>53508</v>
      </c>
      <c r="L196" s="49">
        <f t="shared" si="119"/>
        <v>0</v>
      </c>
      <c r="M196" s="49">
        <f t="shared" si="119"/>
        <v>-220</v>
      </c>
      <c r="N196" s="49">
        <f t="shared" si="119"/>
        <v>545</v>
      </c>
      <c r="O196" s="49">
        <f t="shared" si="119"/>
        <v>0</v>
      </c>
      <c r="P196" s="49">
        <f t="shared" si="119"/>
        <v>53833</v>
      </c>
      <c r="Q196" s="49">
        <f t="shared" si="119"/>
        <v>9091.23</v>
      </c>
      <c r="R196" s="50">
        <f t="shared" si="114"/>
        <v>0.16887838314788325</v>
      </c>
      <c r="S196" s="49">
        <f>SUM(S192:S195)</f>
        <v>18373.64</v>
      </c>
      <c r="T196" s="50">
        <f t="shared" si="115"/>
        <v>0.34130811955491985</v>
      </c>
      <c r="U196" s="49">
        <f>SUM(U192:U195)</f>
        <v>24866.14</v>
      </c>
      <c r="V196" s="50">
        <f t="shared" si="116"/>
        <v>0.46191258150205261</v>
      </c>
      <c r="W196" s="49">
        <f>SUM(W192:W195)</f>
        <v>35654.6</v>
      </c>
      <c r="X196" s="50">
        <f t="shared" si="117"/>
        <v>0.66231865212787688</v>
      </c>
      <c r="Y196" s="49">
        <f>SUM(Y192:Y195)</f>
        <v>42307</v>
      </c>
      <c r="Z196" s="49">
        <f>SUM(Z192:Z195)</f>
        <v>44249</v>
      </c>
    </row>
    <row r="197" spans="1:26" ht="13.9" customHeight="1">
      <c r="A197" s="15">
        <v>3</v>
      </c>
      <c r="B197" s="15">
        <v>1</v>
      </c>
      <c r="D197" s="80" t="s">
        <v>175</v>
      </c>
      <c r="E197" s="23">
        <v>640</v>
      </c>
      <c r="F197" s="23" t="s">
        <v>127</v>
      </c>
      <c r="G197" s="24">
        <v>141.05000000000001</v>
      </c>
      <c r="H197" s="24">
        <v>165.75</v>
      </c>
      <c r="I197" s="24">
        <v>167</v>
      </c>
      <c r="J197" s="24">
        <v>174.69</v>
      </c>
      <c r="K197" s="24">
        <v>198</v>
      </c>
      <c r="L197" s="24"/>
      <c r="M197" s="24"/>
      <c r="N197" s="24"/>
      <c r="O197" s="24"/>
      <c r="P197" s="24">
        <f>K197+SUM(L197:O197)</f>
        <v>198</v>
      </c>
      <c r="Q197" s="24">
        <v>0</v>
      </c>
      <c r="R197" s="25">
        <f t="shared" si="114"/>
        <v>0</v>
      </c>
      <c r="S197" s="24">
        <v>0</v>
      </c>
      <c r="T197" s="25">
        <f t="shared" si="115"/>
        <v>0</v>
      </c>
      <c r="U197" s="24">
        <v>0</v>
      </c>
      <c r="V197" s="25">
        <f t="shared" si="116"/>
        <v>0</v>
      </c>
      <c r="W197" s="24">
        <v>171.89</v>
      </c>
      <c r="X197" s="25">
        <f t="shared" si="117"/>
        <v>0.86813131313131309</v>
      </c>
      <c r="Y197" s="24">
        <f>K197</f>
        <v>198</v>
      </c>
      <c r="Z197" s="24">
        <f>Y197</f>
        <v>198</v>
      </c>
    </row>
    <row r="198" spans="1:26" ht="13.9" customHeight="1">
      <c r="A198" s="15">
        <v>3</v>
      </c>
      <c r="B198" s="15">
        <v>1</v>
      </c>
      <c r="D198" s="83" t="s">
        <v>21</v>
      </c>
      <c r="E198" s="48">
        <v>72</v>
      </c>
      <c r="F198" s="48" t="s">
        <v>25</v>
      </c>
      <c r="G198" s="49">
        <f t="shared" ref="G198:Q198" si="120">SUM(G197:G197)</f>
        <v>141.05000000000001</v>
      </c>
      <c r="H198" s="49">
        <f t="shared" si="120"/>
        <v>165.75</v>
      </c>
      <c r="I198" s="49">
        <f t="shared" si="120"/>
        <v>167</v>
      </c>
      <c r="J198" s="49">
        <f t="shared" si="120"/>
        <v>174.69</v>
      </c>
      <c r="K198" s="49">
        <f t="shared" si="120"/>
        <v>198</v>
      </c>
      <c r="L198" s="49">
        <f t="shared" si="120"/>
        <v>0</v>
      </c>
      <c r="M198" s="49">
        <f t="shared" si="120"/>
        <v>0</v>
      </c>
      <c r="N198" s="49">
        <f t="shared" si="120"/>
        <v>0</v>
      </c>
      <c r="O198" s="49">
        <f t="shared" si="120"/>
        <v>0</v>
      </c>
      <c r="P198" s="49">
        <f t="shared" si="120"/>
        <v>198</v>
      </c>
      <c r="Q198" s="49">
        <f t="shared" si="120"/>
        <v>0</v>
      </c>
      <c r="R198" s="50">
        <f t="shared" si="114"/>
        <v>0</v>
      </c>
      <c r="S198" s="49">
        <f>SUM(S197:S197)</f>
        <v>0</v>
      </c>
      <c r="T198" s="50">
        <f t="shared" si="115"/>
        <v>0</v>
      </c>
      <c r="U198" s="49">
        <f>SUM(U197:U197)</f>
        <v>0</v>
      </c>
      <c r="V198" s="50">
        <f t="shared" si="116"/>
        <v>0</v>
      </c>
      <c r="W198" s="49">
        <f>SUM(W197:W197)</f>
        <v>171.89</v>
      </c>
      <c r="X198" s="50">
        <f t="shared" si="117"/>
        <v>0.86813131313131309</v>
      </c>
      <c r="Y198" s="49">
        <f>SUM(Y197:Y197)</f>
        <v>198</v>
      </c>
      <c r="Z198" s="49">
        <f>SUM(Z197:Z197)</f>
        <v>198</v>
      </c>
    </row>
    <row r="199" spans="1:26" ht="13.9" customHeight="1">
      <c r="A199" s="15">
        <v>3</v>
      </c>
      <c r="B199" s="15">
        <v>1</v>
      </c>
      <c r="D199" s="119"/>
      <c r="E199" s="31"/>
      <c r="F199" s="26" t="s">
        <v>119</v>
      </c>
      <c r="G199" s="27">
        <f t="shared" ref="G199:Q199" si="121">G191+G196+G198</f>
        <v>50909.56</v>
      </c>
      <c r="H199" s="27">
        <f t="shared" si="121"/>
        <v>38649.54</v>
      </c>
      <c r="I199" s="27">
        <f t="shared" si="121"/>
        <v>37492</v>
      </c>
      <c r="J199" s="27">
        <f t="shared" si="121"/>
        <v>39122.71</v>
      </c>
      <c r="K199" s="27">
        <f t="shared" si="121"/>
        <v>53706</v>
      </c>
      <c r="L199" s="27">
        <f t="shared" si="121"/>
        <v>0</v>
      </c>
      <c r="M199" s="27">
        <f t="shared" si="121"/>
        <v>0</v>
      </c>
      <c r="N199" s="27">
        <f t="shared" si="121"/>
        <v>765</v>
      </c>
      <c r="O199" s="27">
        <f t="shared" si="121"/>
        <v>220</v>
      </c>
      <c r="P199" s="27">
        <f t="shared" si="121"/>
        <v>54691</v>
      </c>
      <c r="Q199" s="27">
        <f t="shared" si="121"/>
        <v>9091.23</v>
      </c>
      <c r="R199" s="28">
        <f t="shared" si="114"/>
        <v>0.16622899562999396</v>
      </c>
      <c r="S199" s="27">
        <f>S191+S196+S198</f>
        <v>18593.48</v>
      </c>
      <c r="T199" s="28">
        <f t="shared" si="115"/>
        <v>0.33997330456565067</v>
      </c>
      <c r="U199" s="27">
        <f>U191+U196+U198</f>
        <v>25305.82</v>
      </c>
      <c r="V199" s="28">
        <f t="shared" si="116"/>
        <v>0.46270538114132126</v>
      </c>
      <c r="W199" s="27">
        <f>W191+W196+W198</f>
        <v>36486.009999999995</v>
      </c>
      <c r="X199" s="28">
        <f t="shared" si="117"/>
        <v>0.66713005796200464</v>
      </c>
      <c r="Y199" s="27">
        <f>Y191+Y196+Y198</f>
        <v>42505</v>
      </c>
      <c r="Z199" s="27">
        <f>Z191+Z196+Z198</f>
        <v>44447</v>
      </c>
    </row>
    <row r="201" spans="1:26" ht="13.9" customHeight="1">
      <c r="E201" s="52" t="s">
        <v>56</v>
      </c>
      <c r="F201" s="30" t="s">
        <v>59</v>
      </c>
      <c r="G201" s="117">
        <v>8885.85</v>
      </c>
      <c r="H201" s="117">
        <v>9000.09</v>
      </c>
      <c r="I201" s="117">
        <v>9000</v>
      </c>
      <c r="J201" s="117">
        <v>8007.06</v>
      </c>
      <c r="K201" s="117">
        <v>8000</v>
      </c>
      <c r="L201" s="117"/>
      <c r="M201" s="117"/>
      <c r="N201" s="117"/>
      <c r="O201" s="117"/>
      <c r="P201" s="117">
        <f>K201+SUM(L201:O201)</f>
        <v>8000</v>
      </c>
      <c r="Q201" s="117">
        <v>1451.4</v>
      </c>
      <c r="R201" s="120">
        <f>Q201/$P201</f>
        <v>0.181425</v>
      </c>
      <c r="S201" s="117">
        <v>2165.9899999999998</v>
      </c>
      <c r="T201" s="120">
        <f>S201/$P201</f>
        <v>0.27074874999999998</v>
      </c>
      <c r="U201" s="117">
        <v>2680.39</v>
      </c>
      <c r="V201" s="120">
        <f>U201/$P201</f>
        <v>0.33504875000000001</v>
      </c>
      <c r="W201" s="117">
        <v>2980.38</v>
      </c>
      <c r="X201" s="121">
        <f>W201/$P201</f>
        <v>0.37254750000000003</v>
      </c>
      <c r="Y201" s="53">
        <f>K201</f>
        <v>8000</v>
      </c>
      <c r="Z201" s="56">
        <f>Y201</f>
        <v>8000</v>
      </c>
    </row>
    <row r="202" spans="1:26" ht="13.9" customHeight="1">
      <c r="E202" s="57"/>
      <c r="F202" s="91" t="s">
        <v>139</v>
      </c>
      <c r="G202" s="92">
        <v>1837</v>
      </c>
      <c r="H202" s="92">
        <v>1539.43</v>
      </c>
      <c r="I202" s="92">
        <v>2045</v>
      </c>
      <c r="J202" s="92">
        <v>1045</v>
      </c>
      <c r="K202" s="92">
        <v>4145</v>
      </c>
      <c r="L202" s="92"/>
      <c r="M202" s="92"/>
      <c r="N202" s="92"/>
      <c r="O202" s="92">
        <v>117</v>
      </c>
      <c r="P202" s="92">
        <f>K202+SUM(L202:O202)</f>
        <v>4262</v>
      </c>
      <c r="Q202" s="92">
        <v>1283.77</v>
      </c>
      <c r="R202" s="93">
        <f>Q202/$P202</f>
        <v>0.30121304551853589</v>
      </c>
      <c r="S202" s="92">
        <v>2113.77</v>
      </c>
      <c r="T202" s="93">
        <f>S202/$P202</f>
        <v>0.4959572970436415</v>
      </c>
      <c r="U202" s="92">
        <v>2881.77</v>
      </c>
      <c r="V202" s="93">
        <f>U202/$P202</f>
        <v>0.67615438761144997</v>
      </c>
      <c r="W202" s="92">
        <v>3649.77</v>
      </c>
      <c r="X202" s="64">
        <f>W202/$P202</f>
        <v>0.85635147817925861</v>
      </c>
      <c r="Y202" s="59">
        <f>K202</f>
        <v>4145</v>
      </c>
      <c r="Z202" s="61">
        <f>Y202</f>
        <v>4145</v>
      </c>
    </row>
    <row r="203" spans="1:26" ht="13.9" customHeight="1">
      <c r="E203" s="57"/>
      <c r="F203" s="58" t="s">
        <v>176</v>
      </c>
      <c r="G203" s="62">
        <v>14033.34</v>
      </c>
      <c r="H203" s="62">
        <v>2870.42</v>
      </c>
      <c r="I203" s="62">
        <v>1400</v>
      </c>
      <c r="J203" s="62">
        <v>1526.26</v>
      </c>
      <c r="K203" s="62">
        <v>11500</v>
      </c>
      <c r="L203" s="62"/>
      <c r="M203" s="62"/>
      <c r="N203" s="62"/>
      <c r="O203" s="62"/>
      <c r="P203" s="62">
        <f>K203+SUM(L203:O203)</f>
        <v>11500</v>
      </c>
      <c r="Q203" s="62">
        <v>0</v>
      </c>
      <c r="R203" s="63">
        <f>Q203/$P203</f>
        <v>0</v>
      </c>
      <c r="S203" s="62">
        <v>3148.92</v>
      </c>
      <c r="T203" s="63">
        <f>S203/$P203</f>
        <v>0.27381913043478262</v>
      </c>
      <c r="U203" s="62">
        <v>3148.92</v>
      </c>
      <c r="V203" s="63">
        <f>U203/$P203</f>
        <v>0.27381913043478262</v>
      </c>
      <c r="W203" s="62">
        <v>5431.51</v>
      </c>
      <c r="X203" s="64">
        <f>W203/$P203</f>
        <v>0.47230521739130438</v>
      </c>
      <c r="Y203" s="59">
        <v>1500</v>
      </c>
      <c r="Z203" s="61">
        <f>Y203</f>
        <v>1500</v>
      </c>
    </row>
    <row r="204" spans="1:26" ht="13.9" customHeight="1">
      <c r="E204" s="57"/>
      <c r="F204" s="15" t="s">
        <v>177</v>
      </c>
      <c r="G204" s="59">
        <v>2160</v>
      </c>
      <c r="H204" s="59">
        <v>2160</v>
      </c>
      <c r="I204" s="59">
        <v>2160</v>
      </c>
      <c r="J204" s="59">
        <v>2700</v>
      </c>
      <c r="K204" s="59">
        <v>2160</v>
      </c>
      <c r="L204" s="59"/>
      <c r="M204" s="59"/>
      <c r="N204" s="59"/>
      <c r="O204" s="59"/>
      <c r="P204" s="59">
        <f>K204+SUM(L204:O204)</f>
        <v>2160</v>
      </c>
      <c r="Q204" s="59">
        <v>0</v>
      </c>
      <c r="R204" s="16">
        <f>Q204/$P204</f>
        <v>0</v>
      </c>
      <c r="S204" s="59">
        <v>540</v>
      </c>
      <c r="T204" s="16">
        <f>S204/$P204</f>
        <v>0.25</v>
      </c>
      <c r="U204" s="59">
        <v>1080</v>
      </c>
      <c r="V204" s="16">
        <f>U204/$P204</f>
        <v>0.5</v>
      </c>
      <c r="W204" s="59">
        <v>1620</v>
      </c>
      <c r="X204" s="60">
        <f>W204/$P204</f>
        <v>0.75</v>
      </c>
      <c r="Y204" s="59">
        <f>K204</f>
        <v>2160</v>
      </c>
      <c r="Z204" s="61">
        <f>Y204</f>
        <v>2160</v>
      </c>
    </row>
    <row r="205" spans="1:26" ht="13.9" customHeight="1">
      <c r="E205" s="65"/>
      <c r="F205" s="94" t="s">
        <v>178</v>
      </c>
      <c r="G205" s="67">
        <v>2745.97</v>
      </c>
      <c r="H205" s="67">
        <v>3329.83</v>
      </c>
      <c r="I205" s="67">
        <v>3330</v>
      </c>
      <c r="J205" s="67">
        <v>2201.12</v>
      </c>
      <c r="K205" s="67">
        <v>2200</v>
      </c>
      <c r="L205" s="67"/>
      <c r="M205" s="67"/>
      <c r="N205" s="67"/>
      <c r="O205" s="67"/>
      <c r="P205" s="67">
        <f>K205+SUM(L205:O205)</f>
        <v>2200</v>
      </c>
      <c r="Q205" s="67">
        <v>305</v>
      </c>
      <c r="R205" s="68">
        <f>Q205/$P205</f>
        <v>0.13863636363636364</v>
      </c>
      <c r="S205" s="67">
        <v>0</v>
      </c>
      <c r="T205" s="68">
        <f>S205/$P205</f>
        <v>0</v>
      </c>
      <c r="U205" s="67">
        <v>148.65</v>
      </c>
      <c r="V205" s="68">
        <f>U205/$P205</f>
        <v>6.7568181818181819E-2</v>
      </c>
      <c r="W205" s="67">
        <v>453.05</v>
      </c>
      <c r="X205" s="69">
        <f>W205/$P205</f>
        <v>0.20593181818181819</v>
      </c>
      <c r="Y205" s="67">
        <f>K205</f>
        <v>2200</v>
      </c>
      <c r="Z205" s="70">
        <f>Y205</f>
        <v>2200</v>
      </c>
    </row>
    <row r="207" spans="1:26" ht="13.9" customHeight="1">
      <c r="D207" s="32" t="s">
        <v>179</v>
      </c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3"/>
      <c r="S207" s="32"/>
      <c r="T207" s="33"/>
      <c r="U207" s="32"/>
      <c r="V207" s="33"/>
      <c r="W207" s="32"/>
      <c r="X207" s="33"/>
      <c r="Y207" s="32"/>
      <c r="Z207" s="32"/>
    </row>
    <row r="208" spans="1:26" ht="13.9" customHeight="1">
      <c r="D208" s="20"/>
      <c r="E208" s="20"/>
      <c r="F208" s="20"/>
      <c r="G208" s="21" t="s">
        <v>1</v>
      </c>
      <c r="H208" s="21" t="s">
        <v>2</v>
      </c>
      <c r="I208" s="21" t="s">
        <v>3</v>
      </c>
      <c r="J208" s="21" t="s">
        <v>4</v>
      </c>
      <c r="K208" s="21" t="s">
        <v>5</v>
      </c>
      <c r="L208" s="21" t="s">
        <v>6</v>
      </c>
      <c r="M208" s="21" t="s">
        <v>7</v>
      </c>
      <c r="N208" s="21" t="s">
        <v>8</v>
      </c>
      <c r="O208" s="21" t="s">
        <v>9</v>
      </c>
      <c r="P208" s="21" t="s">
        <v>10</v>
      </c>
      <c r="Q208" s="21" t="s">
        <v>11</v>
      </c>
      <c r="R208" s="22" t="s">
        <v>12</v>
      </c>
      <c r="S208" s="21" t="s">
        <v>13</v>
      </c>
      <c r="T208" s="22" t="s">
        <v>14</v>
      </c>
      <c r="U208" s="21" t="s">
        <v>15</v>
      </c>
      <c r="V208" s="22" t="s">
        <v>16</v>
      </c>
      <c r="W208" s="21" t="s">
        <v>17</v>
      </c>
      <c r="X208" s="22" t="s">
        <v>18</v>
      </c>
      <c r="Y208" s="21" t="s">
        <v>19</v>
      </c>
      <c r="Z208" s="21" t="s">
        <v>20</v>
      </c>
    </row>
    <row r="209" spans="1:26" ht="13.9" customHeight="1">
      <c r="A209" s="15">
        <v>4</v>
      </c>
      <c r="D209" s="5" t="s">
        <v>21</v>
      </c>
      <c r="E209" s="35">
        <v>111</v>
      </c>
      <c r="F209" s="35" t="s">
        <v>46</v>
      </c>
      <c r="G209" s="36">
        <f t="shared" ref="G209:Q209" si="122">G229</f>
        <v>0</v>
      </c>
      <c r="H209" s="36">
        <f t="shared" si="122"/>
        <v>0</v>
      </c>
      <c r="I209" s="36">
        <f t="shared" si="122"/>
        <v>0</v>
      </c>
      <c r="J209" s="36">
        <f t="shared" si="122"/>
        <v>0</v>
      </c>
      <c r="K209" s="36">
        <f t="shared" si="122"/>
        <v>0</v>
      </c>
      <c r="L209" s="36">
        <f t="shared" si="122"/>
        <v>0</v>
      </c>
      <c r="M209" s="36">
        <f t="shared" si="122"/>
        <v>244</v>
      </c>
      <c r="N209" s="36">
        <f t="shared" si="122"/>
        <v>243</v>
      </c>
      <c r="O209" s="36">
        <f t="shared" si="122"/>
        <v>244</v>
      </c>
      <c r="P209" s="36">
        <f t="shared" si="122"/>
        <v>731</v>
      </c>
      <c r="Q209" s="36">
        <f t="shared" si="122"/>
        <v>0</v>
      </c>
      <c r="R209" s="37">
        <f>Q209/$P209</f>
        <v>0</v>
      </c>
      <c r="S209" s="36">
        <f>S229</f>
        <v>243.63</v>
      </c>
      <c r="T209" s="37">
        <f>S209/$P209</f>
        <v>0.33328317373461014</v>
      </c>
      <c r="U209" s="36">
        <f>U229</f>
        <v>487.26</v>
      </c>
      <c r="V209" s="37">
        <f>U209/$P209</f>
        <v>0.66656634746922028</v>
      </c>
      <c r="W209" s="36">
        <f>W229</f>
        <v>730.89</v>
      </c>
      <c r="X209" s="37">
        <f>W209/$P209</f>
        <v>0.9998495212038303</v>
      </c>
      <c r="Y209" s="36">
        <f>Y229</f>
        <v>0</v>
      </c>
      <c r="Z209" s="36">
        <f>Z229</f>
        <v>0</v>
      </c>
    </row>
    <row r="210" spans="1:26" ht="13.9" customHeight="1">
      <c r="A210" s="15">
        <v>4</v>
      </c>
      <c r="D210" s="5" t="s">
        <v>21</v>
      </c>
      <c r="E210" s="35">
        <v>41</v>
      </c>
      <c r="F210" s="35" t="s">
        <v>23</v>
      </c>
      <c r="G210" s="36">
        <f t="shared" ref="G210:Q210" si="123">G217+G223+G234</f>
        <v>104972.76000000001</v>
      </c>
      <c r="H210" s="36">
        <f t="shared" si="123"/>
        <v>135671.96000000002</v>
      </c>
      <c r="I210" s="36">
        <f t="shared" si="123"/>
        <v>73779</v>
      </c>
      <c r="J210" s="36">
        <f t="shared" si="123"/>
        <v>78101.989999999991</v>
      </c>
      <c r="K210" s="36">
        <f t="shared" si="123"/>
        <v>80420</v>
      </c>
      <c r="L210" s="36">
        <f t="shared" si="123"/>
        <v>0</v>
      </c>
      <c r="M210" s="36">
        <f t="shared" si="123"/>
        <v>256</v>
      </c>
      <c r="N210" s="36">
        <f t="shared" si="123"/>
        <v>-243</v>
      </c>
      <c r="O210" s="36">
        <f t="shared" si="123"/>
        <v>5000</v>
      </c>
      <c r="P210" s="36">
        <f t="shared" si="123"/>
        <v>85433</v>
      </c>
      <c r="Q210" s="36">
        <f t="shared" si="123"/>
        <v>17201.18</v>
      </c>
      <c r="R210" s="37">
        <f>Q210/$P210</f>
        <v>0.20134116793276602</v>
      </c>
      <c r="S210" s="36">
        <f>S217+S223+S234</f>
        <v>36211.120000000003</v>
      </c>
      <c r="T210" s="37">
        <f>S210/$P210</f>
        <v>0.42385401425678604</v>
      </c>
      <c r="U210" s="36">
        <f>U217+U223+U234</f>
        <v>54542.15</v>
      </c>
      <c r="V210" s="37">
        <f>U210/$P210</f>
        <v>0.63842016550981473</v>
      </c>
      <c r="W210" s="36">
        <f>W217+W223+W234</f>
        <v>81628.34</v>
      </c>
      <c r="X210" s="37">
        <f>W210/$P210</f>
        <v>0.95546615476455232</v>
      </c>
      <c r="Y210" s="36">
        <f>Y217+Y223+Y234</f>
        <v>80420</v>
      </c>
      <c r="Z210" s="36">
        <f>Z217+Z223+Z234</f>
        <v>80420</v>
      </c>
    </row>
    <row r="211" spans="1:26" ht="13.9" customHeight="1">
      <c r="A211" s="15">
        <v>4</v>
      </c>
      <c r="D211" s="5"/>
      <c r="E211" s="35">
        <v>72</v>
      </c>
      <c r="F211" s="35" t="s">
        <v>25</v>
      </c>
      <c r="G211" s="36">
        <f t="shared" ref="G211:Q211" si="124">G236</f>
        <v>247.65</v>
      </c>
      <c r="H211" s="36">
        <f t="shared" si="124"/>
        <v>244.5</v>
      </c>
      <c r="I211" s="36">
        <f t="shared" si="124"/>
        <v>62</v>
      </c>
      <c r="J211" s="36">
        <f t="shared" si="124"/>
        <v>33.69</v>
      </c>
      <c r="K211" s="36">
        <f t="shared" si="124"/>
        <v>0</v>
      </c>
      <c r="L211" s="36">
        <f t="shared" si="124"/>
        <v>0</v>
      </c>
      <c r="M211" s="36">
        <f t="shared" si="124"/>
        <v>0</v>
      </c>
      <c r="N211" s="36">
        <f t="shared" si="124"/>
        <v>0</v>
      </c>
      <c r="O211" s="36">
        <f t="shared" si="124"/>
        <v>50</v>
      </c>
      <c r="P211" s="36">
        <f t="shared" si="124"/>
        <v>50</v>
      </c>
      <c r="Q211" s="36">
        <f t="shared" si="124"/>
        <v>0</v>
      </c>
      <c r="R211" s="37">
        <f>Q211/$P211</f>
        <v>0</v>
      </c>
      <c r="S211" s="36">
        <f>S236</f>
        <v>0</v>
      </c>
      <c r="T211" s="37">
        <f>S211/$P211</f>
        <v>0</v>
      </c>
      <c r="U211" s="36">
        <f>U236</f>
        <v>0</v>
      </c>
      <c r="V211" s="37">
        <f>U211/$P211</f>
        <v>0</v>
      </c>
      <c r="W211" s="36">
        <f>W236</f>
        <v>49.7</v>
      </c>
      <c r="X211" s="37">
        <f>W211/$P211</f>
        <v>0.99400000000000011</v>
      </c>
      <c r="Y211" s="36">
        <f>Y236</f>
        <v>0</v>
      </c>
      <c r="Z211" s="36">
        <f>Z236</f>
        <v>0</v>
      </c>
    </row>
    <row r="212" spans="1:26" ht="13.9" customHeight="1">
      <c r="A212" s="15">
        <v>4</v>
      </c>
      <c r="D212" s="30"/>
      <c r="E212" s="31"/>
      <c r="F212" s="38" t="s">
        <v>119</v>
      </c>
      <c r="G212" s="39">
        <f t="shared" ref="G212:Q212" si="125">SUM(G209:G211)</f>
        <v>105220.41</v>
      </c>
      <c r="H212" s="39">
        <f t="shared" si="125"/>
        <v>135916.46000000002</v>
      </c>
      <c r="I212" s="39">
        <f t="shared" si="125"/>
        <v>73841</v>
      </c>
      <c r="J212" s="39">
        <f t="shared" si="125"/>
        <v>78135.679999999993</v>
      </c>
      <c r="K212" s="39">
        <f t="shared" si="125"/>
        <v>80420</v>
      </c>
      <c r="L212" s="39">
        <f t="shared" si="125"/>
        <v>0</v>
      </c>
      <c r="M212" s="39">
        <f t="shared" si="125"/>
        <v>500</v>
      </c>
      <c r="N212" s="39">
        <f t="shared" si="125"/>
        <v>0</v>
      </c>
      <c r="O212" s="39">
        <f t="shared" si="125"/>
        <v>5294</v>
      </c>
      <c r="P212" s="39">
        <f t="shared" si="125"/>
        <v>86214</v>
      </c>
      <c r="Q212" s="39">
        <f t="shared" si="125"/>
        <v>17201.18</v>
      </c>
      <c r="R212" s="40">
        <f>Q212/$P212</f>
        <v>0.19951724777878302</v>
      </c>
      <c r="S212" s="39">
        <f>SUM(S209:S211)</f>
        <v>36454.75</v>
      </c>
      <c r="T212" s="40">
        <f>S212/$P212</f>
        <v>0.42284025796274388</v>
      </c>
      <c r="U212" s="39">
        <f>SUM(U209:U211)</f>
        <v>55029.41</v>
      </c>
      <c r="V212" s="40">
        <f>U212/$P212</f>
        <v>0.63828856102257181</v>
      </c>
      <c r="W212" s="39">
        <f>SUM(W209:W211)</f>
        <v>82408.929999999993</v>
      </c>
      <c r="X212" s="40">
        <f>W212/$P212</f>
        <v>0.95586482473844148</v>
      </c>
      <c r="Y212" s="39">
        <f>SUM(Y209:Y211)</f>
        <v>80420</v>
      </c>
      <c r="Z212" s="39">
        <f>SUM(Z209:Z211)</f>
        <v>80420</v>
      </c>
    </row>
    <row r="214" spans="1:26" ht="13.9" customHeight="1">
      <c r="D214" s="73" t="s">
        <v>180</v>
      </c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4"/>
      <c r="S214" s="73"/>
      <c r="T214" s="74"/>
      <c r="U214" s="73"/>
      <c r="V214" s="74"/>
      <c r="W214" s="73"/>
      <c r="X214" s="74"/>
      <c r="Y214" s="73"/>
      <c r="Z214" s="73"/>
    </row>
    <row r="215" spans="1:26" ht="13.9" customHeight="1">
      <c r="D215" s="21" t="s">
        <v>32</v>
      </c>
      <c r="E215" s="21" t="s">
        <v>33</v>
      </c>
      <c r="F215" s="21" t="s">
        <v>34</v>
      </c>
      <c r="G215" s="21" t="s">
        <v>1</v>
      </c>
      <c r="H215" s="21" t="s">
        <v>2</v>
      </c>
      <c r="I215" s="21" t="s">
        <v>3</v>
      </c>
      <c r="J215" s="21" t="s">
        <v>4</v>
      </c>
      <c r="K215" s="21" t="s">
        <v>5</v>
      </c>
      <c r="L215" s="21" t="s">
        <v>6</v>
      </c>
      <c r="M215" s="21" t="s">
        <v>7</v>
      </c>
      <c r="N215" s="21" t="s">
        <v>8</v>
      </c>
      <c r="O215" s="21" t="s">
        <v>9</v>
      </c>
      <c r="P215" s="21" t="s">
        <v>10</v>
      </c>
      <c r="Q215" s="21" t="s">
        <v>11</v>
      </c>
      <c r="R215" s="22" t="s">
        <v>12</v>
      </c>
      <c r="S215" s="21" t="s">
        <v>13</v>
      </c>
      <c r="T215" s="22" t="s">
        <v>14</v>
      </c>
      <c r="U215" s="21" t="s">
        <v>15</v>
      </c>
      <c r="V215" s="22" t="s">
        <v>16</v>
      </c>
      <c r="W215" s="21" t="s">
        <v>17</v>
      </c>
      <c r="X215" s="22" t="s">
        <v>18</v>
      </c>
      <c r="Y215" s="21" t="s">
        <v>19</v>
      </c>
      <c r="Z215" s="21" t="s">
        <v>20</v>
      </c>
    </row>
    <row r="216" spans="1:26" ht="13.9" customHeight="1">
      <c r="A216" s="15">
        <v>4</v>
      </c>
      <c r="B216" s="15">
        <v>1</v>
      </c>
      <c r="D216" s="90" t="s">
        <v>181</v>
      </c>
      <c r="E216" s="23">
        <v>630</v>
      </c>
      <c r="F216" s="23" t="s">
        <v>126</v>
      </c>
      <c r="G216" s="46">
        <v>57460.65</v>
      </c>
      <c r="H216" s="46">
        <v>58714.01</v>
      </c>
      <c r="I216" s="46">
        <v>58470</v>
      </c>
      <c r="J216" s="46">
        <v>56647.22</v>
      </c>
      <c r="K216" s="46">
        <v>58200</v>
      </c>
      <c r="L216" s="46"/>
      <c r="M216" s="46"/>
      <c r="N216" s="46"/>
      <c r="O216" s="46">
        <v>5000</v>
      </c>
      <c r="P216" s="46">
        <f>K216+SUM(L216:O216)</f>
        <v>63200</v>
      </c>
      <c r="Q216" s="46">
        <v>15080.83</v>
      </c>
      <c r="R216" s="47">
        <f>Q216/$P216</f>
        <v>0.23862072784810126</v>
      </c>
      <c r="S216" s="46">
        <v>31740.47</v>
      </c>
      <c r="T216" s="47">
        <f>S216/$P216</f>
        <v>0.50222262658227845</v>
      </c>
      <c r="U216" s="46">
        <v>47969.62</v>
      </c>
      <c r="V216" s="47">
        <f>U216/$P216</f>
        <v>0.75901297468354434</v>
      </c>
      <c r="W216" s="46">
        <v>62161.06</v>
      </c>
      <c r="X216" s="47">
        <f>W216/$P216</f>
        <v>0.98356107594936704</v>
      </c>
      <c r="Y216" s="24">
        <f>K216</f>
        <v>58200</v>
      </c>
      <c r="Z216" s="24">
        <f>Y216</f>
        <v>58200</v>
      </c>
    </row>
    <row r="217" spans="1:26" ht="13.9" customHeight="1">
      <c r="A217" s="15">
        <v>4</v>
      </c>
      <c r="B217" s="15">
        <v>1</v>
      </c>
      <c r="D217" s="83" t="s">
        <v>21</v>
      </c>
      <c r="E217" s="48">
        <v>41</v>
      </c>
      <c r="F217" s="48" t="s">
        <v>23</v>
      </c>
      <c r="G217" s="49">
        <f t="shared" ref="G217:Q217" si="126">SUM(G216:G216)</f>
        <v>57460.65</v>
      </c>
      <c r="H217" s="49">
        <f t="shared" si="126"/>
        <v>58714.01</v>
      </c>
      <c r="I217" s="49">
        <f t="shared" si="126"/>
        <v>58470</v>
      </c>
      <c r="J217" s="49">
        <f t="shared" si="126"/>
        <v>56647.22</v>
      </c>
      <c r="K217" s="49">
        <f t="shared" si="126"/>
        <v>58200</v>
      </c>
      <c r="L217" s="49">
        <f t="shared" si="126"/>
        <v>0</v>
      </c>
      <c r="M217" s="49">
        <f t="shared" si="126"/>
        <v>0</v>
      </c>
      <c r="N217" s="49">
        <f t="shared" si="126"/>
        <v>0</v>
      </c>
      <c r="O217" s="49">
        <f t="shared" si="126"/>
        <v>5000</v>
      </c>
      <c r="P217" s="49">
        <f t="shared" si="126"/>
        <v>63200</v>
      </c>
      <c r="Q217" s="49">
        <f t="shared" si="126"/>
        <v>15080.83</v>
      </c>
      <c r="R217" s="50">
        <f>Q217/$P217</f>
        <v>0.23862072784810126</v>
      </c>
      <c r="S217" s="49">
        <f>SUM(S216:S216)</f>
        <v>31740.47</v>
      </c>
      <c r="T217" s="50">
        <f>S217/$P217</f>
        <v>0.50222262658227845</v>
      </c>
      <c r="U217" s="49">
        <f>SUM(U216:U216)</f>
        <v>47969.62</v>
      </c>
      <c r="V217" s="50">
        <f>U217/$P217</f>
        <v>0.75901297468354434</v>
      </c>
      <c r="W217" s="49">
        <f>SUM(W216:W216)</f>
        <v>62161.06</v>
      </c>
      <c r="X217" s="50">
        <f>W217/$P217</f>
        <v>0.98356107594936704</v>
      </c>
      <c r="Y217" s="49">
        <f>SUM(Y216:Y216)</f>
        <v>58200</v>
      </c>
      <c r="Z217" s="49">
        <f>SUM(Z216:Z216)</f>
        <v>58200</v>
      </c>
    </row>
    <row r="218" spans="1:26" ht="13.9" customHeight="1">
      <c r="A218" s="15">
        <v>4</v>
      </c>
      <c r="B218" s="15">
        <v>1</v>
      </c>
      <c r="D218" s="85"/>
      <c r="E218" s="86"/>
      <c r="F218" s="26" t="s">
        <v>119</v>
      </c>
      <c r="G218" s="27">
        <f t="shared" ref="G218:Q218" si="127">G217</f>
        <v>57460.65</v>
      </c>
      <c r="H218" s="27">
        <f t="shared" si="127"/>
        <v>58714.01</v>
      </c>
      <c r="I218" s="27">
        <f t="shared" si="127"/>
        <v>58470</v>
      </c>
      <c r="J218" s="27">
        <f t="shared" si="127"/>
        <v>56647.22</v>
      </c>
      <c r="K218" s="27">
        <f t="shared" si="127"/>
        <v>58200</v>
      </c>
      <c r="L218" s="27">
        <f t="shared" si="127"/>
        <v>0</v>
      </c>
      <c r="M218" s="27">
        <f t="shared" si="127"/>
        <v>0</v>
      </c>
      <c r="N218" s="27">
        <f t="shared" si="127"/>
        <v>0</v>
      </c>
      <c r="O218" s="27">
        <f t="shared" si="127"/>
        <v>5000</v>
      </c>
      <c r="P218" s="27">
        <f t="shared" si="127"/>
        <v>63200</v>
      </c>
      <c r="Q218" s="27">
        <f t="shared" si="127"/>
        <v>15080.83</v>
      </c>
      <c r="R218" s="28">
        <f>Q218/$P218</f>
        <v>0.23862072784810126</v>
      </c>
      <c r="S218" s="27">
        <f>S217</f>
        <v>31740.47</v>
      </c>
      <c r="T218" s="28">
        <f>S218/$P218</f>
        <v>0.50222262658227845</v>
      </c>
      <c r="U218" s="27">
        <f>U217</f>
        <v>47969.62</v>
      </c>
      <c r="V218" s="28">
        <f>U218/$P218</f>
        <v>0.75901297468354434</v>
      </c>
      <c r="W218" s="27">
        <f>W217</f>
        <v>62161.06</v>
      </c>
      <c r="X218" s="28">
        <f>W218/$P218</f>
        <v>0.98356107594936704</v>
      </c>
      <c r="Y218" s="27">
        <f>Y217</f>
        <v>58200</v>
      </c>
      <c r="Z218" s="27">
        <f>Z217</f>
        <v>58200</v>
      </c>
    </row>
    <row r="220" spans="1:26" ht="13.9" customHeight="1">
      <c r="D220" s="73" t="s">
        <v>182</v>
      </c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4"/>
      <c r="S220" s="73"/>
      <c r="T220" s="74"/>
      <c r="U220" s="73"/>
      <c r="V220" s="74"/>
      <c r="W220" s="73"/>
      <c r="X220" s="74"/>
      <c r="Y220" s="73"/>
      <c r="Z220" s="73"/>
    </row>
    <row r="221" spans="1:26" ht="13.9" customHeight="1">
      <c r="D221" s="21" t="s">
        <v>32</v>
      </c>
      <c r="E221" s="21" t="s">
        <v>33</v>
      </c>
      <c r="F221" s="21" t="s">
        <v>34</v>
      </c>
      <c r="G221" s="21" t="s">
        <v>1</v>
      </c>
      <c r="H221" s="21" t="s">
        <v>2</v>
      </c>
      <c r="I221" s="21" t="s">
        <v>3</v>
      </c>
      <c r="J221" s="21" t="s">
        <v>4</v>
      </c>
      <c r="K221" s="21" t="s">
        <v>5</v>
      </c>
      <c r="L221" s="21" t="s">
        <v>6</v>
      </c>
      <c r="M221" s="21" t="s">
        <v>7</v>
      </c>
      <c r="N221" s="21" t="s">
        <v>8</v>
      </c>
      <c r="O221" s="21" t="s">
        <v>9</v>
      </c>
      <c r="P221" s="21" t="s">
        <v>10</v>
      </c>
      <c r="Q221" s="21" t="s">
        <v>11</v>
      </c>
      <c r="R221" s="22" t="s">
        <v>12</v>
      </c>
      <c r="S221" s="21" t="s">
        <v>13</v>
      </c>
      <c r="T221" s="22" t="s">
        <v>14</v>
      </c>
      <c r="U221" s="21" t="s">
        <v>15</v>
      </c>
      <c r="V221" s="22" t="s">
        <v>16</v>
      </c>
      <c r="W221" s="21" t="s">
        <v>17</v>
      </c>
      <c r="X221" s="22" t="s">
        <v>18</v>
      </c>
      <c r="Y221" s="21" t="s">
        <v>19</v>
      </c>
      <c r="Z221" s="21" t="s">
        <v>20</v>
      </c>
    </row>
    <row r="222" spans="1:26" ht="13.9" customHeight="1">
      <c r="A222" s="15">
        <v>4</v>
      </c>
      <c r="B222" s="15">
        <v>2</v>
      </c>
      <c r="D222" s="90" t="s">
        <v>181</v>
      </c>
      <c r="E222" s="23">
        <v>630</v>
      </c>
      <c r="F222" s="23" t="s">
        <v>126</v>
      </c>
      <c r="G222" s="24">
        <v>515.01</v>
      </c>
      <c r="H222" s="24">
        <v>543.29</v>
      </c>
      <c r="I222" s="24">
        <v>378</v>
      </c>
      <c r="J222" s="24">
        <v>328.28</v>
      </c>
      <c r="K222" s="24">
        <v>378</v>
      </c>
      <c r="L222" s="24"/>
      <c r="M222" s="24">
        <v>500</v>
      </c>
      <c r="N222" s="24"/>
      <c r="O222" s="24"/>
      <c r="P222" s="24">
        <f>K222+SUM(L222:O222)</f>
        <v>878</v>
      </c>
      <c r="Q222" s="24">
        <v>0</v>
      </c>
      <c r="R222" s="25">
        <f>Q222/$P222</f>
        <v>0</v>
      </c>
      <c r="S222" s="24">
        <v>500</v>
      </c>
      <c r="T222" s="25">
        <f>S222/$P222</f>
        <v>0.56947608200455579</v>
      </c>
      <c r="U222" s="24">
        <v>500</v>
      </c>
      <c r="V222" s="25">
        <f>U222/$P222</f>
        <v>0.56947608200455579</v>
      </c>
      <c r="W222" s="24">
        <v>878.28</v>
      </c>
      <c r="X222" s="25">
        <f>W222/$P222</f>
        <v>1.0003189066059226</v>
      </c>
      <c r="Y222" s="24">
        <f>K222</f>
        <v>378</v>
      </c>
      <c r="Z222" s="24">
        <f>Y222</f>
        <v>378</v>
      </c>
    </row>
    <row r="223" spans="1:26" ht="13.9" customHeight="1">
      <c r="A223" s="15">
        <v>4</v>
      </c>
      <c r="B223" s="15">
        <v>2</v>
      </c>
      <c r="D223" s="83" t="s">
        <v>21</v>
      </c>
      <c r="E223" s="48">
        <v>41</v>
      </c>
      <c r="F223" s="48" t="s">
        <v>23</v>
      </c>
      <c r="G223" s="49">
        <f t="shared" ref="G223:Q223" si="128">SUM(G222:G222)</f>
        <v>515.01</v>
      </c>
      <c r="H223" s="49">
        <f t="shared" si="128"/>
        <v>543.29</v>
      </c>
      <c r="I223" s="49">
        <f t="shared" si="128"/>
        <v>378</v>
      </c>
      <c r="J223" s="49">
        <f t="shared" si="128"/>
        <v>328.28</v>
      </c>
      <c r="K223" s="49">
        <f t="shared" si="128"/>
        <v>378</v>
      </c>
      <c r="L223" s="49">
        <f t="shared" si="128"/>
        <v>0</v>
      </c>
      <c r="M223" s="49">
        <f t="shared" si="128"/>
        <v>500</v>
      </c>
      <c r="N223" s="49">
        <f t="shared" si="128"/>
        <v>0</v>
      </c>
      <c r="O223" s="49">
        <f t="shared" si="128"/>
        <v>0</v>
      </c>
      <c r="P223" s="49">
        <f t="shared" si="128"/>
        <v>878</v>
      </c>
      <c r="Q223" s="49">
        <f t="shared" si="128"/>
        <v>0</v>
      </c>
      <c r="R223" s="50">
        <f>Q223/$P223</f>
        <v>0</v>
      </c>
      <c r="S223" s="49">
        <f>SUM(S222:S222)</f>
        <v>500</v>
      </c>
      <c r="T223" s="50">
        <f>S223/$P223</f>
        <v>0.56947608200455579</v>
      </c>
      <c r="U223" s="49">
        <f>SUM(U222:U222)</f>
        <v>500</v>
      </c>
      <c r="V223" s="50">
        <f>U223/$P223</f>
        <v>0.56947608200455579</v>
      </c>
      <c r="W223" s="49">
        <f>SUM(W222:W222)</f>
        <v>878.28</v>
      </c>
      <c r="X223" s="50">
        <f>W223/$P223</f>
        <v>1.0003189066059226</v>
      </c>
      <c r="Y223" s="49">
        <f>SUM(Y222:Y222)</f>
        <v>378</v>
      </c>
      <c r="Z223" s="49">
        <f>SUM(Z222:Z222)</f>
        <v>378</v>
      </c>
    </row>
    <row r="224" spans="1:26" ht="13.9" customHeight="1">
      <c r="A224" s="15">
        <v>4</v>
      </c>
      <c r="B224" s="15">
        <v>2</v>
      </c>
      <c r="D224" s="85"/>
      <c r="E224" s="86"/>
      <c r="F224" s="26" t="s">
        <v>119</v>
      </c>
      <c r="G224" s="27">
        <f t="shared" ref="G224:Q224" si="129">G220+G223</f>
        <v>515.01</v>
      </c>
      <c r="H224" s="27">
        <f t="shared" si="129"/>
        <v>543.29</v>
      </c>
      <c r="I224" s="27">
        <f t="shared" si="129"/>
        <v>378</v>
      </c>
      <c r="J224" s="27">
        <f t="shared" si="129"/>
        <v>328.28</v>
      </c>
      <c r="K224" s="27">
        <f t="shared" si="129"/>
        <v>378</v>
      </c>
      <c r="L224" s="27">
        <f t="shared" si="129"/>
        <v>0</v>
      </c>
      <c r="M224" s="27">
        <f t="shared" si="129"/>
        <v>500</v>
      </c>
      <c r="N224" s="27">
        <f t="shared" si="129"/>
        <v>0</v>
      </c>
      <c r="O224" s="27">
        <f t="shared" si="129"/>
        <v>0</v>
      </c>
      <c r="P224" s="27">
        <f t="shared" si="129"/>
        <v>878</v>
      </c>
      <c r="Q224" s="27">
        <f t="shared" si="129"/>
        <v>0</v>
      </c>
      <c r="R224" s="28">
        <f>Q224/$P224</f>
        <v>0</v>
      </c>
      <c r="S224" s="27">
        <f>S220+S223</f>
        <v>500</v>
      </c>
      <c r="T224" s="28">
        <f>S224/$P224</f>
        <v>0.56947608200455579</v>
      </c>
      <c r="U224" s="27">
        <f>U220+U223</f>
        <v>500</v>
      </c>
      <c r="V224" s="28">
        <f>U224/$P224</f>
        <v>0.56947608200455579</v>
      </c>
      <c r="W224" s="27">
        <f>W220+W223</f>
        <v>878.28</v>
      </c>
      <c r="X224" s="28">
        <f>W224/$P224</f>
        <v>1.0003189066059226</v>
      </c>
      <c r="Y224" s="27">
        <f>Y220+Y223</f>
        <v>378</v>
      </c>
      <c r="Z224" s="27">
        <f>Z220+Z223</f>
        <v>378</v>
      </c>
    </row>
    <row r="226" spans="1:26" ht="13.9" customHeight="1">
      <c r="D226" s="73" t="s">
        <v>183</v>
      </c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4"/>
      <c r="S226" s="73"/>
      <c r="T226" s="74"/>
      <c r="U226" s="73"/>
      <c r="V226" s="74"/>
      <c r="W226" s="73"/>
      <c r="X226" s="74"/>
      <c r="Y226" s="73"/>
      <c r="Z226" s="73"/>
    </row>
    <row r="227" spans="1:26" ht="13.9" customHeight="1">
      <c r="D227" s="21" t="s">
        <v>32</v>
      </c>
      <c r="E227" s="21" t="s">
        <v>33</v>
      </c>
      <c r="F227" s="21" t="s">
        <v>34</v>
      </c>
      <c r="G227" s="21" t="s">
        <v>1</v>
      </c>
      <c r="H227" s="21" t="s">
        <v>2</v>
      </c>
      <c r="I227" s="21" t="s">
        <v>3</v>
      </c>
      <c r="J227" s="21" t="s">
        <v>4</v>
      </c>
      <c r="K227" s="21" t="s">
        <v>5</v>
      </c>
      <c r="L227" s="21" t="s">
        <v>6</v>
      </c>
      <c r="M227" s="21" t="s">
        <v>7</v>
      </c>
      <c r="N227" s="21" t="s">
        <v>8</v>
      </c>
      <c r="O227" s="21" t="s">
        <v>9</v>
      </c>
      <c r="P227" s="21" t="s">
        <v>10</v>
      </c>
      <c r="Q227" s="21" t="s">
        <v>11</v>
      </c>
      <c r="R227" s="22" t="s">
        <v>12</v>
      </c>
      <c r="S227" s="21" t="s">
        <v>13</v>
      </c>
      <c r="T227" s="22" t="s">
        <v>14</v>
      </c>
      <c r="U227" s="21" t="s">
        <v>15</v>
      </c>
      <c r="V227" s="22" t="s">
        <v>16</v>
      </c>
      <c r="W227" s="21" t="s">
        <v>17</v>
      </c>
      <c r="X227" s="22" t="s">
        <v>18</v>
      </c>
      <c r="Y227" s="21" t="s">
        <v>19</v>
      </c>
      <c r="Z227" s="21" t="s">
        <v>20</v>
      </c>
    </row>
    <row r="228" spans="1:26" ht="13.9" customHeight="1">
      <c r="A228" s="15">
        <v>4</v>
      </c>
      <c r="B228" s="15">
        <v>3</v>
      </c>
      <c r="D228" s="51" t="s">
        <v>181</v>
      </c>
      <c r="E228" s="23">
        <v>630</v>
      </c>
      <c r="F228" s="23" t="s">
        <v>126</v>
      </c>
      <c r="G228" s="24">
        <v>0</v>
      </c>
      <c r="H228" s="46">
        <v>0</v>
      </c>
      <c r="I228" s="24">
        <v>0</v>
      </c>
      <c r="J228" s="24">
        <v>0</v>
      </c>
      <c r="K228" s="24">
        <v>0</v>
      </c>
      <c r="L228" s="24"/>
      <c r="M228" s="24">
        <v>244</v>
      </c>
      <c r="N228" s="24">
        <v>243</v>
      </c>
      <c r="O228" s="24">
        <v>244</v>
      </c>
      <c r="P228" s="46">
        <f>K228+SUM(L228:O228)</f>
        <v>731</v>
      </c>
      <c r="Q228" s="46">
        <v>0</v>
      </c>
      <c r="R228" s="47">
        <f t="shared" ref="R228:R237" si="130">Q228/$P228</f>
        <v>0</v>
      </c>
      <c r="S228" s="46">
        <v>243.63</v>
      </c>
      <c r="T228" s="47">
        <f t="shared" ref="T228:T237" si="131">S228/$P228</f>
        <v>0.33328317373461014</v>
      </c>
      <c r="U228" s="46">
        <v>487.26</v>
      </c>
      <c r="V228" s="47">
        <f t="shared" ref="V228:V237" si="132">U228/$P228</f>
        <v>0.66656634746922028</v>
      </c>
      <c r="W228" s="46">
        <v>730.89</v>
      </c>
      <c r="X228" s="47">
        <f t="shared" ref="X228:X237" si="133">W228/$P228</f>
        <v>0.9998495212038303</v>
      </c>
      <c r="Y228" s="24">
        <v>0</v>
      </c>
      <c r="Z228" s="24">
        <v>0</v>
      </c>
    </row>
    <row r="229" spans="1:26" ht="13.9" customHeight="1">
      <c r="A229" s="15">
        <v>4</v>
      </c>
      <c r="B229" s="15">
        <v>3</v>
      </c>
      <c r="D229" s="83" t="s">
        <v>21</v>
      </c>
      <c r="E229" s="48">
        <v>111</v>
      </c>
      <c r="F229" s="48" t="s">
        <v>23</v>
      </c>
      <c r="G229" s="49">
        <f t="shared" ref="G229:Q229" si="134">SUM(G228:G228)</f>
        <v>0</v>
      </c>
      <c r="H229" s="49">
        <f t="shared" si="134"/>
        <v>0</v>
      </c>
      <c r="I229" s="49">
        <f t="shared" si="134"/>
        <v>0</v>
      </c>
      <c r="J229" s="49">
        <f t="shared" si="134"/>
        <v>0</v>
      </c>
      <c r="K229" s="49">
        <f t="shared" si="134"/>
        <v>0</v>
      </c>
      <c r="L229" s="49">
        <f t="shared" si="134"/>
        <v>0</v>
      </c>
      <c r="M229" s="49">
        <f t="shared" si="134"/>
        <v>244</v>
      </c>
      <c r="N229" s="49">
        <f t="shared" si="134"/>
        <v>243</v>
      </c>
      <c r="O229" s="49">
        <f t="shared" si="134"/>
        <v>244</v>
      </c>
      <c r="P229" s="49">
        <f t="shared" si="134"/>
        <v>731</v>
      </c>
      <c r="Q229" s="49">
        <f t="shared" si="134"/>
        <v>0</v>
      </c>
      <c r="R229" s="50">
        <f t="shared" si="130"/>
        <v>0</v>
      </c>
      <c r="S229" s="49">
        <f>SUM(S228:S228)</f>
        <v>243.63</v>
      </c>
      <c r="T229" s="50">
        <f t="shared" si="131"/>
        <v>0.33328317373461014</v>
      </c>
      <c r="U229" s="49">
        <f>SUM(U228:U228)</f>
        <v>487.26</v>
      </c>
      <c r="V229" s="50">
        <f t="shared" si="132"/>
        <v>0.66656634746922028</v>
      </c>
      <c r="W229" s="49">
        <f>SUM(W228:W228)</f>
        <v>730.89</v>
      </c>
      <c r="X229" s="50">
        <f t="shared" si="133"/>
        <v>0.9998495212038303</v>
      </c>
      <c r="Y229" s="49">
        <f>SUM(Y228:Y228)</f>
        <v>0</v>
      </c>
      <c r="Z229" s="49">
        <f>SUM(Z228:Z228)</f>
        <v>0</v>
      </c>
    </row>
    <row r="230" spans="1:26" ht="13.9" customHeight="1">
      <c r="A230" s="15">
        <v>4</v>
      </c>
      <c r="B230" s="15">
        <v>3</v>
      </c>
      <c r="D230" s="11" t="s">
        <v>181</v>
      </c>
      <c r="E230" s="23">
        <v>610</v>
      </c>
      <c r="F230" s="23" t="s">
        <v>124</v>
      </c>
      <c r="G230" s="24">
        <v>19051.72</v>
      </c>
      <c r="H230" s="24">
        <v>17526.82</v>
      </c>
      <c r="I230" s="24">
        <v>5095</v>
      </c>
      <c r="J230" s="24">
        <v>5465.98</v>
      </c>
      <c r="K230" s="24">
        <v>0</v>
      </c>
      <c r="L230" s="24"/>
      <c r="M230" s="24"/>
      <c r="N230" s="24">
        <v>2000</v>
      </c>
      <c r="O230" s="24">
        <v>523</v>
      </c>
      <c r="P230" s="24">
        <f>K230+SUM(L230:O230)</f>
        <v>2523</v>
      </c>
      <c r="Q230" s="24">
        <v>0</v>
      </c>
      <c r="R230" s="25">
        <f t="shared" si="130"/>
        <v>0</v>
      </c>
      <c r="S230" s="24">
        <v>0</v>
      </c>
      <c r="T230" s="25">
        <f t="shared" si="131"/>
        <v>0</v>
      </c>
      <c r="U230" s="24">
        <v>0</v>
      </c>
      <c r="V230" s="25">
        <f t="shared" si="132"/>
        <v>0</v>
      </c>
      <c r="W230" s="24">
        <v>2523.81</v>
      </c>
      <c r="X230" s="25">
        <f t="shared" si="133"/>
        <v>1.0003210463733649</v>
      </c>
      <c r="Y230" s="24">
        <f>K230</f>
        <v>0</v>
      </c>
      <c r="Z230" s="24">
        <f>Y230</f>
        <v>0</v>
      </c>
    </row>
    <row r="231" spans="1:26" ht="13.9" customHeight="1">
      <c r="A231" s="15">
        <v>4</v>
      </c>
      <c r="B231" s="15">
        <v>3</v>
      </c>
      <c r="D231" s="11"/>
      <c r="E231" s="23">
        <v>620</v>
      </c>
      <c r="F231" s="23" t="s">
        <v>125</v>
      </c>
      <c r="G231" s="24">
        <v>6428.72</v>
      </c>
      <c r="H231" s="24">
        <v>6125.34</v>
      </c>
      <c r="I231" s="24">
        <v>1602</v>
      </c>
      <c r="J231" s="24">
        <v>1504.01</v>
      </c>
      <c r="K231" s="24">
        <v>367</v>
      </c>
      <c r="L231" s="24"/>
      <c r="M231" s="24"/>
      <c r="N231" s="24">
        <v>699</v>
      </c>
      <c r="O231" s="24">
        <v>106</v>
      </c>
      <c r="P231" s="24">
        <f>K231+SUM(L231:O231)</f>
        <v>1172</v>
      </c>
      <c r="Q231" s="24">
        <v>0</v>
      </c>
      <c r="R231" s="25">
        <f t="shared" si="130"/>
        <v>0</v>
      </c>
      <c r="S231" s="24">
        <v>108.81</v>
      </c>
      <c r="T231" s="25">
        <f t="shared" si="131"/>
        <v>9.2841296928327641E-2</v>
      </c>
      <c r="U231" s="24">
        <v>217.62</v>
      </c>
      <c r="V231" s="25">
        <f t="shared" si="132"/>
        <v>0.18568259385665528</v>
      </c>
      <c r="W231" s="24">
        <v>1172.2</v>
      </c>
      <c r="X231" s="25">
        <f t="shared" si="133"/>
        <v>1.0001706484641639</v>
      </c>
      <c r="Y231" s="24">
        <f>K231</f>
        <v>367</v>
      </c>
      <c r="Z231" s="24">
        <f>Y231</f>
        <v>367</v>
      </c>
    </row>
    <row r="232" spans="1:26" ht="13.9" customHeight="1">
      <c r="A232" s="15">
        <v>4</v>
      </c>
      <c r="B232" s="15">
        <v>3</v>
      </c>
      <c r="D232" s="11"/>
      <c r="E232" s="23">
        <v>630</v>
      </c>
      <c r="F232" s="23" t="s">
        <v>126</v>
      </c>
      <c r="G232" s="24">
        <v>21347.38</v>
      </c>
      <c r="H232" s="24">
        <v>52660.160000000003</v>
      </c>
      <c r="I232" s="24">
        <f>226+8008</f>
        <v>8234</v>
      </c>
      <c r="J232" s="24">
        <v>14156.5</v>
      </c>
      <c r="K232" s="24">
        <v>21475</v>
      </c>
      <c r="L232" s="24"/>
      <c r="M232" s="24">
        <v>-244</v>
      </c>
      <c r="N232" s="24">
        <v>-2942</v>
      </c>
      <c r="O232" s="24">
        <v>-629</v>
      </c>
      <c r="P232" s="24">
        <f>K232+SUM(L232:O232)</f>
        <v>17660</v>
      </c>
      <c r="Q232" s="24">
        <v>2120.35</v>
      </c>
      <c r="R232" s="25">
        <f t="shared" si="130"/>
        <v>0.12006511891279728</v>
      </c>
      <c r="S232" s="24">
        <v>3861.84</v>
      </c>
      <c r="T232" s="25">
        <f t="shared" si="131"/>
        <v>0.21867723669309175</v>
      </c>
      <c r="U232" s="24">
        <v>5854.91</v>
      </c>
      <c r="V232" s="25">
        <f t="shared" si="132"/>
        <v>0.33153510758776894</v>
      </c>
      <c r="W232" s="24">
        <v>14892.99</v>
      </c>
      <c r="X232" s="25">
        <f t="shared" si="133"/>
        <v>0.84331766704416755</v>
      </c>
      <c r="Y232" s="24">
        <f>K232</f>
        <v>21475</v>
      </c>
      <c r="Z232" s="24">
        <f>Y232</f>
        <v>21475</v>
      </c>
    </row>
    <row r="233" spans="1:26" ht="13.9" hidden="1" customHeight="1">
      <c r="A233" s="15">
        <v>4</v>
      </c>
      <c r="B233" s="15">
        <v>3</v>
      </c>
      <c r="D233" s="11"/>
      <c r="E233" s="23">
        <v>640</v>
      </c>
      <c r="F233" s="23" t="s">
        <v>127</v>
      </c>
      <c r="G233" s="24">
        <v>169.28</v>
      </c>
      <c r="H233" s="24">
        <v>102.34</v>
      </c>
      <c r="I233" s="46">
        <v>0</v>
      </c>
      <c r="J233" s="24">
        <v>0</v>
      </c>
      <c r="K233" s="46">
        <v>0</v>
      </c>
      <c r="L233" s="24"/>
      <c r="M233" s="24"/>
      <c r="N233" s="24"/>
      <c r="O233" s="24"/>
      <c r="P233" s="24">
        <f>K233+SUM(L233:O233)</f>
        <v>0</v>
      </c>
      <c r="Q233" s="24">
        <v>0</v>
      </c>
      <c r="R233" s="25" t="e">
        <f t="shared" si="130"/>
        <v>#DIV/0!</v>
      </c>
      <c r="S233" s="24">
        <v>0</v>
      </c>
      <c r="T233" s="25" t="e">
        <f t="shared" si="131"/>
        <v>#DIV/0!</v>
      </c>
      <c r="U233" s="24">
        <v>0</v>
      </c>
      <c r="V233" s="25" t="e">
        <f t="shared" si="132"/>
        <v>#DIV/0!</v>
      </c>
      <c r="W233" s="24"/>
      <c r="X233" s="25" t="e">
        <f t="shared" si="133"/>
        <v>#DIV/0!</v>
      </c>
      <c r="Y233" s="24">
        <v>0</v>
      </c>
      <c r="Z233" s="24">
        <v>0</v>
      </c>
    </row>
    <row r="234" spans="1:26" ht="13.9" customHeight="1">
      <c r="A234" s="15">
        <v>4</v>
      </c>
      <c r="B234" s="15">
        <v>3</v>
      </c>
      <c r="D234" s="83" t="s">
        <v>21</v>
      </c>
      <c r="E234" s="48">
        <v>41</v>
      </c>
      <c r="F234" s="48" t="s">
        <v>23</v>
      </c>
      <c r="G234" s="49">
        <f t="shared" ref="G234:Q234" si="135">SUM(G230:G233)</f>
        <v>46997.100000000006</v>
      </c>
      <c r="H234" s="49">
        <f t="shared" si="135"/>
        <v>76414.66</v>
      </c>
      <c r="I234" s="49">
        <f t="shared" si="135"/>
        <v>14931</v>
      </c>
      <c r="J234" s="49">
        <f t="shared" si="135"/>
        <v>21126.489999999998</v>
      </c>
      <c r="K234" s="49">
        <f t="shared" si="135"/>
        <v>21842</v>
      </c>
      <c r="L234" s="49">
        <f t="shared" si="135"/>
        <v>0</v>
      </c>
      <c r="M234" s="49">
        <f t="shared" si="135"/>
        <v>-244</v>
      </c>
      <c r="N234" s="49">
        <f t="shared" si="135"/>
        <v>-243</v>
      </c>
      <c r="O234" s="49">
        <f t="shared" si="135"/>
        <v>0</v>
      </c>
      <c r="P234" s="49">
        <f t="shared" si="135"/>
        <v>21355</v>
      </c>
      <c r="Q234" s="49">
        <f t="shared" si="135"/>
        <v>2120.35</v>
      </c>
      <c r="R234" s="50">
        <f t="shared" si="130"/>
        <v>9.9290564270662601E-2</v>
      </c>
      <c r="S234" s="49">
        <f>SUM(S230:S233)</f>
        <v>3970.65</v>
      </c>
      <c r="T234" s="50">
        <f t="shared" si="131"/>
        <v>0.18593537813158512</v>
      </c>
      <c r="U234" s="49">
        <f>SUM(U230:U233)</f>
        <v>6072.53</v>
      </c>
      <c r="V234" s="50">
        <f t="shared" si="132"/>
        <v>0.28436103956918751</v>
      </c>
      <c r="W234" s="49">
        <f>SUM(W230:W233)</f>
        <v>18589</v>
      </c>
      <c r="X234" s="50">
        <f t="shared" si="133"/>
        <v>0.87047529852493566</v>
      </c>
      <c r="Y234" s="49">
        <f>SUM(Y230:Y233)</f>
        <v>21842</v>
      </c>
      <c r="Z234" s="49">
        <f>SUM(Z230:Z233)</f>
        <v>21842</v>
      </c>
    </row>
    <row r="235" spans="1:26" ht="13.9" customHeight="1">
      <c r="A235" s="15">
        <v>4</v>
      </c>
      <c r="B235" s="15">
        <v>3</v>
      </c>
      <c r="D235" s="90" t="s">
        <v>181</v>
      </c>
      <c r="E235" s="23">
        <v>640</v>
      </c>
      <c r="F235" s="23" t="s">
        <v>127</v>
      </c>
      <c r="G235" s="24">
        <v>247.65</v>
      </c>
      <c r="H235" s="24">
        <v>244.5</v>
      </c>
      <c r="I235" s="24">
        <v>62</v>
      </c>
      <c r="J235" s="24">
        <v>33.69</v>
      </c>
      <c r="K235" s="24">
        <v>0</v>
      </c>
      <c r="L235" s="24"/>
      <c r="M235" s="24"/>
      <c r="N235" s="24"/>
      <c r="O235" s="24">
        <v>50</v>
      </c>
      <c r="P235" s="24">
        <f>K235+SUM(L235:O235)</f>
        <v>50</v>
      </c>
      <c r="Q235" s="24">
        <v>0</v>
      </c>
      <c r="R235" s="25">
        <f t="shared" si="130"/>
        <v>0</v>
      </c>
      <c r="S235" s="24">
        <v>0</v>
      </c>
      <c r="T235" s="25">
        <f t="shared" si="131"/>
        <v>0</v>
      </c>
      <c r="U235" s="24">
        <v>0</v>
      </c>
      <c r="V235" s="25">
        <f t="shared" si="132"/>
        <v>0</v>
      </c>
      <c r="W235" s="24">
        <v>49.7</v>
      </c>
      <c r="X235" s="25">
        <f t="shared" si="133"/>
        <v>0.99400000000000011</v>
      </c>
      <c r="Y235" s="24">
        <f>K235</f>
        <v>0</v>
      </c>
      <c r="Z235" s="24">
        <f>Y235</f>
        <v>0</v>
      </c>
    </row>
    <row r="236" spans="1:26" ht="13.9" customHeight="1">
      <c r="A236" s="15">
        <v>4</v>
      </c>
      <c r="B236" s="15">
        <v>3</v>
      </c>
      <c r="D236" s="83" t="s">
        <v>21</v>
      </c>
      <c r="E236" s="48">
        <v>72</v>
      </c>
      <c r="F236" s="48" t="s">
        <v>25</v>
      </c>
      <c r="G236" s="49">
        <f t="shared" ref="G236:Q236" si="136">SUM(G235:G235)</f>
        <v>247.65</v>
      </c>
      <c r="H236" s="49">
        <f t="shared" si="136"/>
        <v>244.5</v>
      </c>
      <c r="I236" s="49">
        <f t="shared" si="136"/>
        <v>62</v>
      </c>
      <c r="J236" s="49">
        <f t="shared" si="136"/>
        <v>33.69</v>
      </c>
      <c r="K236" s="49">
        <f t="shared" si="136"/>
        <v>0</v>
      </c>
      <c r="L236" s="49">
        <f t="shared" si="136"/>
        <v>0</v>
      </c>
      <c r="M236" s="49">
        <f t="shared" si="136"/>
        <v>0</v>
      </c>
      <c r="N236" s="49">
        <f t="shared" si="136"/>
        <v>0</v>
      </c>
      <c r="O236" s="49">
        <f t="shared" si="136"/>
        <v>50</v>
      </c>
      <c r="P236" s="49">
        <f t="shared" si="136"/>
        <v>50</v>
      </c>
      <c r="Q236" s="49">
        <f t="shared" si="136"/>
        <v>0</v>
      </c>
      <c r="R236" s="50">
        <f t="shared" si="130"/>
        <v>0</v>
      </c>
      <c r="S236" s="49">
        <f>SUM(S235:S235)</f>
        <v>0</v>
      </c>
      <c r="T236" s="50">
        <f t="shared" si="131"/>
        <v>0</v>
      </c>
      <c r="U236" s="49">
        <f>SUM(U235:U235)</f>
        <v>0</v>
      </c>
      <c r="V236" s="50">
        <f t="shared" si="132"/>
        <v>0</v>
      </c>
      <c r="W236" s="49">
        <f>SUM(W235:W235)</f>
        <v>49.7</v>
      </c>
      <c r="X236" s="50">
        <f t="shared" si="133"/>
        <v>0.99400000000000011</v>
      </c>
      <c r="Y236" s="49">
        <f>SUM(Y235:Y235)</f>
        <v>0</v>
      </c>
      <c r="Z236" s="49">
        <f>SUM(Z235:Z235)</f>
        <v>0</v>
      </c>
    </row>
    <row r="237" spans="1:26" ht="13.9" customHeight="1">
      <c r="A237" s="15">
        <v>4</v>
      </c>
      <c r="B237" s="15">
        <v>3</v>
      </c>
      <c r="D237" s="85"/>
      <c r="E237" s="86"/>
      <c r="F237" s="26" t="s">
        <v>119</v>
      </c>
      <c r="G237" s="27">
        <f t="shared" ref="G237:Q237" si="137">G229+G234+G236</f>
        <v>47244.750000000007</v>
      </c>
      <c r="H237" s="27">
        <f t="shared" si="137"/>
        <v>76659.16</v>
      </c>
      <c r="I237" s="27">
        <f t="shared" si="137"/>
        <v>14993</v>
      </c>
      <c r="J237" s="27">
        <f t="shared" si="137"/>
        <v>21160.179999999997</v>
      </c>
      <c r="K237" s="27">
        <f t="shared" si="137"/>
        <v>21842</v>
      </c>
      <c r="L237" s="27">
        <f t="shared" si="137"/>
        <v>0</v>
      </c>
      <c r="M237" s="27">
        <f t="shared" si="137"/>
        <v>0</v>
      </c>
      <c r="N237" s="27">
        <f t="shared" si="137"/>
        <v>0</v>
      </c>
      <c r="O237" s="27">
        <f t="shared" si="137"/>
        <v>294</v>
      </c>
      <c r="P237" s="27">
        <f t="shared" si="137"/>
        <v>22136</v>
      </c>
      <c r="Q237" s="27">
        <f t="shared" si="137"/>
        <v>2120.35</v>
      </c>
      <c r="R237" s="28">
        <f t="shared" si="130"/>
        <v>9.5787405131911807E-2</v>
      </c>
      <c r="S237" s="27">
        <f>S229+S234+S236</f>
        <v>4214.28</v>
      </c>
      <c r="T237" s="28">
        <f t="shared" si="131"/>
        <v>0.19038127936393204</v>
      </c>
      <c r="U237" s="27">
        <f>U229+U234+U236</f>
        <v>6559.79</v>
      </c>
      <c r="V237" s="28">
        <f t="shared" si="132"/>
        <v>0.29634035056017349</v>
      </c>
      <c r="W237" s="27">
        <f>W229+W234+W236</f>
        <v>19369.59</v>
      </c>
      <c r="X237" s="28">
        <f t="shared" si="133"/>
        <v>0.87502665341525121</v>
      </c>
      <c r="Y237" s="27">
        <f>Y229+Y234+Y236</f>
        <v>21842</v>
      </c>
      <c r="Z237" s="27">
        <f>Z229+Z234+Z236</f>
        <v>21842</v>
      </c>
    </row>
    <row r="239" spans="1:26" ht="13.9" customHeight="1">
      <c r="E239" s="52" t="s">
        <v>56</v>
      </c>
      <c r="F239" s="30" t="s">
        <v>139</v>
      </c>
      <c r="G239" s="117">
        <v>11480.96</v>
      </c>
      <c r="H239" s="117">
        <v>473</v>
      </c>
      <c r="I239" s="117">
        <v>704</v>
      </c>
      <c r="J239" s="117">
        <v>927.05</v>
      </c>
      <c r="K239" s="117">
        <v>4310</v>
      </c>
      <c r="L239" s="117"/>
      <c r="M239" s="117"/>
      <c r="N239" s="117"/>
      <c r="O239" s="117">
        <v>-520</v>
      </c>
      <c r="P239" s="117">
        <f>K239+SUM(L239:O239)</f>
        <v>3790</v>
      </c>
      <c r="Q239" s="117">
        <v>1394.34</v>
      </c>
      <c r="R239" s="120">
        <f>Q239/$P239</f>
        <v>0.36789973614775723</v>
      </c>
      <c r="S239" s="117">
        <v>2236.34</v>
      </c>
      <c r="T239" s="120">
        <f>S239/$P239</f>
        <v>0.5900633245382586</v>
      </c>
      <c r="U239" s="117">
        <v>3013.34</v>
      </c>
      <c r="V239" s="120">
        <f>U239/$P239</f>
        <v>0.79507651715039585</v>
      </c>
      <c r="W239" s="117">
        <v>1674.48</v>
      </c>
      <c r="X239" s="121">
        <f>W239/$P239</f>
        <v>0.44181530343007919</v>
      </c>
      <c r="Y239" s="53">
        <f>K239</f>
        <v>4310</v>
      </c>
      <c r="Z239" s="56">
        <f>Y239</f>
        <v>4310</v>
      </c>
    </row>
    <row r="240" spans="1:26" ht="13.9" customHeight="1">
      <c r="E240" s="57"/>
      <c r="F240" s="91" t="s">
        <v>143</v>
      </c>
      <c r="G240" s="92">
        <v>1641.45</v>
      </c>
      <c r="H240" s="92">
        <v>2020.97</v>
      </c>
      <c r="I240" s="92">
        <v>300</v>
      </c>
      <c r="J240" s="92">
        <v>2849.99</v>
      </c>
      <c r="K240" s="92">
        <v>2850</v>
      </c>
      <c r="L240" s="92"/>
      <c r="M240" s="92"/>
      <c r="N240" s="92"/>
      <c r="O240" s="92">
        <v>-605</v>
      </c>
      <c r="P240" s="92">
        <f>K240+SUM(L240:O240)</f>
        <v>2245</v>
      </c>
      <c r="Q240" s="92">
        <v>0</v>
      </c>
      <c r="R240" s="93">
        <f>Q240/$P240</f>
        <v>0</v>
      </c>
      <c r="S240" s="92">
        <v>0</v>
      </c>
      <c r="T240" s="82">
        <f>S240/$P240</f>
        <v>0</v>
      </c>
      <c r="U240" s="92">
        <v>0</v>
      </c>
      <c r="V240" s="93">
        <f>U240/$P240</f>
        <v>0</v>
      </c>
      <c r="W240" s="92">
        <v>1674.48</v>
      </c>
      <c r="X240" s="60">
        <f>W240/$P240</f>
        <v>0.74587082405345217</v>
      </c>
      <c r="Y240" s="81">
        <f>K240</f>
        <v>2850</v>
      </c>
      <c r="Z240" s="61">
        <f>Y240</f>
        <v>2850</v>
      </c>
    </row>
    <row r="241" spans="1:26" ht="13.9" customHeight="1">
      <c r="E241" s="57"/>
      <c r="F241" s="91" t="s">
        <v>184</v>
      </c>
      <c r="G241" s="81">
        <v>3966</v>
      </c>
      <c r="H241" s="81">
        <v>4232.9799999999996</v>
      </c>
      <c r="I241" s="81">
        <v>4233</v>
      </c>
      <c r="J241" s="81">
        <v>4232.9799999999996</v>
      </c>
      <c r="K241" s="81">
        <v>4233</v>
      </c>
      <c r="L241" s="81"/>
      <c r="M241" s="81"/>
      <c r="N241" s="81"/>
      <c r="O241" s="81"/>
      <c r="P241" s="81">
        <f>K241+SUM(L241:O241)</f>
        <v>4233</v>
      </c>
      <c r="Q241" s="81">
        <v>0</v>
      </c>
      <c r="R241" s="82">
        <f>Q241/$P241</f>
        <v>0</v>
      </c>
      <c r="S241" s="81">
        <v>0</v>
      </c>
      <c r="T241" s="82">
        <f>S241/$P241</f>
        <v>0</v>
      </c>
      <c r="U241" s="81">
        <v>244.19</v>
      </c>
      <c r="V241" s="82">
        <f>U241/$P241</f>
        <v>5.7687219466099691E-2</v>
      </c>
      <c r="W241" s="81">
        <v>4055.44</v>
      </c>
      <c r="X241" s="60">
        <f>W241/$P241</f>
        <v>0.95805339003071111</v>
      </c>
      <c r="Y241" s="81">
        <f>K241</f>
        <v>4233</v>
      </c>
      <c r="Z241" s="61">
        <f>Y241</f>
        <v>4233</v>
      </c>
    </row>
    <row r="242" spans="1:26" ht="13.9" customHeight="1">
      <c r="E242" s="100"/>
      <c r="F242" s="118" t="s">
        <v>185</v>
      </c>
      <c r="G242" s="102">
        <v>405</v>
      </c>
      <c r="H242" s="102">
        <v>2558.1</v>
      </c>
      <c r="I242" s="102">
        <v>570</v>
      </c>
      <c r="J242" s="102">
        <v>3910.88</v>
      </c>
      <c r="K242" s="102">
        <v>3900</v>
      </c>
      <c r="L242" s="102"/>
      <c r="M242" s="102"/>
      <c r="N242" s="102">
        <v>-3188</v>
      </c>
      <c r="O242" s="102"/>
      <c r="P242" s="102">
        <f>K242+SUM(L242:O242)</f>
        <v>712</v>
      </c>
      <c r="Q242" s="102">
        <v>0</v>
      </c>
      <c r="R242" s="103">
        <f>Q242/$P242</f>
        <v>0</v>
      </c>
      <c r="S242" s="102">
        <v>0</v>
      </c>
      <c r="T242" s="103">
        <f>S242/$P242</f>
        <v>0</v>
      </c>
      <c r="U242" s="102">
        <v>36</v>
      </c>
      <c r="V242" s="103">
        <f>U242/$P242</f>
        <v>5.0561797752808987E-2</v>
      </c>
      <c r="W242" s="102">
        <v>36</v>
      </c>
      <c r="X242" s="104">
        <f>W242/$P242</f>
        <v>5.0561797752808987E-2</v>
      </c>
      <c r="Y242" s="105">
        <f>K242</f>
        <v>3900</v>
      </c>
      <c r="Z242" s="106">
        <f>Y242</f>
        <v>3900</v>
      </c>
    </row>
    <row r="243" spans="1:26" ht="13.9" hidden="1" customHeight="1">
      <c r="E243" s="65"/>
      <c r="F243" s="94" t="s">
        <v>186</v>
      </c>
      <c r="G243" s="95"/>
      <c r="H243" s="95">
        <v>39928.5</v>
      </c>
      <c r="I243" s="95"/>
      <c r="J243" s="95"/>
      <c r="K243" s="95"/>
      <c r="L243" s="95"/>
      <c r="M243" s="95"/>
      <c r="N243" s="95"/>
      <c r="O243" s="95"/>
      <c r="P243" s="95">
        <f>K243+SUM(L243:O243)</f>
        <v>0</v>
      </c>
      <c r="Q243" s="95">
        <v>0</v>
      </c>
      <c r="R243" s="96" t="e">
        <f>Q243/$P243</f>
        <v>#DIV/0!</v>
      </c>
      <c r="S243" s="95">
        <v>0</v>
      </c>
      <c r="T243" s="68" t="e">
        <f>S243/$P243</f>
        <v>#DIV/0!</v>
      </c>
      <c r="U243" s="95">
        <v>0</v>
      </c>
      <c r="V243" s="96" t="e">
        <f>U243/$P243</f>
        <v>#DIV/0!</v>
      </c>
      <c r="W243" s="95"/>
      <c r="X243" s="69" t="e">
        <f>W243/$P243</f>
        <v>#DIV/0!</v>
      </c>
      <c r="Y243" s="67"/>
      <c r="Z243" s="70"/>
    </row>
    <row r="245" spans="1:26" ht="13.9" customHeight="1">
      <c r="D245" s="32" t="s">
        <v>187</v>
      </c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3"/>
      <c r="S245" s="32"/>
      <c r="T245" s="33"/>
      <c r="U245" s="32"/>
      <c r="V245" s="33"/>
      <c r="W245" s="32"/>
      <c r="X245" s="33"/>
      <c r="Y245" s="32"/>
      <c r="Z245" s="32"/>
    </row>
    <row r="246" spans="1:26" ht="13.9" customHeight="1">
      <c r="D246" s="21" t="s">
        <v>32</v>
      </c>
      <c r="E246" s="21" t="s">
        <v>33</v>
      </c>
      <c r="F246" s="21" t="s">
        <v>34</v>
      </c>
      <c r="G246" s="21" t="s">
        <v>1</v>
      </c>
      <c r="H246" s="21" t="s">
        <v>2</v>
      </c>
      <c r="I246" s="21" t="s">
        <v>3</v>
      </c>
      <c r="J246" s="21" t="s">
        <v>4</v>
      </c>
      <c r="K246" s="21" t="s">
        <v>5</v>
      </c>
      <c r="L246" s="21" t="s">
        <v>6</v>
      </c>
      <c r="M246" s="21" t="s">
        <v>7</v>
      </c>
      <c r="N246" s="21" t="s">
        <v>8</v>
      </c>
      <c r="O246" s="21" t="s">
        <v>9</v>
      </c>
      <c r="P246" s="21" t="s">
        <v>10</v>
      </c>
      <c r="Q246" s="21" t="s">
        <v>11</v>
      </c>
      <c r="R246" s="22" t="s">
        <v>12</v>
      </c>
      <c r="S246" s="21" t="s">
        <v>13</v>
      </c>
      <c r="T246" s="22" t="s">
        <v>14</v>
      </c>
      <c r="U246" s="21" t="s">
        <v>15</v>
      </c>
      <c r="V246" s="22" t="s">
        <v>16</v>
      </c>
      <c r="W246" s="21" t="s">
        <v>17</v>
      </c>
      <c r="X246" s="22" t="s">
        <v>18</v>
      </c>
      <c r="Y246" s="21" t="s">
        <v>19</v>
      </c>
      <c r="Z246" s="21" t="s">
        <v>20</v>
      </c>
    </row>
    <row r="247" spans="1:26" ht="13.9" customHeight="1">
      <c r="A247" s="15">
        <v>5</v>
      </c>
      <c r="D247" s="12" t="s">
        <v>21</v>
      </c>
      <c r="E247" s="35">
        <v>111</v>
      </c>
      <c r="F247" s="35" t="s">
        <v>46</v>
      </c>
      <c r="G247" s="36">
        <f t="shared" ref="G247:Q247" si="138">G255+G305</f>
        <v>3073.4900000000002</v>
      </c>
      <c r="H247" s="36">
        <f t="shared" si="138"/>
        <v>9886.81</v>
      </c>
      <c r="I247" s="36">
        <f t="shared" si="138"/>
        <v>301</v>
      </c>
      <c r="J247" s="36">
        <f t="shared" si="138"/>
        <v>8602.18</v>
      </c>
      <c r="K247" s="36">
        <f t="shared" si="138"/>
        <v>312</v>
      </c>
      <c r="L247" s="36">
        <f t="shared" si="138"/>
        <v>0</v>
      </c>
      <c r="M247" s="36">
        <f t="shared" si="138"/>
        <v>2219</v>
      </c>
      <c r="N247" s="36">
        <f t="shared" si="138"/>
        <v>2675</v>
      </c>
      <c r="O247" s="36">
        <f t="shared" si="138"/>
        <v>17686</v>
      </c>
      <c r="P247" s="36">
        <f t="shared" si="138"/>
        <v>22892</v>
      </c>
      <c r="Q247" s="36">
        <f t="shared" si="138"/>
        <v>0</v>
      </c>
      <c r="R247" s="37">
        <f>Q247/$P247</f>
        <v>0</v>
      </c>
      <c r="S247" s="36">
        <f>S255+S305</f>
        <v>2219.02</v>
      </c>
      <c r="T247" s="37">
        <f>S247/$P247</f>
        <v>9.693430019220689E-2</v>
      </c>
      <c r="U247" s="36">
        <f>U255+U305</f>
        <v>4893.32</v>
      </c>
      <c r="V247" s="37">
        <f>U247/$P247</f>
        <v>0.21375677092434037</v>
      </c>
      <c r="W247" s="36">
        <f>W255+W305</f>
        <v>22892.3</v>
      </c>
      <c r="X247" s="37">
        <f>W247/$P247</f>
        <v>1.0000131050148524</v>
      </c>
      <c r="Y247" s="36">
        <f>Y255+Y305</f>
        <v>312</v>
      </c>
      <c r="Z247" s="36">
        <f>Z255+Z305</f>
        <v>312</v>
      </c>
    </row>
    <row r="248" spans="1:26" ht="13.9" customHeight="1">
      <c r="A248" s="15">
        <v>5</v>
      </c>
      <c r="D248" s="12"/>
      <c r="E248" s="35">
        <v>41</v>
      </c>
      <c r="F248" s="35" t="s">
        <v>23</v>
      </c>
      <c r="G248" s="36">
        <f t="shared" ref="G248:Q248" si="139">G256+G306</f>
        <v>32004.410000000003</v>
      </c>
      <c r="H248" s="36">
        <f t="shared" si="139"/>
        <v>35304.9</v>
      </c>
      <c r="I248" s="36">
        <f t="shared" si="139"/>
        <v>39317</v>
      </c>
      <c r="J248" s="36">
        <f t="shared" si="139"/>
        <v>50941.99</v>
      </c>
      <c r="K248" s="36">
        <f t="shared" si="139"/>
        <v>61394</v>
      </c>
      <c r="L248" s="36">
        <f t="shared" si="139"/>
        <v>0</v>
      </c>
      <c r="M248" s="36">
        <f t="shared" si="139"/>
        <v>-1283</v>
      </c>
      <c r="N248" s="36">
        <f t="shared" si="139"/>
        <v>-1374</v>
      </c>
      <c r="O248" s="36">
        <f t="shared" si="139"/>
        <v>-386</v>
      </c>
      <c r="P248" s="36">
        <f t="shared" si="139"/>
        <v>58351</v>
      </c>
      <c r="Q248" s="36">
        <f t="shared" si="139"/>
        <v>11934.300000000001</v>
      </c>
      <c r="R248" s="37">
        <f>Q248/$P248</f>
        <v>0.20452605782248806</v>
      </c>
      <c r="S248" s="36">
        <f>S256+S306</f>
        <v>22427.85</v>
      </c>
      <c r="T248" s="37">
        <f>S248/$P248</f>
        <v>0.38436102209045259</v>
      </c>
      <c r="U248" s="36">
        <f>U256+U306</f>
        <v>29990.560000000001</v>
      </c>
      <c r="V248" s="37">
        <f>U248/$P248</f>
        <v>0.51396822676560816</v>
      </c>
      <c r="W248" s="36">
        <f>W256+W306</f>
        <v>25940.57</v>
      </c>
      <c r="X248" s="37">
        <f>W248/$P248</f>
        <v>0.44456084728625045</v>
      </c>
      <c r="Y248" s="36">
        <f>Y256+Y306</f>
        <v>57995</v>
      </c>
      <c r="Z248" s="36">
        <f>Z256+Z306</f>
        <v>57999</v>
      </c>
    </row>
    <row r="249" spans="1:26" ht="13.9" customHeight="1">
      <c r="A249" s="15">
        <v>5</v>
      </c>
      <c r="D249" s="12"/>
      <c r="E249" s="35">
        <v>71</v>
      </c>
      <c r="F249" s="35" t="s">
        <v>24</v>
      </c>
      <c r="G249" s="36">
        <f t="shared" ref="G249:Q249" si="140">G257</f>
        <v>1400</v>
      </c>
      <c r="H249" s="36">
        <f t="shared" si="140"/>
        <v>3000</v>
      </c>
      <c r="I249" s="36">
        <f t="shared" si="140"/>
        <v>3000</v>
      </c>
      <c r="J249" s="36">
        <f t="shared" si="140"/>
        <v>3000</v>
      </c>
      <c r="K249" s="36">
        <f t="shared" si="140"/>
        <v>3000</v>
      </c>
      <c r="L249" s="36">
        <f t="shared" si="140"/>
        <v>0</v>
      </c>
      <c r="M249" s="36">
        <f t="shared" si="140"/>
        <v>0</v>
      </c>
      <c r="N249" s="36">
        <f t="shared" si="140"/>
        <v>0</v>
      </c>
      <c r="O249" s="36">
        <f t="shared" si="140"/>
        <v>0</v>
      </c>
      <c r="P249" s="36">
        <f t="shared" si="140"/>
        <v>3000</v>
      </c>
      <c r="Q249" s="36">
        <f t="shared" si="140"/>
        <v>0</v>
      </c>
      <c r="R249" s="37">
        <f>Q249/$P249</f>
        <v>0</v>
      </c>
      <c r="S249" s="36">
        <f>S257</f>
        <v>1056.53</v>
      </c>
      <c r="T249" s="37">
        <f>S249/$P249</f>
        <v>0.35217666666666664</v>
      </c>
      <c r="U249" s="36">
        <f>U257</f>
        <v>3000</v>
      </c>
      <c r="V249" s="37">
        <f>U249/$P249</f>
        <v>1</v>
      </c>
      <c r="W249" s="36">
        <f>W257</f>
        <v>3000</v>
      </c>
      <c r="X249" s="37">
        <f>W249/$P249</f>
        <v>1</v>
      </c>
      <c r="Y249" s="36">
        <f>Y257</f>
        <v>3000</v>
      </c>
      <c r="Z249" s="36">
        <f>Z257</f>
        <v>3000</v>
      </c>
    </row>
    <row r="250" spans="1:26" ht="13.9" hidden="1" customHeight="1">
      <c r="A250" s="15">
        <v>5</v>
      </c>
      <c r="D250" s="12"/>
      <c r="E250" s="35">
        <v>72</v>
      </c>
      <c r="F250" s="35" t="s">
        <v>25</v>
      </c>
      <c r="G250" s="36">
        <f t="shared" ref="G250:Q250" si="141">G307</f>
        <v>0</v>
      </c>
      <c r="H250" s="36">
        <f t="shared" si="141"/>
        <v>0</v>
      </c>
      <c r="I250" s="36">
        <f t="shared" si="141"/>
        <v>0</v>
      </c>
      <c r="J250" s="36">
        <f t="shared" si="141"/>
        <v>138.36000000000001</v>
      </c>
      <c r="K250" s="36">
        <f t="shared" si="141"/>
        <v>0</v>
      </c>
      <c r="L250" s="36">
        <f t="shared" si="141"/>
        <v>0</v>
      </c>
      <c r="M250" s="36">
        <f t="shared" si="141"/>
        <v>0</v>
      </c>
      <c r="N250" s="36">
        <f t="shared" si="141"/>
        <v>0</v>
      </c>
      <c r="O250" s="36">
        <f t="shared" si="141"/>
        <v>0</v>
      </c>
      <c r="P250" s="36">
        <f t="shared" si="141"/>
        <v>0</v>
      </c>
      <c r="Q250" s="36">
        <f t="shared" si="141"/>
        <v>0</v>
      </c>
      <c r="R250" s="37" t="e">
        <f>Q250/$P250</f>
        <v>#DIV/0!</v>
      </c>
      <c r="S250" s="36">
        <f>S307</f>
        <v>0</v>
      </c>
      <c r="T250" s="37" t="e">
        <f>S250/$P250</f>
        <v>#DIV/0!</v>
      </c>
      <c r="U250" s="36">
        <f>U307</f>
        <v>0</v>
      </c>
      <c r="V250" s="37" t="e">
        <f>U250/$P250</f>
        <v>#DIV/0!</v>
      </c>
      <c r="W250" s="36">
        <f>W307</f>
        <v>0</v>
      </c>
      <c r="X250" s="37" t="e">
        <f>W250/$P250</f>
        <v>#DIV/0!</v>
      </c>
      <c r="Y250" s="36">
        <f>Y307</f>
        <v>0</v>
      </c>
      <c r="Z250" s="36">
        <f>Z307</f>
        <v>0</v>
      </c>
    </row>
    <row r="251" spans="1:26" ht="13.9" customHeight="1">
      <c r="A251" s="15">
        <v>5</v>
      </c>
      <c r="D251" s="30"/>
      <c r="E251" s="31"/>
      <c r="F251" s="38" t="s">
        <v>119</v>
      </c>
      <c r="G251" s="39">
        <f t="shared" ref="G251:Q251" si="142">SUM(G247:G250)</f>
        <v>36477.9</v>
      </c>
      <c r="H251" s="39">
        <f t="shared" si="142"/>
        <v>48191.71</v>
      </c>
      <c r="I251" s="39">
        <f t="shared" si="142"/>
        <v>42618</v>
      </c>
      <c r="J251" s="39">
        <f t="shared" si="142"/>
        <v>62682.53</v>
      </c>
      <c r="K251" s="39">
        <f t="shared" si="142"/>
        <v>64706</v>
      </c>
      <c r="L251" s="39">
        <f t="shared" si="142"/>
        <v>0</v>
      </c>
      <c r="M251" s="39">
        <f t="shared" si="142"/>
        <v>936</v>
      </c>
      <c r="N251" s="39">
        <f t="shared" si="142"/>
        <v>1301</v>
      </c>
      <c r="O251" s="39">
        <f t="shared" si="142"/>
        <v>17300</v>
      </c>
      <c r="P251" s="39">
        <f t="shared" si="142"/>
        <v>84243</v>
      </c>
      <c r="Q251" s="39">
        <f t="shared" si="142"/>
        <v>11934.300000000001</v>
      </c>
      <c r="R251" s="40">
        <f>Q251/$P251</f>
        <v>0.14166518286385812</v>
      </c>
      <c r="S251" s="39">
        <f>SUM(S247:S250)</f>
        <v>25703.399999999998</v>
      </c>
      <c r="T251" s="40">
        <f>S251/$P251</f>
        <v>0.30511021687261847</v>
      </c>
      <c r="U251" s="39">
        <f>SUM(U247:U250)</f>
        <v>37883.880000000005</v>
      </c>
      <c r="V251" s="40">
        <f>U251/$P251</f>
        <v>0.44969766033973152</v>
      </c>
      <c r="W251" s="39">
        <f>SUM(W247:W250)</f>
        <v>51832.869999999995</v>
      </c>
      <c r="X251" s="40">
        <f>W251/$P251</f>
        <v>0.61527806464632073</v>
      </c>
      <c r="Y251" s="39">
        <f>SUM(Y247:Y250)</f>
        <v>61307</v>
      </c>
      <c r="Z251" s="39">
        <f>SUM(Z247:Z250)</f>
        <v>61311</v>
      </c>
    </row>
    <row r="253" spans="1:26" ht="13.9" customHeight="1">
      <c r="D253" s="41" t="s">
        <v>188</v>
      </c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2"/>
      <c r="S253" s="41"/>
      <c r="T253" s="42"/>
      <c r="U253" s="41"/>
      <c r="V253" s="42"/>
      <c r="W253" s="41"/>
      <c r="X253" s="42"/>
      <c r="Y253" s="41"/>
      <c r="Z253" s="41"/>
    </row>
    <row r="254" spans="1:26" ht="13.9" customHeight="1">
      <c r="D254" s="122"/>
      <c r="E254" s="122"/>
      <c r="F254" s="122"/>
      <c r="G254" s="21" t="s">
        <v>1</v>
      </c>
      <c r="H254" s="21" t="s">
        <v>2</v>
      </c>
      <c r="I254" s="21" t="s">
        <v>3</v>
      </c>
      <c r="J254" s="21" t="s">
        <v>4</v>
      </c>
      <c r="K254" s="21" t="s">
        <v>5</v>
      </c>
      <c r="L254" s="21" t="s">
        <v>6</v>
      </c>
      <c r="M254" s="21" t="s">
        <v>7</v>
      </c>
      <c r="N254" s="21" t="s">
        <v>8</v>
      </c>
      <c r="O254" s="21" t="s">
        <v>9</v>
      </c>
      <c r="P254" s="21" t="s">
        <v>10</v>
      </c>
      <c r="Q254" s="21" t="s">
        <v>11</v>
      </c>
      <c r="R254" s="22" t="s">
        <v>12</v>
      </c>
      <c r="S254" s="21" t="s">
        <v>13</v>
      </c>
      <c r="T254" s="22" t="s">
        <v>14</v>
      </c>
      <c r="U254" s="21" t="s">
        <v>15</v>
      </c>
      <c r="V254" s="22" t="s">
        <v>16</v>
      </c>
      <c r="W254" s="21" t="s">
        <v>17</v>
      </c>
      <c r="X254" s="22" t="s">
        <v>18</v>
      </c>
      <c r="Y254" s="21" t="s">
        <v>19</v>
      </c>
      <c r="Z254" s="21" t="s">
        <v>20</v>
      </c>
    </row>
    <row r="255" spans="1:26" ht="13.9" customHeight="1">
      <c r="A255" s="15">
        <v>5</v>
      </c>
      <c r="B255" s="15">
        <v>1</v>
      </c>
      <c r="D255" s="13" t="s">
        <v>21</v>
      </c>
      <c r="E255" s="23">
        <v>111</v>
      </c>
      <c r="F255" s="23" t="s">
        <v>46</v>
      </c>
      <c r="G255" s="24">
        <f t="shared" ref="G255:Q255" si="143">G263+G278+G288</f>
        <v>3073.4900000000002</v>
      </c>
      <c r="H255" s="24">
        <f t="shared" si="143"/>
        <v>9886.81</v>
      </c>
      <c r="I255" s="24">
        <f t="shared" si="143"/>
        <v>301</v>
      </c>
      <c r="J255" s="24">
        <f t="shared" si="143"/>
        <v>311.89</v>
      </c>
      <c r="K255" s="24">
        <f t="shared" si="143"/>
        <v>312</v>
      </c>
      <c r="L255" s="24">
        <f t="shared" si="143"/>
        <v>0</v>
      </c>
      <c r="M255" s="24">
        <f t="shared" si="143"/>
        <v>1999</v>
      </c>
      <c r="N255" s="24">
        <f t="shared" si="143"/>
        <v>2455</v>
      </c>
      <c r="O255" s="24">
        <f t="shared" si="143"/>
        <v>17466</v>
      </c>
      <c r="P255" s="24">
        <f t="shared" si="143"/>
        <v>22232</v>
      </c>
      <c r="Q255" s="24">
        <f t="shared" si="143"/>
        <v>0</v>
      </c>
      <c r="R255" s="25">
        <f>Q255/$P255</f>
        <v>0</v>
      </c>
      <c r="S255" s="24">
        <f>S263+S278+S288</f>
        <v>1999.15</v>
      </c>
      <c r="T255" s="25">
        <f>S255/$P255</f>
        <v>8.9922184238934874E-2</v>
      </c>
      <c r="U255" s="24">
        <f>U263+U278+U288</f>
        <v>4453.58</v>
      </c>
      <c r="V255" s="25">
        <f>U255/$P255</f>
        <v>0.20032295789852464</v>
      </c>
      <c r="W255" s="24">
        <f>W263+W278+W288</f>
        <v>22232.69</v>
      </c>
      <c r="X255" s="25">
        <f>W255/$P255</f>
        <v>1.0000310363440086</v>
      </c>
      <c r="Y255" s="24">
        <f>Y263+Y278+Y288</f>
        <v>312</v>
      </c>
      <c r="Z255" s="24">
        <f>Z263+Z278+Z288</f>
        <v>312</v>
      </c>
    </row>
    <row r="256" spans="1:26" ht="13.9" customHeight="1">
      <c r="A256" s="15">
        <v>5</v>
      </c>
      <c r="B256" s="15">
        <v>1</v>
      </c>
      <c r="D256" s="13"/>
      <c r="E256" s="23">
        <v>41</v>
      </c>
      <c r="F256" s="23" t="s">
        <v>23</v>
      </c>
      <c r="G256" s="24">
        <f t="shared" ref="G256:Q256" si="144">G266+G280+G291+G300</f>
        <v>23146.410000000003</v>
      </c>
      <c r="H256" s="24">
        <f t="shared" si="144"/>
        <v>19675.580000000002</v>
      </c>
      <c r="I256" s="24">
        <f t="shared" si="144"/>
        <v>27079</v>
      </c>
      <c r="J256" s="24">
        <f t="shared" si="144"/>
        <v>27708.37</v>
      </c>
      <c r="K256" s="24">
        <f t="shared" si="144"/>
        <v>43227</v>
      </c>
      <c r="L256" s="24">
        <f t="shared" si="144"/>
        <v>0</v>
      </c>
      <c r="M256" s="24">
        <f t="shared" si="144"/>
        <v>-1063</v>
      </c>
      <c r="N256" s="24">
        <f t="shared" si="144"/>
        <v>-2089</v>
      </c>
      <c r="O256" s="24">
        <f t="shared" si="144"/>
        <v>-386</v>
      </c>
      <c r="P256" s="24">
        <f t="shared" si="144"/>
        <v>39689</v>
      </c>
      <c r="Q256" s="24">
        <f t="shared" si="144"/>
        <v>8869.9500000000007</v>
      </c>
      <c r="R256" s="25">
        <f>Q256/$P256</f>
        <v>0.22348635642117465</v>
      </c>
      <c r="S256" s="24">
        <f>S266+S280+S291+S300</f>
        <v>17886.349999999999</v>
      </c>
      <c r="T256" s="25">
        <f>S256/$P256</f>
        <v>0.45066265212023476</v>
      </c>
      <c r="U256" s="24">
        <f>U266+U280+U291+U300</f>
        <v>23611.47</v>
      </c>
      <c r="V256" s="25">
        <f>U256/$P256</f>
        <v>0.5949121922950944</v>
      </c>
      <c r="W256" s="24">
        <f>W266+W280+W291+W300</f>
        <v>15639.56</v>
      </c>
      <c r="X256" s="25">
        <f>W256/$P256</f>
        <v>0.39405276021063768</v>
      </c>
      <c r="Y256" s="24">
        <f>Y266+Y280+Y291+Y300</f>
        <v>42827</v>
      </c>
      <c r="Z256" s="24">
        <f>Z266+Z280+Z291+Z300</f>
        <v>42827</v>
      </c>
    </row>
    <row r="257" spans="1:26" ht="13.9" customHeight="1">
      <c r="A257" s="15">
        <v>5</v>
      </c>
      <c r="B257" s="15">
        <v>1</v>
      </c>
      <c r="D257" s="13"/>
      <c r="E257" s="23">
        <v>71</v>
      </c>
      <c r="F257" s="23" t="s">
        <v>24</v>
      </c>
      <c r="G257" s="24">
        <f t="shared" ref="G257:Q257" si="145">G268</f>
        <v>1400</v>
      </c>
      <c r="H257" s="24">
        <f t="shared" si="145"/>
        <v>3000</v>
      </c>
      <c r="I257" s="24">
        <f t="shared" si="145"/>
        <v>3000</v>
      </c>
      <c r="J257" s="24">
        <f t="shared" si="145"/>
        <v>3000</v>
      </c>
      <c r="K257" s="24">
        <f t="shared" si="145"/>
        <v>3000</v>
      </c>
      <c r="L257" s="24">
        <f t="shared" si="145"/>
        <v>0</v>
      </c>
      <c r="M257" s="24">
        <f t="shared" si="145"/>
        <v>0</v>
      </c>
      <c r="N257" s="24">
        <f t="shared" si="145"/>
        <v>0</v>
      </c>
      <c r="O257" s="24">
        <f t="shared" si="145"/>
        <v>0</v>
      </c>
      <c r="P257" s="24">
        <f t="shared" si="145"/>
        <v>3000</v>
      </c>
      <c r="Q257" s="24">
        <f t="shared" si="145"/>
        <v>0</v>
      </c>
      <c r="R257" s="25">
        <f>Q257/$P257</f>
        <v>0</v>
      </c>
      <c r="S257" s="24">
        <f>S268</f>
        <v>1056.53</v>
      </c>
      <c r="T257" s="25">
        <f>S257/$P257</f>
        <v>0.35217666666666664</v>
      </c>
      <c r="U257" s="24">
        <f>U268</f>
        <v>3000</v>
      </c>
      <c r="V257" s="25">
        <f>U257/$P257</f>
        <v>1</v>
      </c>
      <c r="W257" s="24">
        <f>W268</f>
        <v>3000</v>
      </c>
      <c r="X257" s="25">
        <f>W257/$P257</f>
        <v>1</v>
      </c>
      <c r="Y257" s="24">
        <f>Y268</f>
        <v>3000</v>
      </c>
      <c r="Z257" s="24">
        <f>Z268</f>
        <v>3000</v>
      </c>
    </row>
    <row r="258" spans="1:26" ht="13.9" customHeight="1">
      <c r="A258" s="15">
        <v>5</v>
      </c>
      <c r="B258" s="15">
        <v>1</v>
      </c>
      <c r="D258" s="30"/>
      <c r="E258" s="31"/>
      <c r="F258" s="26" t="s">
        <v>119</v>
      </c>
      <c r="G258" s="27">
        <f t="shared" ref="G258:Q258" si="146">SUM(G255:G257)</f>
        <v>27619.900000000005</v>
      </c>
      <c r="H258" s="27">
        <f t="shared" si="146"/>
        <v>32562.39</v>
      </c>
      <c r="I258" s="27">
        <f t="shared" si="146"/>
        <v>30380</v>
      </c>
      <c r="J258" s="27">
        <f t="shared" si="146"/>
        <v>31020.26</v>
      </c>
      <c r="K258" s="27">
        <f t="shared" si="146"/>
        <v>46539</v>
      </c>
      <c r="L258" s="27">
        <f t="shared" si="146"/>
        <v>0</v>
      </c>
      <c r="M258" s="27">
        <f t="shared" si="146"/>
        <v>936</v>
      </c>
      <c r="N258" s="27">
        <f t="shared" si="146"/>
        <v>366</v>
      </c>
      <c r="O258" s="27">
        <f t="shared" si="146"/>
        <v>17080</v>
      </c>
      <c r="P258" s="27">
        <f t="shared" si="146"/>
        <v>64921</v>
      </c>
      <c r="Q258" s="27">
        <f t="shared" si="146"/>
        <v>8869.9500000000007</v>
      </c>
      <c r="R258" s="28">
        <f>Q258/$P258</f>
        <v>0.13662682336994195</v>
      </c>
      <c r="S258" s="27">
        <f>SUM(S255:S257)</f>
        <v>20942.03</v>
      </c>
      <c r="T258" s="28">
        <f>S258/$P258</f>
        <v>0.32257713220683598</v>
      </c>
      <c r="U258" s="27">
        <f>SUM(U255:U257)</f>
        <v>31065.050000000003</v>
      </c>
      <c r="V258" s="28">
        <f>U258/$P258</f>
        <v>0.47850541427273152</v>
      </c>
      <c r="W258" s="27">
        <f>SUM(W255:W257)</f>
        <v>40872.25</v>
      </c>
      <c r="X258" s="28">
        <f>W258/$P258</f>
        <v>0.62956901464857284</v>
      </c>
      <c r="Y258" s="27">
        <f>SUM(Y255:Y257)</f>
        <v>46139</v>
      </c>
      <c r="Z258" s="27">
        <f>SUM(Z255:Z257)</f>
        <v>46139</v>
      </c>
    </row>
    <row r="260" spans="1:26" ht="13.9" customHeight="1">
      <c r="D260" s="73" t="s">
        <v>189</v>
      </c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4"/>
      <c r="S260" s="73"/>
      <c r="T260" s="74"/>
      <c r="U260" s="73"/>
      <c r="V260" s="74"/>
      <c r="W260" s="73"/>
      <c r="X260" s="74"/>
      <c r="Y260" s="73"/>
      <c r="Z260" s="73"/>
    </row>
    <row r="261" spans="1:26" ht="13.9" customHeight="1">
      <c r="D261" s="21" t="s">
        <v>32</v>
      </c>
      <c r="E261" s="21" t="s">
        <v>33</v>
      </c>
      <c r="F261" s="21" t="s">
        <v>34</v>
      </c>
      <c r="G261" s="21" t="s">
        <v>1</v>
      </c>
      <c r="H261" s="21" t="s">
        <v>2</v>
      </c>
      <c r="I261" s="21" t="s">
        <v>3</v>
      </c>
      <c r="J261" s="21" t="s">
        <v>4</v>
      </c>
      <c r="K261" s="21" t="s">
        <v>5</v>
      </c>
      <c r="L261" s="21" t="s">
        <v>6</v>
      </c>
      <c r="M261" s="21" t="s">
        <v>7</v>
      </c>
      <c r="N261" s="21" t="s">
        <v>8</v>
      </c>
      <c r="O261" s="21" t="s">
        <v>9</v>
      </c>
      <c r="P261" s="21" t="s">
        <v>10</v>
      </c>
      <c r="Q261" s="21" t="s">
        <v>11</v>
      </c>
      <c r="R261" s="22" t="s">
        <v>12</v>
      </c>
      <c r="S261" s="21" t="s">
        <v>13</v>
      </c>
      <c r="T261" s="22" t="s">
        <v>14</v>
      </c>
      <c r="U261" s="21" t="s">
        <v>15</v>
      </c>
      <c r="V261" s="22" t="s">
        <v>16</v>
      </c>
      <c r="W261" s="21" t="s">
        <v>17</v>
      </c>
      <c r="X261" s="22" t="s">
        <v>18</v>
      </c>
      <c r="Y261" s="21" t="s">
        <v>19</v>
      </c>
      <c r="Z261" s="21" t="s">
        <v>20</v>
      </c>
    </row>
    <row r="262" spans="1:26" ht="13.9" customHeight="1">
      <c r="A262" s="15">
        <v>5</v>
      </c>
      <c r="B262" s="15">
        <v>1</v>
      </c>
      <c r="C262" s="15">
        <v>1</v>
      </c>
      <c r="D262" s="51" t="s">
        <v>190</v>
      </c>
      <c r="E262" s="23">
        <v>630</v>
      </c>
      <c r="F262" s="23" t="s">
        <v>126</v>
      </c>
      <c r="G262" s="24">
        <v>0</v>
      </c>
      <c r="H262" s="46">
        <v>0</v>
      </c>
      <c r="I262" s="24">
        <v>0</v>
      </c>
      <c r="J262" s="24">
        <v>0</v>
      </c>
      <c r="K262" s="24">
        <v>0</v>
      </c>
      <c r="L262" s="24"/>
      <c r="M262" s="24">
        <v>101</v>
      </c>
      <c r="N262" s="24">
        <v>101</v>
      </c>
      <c r="O262" s="24">
        <v>101</v>
      </c>
      <c r="P262" s="46">
        <f>K262+SUM(L262:O262)</f>
        <v>303</v>
      </c>
      <c r="Q262" s="46">
        <v>0</v>
      </c>
      <c r="R262" s="47">
        <f t="shared" ref="R262:R269" si="147">Q262/$P262</f>
        <v>0</v>
      </c>
      <c r="S262" s="46">
        <v>101.01</v>
      </c>
      <c r="T262" s="47">
        <f t="shared" ref="T262:T269" si="148">S262/$P262</f>
        <v>0.33336633663366338</v>
      </c>
      <c r="U262" s="46">
        <v>202.02</v>
      </c>
      <c r="V262" s="47">
        <f t="shared" ref="V262:V269" si="149">U262/$P262</f>
        <v>0.66673267326732677</v>
      </c>
      <c r="W262" s="46">
        <v>303.02999999999997</v>
      </c>
      <c r="X262" s="47">
        <f t="shared" ref="X262:X269" si="150">W262/$P262</f>
        <v>1.0000990099009901</v>
      </c>
      <c r="Y262" s="24">
        <v>0</v>
      </c>
      <c r="Z262" s="24">
        <v>0</v>
      </c>
    </row>
    <row r="263" spans="1:26" ht="13.9" customHeight="1">
      <c r="A263" s="15">
        <v>5</v>
      </c>
      <c r="B263" s="15">
        <v>1</v>
      </c>
      <c r="C263" s="15">
        <v>1</v>
      </c>
      <c r="D263" s="83" t="s">
        <v>21</v>
      </c>
      <c r="E263" s="48">
        <v>111</v>
      </c>
      <c r="F263" s="48" t="s">
        <v>23</v>
      </c>
      <c r="G263" s="49">
        <f t="shared" ref="G263:Q263" si="151">SUM(G262:G262)</f>
        <v>0</v>
      </c>
      <c r="H263" s="49">
        <f t="shared" si="151"/>
        <v>0</v>
      </c>
      <c r="I263" s="49">
        <f t="shared" si="151"/>
        <v>0</v>
      </c>
      <c r="J263" s="49">
        <f t="shared" si="151"/>
        <v>0</v>
      </c>
      <c r="K263" s="49">
        <f t="shared" si="151"/>
        <v>0</v>
      </c>
      <c r="L263" s="49">
        <f t="shared" si="151"/>
        <v>0</v>
      </c>
      <c r="M263" s="49">
        <f t="shared" si="151"/>
        <v>101</v>
      </c>
      <c r="N263" s="49">
        <f t="shared" si="151"/>
        <v>101</v>
      </c>
      <c r="O263" s="49">
        <f t="shared" si="151"/>
        <v>101</v>
      </c>
      <c r="P263" s="49">
        <f t="shared" si="151"/>
        <v>303</v>
      </c>
      <c r="Q263" s="49">
        <f t="shared" si="151"/>
        <v>0</v>
      </c>
      <c r="R263" s="50">
        <f t="shared" si="147"/>
        <v>0</v>
      </c>
      <c r="S263" s="49">
        <f>SUM(S262:S262)</f>
        <v>101.01</v>
      </c>
      <c r="T263" s="50">
        <f t="shared" si="148"/>
        <v>0.33336633663366338</v>
      </c>
      <c r="U263" s="49">
        <f>SUM(U262:U262)</f>
        <v>202.02</v>
      </c>
      <c r="V263" s="50">
        <f t="shared" si="149"/>
        <v>0.66673267326732677</v>
      </c>
      <c r="W263" s="49">
        <f>SUM(W262:W262)</f>
        <v>303.02999999999997</v>
      </c>
      <c r="X263" s="50">
        <f t="shared" si="150"/>
        <v>1.0000990099009901</v>
      </c>
      <c r="Y263" s="49">
        <f>SUM(Y262:Y262)</f>
        <v>0</v>
      </c>
      <c r="Z263" s="49">
        <f>SUM(Z262:Z262)</f>
        <v>0</v>
      </c>
    </row>
    <row r="264" spans="1:26" ht="13.9" customHeight="1">
      <c r="A264" s="15">
        <v>5</v>
      </c>
      <c r="B264" s="15">
        <v>1</v>
      </c>
      <c r="C264" s="15">
        <v>1</v>
      </c>
      <c r="D264" s="6" t="s">
        <v>190</v>
      </c>
      <c r="E264" s="23">
        <v>630</v>
      </c>
      <c r="F264" s="23" t="s">
        <v>126</v>
      </c>
      <c r="G264" s="24">
        <v>2038.71</v>
      </c>
      <c r="H264" s="24">
        <v>1837.4</v>
      </c>
      <c r="I264" s="24">
        <v>1827</v>
      </c>
      <c r="J264" s="24">
        <v>2106.09</v>
      </c>
      <c r="K264" s="24">
        <v>3500</v>
      </c>
      <c r="L264" s="24"/>
      <c r="M264" s="24">
        <v>-101</v>
      </c>
      <c r="N264" s="24">
        <v>-101</v>
      </c>
      <c r="O264" s="24">
        <v>501</v>
      </c>
      <c r="P264" s="24">
        <f>K264+SUM(L264:O264)</f>
        <v>3799</v>
      </c>
      <c r="Q264" s="24">
        <v>764.06</v>
      </c>
      <c r="R264" s="25">
        <f t="shared" si="147"/>
        <v>0.20112134772308501</v>
      </c>
      <c r="S264" s="24">
        <v>1249.99</v>
      </c>
      <c r="T264" s="25">
        <f t="shared" si="148"/>
        <v>0.32903132403264018</v>
      </c>
      <c r="U264" s="24">
        <v>1842.76</v>
      </c>
      <c r="V264" s="25">
        <f t="shared" si="149"/>
        <v>0.48506449065543567</v>
      </c>
      <c r="W264" s="24">
        <v>3797.18</v>
      </c>
      <c r="X264" s="25">
        <f t="shared" si="150"/>
        <v>0.99952092655962088</v>
      </c>
      <c r="Y264" s="24">
        <v>3100</v>
      </c>
      <c r="Z264" s="24">
        <f>Y264</f>
        <v>3100</v>
      </c>
    </row>
    <row r="265" spans="1:26" ht="13.9" customHeight="1">
      <c r="A265" s="15">
        <v>5</v>
      </c>
      <c r="B265" s="15">
        <v>1</v>
      </c>
      <c r="C265" s="15">
        <v>1</v>
      </c>
      <c r="D265" s="6"/>
      <c r="E265" s="23">
        <v>640</v>
      </c>
      <c r="F265" s="23" t="s">
        <v>127</v>
      </c>
      <c r="G265" s="46">
        <v>1420</v>
      </c>
      <c r="H265" s="46">
        <v>2570</v>
      </c>
      <c r="I265" s="46">
        <v>6840</v>
      </c>
      <c r="J265" s="46">
        <v>6840</v>
      </c>
      <c r="K265" s="46">
        <v>2440</v>
      </c>
      <c r="L265" s="46"/>
      <c r="M265" s="46"/>
      <c r="N265" s="46"/>
      <c r="O265" s="46"/>
      <c r="P265" s="46">
        <f>K265+SUM(L265:O265)</f>
        <v>2440</v>
      </c>
      <c r="Q265" s="46">
        <v>0</v>
      </c>
      <c r="R265" s="47">
        <f t="shared" si="147"/>
        <v>0</v>
      </c>
      <c r="S265" s="46">
        <v>2440</v>
      </c>
      <c r="T265" s="47">
        <f t="shared" si="148"/>
        <v>1</v>
      </c>
      <c r="U265" s="46">
        <v>2440</v>
      </c>
      <c r="V265" s="47">
        <f t="shared" si="149"/>
        <v>1</v>
      </c>
      <c r="W265" s="46">
        <v>2440</v>
      </c>
      <c r="X265" s="47">
        <f t="shared" si="150"/>
        <v>1</v>
      </c>
      <c r="Y265" s="24">
        <f>K265</f>
        <v>2440</v>
      </c>
      <c r="Z265" s="24">
        <f>Y265</f>
        <v>2440</v>
      </c>
    </row>
    <row r="266" spans="1:26" ht="13.9" customHeight="1">
      <c r="A266" s="15">
        <v>5</v>
      </c>
      <c r="B266" s="15">
        <v>1</v>
      </c>
      <c r="C266" s="15">
        <v>1</v>
      </c>
      <c r="D266" s="83" t="s">
        <v>21</v>
      </c>
      <c r="E266" s="48">
        <v>41</v>
      </c>
      <c r="F266" s="48" t="s">
        <v>23</v>
      </c>
      <c r="G266" s="49">
        <f t="shared" ref="G266:Q266" si="152">SUM(G264:G265)</f>
        <v>3458.71</v>
      </c>
      <c r="H266" s="49">
        <f t="shared" si="152"/>
        <v>4407.3999999999996</v>
      </c>
      <c r="I266" s="49">
        <f t="shared" si="152"/>
        <v>8667</v>
      </c>
      <c r="J266" s="49">
        <f t="shared" si="152"/>
        <v>8946.09</v>
      </c>
      <c r="K266" s="49">
        <f t="shared" si="152"/>
        <v>5940</v>
      </c>
      <c r="L266" s="49">
        <f t="shared" si="152"/>
        <v>0</v>
      </c>
      <c r="M266" s="49">
        <f t="shared" si="152"/>
        <v>-101</v>
      </c>
      <c r="N266" s="49">
        <f t="shared" si="152"/>
        <v>-101</v>
      </c>
      <c r="O266" s="49">
        <f t="shared" si="152"/>
        <v>501</v>
      </c>
      <c r="P266" s="49">
        <f t="shared" si="152"/>
        <v>6239</v>
      </c>
      <c r="Q266" s="49">
        <f t="shared" si="152"/>
        <v>764.06</v>
      </c>
      <c r="R266" s="50">
        <f t="shared" si="147"/>
        <v>0.12246513864401345</v>
      </c>
      <c r="S266" s="49">
        <f>SUM(S264:S265)</f>
        <v>3689.99</v>
      </c>
      <c r="T266" s="50">
        <f t="shared" si="148"/>
        <v>0.59143933322647857</v>
      </c>
      <c r="U266" s="49">
        <f>SUM(U264:U265)</f>
        <v>4282.76</v>
      </c>
      <c r="V266" s="50">
        <f t="shared" si="149"/>
        <v>0.68644975156275045</v>
      </c>
      <c r="W266" s="49">
        <f>SUM(W264:W265)</f>
        <v>6237.18</v>
      </c>
      <c r="X266" s="50">
        <f t="shared" si="150"/>
        <v>0.99970828658438859</v>
      </c>
      <c r="Y266" s="49">
        <f>SUM(Y264:Y265)</f>
        <v>5540</v>
      </c>
      <c r="Z266" s="49">
        <f>SUM(Z264:Z265)</f>
        <v>5540</v>
      </c>
    </row>
    <row r="267" spans="1:26" ht="13.9" customHeight="1">
      <c r="A267" s="15">
        <v>5</v>
      </c>
      <c r="B267" s="15">
        <v>1</v>
      </c>
      <c r="C267" s="15">
        <v>1</v>
      </c>
      <c r="D267" s="80" t="s">
        <v>190</v>
      </c>
      <c r="E267" s="23">
        <v>630</v>
      </c>
      <c r="F267" s="23" t="s">
        <v>126</v>
      </c>
      <c r="G267" s="24">
        <v>1400</v>
      </c>
      <c r="H267" s="24">
        <v>3000</v>
      </c>
      <c r="I267" s="24">
        <v>3000</v>
      </c>
      <c r="J267" s="24">
        <v>3000</v>
      </c>
      <c r="K267" s="24">
        <v>3000</v>
      </c>
      <c r="L267" s="24"/>
      <c r="M267" s="24"/>
      <c r="N267" s="24"/>
      <c r="O267" s="24"/>
      <c r="P267" s="24">
        <f>K267+SUM(L267:O267)</f>
        <v>3000</v>
      </c>
      <c r="Q267" s="24">
        <v>0</v>
      </c>
      <c r="R267" s="25">
        <f t="shared" si="147"/>
        <v>0</v>
      </c>
      <c r="S267" s="24">
        <v>1056.53</v>
      </c>
      <c r="T267" s="25">
        <f t="shared" si="148"/>
        <v>0.35217666666666664</v>
      </c>
      <c r="U267" s="24">
        <v>3000</v>
      </c>
      <c r="V267" s="25">
        <f t="shared" si="149"/>
        <v>1</v>
      </c>
      <c r="W267" s="24">
        <v>3000</v>
      </c>
      <c r="X267" s="25">
        <f t="shared" si="150"/>
        <v>1</v>
      </c>
      <c r="Y267" s="24">
        <f>príjmy!V112</f>
        <v>3000</v>
      </c>
      <c r="Z267" s="24">
        <f>príjmy!W112</f>
        <v>3000</v>
      </c>
    </row>
    <row r="268" spans="1:26" ht="13.9" customHeight="1">
      <c r="A268" s="15">
        <v>5</v>
      </c>
      <c r="B268" s="15">
        <v>1</v>
      </c>
      <c r="C268" s="15">
        <v>1</v>
      </c>
      <c r="D268" s="83" t="s">
        <v>21</v>
      </c>
      <c r="E268" s="48">
        <v>71</v>
      </c>
      <c r="F268" s="48" t="s">
        <v>24</v>
      </c>
      <c r="G268" s="49">
        <f t="shared" ref="G268:Q268" si="153">SUM(G267:G267)</f>
        <v>1400</v>
      </c>
      <c r="H268" s="49">
        <f t="shared" si="153"/>
        <v>3000</v>
      </c>
      <c r="I268" s="49">
        <f t="shared" si="153"/>
        <v>3000</v>
      </c>
      <c r="J268" s="49">
        <f t="shared" si="153"/>
        <v>3000</v>
      </c>
      <c r="K268" s="49">
        <f t="shared" si="153"/>
        <v>3000</v>
      </c>
      <c r="L268" s="49">
        <f t="shared" si="153"/>
        <v>0</v>
      </c>
      <c r="M268" s="49">
        <f t="shared" si="153"/>
        <v>0</v>
      </c>
      <c r="N268" s="49">
        <f t="shared" si="153"/>
        <v>0</v>
      </c>
      <c r="O268" s="49">
        <f t="shared" si="153"/>
        <v>0</v>
      </c>
      <c r="P268" s="49">
        <f t="shared" si="153"/>
        <v>3000</v>
      </c>
      <c r="Q268" s="49">
        <f t="shared" si="153"/>
        <v>0</v>
      </c>
      <c r="R268" s="50">
        <f t="shared" si="147"/>
        <v>0</v>
      </c>
      <c r="S268" s="49">
        <f>SUM(S267:S267)</f>
        <v>1056.53</v>
      </c>
      <c r="T268" s="50">
        <f t="shared" si="148"/>
        <v>0.35217666666666664</v>
      </c>
      <c r="U268" s="49">
        <f>SUM(U267:U267)</f>
        <v>3000</v>
      </c>
      <c r="V268" s="50">
        <f t="shared" si="149"/>
        <v>1</v>
      </c>
      <c r="W268" s="49">
        <f>SUM(W267:W267)</f>
        <v>3000</v>
      </c>
      <c r="X268" s="50">
        <f t="shared" si="150"/>
        <v>1</v>
      </c>
      <c r="Y268" s="49">
        <f>SUM(Y267:Y267)</f>
        <v>3000</v>
      </c>
      <c r="Z268" s="49">
        <f>SUM(Z267:Z267)</f>
        <v>3000</v>
      </c>
    </row>
    <row r="269" spans="1:26" ht="13.9" customHeight="1">
      <c r="A269" s="15">
        <v>5</v>
      </c>
      <c r="B269" s="15">
        <v>1</v>
      </c>
      <c r="C269" s="15">
        <v>1</v>
      </c>
      <c r="D269" s="119"/>
      <c r="E269" s="31"/>
      <c r="F269" s="26" t="s">
        <v>119</v>
      </c>
      <c r="G269" s="27">
        <f t="shared" ref="G269:Q269" si="154">G263+G266+G268</f>
        <v>4858.71</v>
      </c>
      <c r="H269" s="27">
        <f t="shared" si="154"/>
        <v>7407.4</v>
      </c>
      <c r="I269" s="27">
        <f t="shared" si="154"/>
        <v>11667</v>
      </c>
      <c r="J269" s="27">
        <f t="shared" si="154"/>
        <v>11946.09</v>
      </c>
      <c r="K269" s="27">
        <f t="shared" si="154"/>
        <v>8940</v>
      </c>
      <c r="L269" s="27">
        <f t="shared" si="154"/>
        <v>0</v>
      </c>
      <c r="M269" s="27">
        <f t="shared" si="154"/>
        <v>0</v>
      </c>
      <c r="N269" s="27">
        <f t="shared" si="154"/>
        <v>0</v>
      </c>
      <c r="O269" s="27">
        <f t="shared" si="154"/>
        <v>602</v>
      </c>
      <c r="P269" s="27">
        <f t="shared" si="154"/>
        <v>9542</v>
      </c>
      <c r="Q269" s="27">
        <f t="shared" si="154"/>
        <v>764.06</v>
      </c>
      <c r="R269" s="28">
        <f t="shared" si="147"/>
        <v>8.0073359882624179E-2</v>
      </c>
      <c r="S269" s="27">
        <f>S263+S266+S268</f>
        <v>4847.53</v>
      </c>
      <c r="T269" s="28">
        <f t="shared" si="148"/>
        <v>0.50802033116747014</v>
      </c>
      <c r="U269" s="27">
        <f>U263+U266+U268</f>
        <v>7484.7800000000007</v>
      </c>
      <c r="V269" s="28">
        <f t="shared" si="149"/>
        <v>0.78440368895409773</v>
      </c>
      <c r="W269" s="27">
        <f>W263+W266+W268</f>
        <v>9540.2099999999991</v>
      </c>
      <c r="X269" s="28">
        <f t="shared" si="150"/>
        <v>0.99981240830014662</v>
      </c>
      <c r="Y269" s="27">
        <f>Y263+Y266+Y268</f>
        <v>8540</v>
      </c>
      <c r="Z269" s="27">
        <f>Z263+Z266+Z268</f>
        <v>8540</v>
      </c>
    </row>
    <row r="271" spans="1:26" ht="13.9" customHeight="1">
      <c r="E271" s="115" t="s">
        <v>56</v>
      </c>
      <c r="F271" s="123" t="s">
        <v>139</v>
      </c>
      <c r="G271" s="124">
        <v>803</v>
      </c>
      <c r="H271" s="125">
        <v>242</v>
      </c>
      <c r="I271" s="125">
        <v>265</v>
      </c>
      <c r="J271" s="125">
        <v>308</v>
      </c>
      <c r="K271" s="125">
        <v>2025</v>
      </c>
      <c r="L271" s="125"/>
      <c r="M271" s="125"/>
      <c r="N271" s="125"/>
      <c r="O271" s="125">
        <v>-224</v>
      </c>
      <c r="P271" s="125">
        <f>K271+SUM(L271:O271)</f>
        <v>1801</v>
      </c>
      <c r="Q271" s="125">
        <v>728.64</v>
      </c>
      <c r="R271" s="126">
        <f>Q271/$P271</f>
        <v>0.40457523598001111</v>
      </c>
      <c r="S271" s="125">
        <v>1104.6400000000001</v>
      </c>
      <c r="T271" s="126">
        <f>S271/$P271</f>
        <v>0.61334813992226545</v>
      </c>
      <c r="U271" s="125">
        <v>1452.64</v>
      </c>
      <c r="V271" s="126">
        <f>U271/$P271</f>
        <v>0.80657412548584129</v>
      </c>
      <c r="W271" s="125">
        <v>1800.64</v>
      </c>
      <c r="X271" s="127">
        <f>W271/$P271</f>
        <v>0.99980011104941702</v>
      </c>
      <c r="Y271" s="125">
        <f>K271</f>
        <v>2025</v>
      </c>
      <c r="Z271" s="128">
        <f>Y271</f>
        <v>2025</v>
      </c>
    </row>
    <row r="273" spans="1:26" ht="13.9" customHeight="1">
      <c r="D273" s="73" t="s">
        <v>191</v>
      </c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4"/>
      <c r="S273" s="73"/>
      <c r="T273" s="74"/>
      <c r="U273" s="73"/>
      <c r="V273" s="74"/>
      <c r="W273" s="73"/>
      <c r="X273" s="74"/>
      <c r="Y273" s="73"/>
      <c r="Z273" s="73"/>
    </row>
    <row r="274" spans="1:26" ht="13.9" customHeight="1">
      <c r="D274" s="21" t="s">
        <v>32</v>
      </c>
      <c r="E274" s="21" t="s">
        <v>33</v>
      </c>
      <c r="F274" s="21" t="s">
        <v>34</v>
      </c>
      <c r="G274" s="21" t="s">
        <v>1</v>
      </c>
      <c r="H274" s="21" t="s">
        <v>2</v>
      </c>
      <c r="I274" s="21" t="s">
        <v>3</v>
      </c>
      <c r="J274" s="21" t="s">
        <v>4</v>
      </c>
      <c r="K274" s="21" t="s">
        <v>5</v>
      </c>
      <c r="L274" s="21" t="s">
        <v>6</v>
      </c>
      <c r="M274" s="21" t="s">
        <v>7</v>
      </c>
      <c r="N274" s="21" t="s">
        <v>8</v>
      </c>
      <c r="O274" s="21" t="s">
        <v>9</v>
      </c>
      <c r="P274" s="21" t="s">
        <v>10</v>
      </c>
      <c r="Q274" s="21" t="s">
        <v>11</v>
      </c>
      <c r="R274" s="22" t="s">
        <v>12</v>
      </c>
      <c r="S274" s="21" t="s">
        <v>13</v>
      </c>
      <c r="T274" s="22" t="s">
        <v>14</v>
      </c>
      <c r="U274" s="21" t="s">
        <v>15</v>
      </c>
      <c r="V274" s="22" t="s">
        <v>16</v>
      </c>
      <c r="W274" s="21" t="s">
        <v>17</v>
      </c>
      <c r="X274" s="22" t="s">
        <v>18</v>
      </c>
      <c r="Y274" s="21" t="s">
        <v>19</v>
      </c>
      <c r="Z274" s="21" t="s">
        <v>20</v>
      </c>
    </row>
    <row r="275" spans="1:26" ht="13.9" customHeight="1">
      <c r="A275" s="15">
        <v>5</v>
      </c>
      <c r="B275" s="15">
        <v>1</v>
      </c>
      <c r="C275" s="15">
        <v>2</v>
      </c>
      <c r="D275" s="11" t="s">
        <v>192</v>
      </c>
      <c r="E275" s="23">
        <v>610</v>
      </c>
      <c r="F275" s="23" t="s">
        <v>124</v>
      </c>
      <c r="G275" s="24">
        <v>0</v>
      </c>
      <c r="H275" s="24">
        <v>222.86</v>
      </c>
      <c r="I275" s="24">
        <v>223</v>
      </c>
      <c r="J275" s="24">
        <v>231.15</v>
      </c>
      <c r="K275" s="24">
        <v>231</v>
      </c>
      <c r="L275" s="24"/>
      <c r="M275" s="24"/>
      <c r="N275" s="24"/>
      <c r="O275" s="24">
        <v>19</v>
      </c>
      <c r="P275" s="24">
        <f>K275+SUM(L275:O275)</f>
        <v>250</v>
      </c>
      <c r="Q275" s="24">
        <v>0</v>
      </c>
      <c r="R275" s="25">
        <f t="shared" ref="R275:R281" si="155">Q275/$P275</f>
        <v>0</v>
      </c>
      <c r="S275" s="24">
        <v>0</v>
      </c>
      <c r="T275" s="25">
        <f t="shared" ref="T275:T281" si="156">S275/$P275</f>
        <v>0</v>
      </c>
      <c r="U275" s="24">
        <v>0</v>
      </c>
      <c r="V275" s="25">
        <f t="shared" ref="V275:V281" si="157">U275/$P275</f>
        <v>0</v>
      </c>
      <c r="W275" s="24">
        <v>250.43</v>
      </c>
      <c r="X275" s="25">
        <f t="shared" ref="X275:X281" si="158">W275/$P275</f>
        <v>1.0017199999999999</v>
      </c>
      <c r="Y275" s="24">
        <f>K275</f>
        <v>231</v>
      </c>
      <c r="Z275" s="24">
        <f>Y275</f>
        <v>231</v>
      </c>
    </row>
    <row r="276" spans="1:26" ht="13.9" customHeight="1">
      <c r="A276" s="15">
        <v>5</v>
      </c>
      <c r="B276" s="15">
        <v>1</v>
      </c>
      <c r="C276" s="15">
        <v>2</v>
      </c>
      <c r="D276" s="11" t="s">
        <v>192</v>
      </c>
      <c r="E276" s="23">
        <v>620</v>
      </c>
      <c r="F276" s="23" t="s">
        <v>125</v>
      </c>
      <c r="G276" s="24">
        <v>68.73</v>
      </c>
      <c r="H276" s="24">
        <v>77.86</v>
      </c>
      <c r="I276" s="24">
        <v>78</v>
      </c>
      <c r="J276" s="24">
        <v>80.739999999999995</v>
      </c>
      <c r="K276" s="24">
        <v>81</v>
      </c>
      <c r="L276" s="24"/>
      <c r="M276" s="24"/>
      <c r="N276" s="24"/>
      <c r="O276" s="24">
        <v>6</v>
      </c>
      <c r="P276" s="24">
        <f>K276+SUM(L276:O276)</f>
        <v>87</v>
      </c>
      <c r="Q276" s="24">
        <v>0</v>
      </c>
      <c r="R276" s="25">
        <f t="shared" si="155"/>
        <v>0</v>
      </c>
      <c r="S276" s="24">
        <v>0</v>
      </c>
      <c r="T276" s="25">
        <f t="shared" si="156"/>
        <v>0</v>
      </c>
      <c r="U276" s="24">
        <v>0</v>
      </c>
      <c r="V276" s="25">
        <f t="shared" si="157"/>
        <v>0</v>
      </c>
      <c r="W276" s="24">
        <v>87.5</v>
      </c>
      <c r="X276" s="25">
        <f t="shared" si="158"/>
        <v>1.0057471264367817</v>
      </c>
      <c r="Y276" s="24">
        <f>K276</f>
        <v>81</v>
      </c>
      <c r="Z276" s="24">
        <f>Y276</f>
        <v>81</v>
      </c>
    </row>
    <row r="277" spans="1:26" ht="13.9" customHeight="1">
      <c r="A277" s="15">
        <v>5</v>
      </c>
      <c r="B277" s="15">
        <v>1</v>
      </c>
      <c r="C277" s="15">
        <v>2</v>
      </c>
      <c r="D277" s="11" t="s">
        <v>192</v>
      </c>
      <c r="E277" s="23">
        <v>630</v>
      </c>
      <c r="F277" s="23" t="s">
        <v>126</v>
      </c>
      <c r="G277" s="24">
        <v>3004.76</v>
      </c>
      <c r="H277" s="24">
        <v>9586.09</v>
      </c>
      <c r="I277" s="24">
        <v>0</v>
      </c>
      <c r="J277" s="24">
        <v>0</v>
      </c>
      <c r="K277" s="24">
        <v>0</v>
      </c>
      <c r="L277" s="24"/>
      <c r="M277" s="24"/>
      <c r="N277" s="24">
        <v>966</v>
      </c>
      <c r="O277" s="24"/>
      <c r="P277" s="24">
        <f>K277+SUM(L277:O277)</f>
        <v>966</v>
      </c>
      <c r="Q277" s="24">
        <v>0</v>
      </c>
      <c r="R277" s="25">
        <f t="shared" si="155"/>
        <v>0</v>
      </c>
      <c r="S277" s="24">
        <v>0</v>
      </c>
      <c r="T277" s="25">
        <f t="shared" si="156"/>
        <v>0</v>
      </c>
      <c r="U277" s="24">
        <v>965.89</v>
      </c>
      <c r="V277" s="25">
        <f t="shared" si="157"/>
        <v>0.99988612836438917</v>
      </c>
      <c r="W277" s="24">
        <v>965.89</v>
      </c>
      <c r="X277" s="25">
        <f t="shared" si="158"/>
        <v>0.99988612836438917</v>
      </c>
      <c r="Y277" s="24">
        <f>K277</f>
        <v>0</v>
      </c>
      <c r="Z277" s="24">
        <f>Y277</f>
        <v>0</v>
      </c>
    </row>
    <row r="278" spans="1:26" ht="13.9" customHeight="1">
      <c r="A278" s="15">
        <v>5</v>
      </c>
      <c r="B278" s="15">
        <v>1</v>
      </c>
      <c r="C278" s="15">
        <v>2</v>
      </c>
      <c r="D278" s="83" t="s">
        <v>21</v>
      </c>
      <c r="E278" s="48">
        <v>111</v>
      </c>
      <c r="F278" s="48" t="s">
        <v>129</v>
      </c>
      <c r="G278" s="49">
        <f t="shared" ref="G278:Q278" si="159">SUM(G275:G277)</f>
        <v>3073.4900000000002</v>
      </c>
      <c r="H278" s="49">
        <f t="shared" si="159"/>
        <v>9886.81</v>
      </c>
      <c r="I278" s="49">
        <f t="shared" si="159"/>
        <v>301</v>
      </c>
      <c r="J278" s="49">
        <f t="shared" si="159"/>
        <v>311.89</v>
      </c>
      <c r="K278" s="49">
        <f t="shared" si="159"/>
        <v>312</v>
      </c>
      <c r="L278" s="49">
        <f t="shared" si="159"/>
        <v>0</v>
      </c>
      <c r="M278" s="49">
        <f t="shared" si="159"/>
        <v>0</v>
      </c>
      <c r="N278" s="49">
        <f t="shared" si="159"/>
        <v>966</v>
      </c>
      <c r="O278" s="49">
        <f t="shared" si="159"/>
        <v>25</v>
      </c>
      <c r="P278" s="49">
        <f t="shared" si="159"/>
        <v>1303</v>
      </c>
      <c r="Q278" s="49">
        <f t="shared" si="159"/>
        <v>0</v>
      </c>
      <c r="R278" s="50">
        <f t="shared" si="155"/>
        <v>0</v>
      </c>
      <c r="S278" s="49">
        <f>SUM(S275:S277)</f>
        <v>0</v>
      </c>
      <c r="T278" s="50">
        <f t="shared" si="156"/>
        <v>0</v>
      </c>
      <c r="U278" s="49">
        <f>SUM(U275:U277)</f>
        <v>965.89</v>
      </c>
      <c r="V278" s="50">
        <f t="shared" si="157"/>
        <v>0.74128165771297005</v>
      </c>
      <c r="W278" s="49">
        <f>SUM(W275:W277)</f>
        <v>1303.82</v>
      </c>
      <c r="X278" s="50">
        <f t="shared" si="158"/>
        <v>1.0006293169608595</v>
      </c>
      <c r="Y278" s="49">
        <f>SUM(Y275:Y277)</f>
        <v>312</v>
      </c>
      <c r="Z278" s="49">
        <f>SUM(Z275:Z277)</f>
        <v>312</v>
      </c>
    </row>
    <row r="279" spans="1:26" ht="13.9" customHeight="1">
      <c r="A279" s="15">
        <v>5</v>
      </c>
      <c r="B279" s="15">
        <v>1</v>
      </c>
      <c r="C279" s="15">
        <v>2</v>
      </c>
      <c r="D279" s="90" t="s">
        <v>192</v>
      </c>
      <c r="E279" s="23">
        <v>630</v>
      </c>
      <c r="F279" s="23" t="s">
        <v>126</v>
      </c>
      <c r="G279" s="24">
        <v>3272</v>
      </c>
      <c r="H279" s="24">
        <v>0</v>
      </c>
      <c r="I279" s="24">
        <v>0</v>
      </c>
      <c r="J279" s="24">
        <v>0</v>
      </c>
      <c r="K279" s="24">
        <v>0</v>
      </c>
      <c r="L279" s="24"/>
      <c r="M279" s="24">
        <v>600</v>
      </c>
      <c r="N279" s="24">
        <v>-600</v>
      </c>
      <c r="O279" s="24"/>
      <c r="P279" s="24">
        <f>K279+SUM(L279:O279)</f>
        <v>0</v>
      </c>
      <c r="Q279" s="24">
        <v>600</v>
      </c>
      <c r="R279" s="25" t="e">
        <f t="shared" si="155"/>
        <v>#DIV/0!</v>
      </c>
      <c r="S279" s="24">
        <v>600</v>
      </c>
      <c r="T279" s="25" t="e">
        <f t="shared" si="156"/>
        <v>#DIV/0!</v>
      </c>
      <c r="U279" s="24">
        <v>0</v>
      </c>
      <c r="V279" s="25" t="e">
        <f t="shared" si="157"/>
        <v>#DIV/0!</v>
      </c>
      <c r="W279" s="24">
        <v>0</v>
      </c>
      <c r="X279" s="25" t="e">
        <f t="shared" si="158"/>
        <v>#DIV/0!</v>
      </c>
      <c r="Y279" s="24">
        <v>0</v>
      </c>
      <c r="Z279" s="24">
        <f>Y279</f>
        <v>0</v>
      </c>
    </row>
    <row r="280" spans="1:26" ht="13.9" customHeight="1">
      <c r="A280" s="15">
        <v>5</v>
      </c>
      <c r="B280" s="15">
        <v>1</v>
      </c>
      <c r="C280" s="15">
        <v>2</v>
      </c>
      <c r="D280" s="83" t="s">
        <v>21</v>
      </c>
      <c r="E280" s="48">
        <v>41</v>
      </c>
      <c r="F280" s="48" t="s">
        <v>23</v>
      </c>
      <c r="G280" s="49">
        <f>SUM(G279:G279)</f>
        <v>3272</v>
      </c>
      <c r="H280" s="49">
        <f t="shared" ref="H280:Q280" si="160">SUM(H279)</f>
        <v>0</v>
      </c>
      <c r="I280" s="49">
        <f t="shared" si="160"/>
        <v>0</v>
      </c>
      <c r="J280" s="49">
        <f t="shared" si="160"/>
        <v>0</v>
      </c>
      <c r="K280" s="49">
        <f t="shared" si="160"/>
        <v>0</v>
      </c>
      <c r="L280" s="49">
        <f t="shared" si="160"/>
        <v>0</v>
      </c>
      <c r="M280" s="49">
        <f t="shared" si="160"/>
        <v>600</v>
      </c>
      <c r="N280" s="49">
        <f t="shared" si="160"/>
        <v>-600</v>
      </c>
      <c r="O280" s="49">
        <f t="shared" si="160"/>
        <v>0</v>
      </c>
      <c r="P280" s="49">
        <f t="shared" si="160"/>
        <v>0</v>
      </c>
      <c r="Q280" s="49">
        <f t="shared" si="160"/>
        <v>600</v>
      </c>
      <c r="R280" s="50" t="e">
        <f t="shared" si="155"/>
        <v>#DIV/0!</v>
      </c>
      <c r="S280" s="49">
        <f>SUM(S279)</f>
        <v>600</v>
      </c>
      <c r="T280" s="50" t="e">
        <f t="shared" si="156"/>
        <v>#DIV/0!</v>
      </c>
      <c r="U280" s="49">
        <f>SUM(U279)</f>
        <v>0</v>
      </c>
      <c r="V280" s="50" t="e">
        <f t="shared" si="157"/>
        <v>#DIV/0!</v>
      </c>
      <c r="W280" s="49">
        <f>SUM(W279)</f>
        <v>0</v>
      </c>
      <c r="X280" s="50" t="e">
        <f t="shared" si="158"/>
        <v>#DIV/0!</v>
      </c>
      <c r="Y280" s="49">
        <f>SUM(Y279:Y279)</f>
        <v>0</v>
      </c>
      <c r="Z280" s="49">
        <f>SUM(Z279:Z279)</f>
        <v>0</v>
      </c>
    </row>
    <row r="281" spans="1:26" ht="13.9" customHeight="1">
      <c r="A281" s="15">
        <v>5</v>
      </c>
      <c r="B281" s="15">
        <v>1</v>
      </c>
      <c r="C281" s="15">
        <v>2</v>
      </c>
      <c r="D281" s="30"/>
      <c r="E281" s="31"/>
      <c r="F281" s="26" t="s">
        <v>119</v>
      </c>
      <c r="G281" s="27">
        <f t="shared" ref="G281:Q281" si="161">G278+G280</f>
        <v>6345.49</v>
      </c>
      <c r="H281" s="27">
        <f t="shared" si="161"/>
        <v>9886.81</v>
      </c>
      <c r="I281" s="27">
        <f t="shared" si="161"/>
        <v>301</v>
      </c>
      <c r="J281" s="27">
        <f t="shared" si="161"/>
        <v>311.89</v>
      </c>
      <c r="K281" s="27">
        <f t="shared" si="161"/>
        <v>312</v>
      </c>
      <c r="L281" s="27">
        <f t="shared" si="161"/>
        <v>0</v>
      </c>
      <c r="M281" s="27">
        <f t="shared" si="161"/>
        <v>600</v>
      </c>
      <c r="N281" s="27">
        <f t="shared" si="161"/>
        <v>366</v>
      </c>
      <c r="O281" s="27">
        <f t="shared" si="161"/>
        <v>25</v>
      </c>
      <c r="P281" s="27">
        <f t="shared" si="161"/>
        <v>1303</v>
      </c>
      <c r="Q281" s="27">
        <f t="shared" si="161"/>
        <v>600</v>
      </c>
      <c r="R281" s="28">
        <f t="shared" si="155"/>
        <v>0.46047582501918649</v>
      </c>
      <c r="S281" s="27">
        <f>S278+S280</f>
        <v>600</v>
      </c>
      <c r="T281" s="28">
        <f t="shared" si="156"/>
        <v>0.46047582501918649</v>
      </c>
      <c r="U281" s="27">
        <f>U278+U280</f>
        <v>965.89</v>
      </c>
      <c r="V281" s="28">
        <f t="shared" si="157"/>
        <v>0.74128165771297005</v>
      </c>
      <c r="W281" s="27">
        <f>W278+W280</f>
        <v>1303.82</v>
      </c>
      <c r="X281" s="28">
        <f t="shared" si="158"/>
        <v>1.0006293169608595</v>
      </c>
      <c r="Y281" s="27">
        <f>Y278+Y280</f>
        <v>312</v>
      </c>
      <c r="Z281" s="27">
        <f>Z278+Z280</f>
        <v>312</v>
      </c>
    </row>
    <row r="282" spans="1:26" ht="13.9" hidden="1" customHeight="1"/>
    <row r="283" spans="1:26" ht="13.9" hidden="1" customHeight="1">
      <c r="E283" s="115" t="s">
        <v>56</v>
      </c>
      <c r="F283" s="123" t="s">
        <v>193</v>
      </c>
      <c r="G283" s="124"/>
      <c r="H283" s="125">
        <v>9586.09</v>
      </c>
      <c r="I283" s="124"/>
      <c r="J283" s="125"/>
      <c r="K283" s="124"/>
      <c r="L283" s="125"/>
      <c r="M283" s="125"/>
      <c r="N283" s="125"/>
      <c r="O283" s="125"/>
      <c r="P283" s="125">
        <f>K283+SUM(L283:O283)</f>
        <v>0</v>
      </c>
      <c r="Q283" s="125"/>
      <c r="R283" s="126" t="e">
        <f>Q283/$P283</f>
        <v>#DIV/0!</v>
      </c>
      <c r="S283" s="125"/>
      <c r="T283" s="126" t="e">
        <f>S283/$P283</f>
        <v>#DIV/0!</v>
      </c>
      <c r="U283" s="125"/>
      <c r="V283" s="126" t="e">
        <f>U283/$P283</f>
        <v>#DIV/0!</v>
      </c>
      <c r="W283" s="125"/>
      <c r="X283" s="127" t="e">
        <f>W283/$P283</f>
        <v>#DIV/0!</v>
      </c>
      <c r="Y283" s="125"/>
      <c r="Z283" s="128"/>
    </row>
    <row r="285" spans="1:26" ht="13.9" customHeight="1">
      <c r="D285" s="73" t="s">
        <v>194</v>
      </c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4"/>
      <c r="S285" s="73"/>
      <c r="T285" s="74"/>
      <c r="U285" s="73"/>
      <c r="V285" s="74"/>
      <c r="W285" s="73"/>
      <c r="X285" s="74"/>
      <c r="Y285" s="73"/>
      <c r="Z285" s="73"/>
    </row>
    <row r="286" spans="1:26" ht="13.9" customHeight="1">
      <c r="D286" s="21" t="s">
        <v>32</v>
      </c>
      <c r="E286" s="21" t="s">
        <v>33</v>
      </c>
      <c r="F286" s="21" t="s">
        <v>34</v>
      </c>
      <c r="G286" s="21" t="s">
        <v>1</v>
      </c>
      <c r="H286" s="21" t="s">
        <v>2</v>
      </c>
      <c r="I286" s="21" t="s">
        <v>3</v>
      </c>
      <c r="J286" s="21" t="s">
        <v>4</v>
      </c>
      <c r="K286" s="21" t="s">
        <v>5</v>
      </c>
      <c r="L286" s="21" t="s">
        <v>6</v>
      </c>
      <c r="M286" s="21" t="s">
        <v>7</v>
      </c>
      <c r="N286" s="21" t="s">
        <v>8</v>
      </c>
      <c r="O286" s="21" t="s">
        <v>9</v>
      </c>
      <c r="P286" s="21" t="s">
        <v>10</v>
      </c>
      <c r="Q286" s="21" t="s">
        <v>11</v>
      </c>
      <c r="R286" s="22" t="s">
        <v>12</v>
      </c>
      <c r="S286" s="21" t="s">
        <v>13</v>
      </c>
      <c r="T286" s="22" t="s">
        <v>14</v>
      </c>
      <c r="U286" s="21" t="s">
        <v>15</v>
      </c>
      <c r="V286" s="22" t="s">
        <v>16</v>
      </c>
      <c r="W286" s="21" t="s">
        <v>17</v>
      </c>
      <c r="X286" s="22" t="s">
        <v>18</v>
      </c>
      <c r="Y286" s="21" t="s">
        <v>19</v>
      </c>
      <c r="Z286" s="21" t="s">
        <v>20</v>
      </c>
    </row>
    <row r="287" spans="1:26" ht="13.9" customHeight="1">
      <c r="A287" s="15">
        <v>5</v>
      </c>
      <c r="B287" s="15">
        <v>1</v>
      </c>
      <c r="C287" s="15">
        <v>3</v>
      </c>
      <c r="D287" s="51" t="s">
        <v>195</v>
      </c>
      <c r="E287" s="23">
        <v>630</v>
      </c>
      <c r="F287" s="23" t="s">
        <v>126</v>
      </c>
      <c r="G287" s="24">
        <v>0</v>
      </c>
      <c r="H287" s="46">
        <v>0</v>
      </c>
      <c r="I287" s="24">
        <v>0</v>
      </c>
      <c r="J287" s="24">
        <v>0</v>
      </c>
      <c r="K287" s="24">
        <v>0</v>
      </c>
      <c r="L287" s="24"/>
      <c r="M287" s="24">
        <v>1898</v>
      </c>
      <c r="N287" s="24">
        <v>1388</v>
      </c>
      <c r="O287" s="24">
        <v>17340</v>
      </c>
      <c r="P287" s="46">
        <f>K287+SUM(L287:O287)</f>
        <v>20626</v>
      </c>
      <c r="Q287" s="46">
        <v>0</v>
      </c>
      <c r="R287" s="47">
        <f t="shared" ref="R287:R292" si="162">Q287/$P287</f>
        <v>0</v>
      </c>
      <c r="S287" s="46">
        <v>1898.14</v>
      </c>
      <c r="T287" s="47">
        <f t="shared" ref="T287:T292" si="163">S287/$P287</f>
        <v>9.2026568408804424E-2</v>
      </c>
      <c r="U287" s="46">
        <v>3285.67</v>
      </c>
      <c r="V287" s="47">
        <f t="shared" ref="V287:V292" si="164">U287/$P287</f>
        <v>0.15929748860661302</v>
      </c>
      <c r="W287" s="46">
        <v>20625.84</v>
      </c>
      <c r="X287" s="47">
        <f t="shared" ref="X287:X292" si="165">W287/$P287</f>
        <v>0.99999224280034904</v>
      </c>
      <c r="Y287" s="24">
        <v>0</v>
      </c>
      <c r="Z287" s="24">
        <v>0</v>
      </c>
    </row>
    <row r="288" spans="1:26" ht="13.9" customHeight="1">
      <c r="A288" s="15">
        <v>5</v>
      </c>
      <c r="B288" s="15">
        <v>1</v>
      </c>
      <c r="C288" s="15">
        <v>3</v>
      </c>
      <c r="D288" s="83" t="s">
        <v>21</v>
      </c>
      <c r="E288" s="48">
        <v>111</v>
      </c>
      <c r="F288" s="48" t="s">
        <v>23</v>
      </c>
      <c r="G288" s="49">
        <f t="shared" ref="G288:Q288" si="166">SUM(G287:G287)</f>
        <v>0</v>
      </c>
      <c r="H288" s="49">
        <f t="shared" si="166"/>
        <v>0</v>
      </c>
      <c r="I288" s="49">
        <f t="shared" si="166"/>
        <v>0</v>
      </c>
      <c r="J288" s="49">
        <f t="shared" si="166"/>
        <v>0</v>
      </c>
      <c r="K288" s="49">
        <f t="shared" si="166"/>
        <v>0</v>
      </c>
      <c r="L288" s="49">
        <f t="shared" si="166"/>
        <v>0</v>
      </c>
      <c r="M288" s="49">
        <f t="shared" si="166"/>
        <v>1898</v>
      </c>
      <c r="N288" s="49">
        <f t="shared" si="166"/>
        <v>1388</v>
      </c>
      <c r="O288" s="49">
        <f t="shared" si="166"/>
        <v>17340</v>
      </c>
      <c r="P288" s="49">
        <f t="shared" si="166"/>
        <v>20626</v>
      </c>
      <c r="Q288" s="49">
        <f t="shared" si="166"/>
        <v>0</v>
      </c>
      <c r="R288" s="50">
        <f t="shared" si="162"/>
        <v>0</v>
      </c>
      <c r="S288" s="49">
        <f>SUM(S287:S287)</f>
        <v>1898.14</v>
      </c>
      <c r="T288" s="50">
        <f t="shared" si="163"/>
        <v>9.2026568408804424E-2</v>
      </c>
      <c r="U288" s="49">
        <f>SUM(U287:U287)</f>
        <v>3285.67</v>
      </c>
      <c r="V288" s="50">
        <f t="shared" si="164"/>
        <v>0.15929748860661302</v>
      </c>
      <c r="W288" s="49">
        <f>SUM(W287:W287)</f>
        <v>20625.84</v>
      </c>
      <c r="X288" s="50">
        <f t="shared" si="165"/>
        <v>0.99999224280034904</v>
      </c>
      <c r="Y288" s="49">
        <f>SUM(Y287:Y287)</f>
        <v>0</v>
      </c>
      <c r="Z288" s="49">
        <f>SUM(Z287:Z287)</f>
        <v>0</v>
      </c>
    </row>
    <row r="289" spans="1:26" ht="13.9" customHeight="1">
      <c r="A289" s="15">
        <v>5</v>
      </c>
      <c r="B289" s="15">
        <v>1</v>
      </c>
      <c r="C289" s="15">
        <v>3</v>
      </c>
      <c r="D289" s="6" t="s">
        <v>195</v>
      </c>
      <c r="E289" s="23">
        <v>620</v>
      </c>
      <c r="F289" s="23" t="s">
        <v>125</v>
      </c>
      <c r="G289" s="24">
        <v>1405.35</v>
      </c>
      <c r="H289" s="24">
        <v>330.47</v>
      </c>
      <c r="I289" s="24">
        <v>330</v>
      </c>
      <c r="J289" s="24">
        <v>284.52</v>
      </c>
      <c r="K289" s="24">
        <v>284</v>
      </c>
      <c r="L289" s="24"/>
      <c r="M289" s="24"/>
      <c r="N289" s="24"/>
      <c r="O289" s="24"/>
      <c r="P289" s="24">
        <f>K289+SUM(L289:O289)</f>
        <v>284</v>
      </c>
      <c r="Q289" s="24">
        <v>71.13</v>
      </c>
      <c r="R289" s="25">
        <f t="shared" si="162"/>
        <v>0.2504577464788732</v>
      </c>
      <c r="S289" s="24">
        <v>142.26</v>
      </c>
      <c r="T289" s="25">
        <f t="shared" si="163"/>
        <v>0.5009154929577464</v>
      </c>
      <c r="U289" s="24">
        <v>213.39</v>
      </c>
      <c r="V289" s="25">
        <f t="shared" si="164"/>
        <v>0.75137323943661971</v>
      </c>
      <c r="W289" s="24">
        <v>284.52</v>
      </c>
      <c r="X289" s="25">
        <f t="shared" si="165"/>
        <v>1.0018309859154928</v>
      </c>
      <c r="Y289" s="24">
        <f>K289</f>
        <v>284</v>
      </c>
      <c r="Z289" s="24">
        <f>Y289</f>
        <v>284</v>
      </c>
    </row>
    <row r="290" spans="1:26" ht="13.9" customHeight="1">
      <c r="A290" s="15">
        <v>5</v>
      </c>
      <c r="B290" s="15">
        <v>1</v>
      </c>
      <c r="C290" s="15">
        <v>3</v>
      </c>
      <c r="D290" s="6"/>
      <c r="E290" s="23">
        <v>630</v>
      </c>
      <c r="F290" s="23" t="s">
        <v>126</v>
      </c>
      <c r="G290" s="24">
        <v>14950.95</v>
      </c>
      <c r="H290" s="24">
        <v>13690.99</v>
      </c>
      <c r="I290" s="24">
        <v>18066</v>
      </c>
      <c r="J290" s="24">
        <v>18451.14</v>
      </c>
      <c r="K290" s="24">
        <v>36616</v>
      </c>
      <c r="L290" s="24"/>
      <c r="M290" s="24">
        <v>-1898</v>
      </c>
      <c r="N290" s="24">
        <v>-1388</v>
      </c>
      <c r="O290" s="24">
        <v>-937</v>
      </c>
      <c r="P290" s="24">
        <f>K290+SUM(L290:O290)</f>
        <v>32393</v>
      </c>
      <c r="Q290" s="24">
        <v>7074.76</v>
      </c>
      <c r="R290" s="25">
        <f t="shared" si="162"/>
        <v>0.21840397616769056</v>
      </c>
      <c r="S290" s="24">
        <v>12758.1</v>
      </c>
      <c r="T290" s="25">
        <f t="shared" si="163"/>
        <v>0.39385361034791466</v>
      </c>
      <c r="U290" s="24">
        <v>18419.32</v>
      </c>
      <c r="V290" s="25">
        <f t="shared" si="164"/>
        <v>0.5686203809465008</v>
      </c>
      <c r="W290" s="24">
        <v>8345.14</v>
      </c>
      <c r="X290" s="25">
        <f t="shared" si="165"/>
        <v>0.25762170839378878</v>
      </c>
      <c r="Y290" s="24">
        <f>K290</f>
        <v>36616</v>
      </c>
      <c r="Z290" s="24">
        <f>Y290</f>
        <v>36616</v>
      </c>
    </row>
    <row r="291" spans="1:26" ht="13.9" customHeight="1">
      <c r="A291" s="15">
        <v>5</v>
      </c>
      <c r="B291" s="15">
        <v>1</v>
      </c>
      <c r="C291" s="15">
        <v>3</v>
      </c>
      <c r="D291" s="83" t="s">
        <v>21</v>
      </c>
      <c r="E291" s="48">
        <v>41</v>
      </c>
      <c r="F291" s="48" t="s">
        <v>23</v>
      </c>
      <c r="G291" s="49">
        <f t="shared" ref="G291:Q291" si="167">SUM(G289:G290)</f>
        <v>16356.300000000001</v>
      </c>
      <c r="H291" s="49">
        <f t="shared" si="167"/>
        <v>14021.46</v>
      </c>
      <c r="I291" s="49">
        <f t="shared" si="167"/>
        <v>18396</v>
      </c>
      <c r="J291" s="49">
        <f t="shared" si="167"/>
        <v>18735.66</v>
      </c>
      <c r="K291" s="49">
        <f t="shared" si="167"/>
        <v>36900</v>
      </c>
      <c r="L291" s="49">
        <f t="shared" si="167"/>
        <v>0</v>
      </c>
      <c r="M291" s="49">
        <f t="shared" si="167"/>
        <v>-1898</v>
      </c>
      <c r="N291" s="49">
        <f t="shared" si="167"/>
        <v>-1388</v>
      </c>
      <c r="O291" s="49">
        <f t="shared" si="167"/>
        <v>-937</v>
      </c>
      <c r="P291" s="49">
        <f t="shared" si="167"/>
        <v>32677</v>
      </c>
      <c r="Q291" s="49">
        <f t="shared" si="167"/>
        <v>7145.89</v>
      </c>
      <c r="R291" s="50">
        <f t="shared" si="162"/>
        <v>0.21868255959849436</v>
      </c>
      <c r="S291" s="49">
        <f>SUM(S289:S290)</f>
        <v>12900.36</v>
      </c>
      <c r="T291" s="50">
        <f t="shared" si="163"/>
        <v>0.39478409890748845</v>
      </c>
      <c r="U291" s="49">
        <f>SUM(U289:U290)</f>
        <v>18632.71</v>
      </c>
      <c r="V291" s="50">
        <f t="shared" si="164"/>
        <v>0.57020870948985525</v>
      </c>
      <c r="W291" s="49">
        <f>SUM(W289:W290)</f>
        <v>8629.66</v>
      </c>
      <c r="X291" s="50">
        <f t="shared" si="165"/>
        <v>0.26408972671909908</v>
      </c>
      <c r="Y291" s="49">
        <f>SUM(Y289:Y290)</f>
        <v>36900</v>
      </c>
      <c r="Z291" s="49">
        <f>SUM(Z289:Z290)</f>
        <v>36900</v>
      </c>
    </row>
    <row r="292" spans="1:26" ht="13.9" customHeight="1">
      <c r="A292" s="15">
        <v>5</v>
      </c>
      <c r="B292" s="15">
        <v>1</v>
      </c>
      <c r="C292" s="15">
        <v>3</v>
      </c>
      <c r="D292" s="85"/>
      <c r="E292" s="86"/>
      <c r="F292" s="26" t="s">
        <v>119</v>
      </c>
      <c r="G292" s="27">
        <f t="shared" ref="G292:Q292" si="168">G288+G291</f>
        <v>16356.300000000001</v>
      </c>
      <c r="H292" s="27">
        <f t="shared" si="168"/>
        <v>14021.46</v>
      </c>
      <c r="I292" s="27">
        <f t="shared" si="168"/>
        <v>18396</v>
      </c>
      <c r="J292" s="27">
        <f t="shared" si="168"/>
        <v>18735.66</v>
      </c>
      <c r="K292" s="27">
        <f t="shared" si="168"/>
        <v>36900</v>
      </c>
      <c r="L292" s="27">
        <f t="shared" si="168"/>
        <v>0</v>
      </c>
      <c r="M292" s="27">
        <f t="shared" si="168"/>
        <v>0</v>
      </c>
      <c r="N292" s="27">
        <f t="shared" si="168"/>
        <v>0</v>
      </c>
      <c r="O292" s="27">
        <f t="shared" si="168"/>
        <v>16403</v>
      </c>
      <c r="P292" s="27">
        <f t="shared" si="168"/>
        <v>53303</v>
      </c>
      <c r="Q292" s="27">
        <f t="shared" si="168"/>
        <v>7145.89</v>
      </c>
      <c r="R292" s="28">
        <f t="shared" si="162"/>
        <v>0.1340616850833912</v>
      </c>
      <c r="S292" s="27">
        <f>S288+S291</f>
        <v>14798.5</v>
      </c>
      <c r="T292" s="28">
        <f t="shared" si="163"/>
        <v>0.27762977693563212</v>
      </c>
      <c r="U292" s="27">
        <f>U288+U291</f>
        <v>21918.379999999997</v>
      </c>
      <c r="V292" s="28">
        <f t="shared" si="164"/>
        <v>0.4112034969889124</v>
      </c>
      <c r="W292" s="27">
        <f>W288+W291</f>
        <v>29255.5</v>
      </c>
      <c r="X292" s="28">
        <f t="shared" si="165"/>
        <v>0.54885278502148094</v>
      </c>
      <c r="Y292" s="27">
        <f>Y288+Y291</f>
        <v>36900</v>
      </c>
      <c r="Z292" s="27">
        <f>Z288+Z291</f>
        <v>36900</v>
      </c>
    </row>
    <row r="294" spans="1:26" ht="13.9" customHeight="1">
      <c r="E294" s="52" t="s">
        <v>56</v>
      </c>
      <c r="F294" s="30" t="s">
        <v>139</v>
      </c>
      <c r="G294" s="53">
        <v>10021</v>
      </c>
      <c r="H294" s="53">
        <v>9702</v>
      </c>
      <c r="I294" s="53">
        <v>14077</v>
      </c>
      <c r="J294" s="53">
        <v>13134</v>
      </c>
      <c r="K294" s="53">
        <v>29270</v>
      </c>
      <c r="L294" s="53"/>
      <c r="M294" s="53"/>
      <c r="N294" s="53"/>
      <c r="O294" s="53">
        <v>16348</v>
      </c>
      <c r="P294" s="53">
        <f>K294+SUM(L294:O294)</f>
        <v>45618</v>
      </c>
      <c r="Q294" s="53">
        <v>5996.18</v>
      </c>
      <c r="R294" s="54">
        <f>Q294/$P294</f>
        <v>0.13144328992941384</v>
      </c>
      <c r="S294" s="53">
        <v>12638.18</v>
      </c>
      <c r="T294" s="54">
        <f>S294/$P294</f>
        <v>0.27704371081590601</v>
      </c>
      <c r="U294" s="53">
        <v>18722.18</v>
      </c>
      <c r="V294" s="54">
        <f>U294/$P294</f>
        <v>0.41041211802358718</v>
      </c>
      <c r="W294" s="53">
        <v>24806.18</v>
      </c>
      <c r="X294" s="55">
        <f>W294/$P294</f>
        <v>0.54378052523126841</v>
      </c>
      <c r="Y294" s="53">
        <f>K294</f>
        <v>29270</v>
      </c>
      <c r="Z294" s="56">
        <f>Y294</f>
        <v>29270</v>
      </c>
    </row>
    <row r="295" spans="1:26" ht="13.9" customHeight="1">
      <c r="E295" s="65"/>
      <c r="F295" s="94" t="s">
        <v>196</v>
      </c>
      <c r="G295" s="67">
        <v>5681.79</v>
      </c>
      <c r="H295" s="67">
        <v>4131.6000000000004</v>
      </c>
      <c r="I295" s="67">
        <v>4131</v>
      </c>
      <c r="J295" s="67">
        <v>4042.44</v>
      </c>
      <c r="K295" s="67">
        <v>4042</v>
      </c>
      <c r="L295" s="67"/>
      <c r="M295" s="67"/>
      <c r="N295" s="67"/>
      <c r="O295" s="67"/>
      <c r="P295" s="67">
        <f>K295+SUM(L295:O295)</f>
        <v>4042</v>
      </c>
      <c r="Q295" s="67">
        <v>1010.61</v>
      </c>
      <c r="R295" s="68">
        <f>Q295/$P295</f>
        <v>0.25002721425037111</v>
      </c>
      <c r="S295" s="67">
        <v>2021.22</v>
      </c>
      <c r="T295" s="68">
        <f>S295/$P295</f>
        <v>0.50005442850074222</v>
      </c>
      <c r="U295" s="67">
        <v>3031.83</v>
      </c>
      <c r="V295" s="68">
        <f>U295/$P295</f>
        <v>0.75008164275111333</v>
      </c>
      <c r="W295" s="67">
        <v>4042.44</v>
      </c>
      <c r="X295" s="69">
        <f>W295/$P295</f>
        <v>1.0001088570014844</v>
      </c>
      <c r="Y295" s="67">
        <f>K295</f>
        <v>4042</v>
      </c>
      <c r="Z295" s="70">
        <f>Y295</f>
        <v>4042</v>
      </c>
    </row>
    <row r="297" spans="1:26" ht="13.9" customHeight="1">
      <c r="D297" s="73" t="s">
        <v>197</v>
      </c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4"/>
      <c r="S297" s="73"/>
      <c r="T297" s="74"/>
      <c r="U297" s="73"/>
      <c r="V297" s="74"/>
      <c r="W297" s="73"/>
      <c r="X297" s="74"/>
      <c r="Y297" s="73"/>
      <c r="Z297" s="73"/>
    </row>
    <row r="298" spans="1:26" ht="13.9" customHeight="1">
      <c r="D298" s="21" t="s">
        <v>32</v>
      </c>
      <c r="E298" s="21" t="s">
        <v>33</v>
      </c>
      <c r="F298" s="21" t="s">
        <v>34</v>
      </c>
      <c r="G298" s="21" t="s">
        <v>1</v>
      </c>
      <c r="H298" s="21" t="s">
        <v>2</v>
      </c>
      <c r="I298" s="21" t="s">
        <v>3</v>
      </c>
      <c r="J298" s="21" t="s">
        <v>4</v>
      </c>
      <c r="K298" s="21" t="s">
        <v>5</v>
      </c>
      <c r="L298" s="21" t="s">
        <v>6</v>
      </c>
      <c r="M298" s="21" t="s">
        <v>7</v>
      </c>
      <c r="N298" s="21" t="s">
        <v>8</v>
      </c>
      <c r="O298" s="21" t="s">
        <v>9</v>
      </c>
      <c r="P298" s="21" t="s">
        <v>10</v>
      </c>
      <c r="Q298" s="21" t="s">
        <v>11</v>
      </c>
      <c r="R298" s="22" t="s">
        <v>12</v>
      </c>
      <c r="S298" s="21" t="s">
        <v>13</v>
      </c>
      <c r="T298" s="22" t="s">
        <v>14</v>
      </c>
      <c r="U298" s="21" t="s">
        <v>15</v>
      </c>
      <c r="V298" s="22" t="s">
        <v>16</v>
      </c>
      <c r="W298" s="21" t="s">
        <v>17</v>
      </c>
      <c r="X298" s="22" t="s">
        <v>18</v>
      </c>
      <c r="Y298" s="21" t="s">
        <v>19</v>
      </c>
      <c r="Z298" s="21" t="s">
        <v>20</v>
      </c>
    </row>
    <row r="299" spans="1:26" ht="13.9" customHeight="1">
      <c r="A299" s="15">
        <v>5</v>
      </c>
      <c r="B299" s="15">
        <v>1</v>
      </c>
      <c r="C299" s="15">
        <v>4</v>
      </c>
      <c r="D299" s="90" t="s">
        <v>198</v>
      </c>
      <c r="E299" s="23">
        <v>630</v>
      </c>
      <c r="F299" s="23" t="s">
        <v>126</v>
      </c>
      <c r="G299" s="24">
        <v>59.4</v>
      </c>
      <c r="H299" s="24">
        <v>1246.72</v>
      </c>
      <c r="I299" s="24">
        <v>16</v>
      </c>
      <c r="J299" s="24">
        <v>26.62</v>
      </c>
      <c r="K299" s="24">
        <v>387</v>
      </c>
      <c r="L299" s="24"/>
      <c r="M299" s="24">
        <v>336</v>
      </c>
      <c r="N299" s="24"/>
      <c r="O299" s="24">
        <v>50</v>
      </c>
      <c r="P299" s="24">
        <f>K299+SUM(L299:O299)</f>
        <v>773</v>
      </c>
      <c r="Q299" s="24">
        <v>360</v>
      </c>
      <c r="R299" s="25">
        <f>Q299/$P299</f>
        <v>0.46571798188874514</v>
      </c>
      <c r="S299" s="24">
        <v>696</v>
      </c>
      <c r="T299" s="25">
        <f>S299/$P299</f>
        <v>0.90038809831824063</v>
      </c>
      <c r="U299" s="24">
        <v>696</v>
      </c>
      <c r="V299" s="25">
        <f>U299/$P299</f>
        <v>0.90038809831824063</v>
      </c>
      <c r="W299" s="24">
        <v>772.72</v>
      </c>
      <c r="X299" s="25">
        <f>W299/$P299</f>
        <v>0.99963777490297545</v>
      </c>
      <c r="Y299" s="24">
        <f>K299</f>
        <v>387</v>
      </c>
      <c r="Z299" s="24">
        <f>Y299</f>
        <v>387</v>
      </c>
    </row>
    <row r="300" spans="1:26" ht="13.9" customHeight="1">
      <c r="A300" s="15">
        <v>5</v>
      </c>
      <c r="B300" s="15">
        <v>1</v>
      </c>
      <c r="C300" s="15">
        <v>4</v>
      </c>
      <c r="D300" s="83" t="s">
        <v>21</v>
      </c>
      <c r="E300" s="48">
        <v>41</v>
      </c>
      <c r="F300" s="48" t="s">
        <v>23</v>
      </c>
      <c r="G300" s="49">
        <f t="shared" ref="G300:Q300" si="169">SUM(G299:G299)</f>
        <v>59.4</v>
      </c>
      <c r="H300" s="49">
        <f t="shared" si="169"/>
        <v>1246.72</v>
      </c>
      <c r="I300" s="49">
        <f t="shared" si="169"/>
        <v>16</v>
      </c>
      <c r="J300" s="49">
        <f t="shared" si="169"/>
        <v>26.62</v>
      </c>
      <c r="K300" s="49">
        <f t="shared" si="169"/>
        <v>387</v>
      </c>
      <c r="L300" s="49">
        <f t="shared" si="169"/>
        <v>0</v>
      </c>
      <c r="M300" s="49">
        <f t="shared" si="169"/>
        <v>336</v>
      </c>
      <c r="N300" s="49">
        <f t="shared" si="169"/>
        <v>0</v>
      </c>
      <c r="O300" s="49">
        <f t="shared" si="169"/>
        <v>50</v>
      </c>
      <c r="P300" s="49">
        <f t="shared" si="169"/>
        <v>773</v>
      </c>
      <c r="Q300" s="49">
        <f t="shared" si="169"/>
        <v>360</v>
      </c>
      <c r="R300" s="50">
        <f>Q300/$P300</f>
        <v>0.46571798188874514</v>
      </c>
      <c r="S300" s="49">
        <f>SUM(S299:S299)</f>
        <v>696</v>
      </c>
      <c r="T300" s="50">
        <f>S300/$P300</f>
        <v>0.90038809831824063</v>
      </c>
      <c r="U300" s="49">
        <f>SUM(U299:U299)</f>
        <v>696</v>
      </c>
      <c r="V300" s="50">
        <f>U300/$P300</f>
        <v>0.90038809831824063</v>
      </c>
      <c r="W300" s="49">
        <f>SUM(W299:W299)</f>
        <v>772.72</v>
      </c>
      <c r="X300" s="50">
        <f>W300/$P300</f>
        <v>0.99963777490297545</v>
      </c>
      <c r="Y300" s="49">
        <f>SUM(Y299:Y299)</f>
        <v>387</v>
      </c>
      <c r="Z300" s="49">
        <f>SUM(Z299:Z299)</f>
        <v>387</v>
      </c>
    </row>
    <row r="301" spans="1:26" ht="13.9" customHeight="1">
      <c r="A301" s="15">
        <v>5</v>
      </c>
      <c r="B301" s="15">
        <v>1</v>
      </c>
      <c r="C301" s="15">
        <v>4</v>
      </c>
      <c r="D301" s="85"/>
      <c r="E301" s="86"/>
      <c r="F301" s="26" t="s">
        <v>119</v>
      </c>
      <c r="G301" s="27">
        <f t="shared" ref="G301:Q301" si="170">G300</f>
        <v>59.4</v>
      </c>
      <c r="H301" s="27">
        <f t="shared" si="170"/>
        <v>1246.72</v>
      </c>
      <c r="I301" s="27">
        <f t="shared" si="170"/>
        <v>16</v>
      </c>
      <c r="J301" s="27">
        <f t="shared" si="170"/>
        <v>26.62</v>
      </c>
      <c r="K301" s="27">
        <f t="shared" si="170"/>
        <v>387</v>
      </c>
      <c r="L301" s="27">
        <f t="shared" si="170"/>
        <v>0</v>
      </c>
      <c r="M301" s="27">
        <f t="shared" si="170"/>
        <v>336</v>
      </c>
      <c r="N301" s="27">
        <f t="shared" si="170"/>
        <v>0</v>
      </c>
      <c r="O301" s="27">
        <f t="shared" si="170"/>
        <v>50</v>
      </c>
      <c r="P301" s="27">
        <f t="shared" si="170"/>
        <v>773</v>
      </c>
      <c r="Q301" s="27">
        <f t="shared" si="170"/>
        <v>360</v>
      </c>
      <c r="R301" s="28">
        <f>Q301/$P301</f>
        <v>0.46571798188874514</v>
      </c>
      <c r="S301" s="27">
        <f>S300</f>
        <v>696</v>
      </c>
      <c r="T301" s="28">
        <f>S301/$P301</f>
        <v>0.90038809831824063</v>
      </c>
      <c r="U301" s="27">
        <f>U300</f>
        <v>696</v>
      </c>
      <c r="V301" s="28">
        <f>U301/$P301</f>
        <v>0.90038809831824063</v>
      </c>
      <c r="W301" s="27">
        <f>W300</f>
        <v>772.72</v>
      </c>
      <c r="X301" s="28">
        <f>W301/$P301</f>
        <v>0.99963777490297545</v>
      </c>
      <c r="Y301" s="27">
        <f>Y300</f>
        <v>387</v>
      </c>
      <c r="Z301" s="27">
        <f>Z300</f>
        <v>387</v>
      </c>
    </row>
    <row r="303" spans="1:26" ht="13.9" customHeight="1">
      <c r="D303" s="41" t="s">
        <v>199</v>
      </c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2"/>
      <c r="S303" s="41"/>
      <c r="T303" s="42"/>
      <c r="U303" s="41"/>
      <c r="V303" s="42"/>
      <c r="W303" s="41"/>
      <c r="X303" s="42"/>
      <c r="Y303" s="41"/>
      <c r="Z303" s="41"/>
    </row>
    <row r="304" spans="1:26" ht="13.9" customHeight="1">
      <c r="D304" s="122"/>
      <c r="E304" s="122"/>
      <c r="F304" s="122"/>
      <c r="G304" s="21" t="s">
        <v>1</v>
      </c>
      <c r="H304" s="21" t="s">
        <v>2</v>
      </c>
      <c r="I304" s="21" t="s">
        <v>3</v>
      </c>
      <c r="J304" s="21" t="s">
        <v>4</v>
      </c>
      <c r="K304" s="21" t="s">
        <v>5</v>
      </c>
      <c r="L304" s="21" t="s">
        <v>6</v>
      </c>
      <c r="M304" s="21" t="s">
        <v>7</v>
      </c>
      <c r="N304" s="21" t="s">
        <v>8</v>
      </c>
      <c r="O304" s="21" t="s">
        <v>9</v>
      </c>
      <c r="P304" s="21" t="s">
        <v>10</v>
      </c>
      <c r="Q304" s="21" t="s">
        <v>11</v>
      </c>
      <c r="R304" s="22" t="s">
        <v>12</v>
      </c>
      <c r="S304" s="21" t="s">
        <v>13</v>
      </c>
      <c r="T304" s="22" t="s">
        <v>14</v>
      </c>
      <c r="U304" s="21" t="s">
        <v>15</v>
      </c>
      <c r="V304" s="22" t="s">
        <v>16</v>
      </c>
      <c r="W304" s="21" t="s">
        <v>17</v>
      </c>
      <c r="X304" s="22" t="s">
        <v>18</v>
      </c>
      <c r="Y304" s="21" t="s">
        <v>19</v>
      </c>
      <c r="Z304" s="21" t="s">
        <v>20</v>
      </c>
    </row>
    <row r="305" spans="1:26" ht="13.9" customHeight="1">
      <c r="A305" s="15">
        <v>5</v>
      </c>
      <c r="B305" s="15">
        <v>2</v>
      </c>
      <c r="D305" s="14" t="s">
        <v>21</v>
      </c>
      <c r="E305" s="129" t="s">
        <v>200</v>
      </c>
      <c r="F305" s="23" t="s">
        <v>46</v>
      </c>
      <c r="G305" s="24">
        <f t="shared" ref="G305:Q305" si="171">G324+G336</f>
        <v>0</v>
      </c>
      <c r="H305" s="24">
        <f t="shared" si="171"/>
        <v>0</v>
      </c>
      <c r="I305" s="24">
        <f t="shared" si="171"/>
        <v>0</v>
      </c>
      <c r="J305" s="24">
        <f t="shared" si="171"/>
        <v>8290.2900000000009</v>
      </c>
      <c r="K305" s="24">
        <f t="shared" si="171"/>
        <v>0</v>
      </c>
      <c r="L305" s="24">
        <f t="shared" si="171"/>
        <v>0</v>
      </c>
      <c r="M305" s="24">
        <f t="shared" si="171"/>
        <v>220</v>
      </c>
      <c r="N305" s="24">
        <f t="shared" si="171"/>
        <v>220</v>
      </c>
      <c r="O305" s="24">
        <f t="shared" si="171"/>
        <v>220</v>
      </c>
      <c r="P305" s="24">
        <f t="shared" si="171"/>
        <v>660</v>
      </c>
      <c r="Q305" s="24">
        <f t="shared" si="171"/>
        <v>0</v>
      </c>
      <c r="R305" s="25">
        <f>Q305/$P305</f>
        <v>0</v>
      </c>
      <c r="S305" s="24">
        <f>S324+S336</f>
        <v>219.87</v>
      </c>
      <c r="T305" s="25">
        <f>S305/$P305</f>
        <v>0.33313636363636362</v>
      </c>
      <c r="U305" s="24">
        <f>U324+U336</f>
        <v>439.74</v>
      </c>
      <c r="V305" s="25">
        <f>U305/$P305</f>
        <v>0.66627272727272724</v>
      </c>
      <c r="W305" s="24">
        <f>W324+W336</f>
        <v>659.61</v>
      </c>
      <c r="X305" s="25">
        <f>W305/$P305</f>
        <v>0.99940909090909091</v>
      </c>
      <c r="Y305" s="24">
        <f>Y324+Y336</f>
        <v>0</v>
      </c>
      <c r="Z305" s="24">
        <f>Z324+Z336</f>
        <v>0</v>
      </c>
    </row>
    <row r="306" spans="1:26" ht="13.9" customHeight="1">
      <c r="A306" s="15">
        <v>5</v>
      </c>
      <c r="B306" s="15">
        <v>2</v>
      </c>
      <c r="D306" s="14" t="s">
        <v>21</v>
      </c>
      <c r="E306" s="23">
        <v>41</v>
      </c>
      <c r="F306" s="23" t="s">
        <v>23</v>
      </c>
      <c r="G306" s="24">
        <f>G313+G326+G340</f>
        <v>8858</v>
      </c>
      <c r="H306" s="24">
        <v>15629.32</v>
      </c>
      <c r="I306" s="24">
        <f t="shared" ref="I306:Q306" si="172">I313+I326+I340</f>
        <v>12238</v>
      </c>
      <c r="J306" s="24">
        <f t="shared" si="172"/>
        <v>23233.62</v>
      </c>
      <c r="K306" s="24">
        <f t="shared" si="172"/>
        <v>18167</v>
      </c>
      <c r="L306" s="24">
        <f t="shared" si="172"/>
        <v>0</v>
      </c>
      <c r="M306" s="24">
        <f t="shared" si="172"/>
        <v>-220</v>
      </c>
      <c r="N306" s="24">
        <f t="shared" si="172"/>
        <v>715</v>
      </c>
      <c r="O306" s="24">
        <f t="shared" si="172"/>
        <v>0</v>
      </c>
      <c r="P306" s="24">
        <f t="shared" si="172"/>
        <v>18662</v>
      </c>
      <c r="Q306" s="24">
        <f t="shared" si="172"/>
        <v>3064.3500000000004</v>
      </c>
      <c r="R306" s="25">
        <f>Q306/$P306</f>
        <v>0.164202657807309</v>
      </c>
      <c r="S306" s="24">
        <f>S313+S326+S340</f>
        <v>4541.5</v>
      </c>
      <c r="T306" s="25">
        <f>S306/$P306</f>
        <v>0.24335548172757476</v>
      </c>
      <c r="U306" s="24">
        <f>U313+U326+U340</f>
        <v>6379.09</v>
      </c>
      <c r="V306" s="25">
        <f>U306/$P306</f>
        <v>0.34182241989068696</v>
      </c>
      <c r="W306" s="24">
        <f>W313+W326+W340</f>
        <v>10301.01</v>
      </c>
      <c r="X306" s="25">
        <f>W306/$P306</f>
        <v>0.55197781588254202</v>
      </c>
      <c r="Y306" s="24">
        <f>Y313+Y326+Y340</f>
        <v>15168</v>
      </c>
      <c r="Z306" s="24">
        <f>Z313+Z326+Z340</f>
        <v>15172</v>
      </c>
    </row>
    <row r="307" spans="1:26" ht="13.9" hidden="1" customHeight="1">
      <c r="A307" s="15">
        <v>5</v>
      </c>
      <c r="B307" s="15">
        <v>2</v>
      </c>
      <c r="D307" s="14" t="s">
        <v>21</v>
      </c>
      <c r="E307" s="23">
        <v>72</v>
      </c>
      <c r="F307" s="23" t="s">
        <v>25</v>
      </c>
      <c r="G307" s="24">
        <f t="shared" ref="G307:Q307" si="173">G342</f>
        <v>0</v>
      </c>
      <c r="H307" s="24">
        <f t="shared" si="173"/>
        <v>0</v>
      </c>
      <c r="I307" s="24">
        <f t="shared" si="173"/>
        <v>0</v>
      </c>
      <c r="J307" s="24">
        <f t="shared" si="173"/>
        <v>138.36000000000001</v>
      </c>
      <c r="K307" s="24">
        <f t="shared" si="173"/>
        <v>0</v>
      </c>
      <c r="L307" s="24">
        <f t="shared" si="173"/>
        <v>0</v>
      </c>
      <c r="M307" s="24">
        <f t="shared" si="173"/>
        <v>0</v>
      </c>
      <c r="N307" s="24">
        <f t="shared" si="173"/>
        <v>0</v>
      </c>
      <c r="O307" s="24">
        <f t="shared" si="173"/>
        <v>0</v>
      </c>
      <c r="P307" s="24">
        <f t="shared" si="173"/>
        <v>0</v>
      </c>
      <c r="Q307" s="24">
        <f t="shared" si="173"/>
        <v>0</v>
      </c>
      <c r="R307" s="25" t="e">
        <f>Q307/$P307</f>
        <v>#DIV/0!</v>
      </c>
      <c r="S307" s="24">
        <f>S342</f>
        <v>0</v>
      </c>
      <c r="T307" s="25" t="e">
        <f>S307/$P307</f>
        <v>#DIV/0!</v>
      </c>
      <c r="U307" s="24">
        <f>U342</f>
        <v>0</v>
      </c>
      <c r="V307" s="25" t="e">
        <f>U307/$P307</f>
        <v>#DIV/0!</v>
      </c>
      <c r="W307" s="24">
        <f>W342</f>
        <v>0</v>
      </c>
      <c r="X307" s="25" t="e">
        <f>W307/$P307</f>
        <v>#DIV/0!</v>
      </c>
      <c r="Y307" s="24">
        <f>Y342</f>
        <v>0</v>
      </c>
      <c r="Z307" s="24">
        <f>Z342</f>
        <v>0</v>
      </c>
    </row>
    <row r="308" spans="1:26" ht="13.9" customHeight="1">
      <c r="A308" s="15">
        <v>5</v>
      </c>
      <c r="B308" s="15">
        <v>2</v>
      </c>
      <c r="D308" s="30"/>
      <c r="E308" s="31"/>
      <c r="F308" s="26" t="s">
        <v>119</v>
      </c>
      <c r="G308" s="27">
        <f t="shared" ref="G308:Q308" si="174">SUM(G305:G307)</f>
        <v>8858</v>
      </c>
      <c r="H308" s="27">
        <f t="shared" si="174"/>
        <v>15629.32</v>
      </c>
      <c r="I308" s="27">
        <f t="shared" si="174"/>
        <v>12238</v>
      </c>
      <c r="J308" s="27">
        <f t="shared" si="174"/>
        <v>31662.27</v>
      </c>
      <c r="K308" s="27">
        <f t="shared" si="174"/>
        <v>18167</v>
      </c>
      <c r="L308" s="27">
        <f t="shared" si="174"/>
        <v>0</v>
      </c>
      <c r="M308" s="27">
        <f t="shared" si="174"/>
        <v>0</v>
      </c>
      <c r="N308" s="27">
        <f t="shared" si="174"/>
        <v>935</v>
      </c>
      <c r="O308" s="27">
        <f t="shared" si="174"/>
        <v>220</v>
      </c>
      <c r="P308" s="27">
        <f t="shared" si="174"/>
        <v>19322</v>
      </c>
      <c r="Q308" s="27">
        <f t="shared" si="174"/>
        <v>3064.3500000000004</v>
      </c>
      <c r="R308" s="28">
        <f>Q308/$P308</f>
        <v>0.15859383086636997</v>
      </c>
      <c r="S308" s="27">
        <f>SUM(S305:S307)</f>
        <v>4761.37</v>
      </c>
      <c r="T308" s="28">
        <f>S308/$P308</f>
        <v>0.24642221302142633</v>
      </c>
      <c r="U308" s="27">
        <f>SUM(U305:U307)</f>
        <v>6818.83</v>
      </c>
      <c r="V308" s="28">
        <f>U308/$P308</f>
        <v>0.35290497878066451</v>
      </c>
      <c r="W308" s="27">
        <f>SUM(W305:W307)</f>
        <v>10960.62</v>
      </c>
      <c r="X308" s="28">
        <f>W308/$P308</f>
        <v>0.56726115308974234</v>
      </c>
      <c r="Y308" s="27">
        <f>SUM(Y305:Y307)</f>
        <v>15168</v>
      </c>
      <c r="Z308" s="27">
        <f>SUM(Z305:Z307)</f>
        <v>15172</v>
      </c>
    </row>
    <row r="310" spans="1:26" ht="13.9" customHeight="1">
      <c r="D310" s="73" t="s">
        <v>201</v>
      </c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4"/>
      <c r="S310" s="73"/>
      <c r="T310" s="74"/>
      <c r="U310" s="73"/>
      <c r="V310" s="74"/>
      <c r="W310" s="73"/>
      <c r="X310" s="74"/>
      <c r="Y310" s="73"/>
      <c r="Z310" s="73"/>
    </row>
    <row r="311" spans="1:26" ht="13.9" customHeight="1">
      <c r="D311" s="21" t="s">
        <v>32</v>
      </c>
      <c r="E311" s="21" t="s">
        <v>33</v>
      </c>
      <c r="F311" s="21" t="s">
        <v>34</v>
      </c>
      <c r="G311" s="21" t="s">
        <v>1</v>
      </c>
      <c r="H311" s="21" t="s">
        <v>2</v>
      </c>
      <c r="I311" s="21" t="s">
        <v>3</v>
      </c>
      <c r="J311" s="21" t="s">
        <v>4</v>
      </c>
      <c r="K311" s="21" t="s">
        <v>5</v>
      </c>
      <c r="L311" s="21" t="s">
        <v>6</v>
      </c>
      <c r="M311" s="21" t="s">
        <v>7</v>
      </c>
      <c r="N311" s="21" t="s">
        <v>8</v>
      </c>
      <c r="O311" s="21" t="s">
        <v>9</v>
      </c>
      <c r="P311" s="21" t="s">
        <v>10</v>
      </c>
      <c r="Q311" s="21" t="s">
        <v>11</v>
      </c>
      <c r="R311" s="22" t="s">
        <v>12</v>
      </c>
      <c r="S311" s="21" t="s">
        <v>13</v>
      </c>
      <c r="T311" s="22" t="s">
        <v>14</v>
      </c>
      <c r="U311" s="21" t="s">
        <v>15</v>
      </c>
      <c r="V311" s="22" t="s">
        <v>16</v>
      </c>
      <c r="W311" s="21" t="s">
        <v>17</v>
      </c>
      <c r="X311" s="22" t="s">
        <v>18</v>
      </c>
      <c r="Y311" s="21" t="s">
        <v>19</v>
      </c>
      <c r="Z311" s="21" t="s">
        <v>20</v>
      </c>
    </row>
    <row r="312" spans="1:26" ht="13.9" customHeight="1">
      <c r="A312" s="15">
        <v>5</v>
      </c>
      <c r="B312" s="15">
        <v>2</v>
      </c>
      <c r="C312" s="15">
        <v>1</v>
      </c>
      <c r="D312" s="51" t="s">
        <v>202</v>
      </c>
      <c r="E312" s="23">
        <v>630</v>
      </c>
      <c r="F312" s="23" t="s">
        <v>126</v>
      </c>
      <c r="G312" s="24">
        <v>8666.7000000000007</v>
      </c>
      <c r="H312" s="24">
        <v>5979.45</v>
      </c>
      <c r="I312" s="24">
        <v>7990</v>
      </c>
      <c r="J312" s="24">
        <v>6704.29</v>
      </c>
      <c r="K312" s="24">
        <v>10250</v>
      </c>
      <c r="L312" s="24"/>
      <c r="M312" s="24"/>
      <c r="N312" s="24"/>
      <c r="O312" s="24"/>
      <c r="P312" s="24">
        <f>K312+SUM(L312:O312)</f>
        <v>10250</v>
      </c>
      <c r="Q312" s="24">
        <v>2243.7800000000002</v>
      </c>
      <c r="R312" s="25">
        <f>Q312/$P312</f>
        <v>0.21890536585365855</v>
      </c>
      <c r="S312" s="24">
        <v>2243.7800000000002</v>
      </c>
      <c r="T312" s="25">
        <f>S312/$P312</f>
        <v>0.21890536585365855</v>
      </c>
      <c r="U312" s="24">
        <v>2243.7800000000002</v>
      </c>
      <c r="V312" s="25">
        <f>U312/$P312</f>
        <v>0.21890536585365855</v>
      </c>
      <c r="W312" s="24">
        <v>3875.78</v>
      </c>
      <c r="X312" s="25">
        <f>W312/$P312</f>
        <v>0.37812487804878053</v>
      </c>
      <c r="Y312" s="24">
        <v>7250</v>
      </c>
      <c r="Z312" s="24">
        <f>Y312</f>
        <v>7250</v>
      </c>
    </row>
    <row r="313" spans="1:26" ht="13.9" customHeight="1">
      <c r="A313" s="15">
        <v>5</v>
      </c>
      <c r="B313" s="15">
        <v>2</v>
      </c>
      <c r="C313" s="15">
        <v>1</v>
      </c>
      <c r="D313" s="83" t="s">
        <v>21</v>
      </c>
      <c r="E313" s="48">
        <v>41</v>
      </c>
      <c r="F313" s="48" t="s">
        <v>23</v>
      </c>
      <c r="G313" s="49">
        <f t="shared" ref="G313:Q313" si="175">SUM(G312:G312)</f>
        <v>8666.7000000000007</v>
      </c>
      <c r="H313" s="49">
        <f t="shared" si="175"/>
        <v>5979.45</v>
      </c>
      <c r="I313" s="49">
        <f t="shared" si="175"/>
        <v>7990</v>
      </c>
      <c r="J313" s="49">
        <f t="shared" si="175"/>
        <v>6704.29</v>
      </c>
      <c r="K313" s="49">
        <f t="shared" si="175"/>
        <v>10250</v>
      </c>
      <c r="L313" s="49">
        <f t="shared" si="175"/>
        <v>0</v>
      </c>
      <c r="M313" s="49">
        <f t="shared" si="175"/>
        <v>0</v>
      </c>
      <c r="N313" s="49">
        <f t="shared" si="175"/>
        <v>0</v>
      </c>
      <c r="O313" s="49">
        <f t="shared" si="175"/>
        <v>0</v>
      </c>
      <c r="P313" s="49">
        <f t="shared" si="175"/>
        <v>10250</v>
      </c>
      <c r="Q313" s="49">
        <f t="shared" si="175"/>
        <v>2243.7800000000002</v>
      </c>
      <c r="R313" s="50">
        <f>Q313/$P313</f>
        <v>0.21890536585365855</v>
      </c>
      <c r="S313" s="49">
        <f>SUM(S312:S312)</f>
        <v>2243.7800000000002</v>
      </c>
      <c r="T313" s="50">
        <f>S313/$P313</f>
        <v>0.21890536585365855</v>
      </c>
      <c r="U313" s="49">
        <f>SUM(U312:U312)</f>
        <v>2243.7800000000002</v>
      </c>
      <c r="V313" s="50">
        <f>U313/$P313</f>
        <v>0.21890536585365855</v>
      </c>
      <c r="W313" s="49">
        <f>SUM(W312:W312)</f>
        <v>3875.78</v>
      </c>
      <c r="X313" s="50">
        <f>W313/$P313</f>
        <v>0.37812487804878053</v>
      </c>
      <c r="Y313" s="49">
        <f>SUM(Y312:Y312)</f>
        <v>7250</v>
      </c>
      <c r="Z313" s="49">
        <f>SUM(Z312:Z312)</f>
        <v>7250</v>
      </c>
    </row>
    <row r="314" spans="1:26" ht="13.9" customHeight="1">
      <c r="A314" s="15">
        <v>5</v>
      </c>
      <c r="B314" s="15">
        <v>2</v>
      </c>
      <c r="C314" s="15">
        <v>1</v>
      </c>
      <c r="D314" s="85"/>
      <c r="E314" s="86"/>
      <c r="F314" s="26" t="s">
        <v>119</v>
      </c>
      <c r="G314" s="27">
        <f t="shared" ref="G314:Q314" si="176">G313</f>
        <v>8666.7000000000007</v>
      </c>
      <c r="H314" s="27">
        <f t="shared" si="176"/>
        <v>5979.45</v>
      </c>
      <c r="I314" s="27">
        <f t="shared" si="176"/>
        <v>7990</v>
      </c>
      <c r="J314" s="27">
        <f t="shared" si="176"/>
        <v>6704.29</v>
      </c>
      <c r="K314" s="27">
        <f t="shared" si="176"/>
        <v>10250</v>
      </c>
      <c r="L314" s="27">
        <f t="shared" si="176"/>
        <v>0</v>
      </c>
      <c r="M314" s="27">
        <f t="shared" si="176"/>
        <v>0</v>
      </c>
      <c r="N314" s="27">
        <f t="shared" si="176"/>
        <v>0</v>
      </c>
      <c r="O314" s="27">
        <f t="shared" si="176"/>
        <v>0</v>
      </c>
      <c r="P314" s="27">
        <f t="shared" si="176"/>
        <v>10250</v>
      </c>
      <c r="Q314" s="27">
        <f t="shared" si="176"/>
        <v>2243.7800000000002</v>
      </c>
      <c r="R314" s="28">
        <f>Q314/$P314</f>
        <v>0.21890536585365855</v>
      </c>
      <c r="S314" s="27">
        <f>S313</f>
        <v>2243.7800000000002</v>
      </c>
      <c r="T314" s="28">
        <f>S314/$P314</f>
        <v>0.21890536585365855</v>
      </c>
      <c r="U314" s="27">
        <f>U313</f>
        <v>2243.7800000000002</v>
      </c>
      <c r="V314" s="28">
        <f>U314/$P314</f>
        <v>0.21890536585365855</v>
      </c>
      <c r="W314" s="27">
        <f>W313</f>
        <v>3875.78</v>
      </c>
      <c r="X314" s="28">
        <f>W314/$P314</f>
        <v>0.37812487804878053</v>
      </c>
      <c r="Y314" s="27">
        <f>Y313</f>
        <v>7250</v>
      </c>
      <c r="Z314" s="27">
        <f>Z313</f>
        <v>7250</v>
      </c>
    </row>
    <row r="316" spans="1:26" ht="13.9" customHeight="1">
      <c r="E316" s="52" t="s">
        <v>56</v>
      </c>
      <c r="F316" s="30" t="s">
        <v>203</v>
      </c>
      <c r="G316" s="53">
        <v>1146.46</v>
      </c>
      <c r="H316" s="53">
        <v>1309.3499999999999</v>
      </c>
      <c r="I316" s="53">
        <v>3990</v>
      </c>
      <c r="J316" s="53">
        <v>5867.2</v>
      </c>
      <c r="K316" s="53">
        <v>5900</v>
      </c>
      <c r="L316" s="53"/>
      <c r="M316" s="53"/>
      <c r="N316" s="53">
        <v>170</v>
      </c>
      <c r="O316" s="53"/>
      <c r="P316" s="53">
        <f>K316+SUM(L316:O316)</f>
        <v>6070</v>
      </c>
      <c r="Q316" s="53">
        <v>2243.7800000000002</v>
      </c>
      <c r="R316" s="54">
        <f>Q316/$P316</f>
        <v>0.36965074135090614</v>
      </c>
      <c r="S316" s="53">
        <v>2243.7800000000002</v>
      </c>
      <c r="T316" s="54">
        <f>S316/$P316</f>
        <v>0.36965074135090614</v>
      </c>
      <c r="U316" s="53">
        <v>2243.7800000000002</v>
      </c>
      <c r="V316" s="54">
        <f>U316/$P316</f>
        <v>0.36965074135090614</v>
      </c>
      <c r="W316" s="53">
        <v>3413.78</v>
      </c>
      <c r="X316" s="55">
        <f>W316/$P316</f>
        <v>0.56240197693574967</v>
      </c>
      <c r="Y316" s="53">
        <f>K316</f>
        <v>5900</v>
      </c>
      <c r="Z316" s="56">
        <f>Y316</f>
        <v>5900</v>
      </c>
    </row>
    <row r="317" spans="1:26" ht="13.9" customHeight="1">
      <c r="E317" s="57"/>
      <c r="F317" s="58" t="s">
        <v>204</v>
      </c>
      <c r="G317" s="59">
        <v>30</v>
      </c>
      <c r="H317" s="59"/>
      <c r="I317" s="59"/>
      <c r="J317" s="59">
        <v>200</v>
      </c>
      <c r="K317" s="59">
        <v>200</v>
      </c>
      <c r="L317" s="59"/>
      <c r="M317" s="59"/>
      <c r="N317" s="59">
        <v>262</v>
      </c>
      <c r="O317" s="59"/>
      <c r="P317" s="59">
        <f>K317+SUM(L317:O317)</f>
        <v>462</v>
      </c>
      <c r="Q317" s="59">
        <v>0</v>
      </c>
      <c r="R317" s="16">
        <f>Q317/$P317</f>
        <v>0</v>
      </c>
      <c r="S317" s="59">
        <v>0</v>
      </c>
      <c r="T317" s="16">
        <f>S317/$P317</f>
        <v>0</v>
      </c>
      <c r="U317" s="59">
        <v>0</v>
      </c>
      <c r="V317" s="16">
        <f>U317/$P317</f>
        <v>0</v>
      </c>
      <c r="W317" s="59">
        <v>462</v>
      </c>
      <c r="X317" s="60">
        <f>W317/$P317</f>
        <v>1</v>
      </c>
      <c r="Y317" s="59">
        <f>K317</f>
        <v>200</v>
      </c>
      <c r="Z317" s="61">
        <f>Y317</f>
        <v>200</v>
      </c>
    </row>
    <row r="318" spans="1:26" ht="13.9" customHeight="1">
      <c r="E318" s="57"/>
      <c r="F318" s="58" t="s">
        <v>205</v>
      </c>
      <c r="G318" s="59">
        <v>5490.24</v>
      </c>
      <c r="H318" s="59">
        <v>4670.1000000000004</v>
      </c>
      <c r="I318" s="59">
        <v>3000</v>
      </c>
      <c r="J318" s="59">
        <v>288.60000000000002</v>
      </c>
      <c r="K318" s="59">
        <v>1800</v>
      </c>
      <c r="L318" s="59"/>
      <c r="M318" s="59"/>
      <c r="N318" s="59">
        <v>-170</v>
      </c>
      <c r="O318" s="59"/>
      <c r="P318" s="59">
        <f>K318+SUM(L318:O318)</f>
        <v>1630</v>
      </c>
      <c r="Q318" s="59">
        <v>0</v>
      </c>
      <c r="R318" s="16">
        <f>Q318/$P318</f>
        <v>0</v>
      </c>
      <c r="S318" s="59">
        <v>0</v>
      </c>
      <c r="T318" s="16">
        <f>S318/$P318</f>
        <v>0</v>
      </c>
      <c r="U318" s="59">
        <v>0</v>
      </c>
      <c r="V318" s="16">
        <f>U318/$P318</f>
        <v>0</v>
      </c>
      <c r="W318" s="59">
        <v>0</v>
      </c>
      <c r="X318" s="60">
        <f>W318/$P318</f>
        <v>0</v>
      </c>
      <c r="Y318" s="59">
        <v>300</v>
      </c>
      <c r="Z318" s="61">
        <f>Y318</f>
        <v>300</v>
      </c>
    </row>
    <row r="319" spans="1:26" ht="13.9" customHeight="1">
      <c r="E319" s="65"/>
      <c r="F319" s="94" t="s">
        <v>206</v>
      </c>
      <c r="G319" s="67"/>
      <c r="H319" s="67"/>
      <c r="I319" s="67"/>
      <c r="J319" s="67">
        <v>348.49</v>
      </c>
      <c r="K319" s="67">
        <f>350+1500</f>
        <v>1850</v>
      </c>
      <c r="L319" s="67"/>
      <c r="M319" s="67"/>
      <c r="N319" s="67">
        <v>-262</v>
      </c>
      <c r="O319" s="67"/>
      <c r="P319" s="67">
        <f>K319+SUM(L319:O319)</f>
        <v>1588</v>
      </c>
      <c r="Q319" s="67">
        <v>0</v>
      </c>
      <c r="R319" s="68">
        <f>Q319/$P319</f>
        <v>0</v>
      </c>
      <c r="S319" s="67">
        <v>0</v>
      </c>
      <c r="T319" s="68">
        <f>S319/$P319</f>
        <v>0</v>
      </c>
      <c r="U319" s="67">
        <v>0</v>
      </c>
      <c r="V319" s="68">
        <f>U319/$P319</f>
        <v>0</v>
      </c>
      <c r="W319" s="67">
        <v>0</v>
      </c>
      <c r="X319" s="69">
        <f>W319/$P319</f>
        <v>0</v>
      </c>
      <c r="Y319" s="67">
        <v>350</v>
      </c>
      <c r="Z319" s="70">
        <f>Y319</f>
        <v>350</v>
      </c>
    </row>
    <row r="320" spans="1:26" ht="13.9" customHeight="1"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S320" s="59"/>
      <c r="U320" s="59"/>
      <c r="W320" s="59"/>
      <c r="Y320" s="59"/>
      <c r="Z320" s="59"/>
    </row>
    <row r="321" spans="1:26" ht="13.9" customHeight="1">
      <c r="D321" s="73" t="s">
        <v>207</v>
      </c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4"/>
      <c r="S321" s="73"/>
      <c r="T321" s="74"/>
      <c r="U321" s="73"/>
      <c r="V321" s="74"/>
      <c r="W321" s="73"/>
      <c r="X321" s="74"/>
      <c r="Y321" s="73"/>
      <c r="Z321" s="73"/>
    </row>
    <row r="322" spans="1:26" ht="13.9" customHeight="1">
      <c r="D322" s="21" t="s">
        <v>32</v>
      </c>
      <c r="E322" s="21" t="s">
        <v>33</v>
      </c>
      <c r="F322" s="21" t="s">
        <v>34</v>
      </c>
      <c r="G322" s="21" t="s">
        <v>1</v>
      </c>
      <c r="H322" s="21" t="s">
        <v>2</v>
      </c>
      <c r="I322" s="21" t="s">
        <v>3</v>
      </c>
      <c r="J322" s="21" t="s">
        <v>4</v>
      </c>
      <c r="K322" s="21" t="s">
        <v>5</v>
      </c>
      <c r="L322" s="21" t="s">
        <v>6</v>
      </c>
      <c r="M322" s="21" t="s">
        <v>7</v>
      </c>
      <c r="N322" s="21" t="s">
        <v>8</v>
      </c>
      <c r="O322" s="21" t="s">
        <v>9</v>
      </c>
      <c r="P322" s="21" t="s">
        <v>10</v>
      </c>
      <c r="Q322" s="21" t="s">
        <v>11</v>
      </c>
      <c r="R322" s="22" t="s">
        <v>12</v>
      </c>
      <c r="S322" s="21" t="s">
        <v>13</v>
      </c>
      <c r="T322" s="22" t="s">
        <v>14</v>
      </c>
      <c r="U322" s="21" t="s">
        <v>15</v>
      </c>
      <c r="V322" s="22" t="s">
        <v>16</v>
      </c>
      <c r="W322" s="21" t="s">
        <v>17</v>
      </c>
      <c r="X322" s="22" t="s">
        <v>18</v>
      </c>
      <c r="Y322" s="21" t="s">
        <v>19</v>
      </c>
      <c r="Z322" s="21" t="s">
        <v>20</v>
      </c>
    </row>
    <row r="323" spans="1:26" ht="13.9" customHeight="1">
      <c r="A323" s="15">
        <v>5</v>
      </c>
      <c r="B323" s="15">
        <v>2</v>
      </c>
      <c r="C323" s="15">
        <v>2</v>
      </c>
      <c r="D323" s="51" t="s">
        <v>208</v>
      </c>
      <c r="E323" s="23">
        <v>630</v>
      </c>
      <c r="F323" s="23" t="s">
        <v>126</v>
      </c>
      <c r="G323" s="24">
        <v>0</v>
      </c>
      <c r="H323" s="46">
        <v>0</v>
      </c>
      <c r="I323" s="24">
        <v>0</v>
      </c>
      <c r="J323" s="24">
        <v>0</v>
      </c>
      <c r="K323" s="24">
        <v>0</v>
      </c>
      <c r="L323" s="24"/>
      <c r="M323" s="24">
        <v>220</v>
      </c>
      <c r="N323" s="24">
        <v>220</v>
      </c>
      <c r="O323" s="24">
        <v>220</v>
      </c>
      <c r="P323" s="46">
        <f>K323+SUM(L323:O323)</f>
        <v>660</v>
      </c>
      <c r="Q323" s="46">
        <v>0</v>
      </c>
      <c r="R323" s="47">
        <f>Q323/$P323</f>
        <v>0</v>
      </c>
      <c r="S323" s="46">
        <v>219.87</v>
      </c>
      <c r="T323" s="47">
        <f>S323/$P323</f>
        <v>0.33313636363636362</v>
      </c>
      <c r="U323" s="46">
        <v>439.74</v>
      </c>
      <c r="V323" s="47">
        <f>U323/$P323</f>
        <v>0.66627272727272724</v>
      </c>
      <c r="W323" s="46">
        <v>659.61</v>
      </c>
      <c r="X323" s="47">
        <f>W323/$P323</f>
        <v>0.99940909090909091</v>
      </c>
      <c r="Y323" s="24">
        <v>0</v>
      </c>
      <c r="Z323" s="24">
        <v>0</v>
      </c>
    </row>
    <row r="324" spans="1:26" ht="13.9" customHeight="1">
      <c r="A324" s="15">
        <v>5</v>
      </c>
      <c r="B324" s="15">
        <v>2</v>
      </c>
      <c r="C324" s="15">
        <v>2</v>
      </c>
      <c r="D324" s="83" t="s">
        <v>21</v>
      </c>
      <c r="E324" s="48">
        <v>111</v>
      </c>
      <c r="F324" s="48" t="s">
        <v>23</v>
      </c>
      <c r="G324" s="49">
        <f t="shared" ref="G324:Q324" si="177">SUM(G323:G323)</f>
        <v>0</v>
      </c>
      <c r="H324" s="49">
        <f t="shared" si="177"/>
        <v>0</v>
      </c>
      <c r="I324" s="49">
        <f t="shared" si="177"/>
        <v>0</v>
      </c>
      <c r="J324" s="49">
        <f t="shared" si="177"/>
        <v>0</v>
      </c>
      <c r="K324" s="49">
        <f t="shared" si="177"/>
        <v>0</v>
      </c>
      <c r="L324" s="49">
        <f t="shared" si="177"/>
        <v>0</v>
      </c>
      <c r="M324" s="49">
        <f t="shared" si="177"/>
        <v>220</v>
      </c>
      <c r="N324" s="49">
        <f t="shared" si="177"/>
        <v>220</v>
      </c>
      <c r="O324" s="49">
        <f t="shared" si="177"/>
        <v>220</v>
      </c>
      <c r="P324" s="49">
        <f t="shared" si="177"/>
        <v>660</v>
      </c>
      <c r="Q324" s="49">
        <f t="shared" si="177"/>
        <v>0</v>
      </c>
      <c r="R324" s="50">
        <f>Q324/$P324</f>
        <v>0</v>
      </c>
      <c r="S324" s="49">
        <f>SUM(S323:S323)</f>
        <v>219.87</v>
      </c>
      <c r="T324" s="50">
        <f>S324/$P324</f>
        <v>0.33313636363636362</v>
      </c>
      <c r="U324" s="49">
        <f>SUM(U323:U323)</f>
        <v>439.74</v>
      </c>
      <c r="V324" s="50">
        <f>U324/$P324</f>
        <v>0.66627272727272724</v>
      </c>
      <c r="W324" s="49">
        <f>SUM(W323:W323)</f>
        <v>659.61</v>
      </c>
      <c r="X324" s="50">
        <f>W324/$P324</f>
        <v>0.99940909090909091</v>
      </c>
      <c r="Y324" s="49">
        <f>SUM(Y323:Y323)</f>
        <v>0</v>
      </c>
      <c r="Z324" s="49">
        <f>SUM(Z323:Z323)</f>
        <v>0</v>
      </c>
    </row>
    <row r="325" spans="1:26" ht="13.9" customHeight="1">
      <c r="A325" s="15">
        <v>5</v>
      </c>
      <c r="B325" s="15">
        <v>2</v>
      </c>
      <c r="C325" s="15">
        <v>2</v>
      </c>
      <c r="D325" s="90" t="s">
        <v>208</v>
      </c>
      <c r="E325" s="23">
        <v>630</v>
      </c>
      <c r="F325" s="23" t="s">
        <v>126</v>
      </c>
      <c r="G325" s="24">
        <v>52.9</v>
      </c>
      <c r="H325" s="24">
        <v>3231.23</v>
      </c>
      <c r="I325" s="24">
        <v>1105</v>
      </c>
      <c r="J325" s="24">
        <v>10197.35</v>
      </c>
      <c r="K325" s="24">
        <v>4587</v>
      </c>
      <c r="L325" s="24"/>
      <c r="M325" s="24">
        <v>-220</v>
      </c>
      <c r="N325" s="24">
        <v>187</v>
      </c>
      <c r="O325" s="24"/>
      <c r="P325" s="24">
        <f>K325+SUM(L325:O325)</f>
        <v>4554</v>
      </c>
      <c r="Q325" s="24">
        <v>820.57</v>
      </c>
      <c r="R325" s="25">
        <f>Q325/$P325</f>
        <v>0.18018664909969259</v>
      </c>
      <c r="S325" s="24">
        <v>1370.7</v>
      </c>
      <c r="T325" s="25">
        <f>S325/$P325</f>
        <v>0.3009881422924901</v>
      </c>
      <c r="U325" s="24">
        <v>2269.29</v>
      </c>
      <c r="V325" s="25">
        <f>U325/$P325</f>
        <v>0.49830698287220027</v>
      </c>
      <c r="W325" s="24">
        <v>3131.21</v>
      </c>
      <c r="X325" s="25">
        <f>W325/$P325</f>
        <v>0.68757356170399653</v>
      </c>
      <c r="Y325" s="24">
        <f>K325</f>
        <v>4587</v>
      </c>
      <c r="Z325" s="24">
        <f>Y325</f>
        <v>4587</v>
      </c>
    </row>
    <row r="326" spans="1:26" ht="13.9" customHeight="1">
      <c r="A326" s="15">
        <v>5</v>
      </c>
      <c r="B326" s="15">
        <v>2</v>
      </c>
      <c r="C326" s="15">
        <v>2</v>
      </c>
      <c r="D326" s="83" t="s">
        <v>21</v>
      </c>
      <c r="E326" s="48">
        <v>41</v>
      </c>
      <c r="F326" s="48" t="s">
        <v>23</v>
      </c>
      <c r="G326" s="49">
        <f t="shared" ref="G326:Q326" si="178">SUM(G325:G325)</f>
        <v>52.9</v>
      </c>
      <c r="H326" s="49">
        <f t="shared" si="178"/>
        <v>3231.23</v>
      </c>
      <c r="I326" s="49">
        <f t="shared" si="178"/>
        <v>1105</v>
      </c>
      <c r="J326" s="49">
        <f t="shared" si="178"/>
        <v>10197.35</v>
      </c>
      <c r="K326" s="49">
        <f t="shared" si="178"/>
        <v>4587</v>
      </c>
      <c r="L326" s="49">
        <f t="shared" si="178"/>
        <v>0</v>
      </c>
      <c r="M326" s="49">
        <f t="shared" si="178"/>
        <v>-220</v>
      </c>
      <c r="N326" s="49">
        <f t="shared" si="178"/>
        <v>187</v>
      </c>
      <c r="O326" s="49">
        <f t="shared" si="178"/>
        <v>0</v>
      </c>
      <c r="P326" s="49">
        <f t="shared" si="178"/>
        <v>4554</v>
      </c>
      <c r="Q326" s="49">
        <f t="shared" si="178"/>
        <v>820.57</v>
      </c>
      <c r="R326" s="50">
        <f>Q326/$P326</f>
        <v>0.18018664909969259</v>
      </c>
      <c r="S326" s="49">
        <f>SUM(S325:S325)</f>
        <v>1370.7</v>
      </c>
      <c r="T326" s="50">
        <f>S326/$P326</f>
        <v>0.3009881422924901</v>
      </c>
      <c r="U326" s="49">
        <f>SUM(U325:U325)</f>
        <v>2269.29</v>
      </c>
      <c r="V326" s="50">
        <f>U326/$P326</f>
        <v>0.49830698287220027</v>
      </c>
      <c r="W326" s="49">
        <f>SUM(W325:W325)</f>
        <v>3131.21</v>
      </c>
      <c r="X326" s="50">
        <f>W326/$P326</f>
        <v>0.68757356170399653</v>
      </c>
      <c r="Y326" s="49">
        <f>SUM(Y325:Y325)</f>
        <v>4587</v>
      </c>
      <c r="Z326" s="49">
        <f>SUM(Z325:Z325)</f>
        <v>4587</v>
      </c>
    </row>
    <row r="327" spans="1:26" ht="13.9" customHeight="1">
      <c r="A327" s="15">
        <v>5</v>
      </c>
      <c r="B327" s="15">
        <v>2</v>
      </c>
      <c r="C327" s="15">
        <v>2</v>
      </c>
      <c r="D327" s="85"/>
      <c r="E327" s="86"/>
      <c r="F327" s="26" t="s">
        <v>119</v>
      </c>
      <c r="G327" s="27">
        <f t="shared" ref="G327:Q327" si="179">G324+G326</f>
        <v>52.9</v>
      </c>
      <c r="H327" s="27">
        <f t="shared" si="179"/>
        <v>3231.23</v>
      </c>
      <c r="I327" s="27">
        <f t="shared" si="179"/>
        <v>1105</v>
      </c>
      <c r="J327" s="27">
        <f t="shared" si="179"/>
        <v>10197.35</v>
      </c>
      <c r="K327" s="27">
        <f t="shared" si="179"/>
        <v>4587</v>
      </c>
      <c r="L327" s="27">
        <f t="shared" si="179"/>
        <v>0</v>
      </c>
      <c r="M327" s="27">
        <f t="shared" si="179"/>
        <v>0</v>
      </c>
      <c r="N327" s="27">
        <f t="shared" si="179"/>
        <v>407</v>
      </c>
      <c r="O327" s="27">
        <f t="shared" si="179"/>
        <v>220</v>
      </c>
      <c r="P327" s="27">
        <f t="shared" si="179"/>
        <v>5214</v>
      </c>
      <c r="Q327" s="27">
        <f t="shared" si="179"/>
        <v>820.57</v>
      </c>
      <c r="R327" s="28">
        <f>Q327/$P327</f>
        <v>0.15737821250479481</v>
      </c>
      <c r="S327" s="27">
        <f>S324+S326</f>
        <v>1590.5700000000002</v>
      </c>
      <c r="T327" s="28">
        <f>S327/$P327</f>
        <v>0.30505753739930958</v>
      </c>
      <c r="U327" s="27">
        <f>U324+U326</f>
        <v>2709.0299999999997</v>
      </c>
      <c r="V327" s="28">
        <f>U327/$P327</f>
        <v>0.51956846950517832</v>
      </c>
      <c r="W327" s="27">
        <f>W324+W326</f>
        <v>3790.82</v>
      </c>
      <c r="X327" s="28">
        <f>W327/$P327</f>
        <v>0.72704641350210975</v>
      </c>
      <c r="Y327" s="27">
        <f>Y324+Y326</f>
        <v>4587</v>
      </c>
      <c r="Z327" s="27">
        <f>Z324+Z326</f>
        <v>4587</v>
      </c>
    </row>
    <row r="329" spans="1:26" ht="13.9" customHeight="1">
      <c r="E329" s="130" t="s">
        <v>56</v>
      </c>
      <c r="F329" s="131" t="s">
        <v>209</v>
      </c>
      <c r="G329" s="132"/>
      <c r="H329" s="132">
        <v>550</v>
      </c>
      <c r="I329" s="133">
        <v>245</v>
      </c>
      <c r="J329" s="133">
        <v>1441.24</v>
      </c>
      <c r="K329" s="133">
        <v>3485</v>
      </c>
      <c r="L329" s="133"/>
      <c r="M329" s="133"/>
      <c r="N329" s="133"/>
      <c r="O329" s="133">
        <v>220</v>
      </c>
      <c r="P329" s="133">
        <f>K329+SUM(L329:O329)</f>
        <v>3705</v>
      </c>
      <c r="Q329" s="133">
        <v>820.57</v>
      </c>
      <c r="R329" s="134">
        <f>Q329/$P329</f>
        <v>0.22147638326585697</v>
      </c>
      <c r="S329" s="133">
        <v>1590.57</v>
      </c>
      <c r="T329" s="134">
        <f>S329/$P329</f>
        <v>0.42930364372469632</v>
      </c>
      <c r="U329" s="133">
        <v>2301.5700000000002</v>
      </c>
      <c r="V329" s="134">
        <f>U329/$P329</f>
        <v>0.62120647773279358</v>
      </c>
      <c r="W329" s="133">
        <v>3012.57</v>
      </c>
      <c r="X329" s="135">
        <f>W329/$P329</f>
        <v>0.81310931174089074</v>
      </c>
      <c r="Y329" s="133">
        <f>K329</f>
        <v>3485</v>
      </c>
      <c r="Z329" s="136">
        <f>Y329</f>
        <v>3485</v>
      </c>
    </row>
    <row r="330" spans="1:26" ht="13.9" hidden="1" customHeight="1">
      <c r="E330" s="65"/>
      <c r="F330" s="94" t="s">
        <v>210</v>
      </c>
      <c r="G330" s="95"/>
      <c r="H330" s="95"/>
      <c r="I330" s="67"/>
      <c r="J330" s="67">
        <v>4930</v>
      </c>
      <c r="K330" s="67">
        <v>250</v>
      </c>
      <c r="L330" s="67"/>
      <c r="M330" s="67"/>
      <c r="N330" s="67"/>
      <c r="O330" s="67"/>
      <c r="P330" s="67"/>
      <c r="Q330" s="67"/>
      <c r="R330" s="68"/>
      <c r="S330" s="67"/>
      <c r="T330" s="68"/>
      <c r="U330" s="67"/>
      <c r="V330" s="68"/>
      <c r="W330" s="67"/>
      <c r="X330" s="69"/>
      <c r="Y330" s="67">
        <v>250</v>
      </c>
      <c r="Z330" s="70">
        <v>250</v>
      </c>
    </row>
    <row r="332" spans="1:26" ht="13.9" customHeight="1">
      <c r="D332" s="73" t="s">
        <v>211</v>
      </c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4"/>
      <c r="S332" s="73"/>
      <c r="T332" s="74"/>
      <c r="U332" s="73"/>
      <c r="V332" s="74"/>
      <c r="W332" s="73"/>
      <c r="X332" s="74"/>
      <c r="Y332" s="73"/>
      <c r="Z332" s="73"/>
    </row>
    <row r="333" spans="1:26" ht="13.9" customHeight="1">
      <c r="D333" s="21" t="s">
        <v>32</v>
      </c>
      <c r="E333" s="21" t="s">
        <v>33</v>
      </c>
      <c r="F333" s="21" t="s">
        <v>34</v>
      </c>
      <c r="G333" s="21" t="s">
        <v>1</v>
      </c>
      <c r="H333" s="21" t="s">
        <v>2</v>
      </c>
      <c r="I333" s="21" t="s">
        <v>3</v>
      </c>
      <c r="J333" s="21" t="s">
        <v>4</v>
      </c>
      <c r="K333" s="21" t="s">
        <v>5</v>
      </c>
      <c r="L333" s="21" t="s">
        <v>6</v>
      </c>
      <c r="M333" s="21" t="s">
        <v>7</v>
      </c>
      <c r="N333" s="21" t="s">
        <v>8</v>
      </c>
      <c r="O333" s="21" t="s">
        <v>9</v>
      </c>
      <c r="P333" s="21" t="s">
        <v>10</v>
      </c>
      <c r="Q333" s="21" t="s">
        <v>11</v>
      </c>
      <c r="R333" s="22" t="s">
        <v>12</v>
      </c>
      <c r="S333" s="21" t="s">
        <v>13</v>
      </c>
      <c r="T333" s="22" t="s">
        <v>14</v>
      </c>
      <c r="U333" s="21" t="s">
        <v>15</v>
      </c>
      <c r="V333" s="22" t="s">
        <v>16</v>
      </c>
      <c r="W333" s="21" t="s">
        <v>17</v>
      </c>
      <c r="X333" s="22" t="s">
        <v>18</v>
      </c>
      <c r="Y333" s="21" t="s">
        <v>19</v>
      </c>
      <c r="Z333" s="21" t="s">
        <v>20</v>
      </c>
    </row>
    <row r="334" spans="1:26" ht="13.9" hidden="1" customHeight="1">
      <c r="A334" s="15">
        <v>5</v>
      </c>
      <c r="B334" s="15">
        <v>2</v>
      </c>
      <c r="C334" s="15">
        <v>3</v>
      </c>
      <c r="D334" s="6" t="s">
        <v>208</v>
      </c>
      <c r="E334" s="23">
        <v>610</v>
      </c>
      <c r="F334" s="23" t="s">
        <v>124</v>
      </c>
      <c r="G334" s="24">
        <v>0</v>
      </c>
      <c r="H334" s="24">
        <v>0</v>
      </c>
      <c r="I334" s="24">
        <v>0</v>
      </c>
      <c r="J334" s="24">
        <v>6042.59</v>
      </c>
      <c r="K334" s="24">
        <v>0</v>
      </c>
      <c r="L334" s="24"/>
      <c r="M334" s="24"/>
      <c r="N334" s="24"/>
      <c r="O334" s="24"/>
      <c r="P334" s="24">
        <f>K334+SUM(L334:O334)</f>
        <v>0</v>
      </c>
      <c r="Q334" s="24">
        <v>0</v>
      </c>
      <c r="R334" s="25" t="e">
        <f t="shared" ref="R334:R343" si="180">Q334/$P334</f>
        <v>#DIV/0!</v>
      </c>
      <c r="S334" s="24">
        <v>0</v>
      </c>
      <c r="T334" s="25" t="e">
        <f t="shared" ref="T334:T343" si="181">S334/$P334</f>
        <v>#DIV/0!</v>
      </c>
      <c r="U334" s="24">
        <v>0</v>
      </c>
      <c r="V334" s="25" t="e">
        <f t="shared" ref="V334:V343" si="182">U334/$P334</f>
        <v>#DIV/0!</v>
      </c>
      <c r="W334" s="24"/>
      <c r="X334" s="25" t="e">
        <f t="shared" ref="X334:X343" si="183">W334/$P334</f>
        <v>#DIV/0!</v>
      </c>
      <c r="Y334" s="24">
        <v>0</v>
      </c>
      <c r="Z334" s="24">
        <f>Y334</f>
        <v>0</v>
      </c>
    </row>
    <row r="335" spans="1:26" ht="13.9" hidden="1" customHeight="1">
      <c r="A335" s="15">
        <v>5</v>
      </c>
      <c r="B335" s="15">
        <v>2</v>
      </c>
      <c r="C335" s="15">
        <v>3</v>
      </c>
      <c r="D335" s="6"/>
      <c r="E335" s="23">
        <v>620</v>
      </c>
      <c r="F335" s="23" t="s">
        <v>125</v>
      </c>
      <c r="G335" s="24">
        <v>0</v>
      </c>
      <c r="H335" s="24">
        <v>0</v>
      </c>
      <c r="I335" s="24">
        <v>0</v>
      </c>
      <c r="J335" s="24">
        <v>2247.6999999999998</v>
      </c>
      <c r="K335" s="24">
        <v>0</v>
      </c>
      <c r="L335" s="24"/>
      <c r="M335" s="24"/>
      <c r="N335" s="24"/>
      <c r="O335" s="24"/>
      <c r="P335" s="24">
        <f>K335+SUM(L335:O335)</f>
        <v>0</v>
      </c>
      <c r="Q335" s="24">
        <v>0</v>
      </c>
      <c r="R335" s="25" t="e">
        <f t="shared" si="180"/>
        <v>#DIV/0!</v>
      </c>
      <c r="S335" s="24">
        <v>0</v>
      </c>
      <c r="T335" s="25" t="e">
        <f t="shared" si="181"/>
        <v>#DIV/0!</v>
      </c>
      <c r="U335" s="24">
        <v>0</v>
      </c>
      <c r="V335" s="25" t="e">
        <f t="shared" si="182"/>
        <v>#DIV/0!</v>
      </c>
      <c r="W335" s="24"/>
      <c r="X335" s="25" t="e">
        <f t="shared" si="183"/>
        <v>#DIV/0!</v>
      </c>
      <c r="Y335" s="24">
        <v>0</v>
      </c>
      <c r="Z335" s="24">
        <f>Y335</f>
        <v>0</v>
      </c>
    </row>
    <row r="336" spans="1:26" ht="13.9" hidden="1" customHeight="1">
      <c r="A336" s="15">
        <v>5</v>
      </c>
      <c r="B336" s="15">
        <v>2</v>
      </c>
      <c r="C336" s="15">
        <v>3</v>
      </c>
      <c r="D336" s="108" t="s">
        <v>21</v>
      </c>
      <c r="E336" s="84" t="s">
        <v>212</v>
      </c>
      <c r="F336" s="48" t="s">
        <v>213</v>
      </c>
      <c r="G336" s="49">
        <f t="shared" ref="G336:Q336" si="184">SUM(G334:G335)</f>
        <v>0</v>
      </c>
      <c r="H336" s="49">
        <f t="shared" si="184"/>
        <v>0</v>
      </c>
      <c r="I336" s="49">
        <f t="shared" si="184"/>
        <v>0</v>
      </c>
      <c r="J336" s="49">
        <f t="shared" si="184"/>
        <v>8290.2900000000009</v>
      </c>
      <c r="K336" s="49">
        <f t="shared" si="184"/>
        <v>0</v>
      </c>
      <c r="L336" s="49">
        <f t="shared" si="184"/>
        <v>0</v>
      </c>
      <c r="M336" s="49">
        <f t="shared" si="184"/>
        <v>0</v>
      </c>
      <c r="N336" s="49">
        <f t="shared" si="184"/>
        <v>0</v>
      </c>
      <c r="O336" s="49">
        <f t="shared" si="184"/>
        <v>0</v>
      </c>
      <c r="P336" s="49">
        <f t="shared" si="184"/>
        <v>0</v>
      </c>
      <c r="Q336" s="49">
        <f t="shared" si="184"/>
        <v>0</v>
      </c>
      <c r="R336" s="50" t="e">
        <f t="shared" si="180"/>
        <v>#DIV/0!</v>
      </c>
      <c r="S336" s="49">
        <f>SUM(S334:S335)</f>
        <v>0</v>
      </c>
      <c r="T336" s="50" t="e">
        <f t="shared" si="181"/>
        <v>#DIV/0!</v>
      </c>
      <c r="U336" s="49">
        <f>SUM(U334:U335)</f>
        <v>0</v>
      </c>
      <c r="V336" s="50" t="e">
        <f t="shared" si="182"/>
        <v>#DIV/0!</v>
      </c>
      <c r="W336" s="49">
        <f>SUM(W334:W335)</f>
        <v>0</v>
      </c>
      <c r="X336" s="50" t="e">
        <f t="shared" si="183"/>
        <v>#DIV/0!</v>
      </c>
      <c r="Y336" s="49">
        <f>SUM(Y334:Y335)</f>
        <v>0</v>
      </c>
      <c r="Z336" s="49">
        <f>SUM(Z334:Z335)</f>
        <v>0</v>
      </c>
    </row>
    <row r="337" spans="1:26" ht="13.9" customHeight="1">
      <c r="A337" s="15">
        <v>5</v>
      </c>
      <c r="B337" s="15">
        <v>2</v>
      </c>
      <c r="C337" s="15">
        <v>3</v>
      </c>
      <c r="D337" s="6" t="s">
        <v>208</v>
      </c>
      <c r="E337" s="23">
        <v>610</v>
      </c>
      <c r="F337" s="23" t="s">
        <v>124</v>
      </c>
      <c r="G337" s="24">
        <v>101.64</v>
      </c>
      <c r="H337" s="24">
        <v>4962.93</v>
      </c>
      <c r="I337" s="24">
        <v>2269</v>
      </c>
      <c r="J337" s="24">
        <v>4162.46</v>
      </c>
      <c r="K337" s="24">
        <v>2450</v>
      </c>
      <c r="L337" s="24"/>
      <c r="M337" s="24"/>
      <c r="N337" s="24">
        <v>350</v>
      </c>
      <c r="O337" s="24"/>
      <c r="P337" s="24">
        <f>K337+SUM(L337:O337)</f>
        <v>2800</v>
      </c>
      <c r="Q337" s="24">
        <v>0</v>
      </c>
      <c r="R337" s="25">
        <f t="shared" si="180"/>
        <v>0</v>
      </c>
      <c r="S337" s="24">
        <v>700</v>
      </c>
      <c r="T337" s="25">
        <f t="shared" si="181"/>
        <v>0.25</v>
      </c>
      <c r="U337" s="24">
        <v>1400</v>
      </c>
      <c r="V337" s="25">
        <f t="shared" si="182"/>
        <v>0.5</v>
      </c>
      <c r="W337" s="24">
        <v>2450</v>
      </c>
      <c r="X337" s="25">
        <f t="shared" si="183"/>
        <v>0.875</v>
      </c>
      <c r="Y337" s="24">
        <f>K337</f>
        <v>2450</v>
      </c>
      <c r="Z337" s="24">
        <f>Y337</f>
        <v>2450</v>
      </c>
    </row>
    <row r="338" spans="1:26" ht="13.9" customHeight="1">
      <c r="A338" s="15">
        <v>5</v>
      </c>
      <c r="B338" s="15">
        <v>2</v>
      </c>
      <c r="C338" s="15">
        <v>3</v>
      </c>
      <c r="D338" s="6"/>
      <c r="E338" s="23">
        <v>620</v>
      </c>
      <c r="F338" s="23" t="s">
        <v>125</v>
      </c>
      <c r="G338" s="24">
        <v>35.479999999999997</v>
      </c>
      <c r="H338" s="24">
        <v>1411.87</v>
      </c>
      <c r="I338" s="24">
        <v>703</v>
      </c>
      <c r="J338" s="24">
        <v>1246.9000000000001</v>
      </c>
      <c r="K338" s="24">
        <v>857</v>
      </c>
      <c r="L338" s="24"/>
      <c r="M338" s="24"/>
      <c r="N338" s="24">
        <v>178</v>
      </c>
      <c r="O338" s="24">
        <v>-2</v>
      </c>
      <c r="P338" s="24">
        <f>K338+SUM(L338:O338)</f>
        <v>1033</v>
      </c>
      <c r="Q338" s="24">
        <v>0</v>
      </c>
      <c r="R338" s="25">
        <f t="shared" si="180"/>
        <v>0</v>
      </c>
      <c r="S338" s="24">
        <v>220.14</v>
      </c>
      <c r="T338" s="25">
        <f t="shared" si="181"/>
        <v>0.21310745401742495</v>
      </c>
      <c r="U338" s="24">
        <v>452.53</v>
      </c>
      <c r="V338" s="25">
        <f t="shared" si="182"/>
        <v>0.43807357212003872</v>
      </c>
      <c r="W338" s="24">
        <v>819.49</v>
      </c>
      <c r="X338" s="25">
        <f t="shared" si="183"/>
        <v>0.79331074540174251</v>
      </c>
      <c r="Y338" s="24">
        <f>K338</f>
        <v>857</v>
      </c>
      <c r="Z338" s="24">
        <f>Y338</f>
        <v>857</v>
      </c>
    </row>
    <row r="339" spans="1:26" ht="13.9" customHeight="1">
      <c r="A339" s="15">
        <v>5</v>
      </c>
      <c r="B339" s="15">
        <v>2</v>
      </c>
      <c r="C339" s="15">
        <v>3</v>
      </c>
      <c r="D339" s="6"/>
      <c r="E339" s="23">
        <v>630</v>
      </c>
      <c r="F339" s="23" t="s">
        <v>126</v>
      </c>
      <c r="G339" s="24">
        <v>1.28</v>
      </c>
      <c r="H339" s="24">
        <v>43.84</v>
      </c>
      <c r="I339" s="24">
        <v>171</v>
      </c>
      <c r="J339" s="24">
        <v>922.62</v>
      </c>
      <c r="K339" s="24">
        <v>23</v>
      </c>
      <c r="L339" s="24"/>
      <c r="M339" s="24"/>
      <c r="N339" s="24"/>
      <c r="O339" s="24">
        <v>2</v>
      </c>
      <c r="P339" s="24">
        <f>K339+SUM(L339:O339)</f>
        <v>25</v>
      </c>
      <c r="Q339" s="24">
        <v>0</v>
      </c>
      <c r="R339" s="25">
        <f t="shared" si="180"/>
        <v>0</v>
      </c>
      <c r="S339" s="24">
        <v>6.88</v>
      </c>
      <c r="T339" s="25">
        <f t="shared" si="181"/>
        <v>0.2752</v>
      </c>
      <c r="U339" s="24">
        <v>13.49</v>
      </c>
      <c r="V339" s="25">
        <f t="shared" si="182"/>
        <v>0.53959999999999997</v>
      </c>
      <c r="W339" s="24">
        <v>24.53</v>
      </c>
      <c r="X339" s="25">
        <f t="shared" si="183"/>
        <v>0.98120000000000007</v>
      </c>
      <c r="Y339" s="24">
        <v>24</v>
      </c>
      <c r="Z339" s="24">
        <v>28</v>
      </c>
    </row>
    <row r="340" spans="1:26" ht="13.9" customHeight="1">
      <c r="A340" s="15">
        <v>5</v>
      </c>
      <c r="B340" s="15">
        <v>2</v>
      </c>
      <c r="C340" s="15">
        <v>3</v>
      </c>
      <c r="D340" s="108" t="s">
        <v>21</v>
      </c>
      <c r="E340" s="48">
        <v>41</v>
      </c>
      <c r="F340" s="48" t="s">
        <v>23</v>
      </c>
      <c r="G340" s="49">
        <f t="shared" ref="G340:Q340" si="185">SUM(G337:G339)</f>
        <v>138.4</v>
      </c>
      <c r="H340" s="49">
        <f t="shared" si="185"/>
        <v>6418.64</v>
      </c>
      <c r="I340" s="49">
        <f t="shared" si="185"/>
        <v>3143</v>
      </c>
      <c r="J340" s="49">
        <f t="shared" si="185"/>
        <v>6331.9800000000005</v>
      </c>
      <c r="K340" s="49">
        <f t="shared" si="185"/>
        <v>3330</v>
      </c>
      <c r="L340" s="49">
        <f t="shared" si="185"/>
        <v>0</v>
      </c>
      <c r="M340" s="49">
        <f t="shared" si="185"/>
        <v>0</v>
      </c>
      <c r="N340" s="49">
        <f t="shared" si="185"/>
        <v>528</v>
      </c>
      <c r="O340" s="49">
        <f t="shared" si="185"/>
        <v>0</v>
      </c>
      <c r="P340" s="49">
        <f t="shared" si="185"/>
        <v>3858</v>
      </c>
      <c r="Q340" s="49">
        <f t="shared" si="185"/>
        <v>0</v>
      </c>
      <c r="R340" s="50">
        <f t="shared" si="180"/>
        <v>0</v>
      </c>
      <c r="S340" s="49">
        <f>SUM(S337:S339)</f>
        <v>927.02</v>
      </c>
      <c r="T340" s="50">
        <f t="shared" si="181"/>
        <v>0.24028512182477968</v>
      </c>
      <c r="U340" s="49">
        <f>SUM(U337:U339)</f>
        <v>1866.02</v>
      </c>
      <c r="V340" s="50">
        <f t="shared" si="182"/>
        <v>0.48367547952306894</v>
      </c>
      <c r="W340" s="49">
        <f>SUM(W337:W339)</f>
        <v>3294.02</v>
      </c>
      <c r="X340" s="50">
        <f t="shared" si="183"/>
        <v>0.85381544841886992</v>
      </c>
      <c r="Y340" s="49">
        <f>SUM(Y337:Y339)</f>
        <v>3331</v>
      </c>
      <c r="Z340" s="49">
        <f>SUM(Z337:Z339)</f>
        <v>3335</v>
      </c>
    </row>
    <row r="341" spans="1:26" ht="13.9" hidden="1" customHeight="1">
      <c r="A341" s="15">
        <v>5</v>
      </c>
      <c r="B341" s="15">
        <v>2</v>
      </c>
      <c r="C341" s="15">
        <v>3</v>
      </c>
      <c r="D341" s="137" t="s">
        <v>208</v>
      </c>
      <c r="E341" s="23">
        <v>640</v>
      </c>
      <c r="F341" s="23" t="s">
        <v>127</v>
      </c>
      <c r="G341" s="24">
        <v>0</v>
      </c>
      <c r="H341" s="24">
        <v>0</v>
      </c>
      <c r="I341" s="24">
        <v>0</v>
      </c>
      <c r="J341" s="24">
        <v>138.36000000000001</v>
      </c>
      <c r="K341" s="24">
        <v>0</v>
      </c>
      <c r="L341" s="24"/>
      <c r="M341" s="24"/>
      <c r="N341" s="24"/>
      <c r="O341" s="24"/>
      <c r="P341" s="24">
        <f>K341+SUM(L341:O341)</f>
        <v>0</v>
      </c>
      <c r="Q341" s="24">
        <v>0</v>
      </c>
      <c r="R341" s="25" t="e">
        <f t="shared" si="180"/>
        <v>#DIV/0!</v>
      </c>
      <c r="S341" s="24">
        <v>0</v>
      </c>
      <c r="T341" s="25" t="e">
        <f t="shared" si="181"/>
        <v>#DIV/0!</v>
      </c>
      <c r="U341" s="24">
        <v>0</v>
      </c>
      <c r="V341" s="25" t="e">
        <f t="shared" si="182"/>
        <v>#DIV/0!</v>
      </c>
      <c r="W341" s="24"/>
      <c r="X341" s="25" t="e">
        <f t="shared" si="183"/>
        <v>#DIV/0!</v>
      </c>
      <c r="Y341" s="24">
        <v>0</v>
      </c>
      <c r="Z341" s="24">
        <v>0</v>
      </c>
    </row>
    <row r="342" spans="1:26" ht="13.9" hidden="1" customHeight="1">
      <c r="A342" s="15">
        <v>5</v>
      </c>
      <c r="B342" s="15">
        <v>2</v>
      </c>
      <c r="C342" s="15">
        <v>3</v>
      </c>
      <c r="D342" s="108" t="s">
        <v>21</v>
      </c>
      <c r="E342" s="48">
        <v>72</v>
      </c>
      <c r="F342" s="48" t="s">
        <v>25</v>
      </c>
      <c r="G342" s="49">
        <f t="shared" ref="G342:Q342" si="186">SUM(G341:G341)</f>
        <v>0</v>
      </c>
      <c r="H342" s="49">
        <f t="shared" si="186"/>
        <v>0</v>
      </c>
      <c r="I342" s="49">
        <f t="shared" si="186"/>
        <v>0</v>
      </c>
      <c r="J342" s="49">
        <f t="shared" si="186"/>
        <v>138.36000000000001</v>
      </c>
      <c r="K342" s="49">
        <f t="shared" si="186"/>
        <v>0</v>
      </c>
      <c r="L342" s="49">
        <f t="shared" si="186"/>
        <v>0</v>
      </c>
      <c r="M342" s="49">
        <f t="shared" si="186"/>
        <v>0</v>
      </c>
      <c r="N342" s="49">
        <f t="shared" si="186"/>
        <v>0</v>
      </c>
      <c r="O342" s="49">
        <f t="shared" si="186"/>
        <v>0</v>
      </c>
      <c r="P342" s="49">
        <f t="shared" si="186"/>
        <v>0</v>
      </c>
      <c r="Q342" s="49">
        <f t="shared" si="186"/>
        <v>0</v>
      </c>
      <c r="R342" s="50" t="e">
        <f t="shared" si="180"/>
        <v>#DIV/0!</v>
      </c>
      <c r="S342" s="49">
        <f>SUM(S341:S341)</f>
        <v>0</v>
      </c>
      <c r="T342" s="50" t="e">
        <f t="shared" si="181"/>
        <v>#DIV/0!</v>
      </c>
      <c r="U342" s="49">
        <f>SUM(U341:U341)</f>
        <v>0</v>
      </c>
      <c r="V342" s="50" t="e">
        <f t="shared" si="182"/>
        <v>#DIV/0!</v>
      </c>
      <c r="W342" s="49">
        <f>SUM(W341:W341)</f>
        <v>0</v>
      </c>
      <c r="X342" s="50" t="e">
        <f t="shared" si="183"/>
        <v>#DIV/0!</v>
      </c>
      <c r="Y342" s="49">
        <f>SUM(Y341:Y341)</f>
        <v>0</v>
      </c>
      <c r="Z342" s="49">
        <f>SUM(Z341:Z341)</f>
        <v>0</v>
      </c>
    </row>
    <row r="343" spans="1:26" ht="13.9" customHeight="1">
      <c r="A343" s="15">
        <v>5</v>
      </c>
      <c r="B343" s="15">
        <v>2</v>
      </c>
      <c r="C343" s="15">
        <v>3</v>
      </c>
      <c r="D343" s="30"/>
      <c r="E343" s="31"/>
      <c r="F343" s="26" t="s">
        <v>119</v>
      </c>
      <c r="G343" s="27">
        <f t="shared" ref="G343:Q343" si="187">G336+G340+G342</f>
        <v>138.4</v>
      </c>
      <c r="H343" s="27">
        <f t="shared" si="187"/>
        <v>6418.64</v>
      </c>
      <c r="I343" s="27">
        <f t="shared" si="187"/>
        <v>3143</v>
      </c>
      <c r="J343" s="27">
        <f t="shared" si="187"/>
        <v>14760.630000000001</v>
      </c>
      <c r="K343" s="27">
        <f t="shared" si="187"/>
        <v>3330</v>
      </c>
      <c r="L343" s="27">
        <f t="shared" si="187"/>
        <v>0</v>
      </c>
      <c r="M343" s="27">
        <f t="shared" si="187"/>
        <v>0</v>
      </c>
      <c r="N343" s="27">
        <f t="shared" si="187"/>
        <v>528</v>
      </c>
      <c r="O343" s="27">
        <f t="shared" si="187"/>
        <v>0</v>
      </c>
      <c r="P343" s="27">
        <f t="shared" si="187"/>
        <v>3858</v>
      </c>
      <c r="Q343" s="27">
        <f t="shared" si="187"/>
        <v>0</v>
      </c>
      <c r="R343" s="28">
        <f t="shared" si="180"/>
        <v>0</v>
      </c>
      <c r="S343" s="27">
        <f>S336+S340+S342</f>
        <v>927.02</v>
      </c>
      <c r="T343" s="28">
        <f t="shared" si="181"/>
        <v>0.24028512182477968</v>
      </c>
      <c r="U343" s="27">
        <f>U336+U340+U342</f>
        <v>1866.02</v>
      </c>
      <c r="V343" s="28">
        <f t="shared" si="182"/>
        <v>0.48367547952306894</v>
      </c>
      <c r="W343" s="27">
        <f>W336+W340+W342</f>
        <v>3294.02</v>
      </c>
      <c r="X343" s="28">
        <f t="shared" si="183"/>
        <v>0.85381544841886992</v>
      </c>
      <c r="Y343" s="27">
        <f>Y336+Y340+Y342</f>
        <v>3331</v>
      </c>
      <c r="Z343" s="27">
        <f>Z336+Z340+Z342</f>
        <v>3335</v>
      </c>
    </row>
    <row r="345" spans="1:26" ht="13.9" customHeight="1">
      <c r="D345" s="32" t="s">
        <v>214</v>
      </c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3"/>
      <c r="S345" s="32"/>
      <c r="T345" s="33"/>
      <c r="U345" s="32"/>
      <c r="V345" s="33"/>
      <c r="W345" s="32"/>
      <c r="X345" s="33"/>
      <c r="Y345" s="32"/>
      <c r="Z345" s="32"/>
    </row>
    <row r="346" spans="1:26" ht="13.9" customHeight="1">
      <c r="D346" s="20"/>
      <c r="E346" s="20"/>
      <c r="F346" s="20"/>
      <c r="G346" s="21" t="s">
        <v>1</v>
      </c>
      <c r="H346" s="21" t="s">
        <v>2</v>
      </c>
      <c r="I346" s="21" t="s">
        <v>3</v>
      </c>
      <c r="J346" s="21" t="s">
        <v>4</v>
      </c>
      <c r="K346" s="21" t="s">
        <v>5</v>
      </c>
      <c r="L346" s="21" t="s">
        <v>6</v>
      </c>
      <c r="M346" s="21" t="s">
        <v>7</v>
      </c>
      <c r="N346" s="21" t="s">
        <v>8</v>
      </c>
      <c r="O346" s="21" t="s">
        <v>9</v>
      </c>
      <c r="P346" s="21" t="s">
        <v>10</v>
      </c>
      <c r="Q346" s="21" t="s">
        <v>11</v>
      </c>
      <c r="R346" s="22" t="s">
        <v>12</v>
      </c>
      <c r="S346" s="21" t="s">
        <v>13</v>
      </c>
      <c r="T346" s="22" t="s">
        <v>14</v>
      </c>
      <c r="U346" s="21" t="s">
        <v>15</v>
      </c>
      <c r="V346" s="22" t="s">
        <v>16</v>
      </c>
      <c r="W346" s="21" t="s">
        <v>17</v>
      </c>
      <c r="X346" s="22" t="s">
        <v>18</v>
      </c>
      <c r="Y346" s="21" t="s">
        <v>19</v>
      </c>
      <c r="Z346" s="21" t="s">
        <v>20</v>
      </c>
    </row>
    <row r="347" spans="1:26" ht="13.9" customHeight="1">
      <c r="A347" s="15">
        <v>6</v>
      </c>
      <c r="D347" s="12" t="s">
        <v>21</v>
      </c>
      <c r="E347" s="35">
        <v>111</v>
      </c>
      <c r="F347" s="35" t="s">
        <v>129</v>
      </c>
      <c r="G347" s="36">
        <f t="shared" ref="G347:Q347" si="188">G353+G381+G418</f>
        <v>366.13</v>
      </c>
      <c r="H347" s="36">
        <f t="shared" si="188"/>
        <v>0</v>
      </c>
      <c r="I347" s="36">
        <f t="shared" si="188"/>
        <v>0</v>
      </c>
      <c r="J347" s="36">
        <f t="shared" si="188"/>
        <v>0</v>
      </c>
      <c r="K347" s="36">
        <f t="shared" si="188"/>
        <v>0</v>
      </c>
      <c r="L347" s="36">
        <f t="shared" si="188"/>
        <v>0</v>
      </c>
      <c r="M347" s="36">
        <f t="shared" si="188"/>
        <v>344</v>
      </c>
      <c r="N347" s="36">
        <f t="shared" si="188"/>
        <v>343</v>
      </c>
      <c r="O347" s="36">
        <f t="shared" si="188"/>
        <v>343</v>
      </c>
      <c r="P347" s="36">
        <f t="shared" si="188"/>
        <v>1030</v>
      </c>
      <c r="Q347" s="36">
        <f t="shared" si="188"/>
        <v>0</v>
      </c>
      <c r="R347" s="37">
        <f>Q347/$P347</f>
        <v>0</v>
      </c>
      <c r="S347" s="36">
        <f>S353+S381+S418</f>
        <v>343.47</v>
      </c>
      <c r="T347" s="37">
        <f>S347/$P347</f>
        <v>0.33346601941747578</v>
      </c>
      <c r="U347" s="36">
        <f>U353+U381+U418</f>
        <v>686.94</v>
      </c>
      <c r="V347" s="37">
        <f>U347/$P347</f>
        <v>0.66693203883495156</v>
      </c>
      <c r="W347" s="36">
        <f>W353+W381+W418</f>
        <v>1030.4100000000001</v>
      </c>
      <c r="X347" s="37">
        <f>W347/$P347</f>
        <v>1.0003980582524272</v>
      </c>
      <c r="Y347" s="36">
        <f>Y353+Y381+Y418</f>
        <v>0</v>
      </c>
      <c r="Z347" s="36">
        <f>Z353+Z381+Z418</f>
        <v>0</v>
      </c>
    </row>
    <row r="348" spans="1:26" ht="13.9" customHeight="1">
      <c r="A348" s="15">
        <v>6</v>
      </c>
      <c r="D348" s="12" t="s">
        <v>21</v>
      </c>
      <c r="E348" s="35">
        <v>41</v>
      </c>
      <c r="F348" s="35" t="s">
        <v>23</v>
      </c>
      <c r="G348" s="36">
        <f t="shared" ref="G348:Q348" si="189">G354+G382+G419</f>
        <v>28532.59</v>
      </c>
      <c r="H348" s="36">
        <f t="shared" si="189"/>
        <v>30235.88</v>
      </c>
      <c r="I348" s="36">
        <f t="shared" si="189"/>
        <v>35412</v>
      </c>
      <c r="J348" s="36">
        <f t="shared" si="189"/>
        <v>39882.36</v>
      </c>
      <c r="K348" s="36">
        <f t="shared" si="189"/>
        <v>45484</v>
      </c>
      <c r="L348" s="36">
        <f t="shared" si="189"/>
        <v>0</v>
      </c>
      <c r="M348" s="36">
        <f t="shared" si="189"/>
        <v>3186</v>
      </c>
      <c r="N348" s="36">
        <f t="shared" si="189"/>
        <v>596</v>
      </c>
      <c r="O348" s="36">
        <f t="shared" si="189"/>
        <v>386</v>
      </c>
      <c r="P348" s="36">
        <f t="shared" si="189"/>
        <v>49652</v>
      </c>
      <c r="Q348" s="36">
        <f t="shared" si="189"/>
        <v>4098.9799999999996</v>
      </c>
      <c r="R348" s="37">
        <f>Q348/$P348</f>
        <v>8.2554177072424059E-2</v>
      </c>
      <c r="S348" s="36">
        <f>S354+S382+S419</f>
        <v>26826.300000000003</v>
      </c>
      <c r="T348" s="37">
        <f>S348/$P348</f>
        <v>0.54028639329734962</v>
      </c>
      <c r="U348" s="36">
        <f>U354+U382+U419</f>
        <v>38718.04</v>
      </c>
      <c r="V348" s="37">
        <f>U348/$P348</f>
        <v>0.77978812535245312</v>
      </c>
      <c r="W348" s="36">
        <f>W354+W382+W419</f>
        <v>46795.770000000004</v>
      </c>
      <c r="X348" s="37">
        <f>W348/$P348</f>
        <v>0.94247502618222834</v>
      </c>
      <c r="Y348" s="36">
        <f>Y354+Y382+Y419</f>
        <v>44695</v>
      </c>
      <c r="Z348" s="36">
        <f>Z354+Z382+Z419</f>
        <v>44695</v>
      </c>
    </row>
    <row r="349" spans="1:26" ht="13.9" customHeight="1">
      <c r="A349" s="15">
        <v>6</v>
      </c>
      <c r="D349" s="30"/>
      <c r="E349" s="31"/>
      <c r="F349" s="38" t="s">
        <v>119</v>
      </c>
      <c r="G349" s="39">
        <f t="shared" ref="G349:Q349" si="190">SUM(G347:G348)</f>
        <v>28898.720000000001</v>
      </c>
      <c r="H349" s="39">
        <f t="shared" si="190"/>
        <v>30235.88</v>
      </c>
      <c r="I349" s="39">
        <f t="shared" si="190"/>
        <v>35412</v>
      </c>
      <c r="J349" s="39">
        <f t="shared" si="190"/>
        <v>39882.36</v>
      </c>
      <c r="K349" s="39">
        <f t="shared" si="190"/>
        <v>45484</v>
      </c>
      <c r="L349" s="39">
        <f t="shared" si="190"/>
        <v>0</v>
      </c>
      <c r="M349" s="39">
        <f t="shared" si="190"/>
        <v>3530</v>
      </c>
      <c r="N349" s="39">
        <f t="shared" si="190"/>
        <v>939</v>
      </c>
      <c r="O349" s="39">
        <f t="shared" si="190"/>
        <v>729</v>
      </c>
      <c r="P349" s="39">
        <f t="shared" si="190"/>
        <v>50682</v>
      </c>
      <c r="Q349" s="39">
        <f t="shared" si="190"/>
        <v>4098.9799999999996</v>
      </c>
      <c r="R349" s="40">
        <f>Q349/$P349</f>
        <v>8.0876445286294923E-2</v>
      </c>
      <c r="S349" s="39">
        <f>SUM(S347:S348)</f>
        <v>27169.770000000004</v>
      </c>
      <c r="T349" s="40">
        <f>S349/$P349</f>
        <v>0.53608322481354331</v>
      </c>
      <c r="U349" s="39">
        <f>SUM(U347:U348)</f>
        <v>39404.980000000003</v>
      </c>
      <c r="V349" s="40">
        <f>U349/$P349</f>
        <v>0.77749457401049693</v>
      </c>
      <c r="W349" s="39">
        <f>SUM(W347:W348)</f>
        <v>47826.180000000008</v>
      </c>
      <c r="X349" s="40">
        <f>W349/$P349</f>
        <v>0.94365218420741104</v>
      </c>
      <c r="Y349" s="39">
        <f>SUM(Y347:Y348)</f>
        <v>44695</v>
      </c>
      <c r="Z349" s="39">
        <f>SUM(Z347:Z348)</f>
        <v>44695</v>
      </c>
    </row>
    <row r="351" spans="1:26" ht="13.9" customHeight="1">
      <c r="D351" s="41" t="s">
        <v>215</v>
      </c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2"/>
      <c r="S351" s="41"/>
      <c r="T351" s="42"/>
      <c r="U351" s="41"/>
      <c r="V351" s="42"/>
      <c r="W351" s="41"/>
      <c r="X351" s="42"/>
      <c r="Y351" s="41"/>
      <c r="Z351" s="41"/>
    </row>
    <row r="352" spans="1:26" ht="13.9" customHeight="1">
      <c r="D352" s="122"/>
      <c r="E352" s="122"/>
      <c r="F352" s="122"/>
      <c r="G352" s="21" t="s">
        <v>1</v>
      </c>
      <c r="H352" s="21" t="s">
        <v>2</v>
      </c>
      <c r="I352" s="21" t="s">
        <v>3</v>
      </c>
      <c r="J352" s="21" t="s">
        <v>4</v>
      </c>
      <c r="K352" s="21" t="s">
        <v>5</v>
      </c>
      <c r="L352" s="21" t="s">
        <v>6</v>
      </c>
      <c r="M352" s="21" t="s">
        <v>7</v>
      </c>
      <c r="N352" s="21" t="s">
        <v>8</v>
      </c>
      <c r="O352" s="21" t="s">
        <v>9</v>
      </c>
      <c r="P352" s="21" t="s">
        <v>10</v>
      </c>
      <c r="Q352" s="21" t="s">
        <v>11</v>
      </c>
      <c r="R352" s="22" t="s">
        <v>12</v>
      </c>
      <c r="S352" s="21" t="s">
        <v>13</v>
      </c>
      <c r="T352" s="22" t="s">
        <v>14</v>
      </c>
      <c r="U352" s="21" t="s">
        <v>15</v>
      </c>
      <c r="V352" s="22" t="s">
        <v>16</v>
      </c>
      <c r="W352" s="21" t="s">
        <v>17</v>
      </c>
      <c r="X352" s="22" t="s">
        <v>18</v>
      </c>
      <c r="Y352" s="21" t="s">
        <v>19</v>
      </c>
      <c r="Z352" s="21" t="s">
        <v>20</v>
      </c>
    </row>
    <row r="353" spans="1:26" ht="13.9" customHeight="1">
      <c r="A353" s="15">
        <v>6</v>
      </c>
      <c r="B353" s="15">
        <v>1</v>
      </c>
      <c r="D353" s="13" t="s">
        <v>21</v>
      </c>
      <c r="E353" s="23">
        <v>111</v>
      </c>
      <c r="F353" s="23" t="s">
        <v>129</v>
      </c>
      <c r="G353" s="24">
        <f>G360</f>
        <v>366.13</v>
      </c>
      <c r="H353" s="24">
        <v>0</v>
      </c>
      <c r="I353" s="24">
        <f t="shared" ref="I353:Q353" si="191">I360</f>
        <v>0</v>
      </c>
      <c r="J353" s="24">
        <f t="shared" si="191"/>
        <v>0</v>
      </c>
      <c r="K353" s="24">
        <f t="shared" si="191"/>
        <v>0</v>
      </c>
      <c r="L353" s="24">
        <f t="shared" si="191"/>
        <v>0</v>
      </c>
      <c r="M353" s="24">
        <f t="shared" si="191"/>
        <v>163</v>
      </c>
      <c r="N353" s="24">
        <f t="shared" si="191"/>
        <v>163</v>
      </c>
      <c r="O353" s="24">
        <f t="shared" si="191"/>
        <v>163</v>
      </c>
      <c r="P353" s="24">
        <f t="shared" si="191"/>
        <v>489</v>
      </c>
      <c r="Q353" s="24">
        <f t="shared" si="191"/>
        <v>0</v>
      </c>
      <c r="R353" s="25">
        <f>Q353/$P353</f>
        <v>0</v>
      </c>
      <c r="S353" s="24">
        <f>S360</f>
        <v>162.99</v>
      </c>
      <c r="T353" s="25">
        <f>S353/$P353</f>
        <v>0.33331288343558285</v>
      </c>
      <c r="U353" s="24">
        <f>U360</f>
        <v>325.98</v>
      </c>
      <c r="V353" s="25">
        <f>U353/$P353</f>
        <v>0.6666257668711657</v>
      </c>
      <c r="W353" s="24">
        <f>W360</f>
        <v>488.97</v>
      </c>
      <c r="X353" s="25">
        <f>W353/$P353</f>
        <v>0.99993865030674856</v>
      </c>
      <c r="Y353" s="24">
        <f>Y360</f>
        <v>0</v>
      </c>
      <c r="Z353" s="24">
        <f>Z360</f>
        <v>0</v>
      </c>
    </row>
    <row r="354" spans="1:26" ht="13.9" customHeight="1">
      <c r="A354" s="15">
        <v>6</v>
      </c>
      <c r="B354" s="15">
        <v>1</v>
      </c>
      <c r="D354" s="13" t="s">
        <v>21</v>
      </c>
      <c r="E354" s="23">
        <v>41</v>
      </c>
      <c r="F354" s="23" t="s">
        <v>23</v>
      </c>
      <c r="G354" s="24">
        <f>G364+G372</f>
        <v>7928.45</v>
      </c>
      <c r="H354" s="24">
        <v>9945.57</v>
      </c>
      <c r="I354" s="24">
        <f t="shared" ref="I354:Q354" si="192">I364+I372</f>
        <v>12515</v>
      </c>
      <c r="J354" s="24">
        <f t="shared" si="192"/>
        <v>15331.27</v>
      </c>
      <c r="K354" s="24">
        <f t="shared" si="192"/>
        <v>18938</v>
      </c>
      <c r="L354" s="24">
        <f t="shared" si="192"/>
        <v>0</v>
      </c>
      <c r="M354" s="24">
        <f t="shared" si="192"/>
        <v>3367</v>
      </c>
      <c r="N354" s="24">
        <f t="shared" si="192"/>
        <v>776</v>
      </c>
      <c r="O354" s="24">
        <f t="shared" si="192"/>
        <v>0</v>
      </c>
      <c r="P354" s="24">
        <f t="shared" si="192"/>
        <v>23081</v>
      </c>
      <c r="Q354" s="24">
        <f t="shared" si="192"/>
        <v>1652.47</v>
      </c>
      <c r="R354" s="25">
        <f>Q354/$P354</f>
        <v>7.1594384991984755E-2</v>
      </c>
      <c r="S354" s="24">
        <f>S364+S372</f>
        <v>15505.08</v>
      </c>
      <c r="T354" s="25">
        <f>S354/$P354</f>
        <v>0.67176812096529614</v>
      </c>
      <c r="U354" s="24">
        <f>U364+U372</f>
        <v>20626.52</v>
      </c>
      <c r="V354" s="25">
        <f>U354/$P354</f>
        <v>0.89365798708894761</v>
      </c>
      <c r="W354" s="24">
        <f>W364+W372</f>
        <v>22242.639999999999</v>
      </c>
      <c r="X354" s="25">
        <f>W354/$P354</f>
        <v>0.96367748364455608</v>
      </c>
      <c r="Y354" s="24">
        <f>Y364+Y372</f>
        <v>18938</v>
      </c>
      <c r="Z354" s="24">
        <f>Z364+Z372</f>
        <v>18938</v>
      </c>
    </row>
    <row r="355" spans="1:26" ht="13.9" customHeight="1">
      <c r="A355" s="15">
        <v>6</v>
      </c>
      <c r="B355" s="15">
        <v>1</v>
      </c>
      <c r="D355" s="30"/>
      <c r="E355" s="31"/>
      <c r="F355" s="26" t="s">
        <v>119</v>
      </c>
      <c r="G355" s="27">
        <f t="shared" ref="G355:Q355" si="193">SUM(G353:G354)</f>
        <v>8294.58</v>
      </c>
      <c r="H355" s="27">
        <f t="shared" si="193"/>
        <v>9945.57</v>
      </c>
      <c r="I355" s="27">
        <f t="shared" si="193"/>
        <v>12515</v>
      </c>
      <c r="J355" s="27">
        <f t="shared" si="193"/>
        <v>15331.27</v>
      </c>
      <c r="K355" s="27">
        <f t="shared" si="193"/>
        <v>18938</v>
      </c>
      <c r="L355" s="27">
        <f t="shared" si="193"/>
        <v>0</v>
      </c>
      <c r="M355" s="27">
        <f t="shared" si="193"/>
        <v>3530</v>
      </c>
      <c r="N355" s="27">
        <f t="shared" si="193"/>
        <v>939</v>
      </c>
      <c r="O355" s="27">
        <f t="shared" si="193"/>
        <v>163</v>
      </c>
      <c r="P355" s="27">
        <f t="shared" si="193"/>
        <v>23570</v>
      </c>
      <c r="Q355" s="27">
        <f t="shared" si="193"/>
        <v>1652.47</v>
      </c>
      <c r="R355" s="28">
        <f>Q355/$P355</f>
        <v>7.0109036911327957E-2</v>
      </c>
      <c r="S355" s="27">
        <f>SUM(S353:S354)</f>
        <v>15668.07</v>
      </c>
      <c r="T355" s="28">
        <f>S355/$P355</f>
        <v>0.66474628765379717</v>
      </c>
      <c r="U355" s="27">
        <f>SUM(U353:U354)</f>
        <v>20952.5</v>
      </c>
      <c r="V355" s="28">
        <f>U355/$P355</f>
        <v>0.88894781501909204</v>
      </c>
      <c r="W355" s="27">
        <f>SUM(W353:W354)</f>
        <v>22731.61</v>
      </c>
      <c r="X355" s="28">
        <f>W355/$P355</f>
        <v>0.96442978362324994</v>
      </c>
      <c r="Y355" s="27">
        <f>SUM(Y353:Y354)</f>
        <v>18938</v>
      </c>
      <c r="Z355" s="27">
        <f>SUM(Z353:Z354)</f>
        <v>18938</v>
      </c>
    </row>
    <row r="357" spans="1:26" ht="13.9" customHeight="1">
      <c r="D357" s="73" t="s">
        <v>216</v>
      </c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4"/>
      <c r="S357" s="73"/>
      <c r="T357" s="74"/>
      <c r="U357" s="73"/>
      <c r="V357" s="74"/>
      <c r="W357" s="73"/>
      <c r="X357" s="74"/>
      <c r="Y357" s="73"/>
      <c r="Z357" s="73"/>
    </row>
    <row r="358" spans="1:26" ht="13.9" customHeight="1">
      <c r="D358" s="21" t="s">
        <v>32</v>
      </c>
      <c r="E358" s="21" t="s">
        <v>33</v>
      </c>
      <c r="F358" s="21" t="s">
        <v>34</v>
      </c>
      <c r="G358" s="21" t="s">
        <v>1</v>
      </c>
      <c r="H358" s="21" t="s">
        <v>2</v>
      </c>
      <c r="I358" s="21" t="s">
        <v>3</v>
      </c>
      <c r="J358" s="21" t="s">
        <v>4</v>
      </c>
      <c r="K358" s="21" t="s">
        <v>5</v>
      </c>
      <c r="L358" s="21" t="s">
        <v>6</v>
      </c>
      <c r="M358" s="21" t="s">
        <v>7</v>
      </c>
      <c r="N358" s="21" t="s">
        <v>8</v>
      </c>
      <c r="O358" s="21" t="s">
        <v>9</v>
      </c>
      <c r="P358" s="21" t="s">
        <v>10</v>
      </c>
      <c r="Q358" s="21" t="s">
        <v>11</v>
      </c>
      <c r="R358" s="22" t="s">
        <v>12</v>
      </c>
      <c r="S358" s="21" t="s">
        <v>13</v>
      </c>
      <c r="T358" s="22" t="s">
        <v>14</v>
      </c>
      <c r="U358" s="21" t="s">
        <v>15</v>
      </c>
      <c r="V358" s="22" t="s">
        <v>16</v>
      </c>
      <c r="W358" s="21" t="s">
        <v>17</v>
      </c>
      <c r="X358" s="22" t="s">
        <v>18</v>
      </c>
      <c r="Y358" s="21" t="s">
        <v>19</v>
      </c>
      <c r="Z358" s="21" t="s">
        <v>20</v>
      </c>
    </row>
    <row r="359" spans="1:26" ht="13.9" customHeight="1">
      <c r="A359" s="15">
        <v>6</v>
      </c>
      <c r="B359" s="15">
        <v>1</v>
      </c>
      <c r="C359" s="15">
        <v>1</v>
      </c>
      <c r="D359" s="90" t="s">
        <v>217</v>
      </c>
      <c r="E359" s="23">
        <v>630</v>
      </c>
      <c r="F359" s="23" t="s">
        <v>126</v>
      </c>
      <c r="G359" s="24">
        <v>366.13</v>
      </c>
      <c r="H359" s="24">
        <v>0</v>
      </c>
      <c r="I359" s="24">
        <v>0</v>
      </c>
      <c r="J359" s="24">
        <v>0</v>
      </c>
      <c r="K359" s="24">
        <v>0</v>
      </c>
      <c r="L359" s="24"/>
      <c r="M359" s="24">
        <v>163</v>
      </c>
      <c r="N359" s="24">
        <v>163</v>
      </c>
      <c r="O359" s="24">
        <v>163</v>
      </c>
      <c r="P359" s="24">
        <f>K359+SUM(L359:O359)</f>
        <v>489</v>
      </c>
      <c r="Q359" s="24">
        <v>0</v>
      </c>
      <c r="R359" s="25">
        <f t="shared" ref="R359:R365" si="194">Q359/$P359</f>
        <v>0</v>
      </c>
      <c r="S359" s="24">
        <v>162.99</v>
      </c>
      <c r="T359" s="25">
        <f t="shared" ref="T359:T365" si="195">S359/$P359</f>
        <v>0.33331288343558285</v>
      </c>
      <c r="U359" s="24">
        <v>325.98</v>
      </c>
      <c r="V359" s="25">
        <f t="shared" ref="V359:V365" si="196">U359/$P359</f>
        <v>0.6666257668711657</v>
      </c>
      <c r="W359" s="24">
        <v>488.97</v>
      </c>
      <c r="X359" s="25">
        <f t="shared" ref="X359:X365" si="197">W359/$P359</f>
        <v>0.99993865030674856</v>
      </c>
      <c r="Y359" s="24">
        <v>0</v>
      </c>
      <c r="Z359" s="24">
        <f>Y359</f>
        <v>0</v>
      </c>
    </row>
    <row r="360" spans="1:26" ht="13.9" customHeight="1">
      <c r="A360" s="15">
        <v>6</v>
      </c>
      <c r="B360" s="15">
        <v>1</v>
      </c>
      <c r="C360" s="15">
        <v>1</v>
      </c>
      <c r="D360" s="83" t="s">
        <v>21</v>
      </c>
      <c r="E360" s="84">
        <v>111</v>
      </c>
      <c r="F360" s="48" t="s">
        <v>129</v>
      </c>
      <c r="G360" s="49">
        <f t="shared" ref="G360:Q360" si="198">SUM(G359:G359)</f>
        <v>366.13</v>
      </c>
      <c r="H360" s="49">
        <f t="shared" si="198"/>
        <v>0</v>
      </c>
      <c r="I360" s="49">
        <f t="shared" si="198"/>
        <v>0</v>
      </c>
      <c r="J360" s="49">
        <f t="shared" si="198"/>
        <v>0</v>
      </c>
      <c r="K360" s="49">
        <f t="shared" si="198"/>
        <v>0</v>
      </c>
      <c r="L360" s="49">
        <f t="shared" si="198"/>
        <v>0</v>
      </c>
      <c r="M360" s="49">
        <f t="shared" si="198"/>
        <v>163</v>
      </c>
      <c r="N360" s="49">
        <f t="shared" si="198"/>
        <v>163</v>
      </c>
      <c r="O360" s="49">
        <f t="shared" si="198"/>
        <v>163</v>
      </c>
      <c r="P360" s="49">
        <f t="shared" si="198"/>
        <v>489</v>
      </c>
      <c r="Q360" s="49">
        <f t="shared" si="198"/>
        <v>0</v>
      </c>
      <c r="R360" s="50">
        <f t="shared" si="194"/>
        <v>0</v>
      </c>
      <c r="S360" s="49">
        <f>SUM(S359:S359)</f>
        <v>162.99</v>
      </c>
      <c r="T360" s="50">
        <f t="shared" si="195"/>
        <v>0.33331288343558285</v>
      </c>
      <c r="U360" s="49">
        <f>SUM(U359:U359)</f>
        <v>325.98</v>
      </c>
      <c r="V360" s="50">
        <f t="shared" si="196"/>
        <v>0.6666257668711657</v>
      </c>
      <c r="W360" s="49">
        <f>SUM(W359:W359)</f>
        <v>488.97</v>
      </c>
      <c r="X360" s="50">
        <f t="shared" si="197"/>
        <v>0.99993865030674856</v>
      </c>
      <c r="Y360" s="49">
        <f>SUM(Y359:Y359)</f>
        <v>0</v>
      </c>
      <c r="Z360" s="49">
        <f>SUM(Z359:Z359)</f>
        <v>0</v>
      </c>
    </row>
    <row r="361" spans="1:26" ht="13.9" customHeight="1">
      <c r="A361" s="15">
        <v>6</v>
      </c>
      <c r="B361" s="15">
        <v>1</v>
      </c>
      <c r="C361" s="15">
        <v>1</v>
      </c>
      <c r="D361" s="11" t="s">
        <v>217</v>
      </c>
      <c r="E361" s="23">
        <v>620</v>
      </c>
      <c r="F361" s="23" t="s">
        <v>125</v>
      </c>
      <c r="G361" s="24">
        <v>0</v>
      </c>
      <c r="H361" s="24">
        <v>0</v>
      </c>
      <c r="I361" s="24">
        <v>0</v>
      </c>
      <c r="J361" s="24">
        <v>108.24</v>
      </c>
      <c r="K361" s="24">
        <v>109</v>
      </c>
      <c r="L361" s="24"/>
      <c r="M361" s="24"/>
      <c r="N361" s="24">
        <v>118</v>
      </c>
      <c r="O361" s="24">
        <v>24</v>
      </c>
      <c r="P361" s="24">
        <f>K361+SUM(L361:O361)</f>
        <v>251</v>
      </c>
      <c r="Q361" s="24">
        <v>0</v>
      </c>
      <c r="R361" s="25">
        <f t="shared" si="194"/>
        <v>0</v>
      </c>
      <c r="S361" s="24">
        <v>0</v>
      </c>
      <c r="T361" s="25">
        <f t="shared" si="195"/>
        <v>0</v>
      </c>
      <c r="U361" s="24">
        <v>179.37</v>
      </c>
      <c r="V361" s="25">
        <f t="shared" si="196"/>
        <v>0.71462151394422313</v>
      </c>
      <c r="W361" s="24">
        <v>250.5</v>
      </c>
      <c r="X361" s="25">
        <f t="shared" si="197"/>
        <v>0.99800796812749004</v>
      </c>
      <c r="Y361" s="24">
        <f>K361</f>
        <v>109</v>
      </c>
      <c r="Z361" s="24">
        <f>Y361</f>
        <v>109</v>
      </c>
    </row>
    <row r="362" spans="1:26" ht="13.9" customHeight="1">
      <c r="A362" s="15">
        <v>6</v>
      </c>
      <c r="B362" s="15">
        <v>1</v>
      </c>
      <c r="C362" s="15">
        <v>1</v>
      </c>
      <c r="D362" s="11" t="s">
        <v>217</v>
      </c>
      <c r="E362" s="23">
        <v>630</v>
      </c>
      <c r="F362" s="23" t="s">
        <v>126</v>
      </c>
      <c r="G362" s="24">
        <v>1628.45</v>
      </c>
      <c r="H362" s="24">
        <v>1445.57</v>
      </c>
      <c r="I362" s="24">
        <v>1515</v>
      </c>
      <c r="J362" s="24">
        <v>4723.03</v>
      </c>
      <c r="K362" s="24">
        <v>6029</v>
      </c>
      <c r="L362" s="24"/>
      <c r="M362" s="24">
        <v>3367</v>
      </c>
      <c r="N362" s="24">
        <v>658</v>
      </c>
      <c r="O362" s="24">
        <v>-24</v>
      </c>
      <c r="P362" s="24">
        <f>K362+SUM(L362:O362)</f>
        <v>10030</v>
      </c>
      <c r="Q362" s="24">
        <v>1652.47</v>
      </c>
      <c r="R362" s="25">
        <f t="shared" si="194"/>
        <v>0.16475274177467597</v>
      </c>
      <c r="S362" s="24">
        <v>3205.08</v>
      </c>
      <c r="T362" s="25">
        <f t="shared" si="195"/>
        <v>0.3195493519441675</v>
      </c>
      <c r="U362" s="24">
        <v>8147.15</v>
      </c>
      <c r="V362" s="25">
        <f t="shared" si="196"/>
        <v>0.81227816550348952</v>
      </c>
      <c r="W362" s="24">
        <v>9692.14</v>
      </c>
      <c r="X362" s="25">
        <f t="shared" si="197"/>
        <v>0.96631505483549351</v>
      </c>
      <c r="Y362" s="24">
        <f>K362</f>
        <v>6029</v>
      </c>
      <c r="Z362" s="24">
        <f>Y362</f>
        <v>6029</v>
      </c>
    </row>
    <row r="363" spans="1:26" ht="13.9" customHeight="1">
      <c r="A363" s="15">
        <v>6</v>
      </c>
      <c r="B363" s="15">
        <v>1</v>
      </c>
      <c r="C363" s="15">
        <v>1</v>
      </c>
      <c r="D363" s="11" t="s">
        <v>217</v>
      </c>
      <c r="E363" s="23">
        <v>640</v>
      </c>
      <c r="F363" s="23" t="s">
        <v>127</v>
      </c>
      <c r="G363" s="24">
        <v>4800</v>
      </c>
      <c r="H363" s="24">
        <v>5000</v>
      </c>
      <c r="I363" s="24">
        <v>5000</v>
      </c>
      <c r="J363" s="24">
        <v>5000</v>
      </c>
      <c r="K363" s="24">
        <v>6000</v>
      </c>
      <c r="L363" s="24"/>
      <c r="M363" s="24"/>
      <c r="N363" s="24"/>
      <c r="O363" s="24"/>
      <c r="P363" s="24">
        <f>K363+SUM(L363:O363)</f>
        <v>6000</v>
      </c>
      <c r="Q363" s="24">
        <v>0</v>
      </c>
      <c r="R363" s="25">
        <f t="shared" si="194"/>
        <v>0</v>
      </c>
      <c r="S363" s="24">
        <v>6000</v>
      </c>
      <c r="T363" s="25">
        <f t="shared" si="195"/>
        <v>1</v>
      </c>
      <c r="U363" s="24">
        <v>6000</v>
      </c>
      <c r="V363" s="25">
        <f t="shared" si="196"/>
        <v>1</v>
      </c>
      <c r="W363" s="24">
        <v>6000</v>
      </c>
      <c r="X363" s="25">
        <f t="shared" si="197"/>
        <v>1</v>
      </c>
      <c r="Y363" s="24">
        <f>K363</f>
        <v>6000</v>
      </c>
      <c r="Z363" s="24">
        <f>Y363</f>
        <v>6000</v>
      </c>
    </row>
    <row r="364" spans="1:26" ht="13.9" customHeight="1">
      <c r="A364" s="15">
        <v>6</v>
      </c>
      <c r="B364" s="15">
        <v>1</v>
      </c>
      <c r="C364" s="15">
        <v>1</v>
      </c>
      <c r="D364" s="83" t="s">
        <v>21</v>
      </c>
      <c r="E364" s="48">
        <v>41</v>
      </c>
      <c r="F364" s="48" t="s">
        <v>23</v>
      </c>
      <c r="G364" s="49">
        <f t="shared" ref="G364:Q364" si="199">SUM(G361:G363)</f>
        <v>6428.45</v>
      </c>
      <c r="H364" s="49">
        <f t="shared" si="199"/>
        <v>6445.57</v>
      </c>
      <c r="I364" s="49">
        <f t="shared" si="199"/>
        <v>6515</v>
      </c>
      <c r="J364" s="49">
        <f t="shared" si="199"/>
        <v>9831.27</v>
      </c>
      <c r="K364" s="49">
        <f t="shared" si="199"/>
        <v>12138</v>
      </c>
      <c r="L364" s="49">
        <f t="shared" si="199"/>
        <v>0</v>
      </c>
      <c r="M364" s="49">
        <f t="shared" si="199"/>
        <v>3367</v>
      </c>
      <c r="N364" s="49">
        <f t="shared" si="199"/>
        <v>776</v>
      </c>
      <c r="O364" s="49">
        <f t="shared" si="199"/>
        <v>0</v>
      </c>
      <c r="P364" s="49">
        <f t="shared" si="199"/>
        <v>16281</v>
      </c>
      <c r="Q364" s="49">
        <f t="shared" si="199"/>
        <v>1652.47</v>
      </c>
      <c r="R364" s="50">
        <f t="shared" si="194"/>
        <v>0.10149683680363614</v>
      </c>
      <c r="S364" s="49">
        <f>SUM(S361:S363)</f>
        <v>9205.08</v>
      </c>
      <c r="T364" s="50">
        <f t="shared" si="195"/>
        <v>0.5653878754376267</v>
      </c>
      <c r="U364" s="49">
        <f>SUM(U361:U363)</f>
        <v>14326.52</v>
      </c>
      <c r="V364" s="50">
        <f t="shared" si="196"/>
        <v>0.87995331982064984</v>
      </c>
      <c r="W364" s="49">
        <f>SUM(W361:W363)</f>
        <v>15942.64</v>
      </c>
      <c r="X364" s="50">
        <f t="shared" si="197"/>
        <v>0.97921749278299852</v>
      </c>
      <c r="Y364" s="49">
        <f>SUM(Y361:Y363)</f>
        <v>12138</v>
      </c>
      <c r="Z364" s="49">
        <f>SUM(Z361:Z363)</f>
        <v>12138</v>
      </c>
    </row>
    <row r="365" spans="1:26" ht="13.9" customHeight="1">
      <c r="A365" s="15">
        <v>6</v>
      </c>
      <c r="B365" s="15">
        <v>1</v>
      </c>
      <c r="C365" s="15">
        <v>1</v>
      </c>
      <c r="D365" s="85"/>
      <c r="E365" s="86"/>
      <c r="F365" s="26" t="s">
        <v>119</v>
      </c>
      <c r="G365" s="27">
        <f t="shared" ref="G365:Q365" si="200">G360+G364</f>
        <v>6794.58</v>
      </c>
      <c r="H365" s="27">
        <f t="shared" si="200"/>
        <v>6445.57</v>
      </c>
      <c r="I365" s="27">
        <f t="shared" si="200"/>
        <v>6515</v>
      </c>
      <c r="J365" s="27">
        <f t="shared" si="200"/>
        <v>9831.27</v>
      </c>
      <c r="K365" s="27">
        <f t="shared" si="200"/>
        <v>12138</v>
      </c>
      <c r="L365" s="27">
        <f t="shared" si="200"/>
        <v>0</v>
      </c>
      <c r="M365" s="27">
        <f t="shared" si="200"/>
        <v>3530</v>
      </c>
      <c r="N365" s="27">
        <f t="shared" si="200"/>
        <v>939</v>
      </c>
      <c r="O365" s="27">
        <f t="shared" si="200"/>
        <v>163</v>
      </c>
      <c r="P365" s="27">
        <f t="shared" si="200"/>
        <v>16770</v>
      </c>
      <c r="Q365" s="27">
        <f t="shared" si="200"/>
        <v>1652.47</v>
      </c>
      <c r="R365" s="28">
        <f t="shared" si="194"/>
        <v>9.8537268932617772E-2</v>
      </c>
      <c r="S365" s="27">
        <f>S360+S364</f>
        <v>9368.07</v>
      </c>
      <c r="T365" s="28">
        <f t="shared" si="195"/>
        <v>0.55862075134168154</v>
      </c>
      <c r="U365" s="27">
        <f>U360+U364</f>
        <v>14652.5</v>
      </c>
      <c r="V365" s="28">
        <f t="shared" si="196"/>
        <v>0.87373285629099584</v>
      </c>
      <c r="W365" s="27">
        <f>W360+W364</f>
        <v>16431.61</v>
      </c>
      <c r="X365" s="28">
        <f t="shared" si="197"/>
        <v>0.9798217054263566</v>
      </c>
      <c r="Y365" s="27">
        <f>Y360+Y364</f>
        <v>12138</v>
      </c>
      <c r="Z365" s="27">
        <f>Z360+Z364</f>
        <v>12138</v>
      </c>
    </row>
    <row r="367" spans="1:26" ht="13.9" customHeight="1">
      <c r="E367" s="115" t="s">
        <v>56</v>
      </c>
      <c r="F367" s="123" t="s">
        <v>139</v>
      </c>
      <c r="G367" s="124">
        <v>869</v>
      </c>
      <c r="H367" s="124">
        <v>462</v>
      </c>
      <c r="I367" s="124">
        <v>530</v>
      </c>
      <c r="J367" s="124">
        <v>946</v>
      </c>
      <c r="K367" s="124">
        <v>2746</v>
      </c>
      <c r="L367" s="124"/>
      <c r="M367" s="124"/>
      <c r="N367" s="124"/>
      <c r="O367" s="124"/>
      <c r="P367" s="124">
        <f>K367+SUM(L367:O367)</f>
        <v>2746</v>
      </c>
      <c r="Q367" s="124">
        <v>729.68</v>
      </c>
      <c r="R367" s="138">
        <f>Q367/$P367</f>
        <v>0.26572469045884922</v>
      </c>
      <c r="S367" s="124">
        <v>1315.68</v>
      </c>
      <c r="T367" s="138">
        <f>S367/$P367</f>
        <v>0.47912600145666429</v>
      </c>
      <c r="U367" s="124">
        <v>1858.68</v>
      </c>
      <c r="V367" s="138">
        <f>U367/$P367</f>
        <v>0.67686817188638027</v>
      </c>
      <c r="W367" s="124">
        <v>2401.6799999999998</v>
      </c>
      <c r="X367" s="139">
        <f>W367/$P367</f>
        <v>0.87461034231609613</v>
      </c>
      <c r="Y367" s="125">
        <f>K367</f>
        <v>2746</v>
      </c>
      <c r="Z367" s="128">
        <f>Y367</f>
        <v>2746</v>
      </c>
    </row>
    <row r="369" spans="1:26" ht="13.9" customHeight="1">
      <c r="D369" s="73" t="s">
        <v>218</v>
      </c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4"/>
      <c r="S369" s="73"/>
      <c r="T369" s="74"/>
      <c r="U369" s="73"/>
      <c r="V369" s="74"/>
      <c r="W369" s="73"/>
      <c r="X369" s="74"/>
      <c r="Y369" s="73"/>
      <c r="Z369" s="73"/>
    </row>
    <row r="370" spans="1:26" ht="13.9" customHeight="1">
      <c r="D370" s="21" t="s">
        <v>32</v>
      </c>
      <c r="E370" s="21" t="s">
        <v>33</v>
      </c>
      <c r="F370" s="21" t="s">
        <v>34</v>
      </c>
      <c r="G370" s="21" t="s">
        <v>1</v>
      </c>
      <c r="H370" s="21" t="s">
        <v>2</v>
      </c>
      <c r="I370" s="21" t="s">
        <v>3</v>
      </c>
      <c r="J370" s="21" t="s">
        <v>4</v>
      </c>
      <c r="K370" s="21" t="s">
        <v>5</v>
      </c>
      <c r="L370" s="21" t="s">
        <v>6</v>
      </c>
      <c r="M370" s="21" t="s">
        <v>7</v>
      </c>
      <c r="N370" s="21" t="s">
        <v>8</v>
      </c>
      <c r="O370" s="21" t="s">
        <v>9</v>
      </c>
      <c r="P370" s="21" t="s">
        <v>10</v>
      </c>
      <c r="Q370" s="21" t="s">
        <v>11</v>
      </c>
      <c r="R370" s="22" t="s">
        <v>12</v>
      </c>
      <c r="S370" s="21" t="s">
        <v>13</v>
      </c>
      <c r="T370" s="22" t="s">
        <v>14</v>
      </c>
      <c r="U370" s="21" t="s">
        <v>15</v>
      </c>
      <c r="V370" s="22" t="s">
        <v>16</v>
      </c>
      <c r="W370" s="21" t="s">
        <v>17</v>
      </c>
      <c r="X370" s="22" t="s">
        <v>18</v>
      </c>
      <c r="Y370" s="21" t="s">
        <v>19</v>
      </c>
      <c r="Z370" s="21" t="s">
        <v>20</v>
      </c>
    </row>
    <row r="371" spans="1:26" ht="13.9" customHeight="1">
      <c r="A371" s="15">
        <v>6</v>
      </c>
      <c r="B371" s="15">
        <v>1</v>
      </c>
      <c r="C371" s="15">
        <v>2</v>
      </c>
      <c r="D371" s="90" t="s">
        <v>217</v>
      </c>
      <c r="E371" s="23">
        <v>640</v>
      </c>
      <c r="F371" s="23" t="s">
        <v>127</v>
      </c>
      <c r="G371" s="24">
        <v>1500</v>
      </c>
      <c r="H371" s="24">
        <v>3500</v>
      </c>
      <c r="I371" s="24">
        <v>6000</v>
      </c>
      <c r="J371" s="24">
        <v>5500</v>
      </c>
      <c r="K371" s="24">
        <f>SUM(K375:K377)</f>
        <v>6800</v>
      </c>
      <c r="L371" s="24"/>
      <c r="M371" s="24"/>
      <c r="N371" s="24"/>
      <c r="O371" s="24"/>
      <c r="P371" s="24">
        <f>K371+SUM(L371:O371)</f>
        <v>6800</v>
      </c>
      <c r="Q371" s="24">
        <v>0</v>
      </c>
      <c r="R371" s="25">
        <f>Q371/$P371</f>
        <v>0</v>
      </c>
      <c r="S371" s="24">
        <v>6300</v>
      </c>
      <c r="T371" s="25">
        <f>S371/$P371</f>
        <v>0.92647058823529416</v>
      </c>
      <c r="U371" s="24">
        <v>6300</v>
      </c>
      <c r="V371" s="25">
        <f>U371/$P371</f>
        <v>0.92647058823529416</v>
      </c>
      <c r="W371" s="24">
        <v>6300</v>
      </c>
      <c r="X371" s="25">
        <f>W371/$P371</f>
        <v>0.92647058823529416</v>
      </c>
      <c r="Y371" s="24">
        <f>SUM(Y375:Y377)</f>
        <v>6800</v>
      </c>
      <c r="Z371" s="24">
        <f>SUM(Z375:Z377)</f>
        <v>6800</v>
      </c>
    </row>
    <row r="372" spans="1:26" ht="13.9" customHeight="1">
      <c r="A372" s="15">
        <v>6</v>
      </c>
      <c r="B372" s="15">
        <v>1</v>
      </c>
      <c r="C372" s="15">
        <v>2</v>
      </c>
      <c r="D372" s="83" t="s">
        <v>21</v>
      </c>
      <c r="E372" s="48">
        <v>41</v>
      </c>
      <c r="F372" s="48" t="s">
        <v>23</v>
      </c>
      <c r="G372" s="49">
        <f t="shared" ref="G372:Q372" si="201">SUM(G371:G371)</f>
        <v>1500</v>
      </c>
      <c r="H372" s="49">
        <f t="shared" si="201"/>
        <v>3500</v>
      </c>
      <c r="I372" s="49">
        <f t="shared" si="201"/>
        <v>6000</v>
      </c>
      <c r="J372" s="49">
        <f t="shared" si="201"/>
        <v>5500</v>
      </c>
      <c r="K372" s="49">
        <f t="shared" si="201"/>
        <v>6800</v>
      </c>
      <c r="L372" s="49">
        <f t="shared" si="201"/>
        <v>0</v>
      </c>
      <c r="M372" s="49">
        <f t="shared" si="201"/>
        <v>0</v>
      </c>
      <c r="N372" s="49">
        <f t="shared" si="201"/>
        <v>0</v>
      </c>
      <c r="O372" s="49">
        <f t="shared" si="201"/>
        <v>0</v>
      </c>
      <c r="P372" s="49">
        <f t="shared" si="201"/>
        <v>6800</v>
      </c>
      <c r="Q372" s="49">
        <f t="shared" si="201"/>
        <v>0</v>
      </c>
      <c r="R372" s="50">
        <f>Q372/$P372</f>
        <v>0</v>
      </c>
      <c r="S372" s="49">
        <f>SUM(S371:S371)</f>
        <v>6300</v>
      </c>
      <c r="T372" s="50">
        <f>S372/$P372</f>
        <v>0.92647058823529416</v>
      </c>
      <c r="U372" s="49">
        <f>SUM(U371:U371)</f>
        <v>6300</v>
      </c>
      <c r="V372" s="50">
        <f>U372/$P372</f>
        <v>0.92647058823529416</v>
      </c>
      <c r="W372" s="49">
        <f>SUM(W371:W371)</f>
        <v>6300</v>
      </c>
      <c r="X372" s="50">
        <f>W372/$P372</f>
        <v>0.92647058823529416</v>
      </c>
      <c r="Y372" s="49">
        <f>SUM(Y371:Y371)</f>
        <v>6800</v>
      </c>
      <c r="Z372" s="49">
        <f>SUM(Z371:Z371)</f>
        <v>6800</v>
      </c>
    </row>
    <row r="373" spans="1:26" ht="13.9" customHeight="1">
      <c r="A373" s="15">
        <v>6</v>
      </c>
      <c r="B373" s="15">
        <v>1</v>
      </c>
      <c r="C373" s="15">
        <v>2</v>
      </c>
      <c r="D373" s="85"/>
      <c r="E373" s="86"/>
      <c r="F373" s="26" t="s">
        <v>119</v>
      </c>
      <c r="G373" s="27">
        <f t="shared" ref="G373:Q373" si="202">G372</f>
        <v>1500</v>
      </c>
      <c r="H373" s="27">
        <f t="shared" si="202"/>
        <v>3500</v>
      </c>
      <c r="I373" s="27">
        <f t="shared" si="202"/>
        <v>6000</v>
      </c>
      <c r="J373" s="27">
        <f t="shared" si="202"/>
        <v>5500</v>
      </c>
      <c r="K373" s="27">
        <f t="shared" si="202"/>
        <v>6800</v>
      </c>
      <c r="L373" s="27">
        <f t="shared" si="202"/>
        <v>0</v>
      </c>
      <c r="M373" s="27">
        <f t="shared" si="202"/>
        <v>0</v>
      </c>
      <c r="N373" s="27">
        <f t="shared" si="202"/>
        <v>0</v>
      </c>
      <c r="O373" s="27">
        <f t="shared" si="202"/>
        <v>0</v>
      </c>
      <c r="P373" s="27">
        <f t="shared" si="202"/>
        <v>6800</v>
      </c>
      <c r="Q373" s="27">
        <f t="shared" si="202"/>
        <v>0</v>
      </c>
      <c r="R373" s="28">
        <f>Q373/$P373</f>
        <v>0</v>
      </c>
      <c r="S373" s="27">
        <f>S372</f>
        <v>6300</v>
      </c>
      <c r="T373" s="28">
        <f>S373/$P373</f>
        <v>0.92647058823529416</v>
      </c>
      <c r="U373" s="27">
        <f>U372</f>
        <v>6300</v>
      </c>
      <c r="V373" s="28">
        <f>U373/$P373</f>
        <v>0.92647058823529416</v>
      </c>
      <c r="W373" s="27">
        <f>W372</f>
        <v>6300</v>
      </c>
      <c r="X373" s="28">
        <f>W373/$P373</f>
        <v>0.92647058823529416</v>
      </c>
      <c r="Y373" s="27">
        <f>Y372</f>
        <v>6800</v>
      </c>
      <c r="Z373" s="27">
        <f>Z372</f>
        <v>6800</v>
      </c>
    </row>
    <row r="375" spans="1:26" ht="13.9" customHeight="1">
      <c r="E375" s="52" t="s">
        <v>56</v>
      </c>
      <c r="F375" s="30" t="s">
        <v>219</v>
      </c>
      <c r="G375" s="53">
        <v>500</v>
      </c>
      <c r="H375" s="53">
        <v>500</v>
      </c>
      <c r="I375" s="53">
        <v>1000</v>
      </c>
      <c r="J375" s="53">
        <v>500</v>
      </c>
      <c r="K375" s="53">
        <v>800</v>
      </c>
      <c r="L375" s="53"/>
      <c r="M375" s="53"/>
      <c r="N375" s="53"/>
      <c r="O375" s="53"/>
      <c r="P375" s="53">
        <f>K375+SUM(L375:O375)</f>
        <v>800</v>
      </c>
      <c r="Q375" s="53">
        <v>0</v>
      </c>
      <c r="R375" s="54">
        <f>Q375/$P375</f>
        <v>0</v>
      </c>
      <c r="S375" s="53">
        <v>300</v>
      </c>
      <c r="T375" s="54">
        <f>S375/$P375</f>
        <v>0.375</v>
      </c>
      <c r="U375" s="53">
        <v>300</v>
      </c>
      <c r="V375" s="54">
        <f>U375/$P375</f>
        <v>0.375</v>
      </c>
      <c r="W375" s="53">
        <v>300</v>
      </c>
      <c r="X375" s="55">
        <f>W375/$P375</f>
        <v>0.375</v>
      </c>
      <c r="Y375" s="53">
        <f>K375</f>
        <v>800</v>
      </c>
      <c r="Z375" s="56">
        <f>Y375</f>
        <v>800</v>
      </c>
    </row>
    <row r="376" spans="1:26" ht="13.9" customHeight="1">
      <c r="E376" s="100"/>
      <c r="F376" s="101" t="s">
        <v>220</v>
      </c>
      <c r="G376" s="105"/>
      <c r="H376" s="105">
        <v>3000</v>
      </c>
      <c r="I376" s="105">
        <v>5000</v>
      </c>
      <c r="J376" s="105">
        <v>5000</v>
      </c>
      <c r="K376" s="105">
        <v>6000</v>
      </c>
      <c r="L376" s="105"/>
      <c r="M376" s="105"/>
      <c r="N376" s="105"/>
      <c r="O376" s="105"/>
      <c r="P376" s="105">
        <f>K376+SUM(L376:O376)</f>
        <v>6000</v>
      </c>
      <c r="Q376" s="105">
        <v>0</v>
      </c>
      <c r="R376" s="140">
        <f>Q376/$P376</f>
        <v>0</v>
      </c>
      <c r="S376" s="105">
        <v>6000</v>
      </c>
      <c r="T376" s="140">
        <f>S376/$P376</f>
        <v>1</v>
      </c>
      <c r="U376" s="105">
        <v>6000</v>
      </c>
      <c r="V376" s="140">
        <f>U376/$P376</f>
        <v>1</v>
      </c>
      <c r="W376" s="105">
        <v>6000</v>
      </c>
      <c r="X376" s="141">
        <f>W376/$P376</f>
        <v>1</v>
      </c>
      <c r="Y376" s="105">
        <f>K376</f>
        <v>6000</v>
      </c>
      <c r="Z376" s="106">
        <f>Y376</f>
        <v>6000</v>
      </c>
    </row>
    <row r="377" spans="1:26" ht="13.9" hidden="1" customHeight="1">
      <c r="E377" s="65"/>
      <c r="F377" s="66" t="s">
        <v>221</v>
      </c>
      <c r="G377" s="67">
        <v>1000</v>
      </c>
      <c r="H377" s="67"/>
      <c r="I377" s="67"/>
      <c r="J377" s="67"/>
      <c r="K377" s="67"/>
      <c r="L377" s="67"/>
      <c r="M377" s="67"/>
      <c r="N377" s="67"/>
      <c r="O377" s="67"/>
      <c r="P377" s="67">
        <f>K377+SUM(L377:O377)</f>
        <v>0</v>
      </c>
      <c r="Q377" s="67"/>
      <c r="R377" s="68" t="e">
        <f>Q377/$P377</f>
        <v>#DIV/0!</v>
      </c>
      <c r="S377" s="67"/>
      <c r="T377" s="68" t="e">
        <f>S377/$P377</f>
        <v>#DIV/0!</v>
      </c>
      <c r="U377" s="67"/>
      <c r="V377" s="68" t="e">
        <f>U377/$P377</f>
        <v>#DIV/0!</v>
      </c>
      <c r="W377" s="67"/>
      <c r="X377" s="69" t="e">
        <f>W377/$P377</f>
        <v>#DIV/0!</v>
      </c>
      <c r="Y377" s="67"/>
      <c r="Z377" s="70"/>
    </row>
    <row r="379" spans="1:26" ht="13.9" customHeight="1">
      <c r="D379" s="41" t="s">
        <v>222</v>
      </c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2"/>
      <c r="S379" s="41"/>
      <c r="T379" s="42"/>
      <c r="U379" s="41"/>
      <c r="V379" s="42"/>
      <c r="W379" s="41"/>
      <c r="X379" s="42"/>
      <c r="Y379" s="41"/>
      <c r="Z379" s="41"/>
    </row>
    <row r="380" spans="1:26" ht="13.9" customHeight="1">
      <c r="D380" s="122"/>
      <c r="E380" s="122"/>
      <c r="F380" s="122"/>
      <c r="G380" s="21" t="s">
        <v>1</v>
      </c>
      <c r="H380" s="21" t="s">
        <v>2</v>
      </c>
      <c r="I380" s="21" t="s">
        <v>3</v>
      </c>
      <c r="J380" s="21" t="s">
        <v>4</v>
      </c>
      <c r="K380" s="21" t="s">
        <v>5</v>
      </c>
      <c r="L380" s="21" t="s">
        <v>6</v>
      </c>
      <c r="M380" s="21" t="s">
        <v>7</v>
      </c>
      <c r="N380" s="21" t="s">
        <v>8</v>
      </c>
      <c r="O380" s="21" t="s">
        <v>9</v>
      </c>
      <c r="P380" s="21" t="s">
        <v>10</v>
      </c>
      <c r="Q380" s="21" t="s">
        <v>11</v>
      </c>
      <c r="R380" s="22" t="s">
        <v>12</v>
      </c>
      <c r="S380" s="21" t="s">
        <v>13</v>
      </c>
      <c r="T380" s="22" t="s">
        <v>14</v>
      </c>
      <c r="U380" s="21" t="s">
        <v>15</v>
      </c>
      <c r="V380" s="22" t="s">
        <v>16</v>
      </c>
      <c r="W380" s="21" t="s">
        <v>17</v>
      </c>
      <c r="X380" s="22" t="s">
        <v>18</v>
      </c>
      <c r="Y380" s="21" t="s">
        <v>19</v>
      </c>
      <c r="Z380" s="21" t="s">
        <v>20</v>
      </c>
    </row>
    <row r="381" spans="1:26" ht="13.9" customHeight="1">
      <c r="A381" s="15">
        <v>6</v>
      </c>
      <c r="B381" s="15">
        <v>2</v>
      </c>
      <c r="D381" s="3" t="s">
        <v>21</v>
      </c>
      <c r="E381" s="23">
        <v>111</v>
      </c>
      <c r="F381" s="23" t="s">
        <v>129</v>
      </c>
      <c r="G381" s="24">
        <f t="shared" ref="G381:Q381" si="203">G388</f>
        <v>0</v>
      </c>
      <c r="H381" s="24">
        <f t="shared" si="203"/>
        <v>0</v>
      </c>
      <c r="I381" s="24">
        <f t="shared" si="203"/>
        <v>0</v>
      </c>
      <c r="J381" s="24">
        <f t="shared" si="203"/>
        <v>0</v>
      </c>
      <c r="K381" s="24">
        <f t="shared" si="203"/>
        <v>0</v>
      </c>
      <c r="L381" s="24">
        <f t="shared" si="203"/>
        <v>0</v>
      </c>
      <c r="M381" s="24">
        <f t="shared" si="203"/>
        <v>24</v>
      </c>
      <c r="N381" s="24">
        <f t="shared" si="203"/>
        <v>24</v>
      </c>
      <c r="O381" s="24">
        <f t="shared" si="203"/>
        <v>23</v>
      </c>
      <c r="P381" s="24">
        <f t="shared" si="203"/>
        <v>71</v>
      </c>
      <c r="Q381" s="24">
        <f t="shared" si="203"/>
        <v>0</v>
      </c>
      <c r="R381" s="25">
        <f>Q381/$P381</f>
        <v>0</v>
      </c>
      <c r="S381" s="24">
        <f>S388</f>
        <v>23.76</v>
      </c>
      <c r="T381" s="25">
        <f>S381/$P381</f>
        <v>0.33464788732394368</v>
      </c>
      <c r="U381" s="24">
        <f>U388</f>
        <v>47.52</v>
      </c>
      <c r="V381" s="25">
        <f>U381/$P381</f>
        <v>0.66929577464788736</v>
      </c>
      <c r="W381" s="24">
        <f>W388</f>
        <v>71.28</v>
      </c>
      <c r="X381" s="25">
        <f>W381/$P381</f>
        <v>1.0039436619718309</v>
      </c>
      <c r="Y381" s="24">
        <f>Y388</f>
        <v>0</v>
      </c>
      <c r="Z381" s="24">
        <f>Z388</f>
        <v>0</v>
      </c>
    </row>
    <row r="382" spans="1:26" ht="13.9" customHeight="1">
      <c r="A382" s="15">
        <v>6</v>
      </c>
      <c r="B382" s="15">
        <v>2</v>
      </c>
      <c r="D382" s="3" t="s">
        <v>21</v>
      </c>
      <c r="E382" s="143">
        <v>41</v>
      </c>
      <c r="F382" s="143" t="s">
        <v>23</v>
      </c>
      <c r="G382" s="24">
        <f t="shared" ref="G382:O382" si="204">G390+G401+G413</f>
        <v>7219.8700000000008</v>
      </c>
      <c r="H382" s="24">
        <f t="shared" si="204"/>
        <v>10350.09</v>
      </c>
      <c r="I382" s="24">
        <f t="shared" si="204"/>
        <v>12027</v>
      </c>
      <c r="J382" s="24">
        <f t="shared" si="204"/>
        <v>12610.43</v>
      </c>
      <c r="K382" s="24">
        <f t="shared" si="204"/>
        <v>14945</v>
      </c>
      <c r="L382" s="24">
        <f t="shared" si="204"/>
        <v>0</v>
      </c>
      <c r="M382" s="24">
        <f t="shared" si="204"/>
        <v>-24</v>
      </c>
      <c r="N382" s="24">
        <f t="shared" si="204"/>
        <v>-24</v>
      </c>
      <c r="O382" s="24">
        <f t="shared" si="204"/>
        <v>386</v>
      </c>
      <c r="P382" s="24">
        <f>K382+SUM(L382:O382)</f>
        <v>15283</v>
      </c>
      <c r="Q382" s="24">
        <f>Q390+Q401+Q413</f>
        <v>766.51</v>
      </c>
      <c r="R382" s="25">
        <f>Q382/$P382</f>
        <v>5.0154419943728323E-2</v>
      </c>
      <c r="S382" s="24">
        <f>S390+S401+S413</f>
        <v>5737.14</v>
      </c>
      <c r="T382" s="25">
        <f>S382/$P382</f>
        <v>0.37539357455996863</v>
      </c>
      <c r="U382" s="24">
        <f>U390+U401+U413</f>
        <v>12073.16</v>
      </c>
      <c r="V382" s="25">
        <f>U382/$P382</f>
        <v>0.78997317280638613</v>
      </c>
      <c r="W382" s="24">
        <f>W390+W401+W413</f>
        <v>15022.25</v>
      </c>
      <c r="X382" s="25">
        <f>W382/$P382</f>
        <v>0.98293855918340645</v>
      </c>
      <c r="Y382" s="24">
        <f>Y390+Y401+Y413</f>
        <v>14156</v>
      </c>
      <c r="Z382" s="24">
        <f>Z390+Z401+Z413</f>
        <v>14156</v>
      </c>
    </row>
    <row r="383" spans="1:26" ht="13.9" customHeight="1">
      <c r="A383" s="15">
        <v>6</v>
      </c>
      <c r="B383" s="15">
        <v>2</v>
      </c>
      <c r="D383" s="30"/>
      <c r="E383" s="31"/>
      <c r="F383" s="26" t="s">
        <v>119</v>
      </c>
      <c r="G383" s="27">
        <f t="shared" ref="G383:Q383" si="205">SUM(G381:G382)</f>
        <v>7219.8700000000008</v>
      </c>
      <c r="H383" s="27">
        <f t="shared" si="205"/>
        <v>10350.09</v>
      </c>
      <c r="I383" s="27">
        <f t="shared" si="205"/>
        <v>12027</v>
      </c>
      <c r="J383" s="27">
        <f t="shared" si="205"/>
        <v>12610.43</v>
      </c>
      <c r="K383" s="27">
        <f t="shared" si="205"/>
        <v>14945</v>
      </c>
      <c r="L383" s="27">
        <f t="shared" si="205"/>
        <v>0</v>
      </c>
      <c r="M383" s="27">
        <f t="shared" si="205"/>
        <v>0</v>
      </c>
      <c r="N383" s="27">
        <f t="shared" si="205"/>
        <v>0</v>
      </c>
      <c r="O383" s="27">
        <f t="shared" si="205"/>
        <v>409</v>
      </c>
      <c r="P383" s="27">
        <f t="shared" si="205"/>
        <v>15354</v>
      </c>
      <c r="Q383" s="27">
        <f t="shared" si="205"/>
        <v>766.51</v>
      </c>
      <c r="R383" s="28">
        <f>Q383/$P383</f>
        <v>4.9922495766575488E-2</v>
      </c>
      <c r="S383" s="27">
        <f>SUM(S381:S382)</f>
        <v>5760.9000000000005</v>
      </c>
      <c r="T383" s="28">
        <f>S383/$P383</f>
        <v>0.37520515826494727</v>
      </c>
      <c r="U383" s="27">
        <f>SUM(U381:U382)</f>
        <v>12120.68</v>
      </c>
      <c r="V383" s="28">
        <f>U383/$P383</f>
        <v>0.78941513612088055</v>
      </c>
      <c r="W383" s="27">
        <f>SUM(W381:W382)</f>
        <v>15093.53</v>
      </c>
      <c r="X383" s="28">
        <f>W383/$P383</f>
        <v>0.9830356910251401</v>
      </c>
      <c r="Y383" s="27">
        <f>SUM(Y381:Y382)</f>
        <v>14156</v>
      </c>
      <c r="Z383" s="27">
        <f>SUM(Z381:Z382)</f>
        <v>14156</v>
      </c>
    </row>
    <row r="385" spans="1:26" ht="13.9" customHeight="1">
      <c r="D385" s="73" t="s">
        <v>223</v>
      </c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4"/>
      <c r="S385" s="73"/>
      <c r="T385" s="74"/>
      <c r="U385" s="73"/>
      <c r="V385" s="74"/>
      <c r="W385" s="73"/>
      <c r="X385" s="74"/>
      <c r="Y385" s="73"/>
      <c r="Z385" s="73"/>
    </row>
    <row r="386" spans="1:26" ht="13.9" customHeight="1">
      <c r="D386" s="21" t="s">
        <v>32</v>
      </c>
      <c r="E386" s="21" t="s">
        <v>33</v>
      </c>
      <c r="F386" s="21" t="s">
        <v>34</v>
      </c>
      <c r="G386" s="21" t="s">
        <v>1</v>
      </c>
      <c r="H386" s="21" t="s">
        <v>2</v>
      </c>
      <c r="I386" s="21" t="s">
        <v>3</v>
      </c>
      <c r="J386" s="21" t="s">
        <v>4</v>
      </c>
      <c r="K386" s="21" t="s">
        <v>5</v>
      </c>
      <c r="L386" s="21" t="s">
        <v>6</v>
      </c>
      <c r="M386" s="21" t="s">
        <v>7</v>
      </c>
      <c r="N386" s="21" t="s">
        <v>8</v>
      </c>
      <c r="O386" s="21" t="s">
        <v>9</v>
      </c>
      <c r="P386" s="21" t="s">
        <v>10</v>
      </c>
      <c r="Q386" s="21" t="s">
        <v>11</v>
      </c>
      <c r="R386" s="22" t="s">
        <v>12</v>
      </c>
      <c r="S386" s="21" t="s">
        <v>13</v>
      </c>
      <c r="T386" s="22" t="s">
        <v>14</v>
      </c>
      <c r="U386" s="21" t="s">
        <v>15</v>
      </c>
      <c r="V386" s="22" t="s">
        <v>16</v>
      </c>
      <c r="W386" s="21" t="s">
        <v>17</v>
      </c>
      <c r="X386" s="22" t="s">
        <v>18</v>
      </c>
      <c r="Y386" s="21" t="s">
        <v>19</v>
      </c>
      <c r="Z386" s="21" t="s">
        <v>20</v>
      </c>
    </row>
    <row r="387" spans="1:26" ht="13.9" customHeight="1">
      <c r="A387" s="15">
        <v>6</v>
      </c>
      <c r="B387" s="15">
        <v>2</v>
      </c>
      <c r="C387" s="15">
        <v>1</v>
      </c>
      <c r="D387" s="90" t="s">
        <v>224</v>
      </c>
      <c r="E387" s="23">
        <v>630</v>
      </c>
      <c r="F387" s="23" t="s">
        <v>126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/>
      <c r="M387" s="24">
        <v>24</v>
      </c>
      <c r="N387" s="24">
        <v>24</v>
      </c>
      <c r="O387" s="24">
        <v>23</v>
      </c>
      <c r="P387" s="24">
        <f>K387+SUM(L387:O387)</f>
        <v>71</v>
      </c>
      <c r="Q387" s="24">
        <v>0</v>
      </c>
      <c r="R387" s="25">
        <f>Q387/$P387</f>
        <v>0</v>
      </c>
      <c r="S387" s="24">
        <v>23.76</v>
      </c>
      <c r="T387" s="25">
        <f>S387/$P387</f>
        <v>0.33464788732394368</v>
      </c>
      <c r="U387" s="24">
        <v>47.52</v>
      </c>
      <c r="V387" s="25">
        <f>U387/$P387</f>
        <v>0.66929577464788736</v>
      </c>
      <c r="W387" s="24">
        <v>71.28</v>
      </c>
      <c r="X387" s="25">
        <f>W387/$P387</f>
        <v>1.0039436619718309</v>
      </c>
      <c r="Y387" s="24">
        <v>0</v>
      </c>
      <c r="Z387" s="24">
        <f>Y387</f>
        <v>0</v>
      </c>
    </row>
    <row r="388" spans="1:26" ht="13.9" customHeight="1">
      <c r="A388" s="15">
        <v>6</v>
      </c>
      <c r="B388" s="15">
        <v>2</v>
      </c>
      <c r="C388" s="15">
        <v>1</v>
      </c>
      <c r="D388" s="83" t="s">
        <v>21</v>
      </c>
      <c r="E388" s="84">
        <v>111</v>
      </c>
      <c r="F388" s="48" t="s">
        <v>129</v>
      </c>
      <c r="G388" s="49">
        <f t="shared" ref="G388:Q388" si="206">SUM(G387:G387)</f>
        <v>0</v>
      </c>
      <c r="H388" s="49">
        <f t="shared" si="206"/>
        <v>0</v>
      </c>
      <c r="I388" s="49">
        <f t="shared" si="206"/>
        <v>0</v>
      </c>
      <c r="J388" s="49">
        <f t="shared" si="206"/>
        <v>0</v>
      </c>
      <c r="K388" s="49">
        <f t="shared" si="206"/>
        <v>0</v>
      </c>
      <c r="L388" s="49">
        <f t="shared" si="206"/>
        <v>0</v>
      </c>
      <c r="M388" s="49">
        <f t="shared" si="206"/>
        <v>24</v>
      </c>
      <c r="N388" s="49">
        <f t="shared" si="206"/>
        <v>24</v>
      </c>
      <c r="O388" s="49">
        <f t="shared" si="206"/>
        <v>23</v>
      </c>
      <c r="P388" s="49">
        <f t="shared" si="206"/>
        <v>71</v>
      </c>
      <c r="Q388" s="49">
        <f t="shared" si="206"/>
        <v>0</v>
      </c>
      <c r="R388" s="50">
        <f>Q388/$P388</f>
        <v>0</v>
      </c>
      <c r="S388" s="49">
        <f>SUM(S387:S387)</f>
        <v>23.76</v>
      </c>
      <c r="T388" s="50">
        <f>S388/$P388</f>
        <v>0.33464788732394368</v>
      </c>
      <c r="U388" s="49">
        <f>SUM(U387:U387)</f>
        <v>47.52</v>
      </c>
      <c r="V388" s="50">
        <f>U388/$P388</f>
        <v>0.66929577464788736</v>
      </c>
      <c r="W388" s="49">
        <f>SUM(W387:W387)</f>
        <v>71.28</v>
      </c>
      <c r="X388" s="50">
        <f>W388/$P388</f>
        <v>1.0039436619718309</v>
      </c>
      <c r="Y388" s="49">
        <f>SUM(Y387:Y387)</f>
        <v>0</v>
      </c>
      <c r="Z388" s="49">
        <f>SUM(Z387:Z387)</f>
        <v>0</v>
      </c>
    </row>
    <row r="389" spans="1:26" ht="13.9" customHeight="1">
      <c r="A389" s="15">
        <v>6</v>
      </c>
      <c r="B389" s="15">
        <v>2</v>
      </c>
      <c r="C389" s="15">
        <v>1</v>
      </c>
      <c r="D389" s="90" t="s">
        <v>224</v>
      </c>
      <c r="E389" s="23">
        <v>630</v>
      </c>
      <c r="F389" s="23" t="s">
        <v>126</v>
      </c>
      <c r="G389" s="46">
        <v>3085</v>
      </c>
      <c r="H389" s="46">
        <v>1166.99</v>
      </c>
      <c r="I389" s="46">
        <v>489</v>
      </c>
      <c r="J389" s="46">
        <v>434.5</v>
      </c>
      <c r="K389" s="46">
        <v>789</v>
      </c>
      <c r="L389" s="46"/>
      <c r="M389" s="46">
        <v>-24</v>
      </c>
      <c r="N389" s="46">
        <v>-24</v>
      </c>
      <c r="O389" s="46"/>
      <c r="P389" s="46">
        <f>K389+SUM(L389:O389)</f>
        <v>741</v>
      </c>
      <c r="Q389" s="46">
        <v>189.93</v>
      </c>
      <c r="R389" s="47">
        <f>Q389/$P389</f>
        <v>0.25631578947368422</v>
      </c>
      <c r="S389" s="46">
        <v>333.17</v>
      </c>
      <c r="T389" s="47">
        <f>S389/$P389</f>
        <v>0.44962213225371123</v>
      </c>
      <c r="U389" s="46">
        <v>468.41</v>
      </c>
      <c r="V389" s="47">
        <f>U389/$P389</f>
        <v>0.63213225371120108</v>
      </c>
      <c r="W389" s="46">
        <v>603.65</v>
      </c>
      <c r="X389" s="47">
        <f>W389/$P389</f>
        <v>0.81464237516869098</v>
      </c>
      <c r="Y389" s="46">
        <v>0</v>
      </c>
      <c r="Z389" s="46">
        <f>Y389</f>
        <v>0</v>
      </c>
    </row>
    <row r="390" spans="1:26" ht="13.9" customHeight="1">
      <c r="A390" s="15">
        <v>6</v>
      </c>
      <c r="B390" s="15">
        <v>2</v>
      </c>
      <c r="C390" s="15">
        <v>1</v>
      </c>
      <c r="D390" s="83" t="s">
        <v>21</v>
      </c>
      <c r="E390" s="48">
        <v>41</v>
      </c>
      <c r="F390" s="48" t="s">
        <v>23</v>
      </c>
      <c r="G390" s="49">
        <f t="shared" ref="G390:Q390" si="207">SUM(G389:G389)</f>
        <v>3085</v>
      </c>
      <c r="H390" s="49">
        <f t="shared" si="207"/>
        <v>1166.99</v>
      </c>
      <c r="I390" s="49">
        <f t="shared" si="207"/>
        <v>489</v>
      </c>
      <c r="J390" s="49">
        <f t="shared" si="207"/>
        <v>434.5</v>
      </c>
      <c r="K390" s="49">
        <f t="shared" si="207"/>
        <v>789</v>
      </c>
      <c r="L390" s="49">
        <f t="shared" si="207"/>
        <v>0</v>
      </c>
      <c r="M390" s="49">
        <f t="shared" si="207"/>
        <v>-24</v>
      </c>
      <c r="N390" s="49">
        <f t="shared" si="207"/>
        <v>-24</v>
      </c>
      <c r="O390" s="49">
        <f t="shared" si="207"/>
        <v>0</v>
      </c>
      <c r="P390" s="49">
        <f t="shared" si="207"/>
        <v>741</v>
      </c>
      <c r="Q390" s="49">
        <f t="shared" si="207"/>
        <v>189.93</v>
      </c>
      <c r="R390" s="50">
        <f>Q390/$P390</f>
        <v>0.25631578947368422</v>
      </c>
      <c r="S390" s="49">
        <f>SUM(S389:S389)</f>
        <v>333.17</v>
      </c>
      <c r="T390" s="50">
        <f>S390/$P390</f>
        <v>0.44962213225371123</v>
      </c>
      <c r="U390" s="49">
        <f>SUM(U389:U389)</f>
        <v>468.41</v>
      </c>
      <c r="V390" s="50">
        <f>U390/$P390</f>
        <v>0.63213225371120108</v>
      </c>
      <c r="W390" s="49">
        <f>SUM(W389:W389)</f>
        <v>603.65</v>
      </c>
      <c r="X390" s="50">
        <f>W390/$P390</f>
        <v>0.81464237516869098</v>
      </c>
      <c r="Y390" s="49">
        <f>SUM(Y389:Y389)</f>
        <v>0</v>
      </c>
      <c r="Z390" s="49">
        <f>SUM(Z389:Z389)</f>
        <v>0</v>
      </c>
    </row>
    <row r="391" spans="1:26" ht="13.9" customHeight="1">
      <c r="A391" s="15">
        <v>6</v>
      </c>
      <c r="B391" s="15">
        <v>2</v>
      </c>
      <c r="C391" s="15">
        <v>1</v>
      </c>
      <c r="D391" s="85"/>
      <c r="E391" s="86"/>
      <c r="F391" s="26" t="s">
        <v>119</v>
      </c>
      <c r="G391" s="27">
        <f t="shared" ref="G391:Q391" si="208">G388+G390</f>
        <v>3085</v>
      </c>
      <c r="H391" s="27">
        <f t="shared" si="208"/>
        <v>1166.99</v>
      </c>
      <c r="I391" s="27">
        <f t="shared" si="208"/>
        <v>489</v>
      </c>
      <c r="J391" s="27">
        <f t="shared" si="208"/>
        <v>434.5</v>
      </c>
      <c r="K391" s="27">
        <f t="shared" si="208"/>
        <v>789</v>
      </c>
      <c r="L391" s="27">
        <f t="shared" si="208"/>
        <v>0</v>
      </c>
      <c r="M391" s="27">
        <f t="shared" si="208"/>
        <v>0</v>
      </c>
      <c r="N391" s="27">
        <f t="shared" si="208"/>
        <v>0</v>
      </c>
      <c r="O391" s="27">
        <f t="shared" si="208"/>
        <v>23</v>
      </c>
      <c r="P391" s="27">
        <f t="shared" si="208"/>
        <v>812</v>
      </c>
      <c r="Q391" s="27">
        <f t="shared" si="208"/>
        <v>189.93</v>
      </c>
      <c r="R391" s="28">
        <f>Q391/$P391</f>
        <v>0.23390394088669952</v>
      </c>
      <c r="S391" s="27">
        <f>S388+S390</f>
        <v>356.93</v>
      </c>
      <c r="T391" s="28">
        <f>S391/$P391</f>
        <v>0.43956896551724139</v>
      </c>
      <c r="U391" s="27">
        <f>U388+U390</f>
        <v>515.93000000000006</v>
      </c>
      <c r="V391" s="28">
        <f>U391/$P391</f>
        <v>0.6353817733990148</v>
      </c>
      <c r="W391" s="27">
        <f>W388+W390</f>
        <v>674.93</v>
      </c>
      <c r="X391" s="28">
        <f>W391/$P391</f>
        <v>0.83119458128078816</v>
      </c>
      <c r="Y391" s="27">
        <f>Y388+Y390</f>
        <v>0</v>
      </c>
      <c r="Z391" s="27">
        <f>Z388+Z390</f>
        <v>0</v>
      </c>
    </row>
    <row r="393" spans="1:26" ht="13.9" customHeight="1">
      <c r="E393" s="52" t="s">
        <v>56</v>
      </c>
      <c r="F393" s="30" t="s">
        <v>139</v>
      </c>
      <c r="G393" s="53">
        <v>979</v>
      </c>
      <c r="H393" s="53">
        <v>519.20000000000005</v>
      </c>
      <c r="I393" s="53">
        <v>284</v>
      </c>
      <c r="J393" s="53">
        <v>385</v>
      </c>
      <c r="K393" s="53">
        <v>695</v>
      </c>
      <c r="L393" s="53"/>
      <c r="M393" s="53"/>
      <c r="N393" s="53"/>
      <c r="O393" s="53">
        <v>23</v>
      </c>
      <c r="P393" s="53">
        <f>K393+SUM(L393:O393)</f>
        <v>718</v>
      </c>
      <c r="Q393" s="53">
        <v>181.93</v>
      </c>
      <c r="R393" s="54">
        <f>Q393/$P393</f>
        <v>0.25338440111420613</v>
      </c>
      <c r="S393" s="53">
        <v>336.93</v>
      </c>
      <c r="T393" s="54">
        <f>S393/$P393</f>
        <v>0.46926183844011143</v>
      </c>
      <c r="U393" s="53">
        <v>483.93</v>
      </c>
      <c r="V393" s="54">
        <f>U393/$P393</f>
        <v>0.67399721448467964</v>
      </c>
      <c r="W393" s="53">
        <v>630.92999999999995</v>
      </c>
      <c r="X393" s="55">
        <f>W393/$P393</f>
        <v>0.87873259052924779</v>
      </c>
      <c r="Y393" s="53">
        <v>0</v>
      </c>
      <c r="Z393" s="56">
        <f>Y393</f>
        <v>0</v>
      </c>
    </row>
    <row r="394" spans="1:26" ht="13.9" customHeight="1">
      <c r="E394" s="65"/>
      <c r="F394" s="66" t="s">
        <v>140</v>
      </c>
      <c r="G394" s="67">
        <v>1956</v>
      </c>
      <c r="H394" s="67">
        <v>636</v>
      </c>
      <c r="I394" s="67">
        <v>55</v>
      </c>
      <c r="J394" s="67">
        <v>49.5</v>
      </c>
      <c r="K394" s="67">
        <v>44</v>
      </c>
      <c r="L394" s="67"/>
      <c r="M394" s="67"/>
      <c r="N394" s="67"/>
      <c r="O394" s="67"/>
      <c r="P394" s="67">
        <f>K394+SUM(L394:O394)</f>
        <v>44</v>
      </c>
      <c r="Q394" s="67">
        <v>8</v>
      </c>
      <c r="R394" s="68">
        <f>Q394/$P394</f>
        <v>0.18181818181818182</v>
      </c>
      <c r="S394" s="67">
        <v>20</v>
      </c>
      <c r="T394" s="68">
        <f>S394/$P394</f>
        <v>0.45454545454545453</v>
      </c>
      <c r="U394" s="67">
        <v>32</v>
      </c>
      <c r="V394" s="68">
        <f>U394/$P394</f>
        <v>0.72727272727272729</v>
      </c>
      <c r="W394" s="67">
        <v>44</v>
      </c>
      <c r="X394" s="69">
        <f>W394/$P394</f>
        <v>1</v>
      </c>
      <c r="Y394" s="67">
        <v>0</v>
      </c>
      <c r="Z394" s="70">
        <f>Y394</f>
        <v>0</v>
      </c>
    </row>
    <row r="396" spans="1:26" ht="13.9" customHeight="1">
      <c r="D396" s="73" t="s">
        <v>225</v>
      </c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4"/>
      <c r="S396" s="73"/>
      <c r="T396" s="74"/>
      <c r="U396" s="73"/>
      <c r="V396" s="74"/>
      <c r="W396" s="73"/>
      <c r="X396" s="74"/>
      <c r="Y396" s="73"/>
      <c r="Z396" s="73"/>
    </row>
    <row r="397" spans="1:26" ht="13.9" customHeight="1">
      <c r="D397" s="21" t="s">
        <v>32</v>
      </c>
      <c r="E397" s="21" t="s">
        <v>33</v>
      </c>
      <c r="F397" s="21" t="s">
        <v>34</v>
      </c>
      <c r="G397" s="21" t="s">
        <v>1</v>
      </c>
      <c r="H397" s="21" t="s">
        <v>2</v>
      </c>
      <c r="I397" s="21" t="s">
        <v>3</v>
      </c>
      <c r="J397" s="21" t="s">
        <v>4</v>
      </c>
      <c r="K397" s="21" t="s">
        <v>5</v>
      </c>
      <c r="L397" s="21" t="s">
        <v>6</v>
      </c>
      <c r="M397" s="21" t="s">
        <v>7</v>
      </c>
      <c r="N397" s="21" t="s">
        <v>8</v>
      </c>
      <c r="O397" s="21" t="s">
        <v>9</v>
      </c>
      <c r="P397" s="21" t="s">
        <v>10</v>
      </c>
      <c r="Q397" s="21" t="s">
        <v>11</v>
      </c>
      <c r="R397" s="22" t="s">
        <v>12</v>
      </c>
      <c r="S397" s="21" t="s">
        <v>13</v>
      </c>
      <c r="T397" s="22" t="s">
        <v>14</v>
      </c>
      <c r="U397" s="21" t="s">
        <v>15</v>
      </c>
      <c r="V397" s="22" t="s">
        <v>16</v>
      </c>
      <c r="W397" s="21" t="s">
        <v>17</v>
      </c>
      <c r="X397" s="22" t="s">
        <v>18</v>
      </c>
      <c r="Y397" s="21" t="s">
        <v>19</v>
      </c>
      <c r="Z397" s="21" t="s">
        <v>20</v>
      </c>
    </row>
    <row r="398" spans="1:26" ht="13.9" hidden="1" customHeight="1">
      <c r="A398" s="15">
        <v>6</v>
      </c>
      <c r="B398" s="15">
        <v>2</v>
      </c>
      <c r="C398" s="15">
        <v>2</v>
      </c>
      <c r="D398" s="90" t="s">
        <v>224</v>
      </c>
      <c r="E398" s="23">
        <v>620</v>
      </c>
      <c r="F398" s="23" t="s">
        <v>125</v>
      </c>
      <c r="G398" s="24">
        <v>11.15</v>
      </c>
      <c r="H398" s="24">
        <v>0</v>
      </c>
      <c r="I398" s="24">
        <v>0</v>
      </c>
      <c r="J398" s="24">
        <v>0</v>
      </c>
      <c r="K398" s="24">
        <v>0</v>
      </c>
      <c r="L398" s="24"/>
      <c r="M398" s="24"/>
      <c r="N398" s="24"/>
      <c r="O398" s="24"/>
      <c r="P398" s="24">
        <f>K398+SUM(L398:O398)</f>
        <v>0</v>
      </c>
      <c r="Q398" s="24"/>
      <c r="R398" s="25" t="e">
        <f>Q398/$P398</f>
        <v>#DIV/0!</v>
      </c>
      <c r="S398" s="24"/>
      <c r="T398" s="25" t="e">
        <f>S398/$P398</f>
        <v>#DIV/0!</v>
      </c>
      <c r="U398" s="24"/>
      <c r="V398" s="25" t="e">
        <f>U398/$P398</f>
        <v>#DIV/0!</v>
      </c>
      <c r="W398" s="24"/>
      <c r="X398" s="25" t="e">
        <f>W398/$P398</f>
        <v>#DIV/0!</v>
      </c>
      <c r="Y398" s="24">
        <f>K398</f>
        <v>0</v>
      </c>
      <c r="Z398" s="24">
        <f>Y398</f>
        <v>0</v>
      </c>
    </row>
    <row r="399" spans="1:26" ht="13.9" customHeight="1">
      <c r="A399" s="15">
        <v>6</v>
      </c>
      <c r="B399" s="15">
        <v>2</v>
      </c>
      <c r="C399" s="15">
        <v>2</v>
      </c>
      <c r="D399" s="6" t="s">
        <v>224</v>
      </c>
      <c r="E399" s="23">
        <v>630</v>
      </c>
      <c r="F399" s="23" t="s">
        <v>126</v>
      </c>
      <c r="G399" s="24">
        <v>1852.86</v>
      </c>
      <c r="H399" s="24">
        <v>6320.3</v>
      </c>
      <c r="I399" s="24">
        <v>6000</v>
      </c>
      <c r="J399" s="24">
        <v>6662.96</v>
      </c>
      <c r="K399" s="24">
        <v>8635</v>
      </c>
      <c r="L399" s="24"/>
      <c r="M399" s="24"/>
      <c r="N399" s="24"/>
      <c r="O399" s="24">
        <v>386</v>
      </c>
      <c r="P399" s="24">
        <f>K399+SUM(L399:O399)</f>
        <v>9021</v>
      </c>
      <c r="Q399" s="24">
        <v>0</v>
      </c>
      <c r="R399" s="25">
        <f>Q399/$P399</f>
        <v>0</v>
      </c>
      <c r="S399" s="24">
        <v>1354.95</v>
      </c>
      <c r="T399" s="25">
        <f>S399/$P399</f>
        <v>0.15019953441968739</v>
      </c>
      <c r="U399" s="24">
        <v>6995.75</v>
      </c>
      <c r="V399" s="25">
        <f>U399/$P399</f>
        <v>0.77549606473783395</v>
      </c>
      <c r="W399" s="24">
        <v>9020.7999999999993</v>
      </c>
      <c r="X399" s="25">
        <f>W399/$P399</f>
        <v>0.99997782950892355</v>
      </c>
      <c r="Y399" s="24">
        <f>K399</f>
        <v>8635</v>
      </c>
      <c r="Z399" s="24">
        <f>Y399</f>
        <v>8635</v>
      </c>
    </row>
    <row r="400" spans="1:26" ht="13.9" customHeight="1">
      <c r="A400" s="15">
        <v>6</v>
      </c>
      <c r="B400" s="15">
        <v>2</v>
      </c>
      <c r="C400" s="15">
        <v>2</v>
      </c>
      <c r="D400" s="6" t="s">
        <v>224</v>
      </c>
      <c r="E400" s="23">
        <v>640</v>
      </c>
      <c r="F400" s="23" t="s">
        <v>127</v>
      </c>
      <c r="G400" s="24">
        <v>0</v>
      </c>
      <c r="H400" s="24">
        <v>150</v>
      </c>
      <c r="I400" s="24">
        <v>2675</v>
      </c>
      <c r="J400" s="24">
        <v>2675</v>
      </c>
      <c r="K400" s="24">
        <v>2675</v>
      </c>
      <c r="L400" s="24"/>
      <c r="M400" s="24"/>
      <c r="N400" s="24"/>
      <c r="O400" s="24"/>
      <c r="P400" s="24">
        <f>K400+SUM(L400:O400)</f>
        <v>2675</v>
      </c>
      <c r="Q400" s="24">
        <v>0</v>
      </c>
      <c r="R400" s="25">
        <f>Q400/$P400</f>
        <v>0</v>
      </c>
      <c r="S400" s="24">
        <v>2675</v>
      </c>
      <c r="T400" s="25">
        <f>S400/$P400</f>
        <v>1</v>
      </c>
      <c r="U400" s="24">
        <v>2675</v>
      </c>
      <c r="V400" s="25">
        <f>U400/$P400</f>
        <v>1</v>
      </c>
      <c r="W400" s="24">
        <v>2675</v>
      </c>
      <c r="X400" s="25">
        <f>W400/$P400</f>
        <v>1</v>
      </c>
      <c r="Y400" s="24">
        <f>K400</f>
        <v>2675</v>
      </c>
      <c r="Z400" s="24">
        <f>Y400</f>
        <v>2675</v>
      </c>
    </row>
    <row r="401" spans="1:26" ht="13.9" customHeight="1">
      <c r="A401" s="15">
        <v>6</v>
      </c>
      <c r="B401" s="15">
        <v>2</v>
      </c>
      <c r="C401" s="15">
        <v>2</v>
      </c>
      <c r="D401" s="83" t="s">
        <v>21</v>
      </c>
      <c r="E401" s="48">
        <v>41</v>
      </c>
      <c r="F401" s="48" t="s">
        <v>23</v>
      </c>
      <c r="G401" s="49">
        <f t="shared" ref="G401:Q401" si="209">SUM(G398:G400)</f>
        <v>1864.01</v>
      </c>
      <c r="H401" s="49">
        <f t="shared" si="209"/>
        <v>6470.3</v>
      </c>
      <c r="I401" s="49">
        <f t="shared" si="209"/>
        <v>8675</v>
      </c>
      <c r="J401" s="49">
        <f t="shared" si="209"/>
        <v>9337.9599999999991</v>
      </c>
      <c r="K401" s="49">
        <f t="shared" si="209"/>
        <v>11310</v>
      </c>
      <c r="L401" s="49">
        <f t="shared" si="209"/>
        <v>0</v>
      </c>
      <c r="M401" s="49">
        <f t="shared" si="209"/>
        <v>0</v>
      </c>
      <c r="N401" s="49">
        <f t="shared" si="209"/>
        <v>0</v>
      </c>
      <c r="O401" s="49">
        <f t="shared" si="209"/>
        <v>386</v>
      </c>
      <c r="P401" s="49">
        <f t="shared" si="209"/>
        <v>11696</v>
      </c>
      <c r="Q401" s="49">
        <f t="shared" si="209"/>
        <v>0</v>
      </c>
      <c r="R401" s="50">
        <f>Q401/$P401</f>
        <v>0</v>
      </c>
      <c r="S401" s="49">
        <f>SUM(S398:S400)</f>
        <v>4029.95</v>
      </c>
      <c r="T401" s="50">
        <f>S401/$P401</f>
        <v>0.3445579685362517</v>
      </c>
      <c r="U401" s="49">
        <f>SUM(U398:U400)</f>
        <v>9670.75</v>
      </c>
      <c r="V401" s="50">
        <f>U401/$P401</f>
        <v>0.82684251025991795</v>
      </c>
      <c r="W401" s="49">
        <f>SUM(W398:W400)</f>
        <v>11695.8</v>
      </c>
      <c r="X401" s="50">
        <f>W401/$P401</f>
        <v>0.9999829001367988</v>
      </c>
      <c r="Y401" s="49">
        <f>SUM(Y398:Y400)</f>
        <v>11310</v>
      </c>
      <c r="Z401" s="49">
        <f>SUM(Z398:Z400)</f>
        <v>11310</v>
      </c>
    </row>
    <row r="402" spans="1:26" ht="13.9" customHeight="1">
      <c r="A402" s="15">
        <v>6</v>
      </c>
      <c r="B402" s="15">
        <v>2</v>
      </c>
      <c r="C402" s="15">
        <v>2</v>
      </c>
      <c r="D402" s="85"/>
      <c r="E402" s="86"/>
      <c r="F402" s="26" t="s">
        <v>119</v>
      </c>
      <c r="G402" s="27">
        <f t="shared" ref="G402:Q402" si="210">G401</f>
        <v>1864.01</v>
      </c>
      <c r="H402" s="27">
        <f t="shared" si="210"/>
        <v>6470.3</v>
      </c>
      <c r="I402" s="27">
        <f t="shared" si="210"/>
        <v>8675</v>
      </c>
      <c r="J402" s="27">
        <f t="shared" si="210"/>
        <v>9337.9599999999991</v>
      </c>
      <c r="K402" s="27">
        <f t="shared" si="210"/>
        <v>11310</v>
      </c>
      <c r="L402" s="27">
        <f t="shared" si="210"/>
        <v>0</v>
      </c>
      <c r="M402" s="27">
        <f t="shared" si="210"/>
        <v>0</v>
      </c>
      <c r="N402" s="27">
        <f t="shared" si="210"/>
        <v>0</v>
      </c>
      <c r="O402" s="27">
        <f t="shared" si="210"/>
        <v>386</v>
      </c>
      <c r="P402" s="27">
        <f t="shared" si="210"/>
        <v>11696</v>
      </c>
      <c r="Q402" s="27">
        <f t="shared" si="210"/>
        <v>0</v>
      </c>
      <c r="R402" s="28">
        <f>Q402/$P402</f>
        <v>0</v>
      </c>
      <c r="S402" s="27">
        <f>S401</f>
        <v>4029.95</v>
      </c>
      <c r="T402" s="28">
        <f>S402/$P402</f>
        <v>0.3445579685362517</v>
      </c>
      <c r="U402" s="27">
        <f>U401</f>
        <v>9670.75</v>
      </c>
      <c r="V402" s="28">
        <f>U402/$P402</f>
        <v>0.82684251025991795</v>
      </c>
      <c r="W402" s="27">
        <f>W401</f>
        <v>11695.8</v>
      </c>
      <c r="X402" s="28">
        <f>W402/$P402</f>
        <v>0.9999829001367988</v>
      </c>
      <c r="Y402" s="27">
        <f>Y401</f>
        <v>11310</v>
      </c>
      <c r="Z402" s="27">
        <f>Z401</f>
        <v>11310</v>
      </c>
    </row>
    <row r="404" spans="1:26" ht="13.9" customHeight="1">
      <c r="E404" s="52" t="s">
        <v>56</v>
      </c>
      <c r="F404" s="30" t="s">
        <v>226</v>
      </c>
      <c r="G404" s="53"/>
      <c r="H404" s="53"/>
      <c r="I404" s="53">
        <v>2500</v>
      </c>
      <c r="J404" s="53">
        <v>2500</v>
      </c>
      <c r="K404" s="53">
        <v>2500</v>
      </c>
      <c r="L404" s="53"/>
      <c r="M404" s="53"/>
      <c r="N404" s="53"/>
      <c r="O404" s="53"/>
      <c r="P404" s="53">
        <f>K404+SUM(L404:O404)</f>
        <v>2500</v>
      </c>
      <c r="Q404" s="53">
        <v>0</v>
      </c>
      <c r="R404" s="54">
        <f>Q404/$P404</f>
        <v>0</v>
      </c>
      <c r="S404" s="53">
        <v>2500</v>
      </c>
      <c r="T404" s="54">
        <f>S404/$P404</f>
        <v>1</v>
      </c>
      <c r="U404" s="53">
        <v>2500</v>
      </c>
      <c r="V404" s="54">
        <f>U404/$P404</f>
        <v>1</v>
      </c>
      <c r="W404" s="53">
        <v>2500</v>
      </c>
      <c r="X404" s="55">
        <f>W404/$P404</f>
        <v>1</v>
      </c>
      <c r="Y404" s="53">
        <f>K404</f>
        <v>2500</v>
      </c>
      <c r="Z404" s="56">
        <f>Y404</f>
        <v>2500</v>
      </c>
    </row>
    <row r="405" spans="1:26" ht="13.9" customHeight="1">
      <c r="E405" s="57"/>
      <c r="F405" s="15" t="s">
        <v>227</v>
      </c>
      <c r="G405" s="59"/>
      <c r="H405" s="59">
        <v>150</v>
      </c>
      <c r="I405" s="59">
        <v>175</v>
      </c>
      <c r="J405" s="59">
        <v>175</v>
      </c>
      <c r="K405" s="59">
        <v>175</v>
      </c>
      <c r="L405" s="59"/>
      <c r="M405" s="59"/>
      <c r="N405" s="59"/>
      <c r="O405" s="59"/>
      <c r="P405" s="59">
        <f>K405+SUM(L405:O405)</f>
        <v>175</v>
      </c>
      <c r="Q405" s="59">
        <v>0</v>
      </c>
      <c r="R405" s="16">
        <f>Q405/$P405</f>
        <v>0</v>
      </c>
      <c r="S405" s="59">
        <v>175</v>
      </c>
      <c r="T405" s="16">
        <f>S405/$P405</f>
        <v>1</v>
      </c>
      <c r="U405" s="59">
        <v>175</v>
      </c>
      <c r="V405" s="16">
        <f>U405/$P405</f>
        <v>1</v>
      </c>
      <c r="W405" s="59">
        <v>175</v>
      </c>
      <c r="X405" s="60">
        <f>W405/$P405</f>
        <v>1</v>
      </c>
      <c r="Y405" s="59">
        <f>K405</f>
        <v>175</v>
      </c>
      <c r="Z405" s="61">
        <f>Y405</f>
        <v>175</v>
      </c>
    </row>
    <row r="406" spans="1:26" ht="13.9" customHeight="1">
      <c r="E406" s="57"/>
      <c r="F406" s="15" t="s">
        <v>228</v>
      </c>
      <c r="G406" s="62"/>
      <c r="H406" s="62">
        <v>3163.2</v>
      </c>
      <c r="I406" s="62">
        <v>5500</v>
      </c>
      <c r="J406" s="62">
        <v>5528.96</v>
      </c>
      <c r="K406" s="62">
        <v>5500</v>
      </c>
      <c r="L406" s="62"/>
      <c r="M406" s="62"/>
      <c r="N406" s="62">
        <v>141</v>
      </c>
      <c r="O406" s="62"/>
      <c r="P406" s="62">
        <f>K406+SUM(L406:O406)</f>
        <v>5641</v>
      </c>
      <c r="Q406" s="62">
        <v>0</v>
      </c>
      <c r="R406" s="63">
        <f>Q406/$P406</f>
        <v>0</v>
      </c>
      <c r="S406" s="62">
        <v>0</v>
      </c>
      <c r="T406" s="63">
        <f>S406/$P406</f>
        <v>0</v>
      </c>
      <c r="U406" s="62">
        <v>5640.8</v>
      </c>
      <c r="V406" s="63">
        <f>U406/$P406</f>
        <v>0.99996454529338774</v>
      </c>
      <c r="W406" s="62">
        <v>5640.8</v>
      </c>
      <c r="X406" s="64">
        <f>W406/$P406</f>
        <v>0.99996454529338774</v>
      </c>
      <c r="Y406" s="59">
        <f>K406</f>
        <v>5500</v>
      </c>
      <c r="Z406" s="61">
        <f>Y406</f>
        <v>5500</v>
      </c>
    </row>
    <row r="407" spans="1:26" ht="13.9" customHeight="1">
      <c r="E407" s="65"/>
      <c r="F407" s="94" t="s">
        <v>229</v>
      </c>
      <c r="G407" s="95"/>
      <c r="H407" s="95">
        <v>1177.0999999999999</v>
      </c>
      <c r="I407" s="95">
        <v>3000</v>
      </c>
      <c r="J407" s="95">
        <v>1134</v>
      </c>
      <c r="K407" s="95">
        <v>3135</v>
      </c>
      <c r="L407" s="95"/>
      <c r="M407" s="95"/>
      <c r="N407" s="95"/>
      <c r="O407" s="95">
        <v>245</v>
      </c>
      <c r="P407" s="95">
        <f>K407+SUM(L407:O407)</f>
        <v>3380</v>
      </c>
      <c r="Q407" s="95">
        <v>0</v>
      </c>
      <c r="R407" s="96">
        <f>Q407/$P407</f>
        <v>0</v>
      </c>
      <c r="S407" s="95">
        <v>1354.95</v>
      </c>
      <c r="T407" s="96">
        <f>S407/$P407</f>
        <v>0.40087278106508878</v>
      </c>
      <c r="U407" s="95">
        <v>1354.95</v>
      </c>
      <c r="V407" s="96">
        <f>U407/$P407</f>
        <v>0.40087278106508878</v>
      </c>
      <c r="W407" s="95">
        <v>3380.4</v>
      </c>
      <c r="X407" s="97">
        <f>W407/$P407</f>
        <v>1.0001183431952663</v>
      </c>
      <c r="Y407" s="95">
        <f>K407</f>
        <v>3135</v>
      </c>
      <c r="Z407" s="70">
        <f>Y407</f>
        <v>3135</v>
      </c>
    </row>
    <row r="409" spans="1:26" ht="13.9" customHeight="1">
      <c r="D409" s="73" t="s">
        <v>230</v>
      </c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4"/>
      <c r="S409" s="73"/>
      <c r="T409" s="74"/>
      <c r="U409" s="73"/>
      <c r="V409" s="74"/>
      <c r="W409" s="73"/>
      <c r="X409" s="74"/>
      <c r="Y409" s="73"/>
      <c r="Z409" s="73"/>
    </row>
    <row r="410" spans="1:26" ht="13.9" customHeight="1">
      <c r="D410" s="21" t="s">
        <v>32</v>
      </c>
      <c r="E410" s="21" t="s">
        <v>33</v>
      </c>
      <c r="F410" s="21" t="s">
        <v>34</v>
      </c>
      <c r="G410" s="21" t="s">
        <v>1</v>
      </c>
      <c r="H410" s="21" t="s">
        <v>2</v>
      </c>
      <c r="I410" s="21" t="s">
        <v>3</v>
      </c>
      <c r="J410" s="21" t="s">
        <v>4</v>
      </c>
      <c r="K410" s="21" t="s">
        <v>5</v>
      </c>
      <c r="L410" s="21" t="s">
        <v>6</v>
      </c>
      <c r="M410" s="21" t="s">
        <v>7</v>
      </c>
      <c r="N410" s="21" t="s">
        <v>8</v>
      </c>
      <c r="O410" s="21" t="s">
        <v>9</v>
      </c>
      <c r="P410" s="21" t="s">
        <v>10</v>
      </c>
      <c r="Q410" s="21" t="s">
        <v>11</v>
      </c>
      <c r="R410" s="22" t="s">
        <v>12</v>
      </c>
      <c r="S410" s="21" t="s">
        <v>13</v>
      </c>
      <c r="T410" s="22" t="s">
        <v>14</v>
      </c>
      <c r="U410" s="21" t="s">
        <v>15</v>
      </c>
      <c r="V410" s="22" t="s">
        <v>16</v>
      </c>
      <c r="W410" s="21" t="s">
        <v>17</v>
      </c>
      <c r="X410" s="22" t="s">
        <v>18</v>
      </c>
      <c r="Y410" s="21" t="s">
        <v>19</v>
      </c>
      <c r="Z410" s="21" t="s">
        <v>20</v>
      </c>
    </row>
    <row r="411" spans="1:26" ht="13.9" customHeight="1">
      <c r="A411" s="15">
        <v>6</v>
      </c>
      <c r="B411" s="15">
        <v>2</v>
      </c>
      <c r="C411" s="15">
        <v>3</v>
      </c>
      <c r="D411" s="11" t="s">
        <v>224</v>
      </c>
      <c r="E411" s="23">
        <v>620</v>
      </c>
      <c r="F411" s="23" t="s">
        <v>125</v>
      </c>
      <c r="G411" s="24">
        <v>21.27</v>
      </c>
      <c r="H411" s="24">
        <v>17.260000000000002</v>
      </c>
      <c r="I411" s="24">
        <v>17</v>
      </c>
      <c r="J411" s="24">
        <v>17.760000000000002</v>
      </c>
      <c r="K411" s="24">
        <v>18</v>
      </c>
      <c r="L411" s="24"/>
      <c r="M411" s="24"/>
      <c r="N411" s="24"/>
      <c r="O411" s="24"/>
      <c r="P411" s="24">
        <f>K411+SUM(L411:O411)</f>
        <v>18</v>
      </c>
      <c r="Q411" s="24">
        <v>4.4400000000000004</v>
      </c>
      <c r="R411" s="25">
        <f>Q411/$P411</f>
        <v>0.2466666666666667</v>
      </c>
      <c r="S411" s="24">
        <v>8.8800000000000008</v>
      </c>
      <c r="T411" s="25">
        <f>S411/$P411</f>
        <v>0.4933333333333334</v>
      </c>
      <c r="U411" s="24">
        <v>13.32</v>
      </c>
      <c r="V411" s="25">
        <f>U411/$P411</f>
        <v>0.74</v>
      </c>
      <c r="W411" s="24">
        <v>17.760000000000002</v>
      </c>
      <c r="X411" s="25">
        <f>W411/$P411</f>
        <v>0.9866666666666668</v>
      </c>
      <c r="Y411" s="24">
        <f>K411</f>
        <v>18</v>
      </c>
      <c r="Z411" s="24">
        <f>Y411</f>
        <v>18</v>
      </c>
    </row>
    <row r="412" spans="1:26" ht="13.9" customHeight="1">
      <c r="A412" s="15">
        <v>6</v>
      </c>
      <c r="B412" s="15">
        <v>2</v>
      </c>
      <c r="C412" s="15">
        <v>3</v>
      </c>
      <c r="D412" s="11" t="s">
        <v>224</v>
      </c>
      <c r="E412" s="23">
        <v>630</v>
      </c>
      <c r="F412" s="23" t="s">
        <v>126</v>
      </c>
      <c r="G412" s="24">
        <v>2249.59</v>
      </c>
      <c r="H412" s="24">
        <v>2695.54</v>
      </c>
      <c r="I412" s="24">
        <v>2846</v>
      </c>
      <c r="J412" s="24">
        <v>2820.21</v>
      </c>
      <c r="K412" s="24">
        <v>2828</v>
      </c>
      <c r="L412" s="24"/>
      <c r="M412" s="24"/>
      <c r="N412" s="24"/>
      <c r="O412" s="24"/>
      <c r="P412" s="24">
        <f>K412+SUM(L412:O412)</f>
        <v>2828</v>
      </c>
      <c r="Q412" s="24">
        <v>572.14</v>
      </c>
      <c r="R412" s="25">
        <f>Q412/$P412</f>
        <v>0.2023125884016973</v>
      </c>
      <c r="S412" s="24">
        <v>1365.14</v>
      </c>
      <c r="T412" s="25">
        <f>S412/$P412</f>
        <v>0.48272277227722776</v>
      </c>
      <c r="U412" s="24">
        <v>1920.68</v>
      </c>
      <c r="V412" s="25">
        <f>U412/$P412</f>
        <v>0.6791654879773692</v>
      </c>
      <c r="W412" s="24">
        <v>2705.04</v>
      </c>
      <c r="X412" s="25">
        <f>W412/$P412</f>
        <v>0.95652050919377651</v>
      </c>
      <c r="Y412" s="24">
        <f>K412</f>
        <v>2828</v>
      </c>
      <c r="Z412" s="24">
        <f>Y412</f>
        <v>2828</v>
      </c>
    </row>
    <row r="413" spans="1:26" ht="13.9" customHeight="1">
      <c r="A413" s="15">
        <v>6</v>
      </c>
      <c r="B413" s="15">
        <v>2</v>
      </c>
      <c r="C413" s="15">
        <v>3</v>
      </c>
      <c r="D413" s="83" t="s">
        <v>21</v>
      </c>
      <c r="E413" s="48">
        <v>41</v>
      </c>
      <c r="F413" s="48" t="s">
        <v>23</v>
      </c>
      <c r="G413" s="49">
        <f t="shared" ref="G413:Q413" si="211">SUM(G411:G412)</f>
        <v>2270.86</v>
      </c>
      <c r="H413" s="49">
        <f t="shared" si="211"/>
        <v>2712.8</v>
      </c>
      <c r="I413" s="49">
        <f t="shared" si="211"/>
        <v>2863</v>
      </c>
      <c r="J413" s="49">
        <f t="shared" si="211"/>
        <v>2837.9700000000003</v>
      </c>
      <c r="K413" s="49">
        <f t="shared" si="211"/>
        <v>2846</v>
      </c>
      <c r="L413" s="49">
        <f t="shared" si="211"/>
        <v>0</v>
      </c>
      <c r="M413" s="49">
        <f t="shared" si="211"/>
        <v>0</v>
      </c>
      <c r="N413" s="49">
        <f t="shared" si="211"/>
        <v>0</v>
      </c>
      <c r="O413" s="49">
        <f t="shared" si="211"/>
        <v>0</v>
      </c>
      <c r="P413" s="49">
        <f t="shared" si="211"/>
        <v>2846</v>
      </c>
      <c r="Q413" s="49">
        <f t="shared" si="211"/>
        <v>576.58000000000004</v>
      </c>
      <c r="R413" s="50">
        <f>Q413/$P413</f>
        <v>0.20259311314125089</v>
      </c>
      <c r="S413" s="49">
        <f>SUM(S411:S412)</f>
        <v>1374.0200000000002</v>
      </c>
      <c r="T413" s="50">
        <f>S413/$P413</f>
        <v>0.482789880534083</v>
      </c>
      <c r="U413" s="49">
        <f>SUM(U411:U412)</f>
        <v>1934</v>
      </c>
      <c r="V413" s="50">
        <f>U413/$P413</f>
        <v>0.67955024595924107</v>
      </c>
      <c r="W413" s="49">
        <f>SUM(W411:W412)</f>
        <v>2722.8</v>
      </c>
      <c r="X413" s="50">
        <f>W413/$P413</f>
        <v>0.95671117357695012</v>
      </c>
      <c r="Y413" s="49">
        <f>SUM(Y411:Y412)</f>
        <v>2846</v>
      </c>
      <c r="Z413" s="49">
        <f>SUM(Z411:Z412)</f>
        <v>2846</v>
      </c>
    </row>
    <row r="414" spans="1:26" ht="13.9" customHeight="1">
      <c r="A414" s="15">
        <v>6</v>
      </c>
      <c r="B414" s="15">
        <v>2</v>
      </c>
      <c r="C414" s="15">
        <v>3</v>
      </c>
      <c r="D414" s="85"/>
      <c r="E414" s="86"/>
      <c r="F414" s="26" t="s">
        <v>119</v>
      </c>
      <c r="G414" s="27">
        <f t="shared" ref="G414:Q414" si="212">G413</f>
        <v>2270.86</v>
      </c>
      <c r="H414" s="27">
        <f t="shared" si="212"/>
        <v>2712.8</v>
      </c>
      <c r="I414" s="27">
        <f t="shared" si="212"/>
        <v>2863</v>
      </c>
      <c r="J414" s="27">
        <f t="shared" si="212"/>
        <v>2837.9700000000003</v>
      </c>
      <c r="K414" s="27">
        <f t="shared" si="212"/>
        <v>2846</v>
      </c>
      <c r="L414" s="27">
        <f t="shared" si="212"/>
        <v>0</v>
      </c>
      <c r="M414" s="27">
        <f t="shared" si="212"/>
        <v>0</v>
      </c>
      <c r="N414" s="27">
        <f t="shared" si="212"/>
        <v>0</v>
      </c>
      <c r="O414" s="27">
        <f t="shared" si="212"/>
        <v>0</v>
      </c>
      <c r="P414" s="27">
        <f t="shared" si="212"/>
        <v>2846</v>
      </c>
      <c r="Q414" s="27">
        <f t="shared" si="212"/>
        <v>576.58000000000004</v>
      </c>
      <c r="R414" s="28">
        <f>Q414/$P414</f>
        <v>0.20259311314125089</v>
      </c>
      <c r="S414" s="27">
        <f>S413</f>
        <v>1374.0200000000002</v>
      </c>
      <c r="T414" s="28">
        <f>S414/$P414</f>
        <v>0.482789880534083</v>
      </c>
      <c r="U414" s="27">
        <f>U413</f>
        <v>1934</v>
      </c>
      <c r="V414" s="28">
        <f>U414/$P414</f>
        <v>0.67955024595924107</v>
      </c>
      <c r="W414" s="27">
        <f>W413</f>
        <v>2722.8</v>
      </c>
      <c r="X414" s="28">
        <f>W414/$P414</f>
        <v>0.95671117357695012</v>
      </c>
      <c r="Y414" s="27">
        <f>Y413</f>
        <v>2846</v>
      </c>
      <c r="Z414" s="27">
        <f>Z413</f>
        <v>2846</v>
      </c>
    </row>
    <row r="416" spans="1:26" ht="13.9" customHeight="1">
      <c r="D416" s="41" t="s">
        <v>231</v>
      </c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2"/>
      <c r="S416" s="41"/>
      <c r="T416" s="42"/>
      <c r="U416" s="41"/>
      <c r="V416" s="42"/>
      <c r="W416" s="41"/>
      <c r="X416" s="42"/>
      <c r="Y416" s="41"/>
      <c r="Z416" s="41"/>
    </row>
    <row r="417" spans="1:26" ht="13.9" customHeight="1">
      <c r="D417" s="21"/>
      <c r="E417" s="21"/>
      <c r="F417" s="21"/>
      <c r="G417" s="21" t="s">
        <v>1</v>
      </c>
      <c r="H417" s="21" t="s">
        <v>2</v>
      </c>
      <c r="I417" s="21" t="s">
        <v>3</v>
      </c>
      <c r="J417" s="21" t="s">
        <v>4</v>
      </c>
      <c r="K417" s="21" t="s">
        <v>5</v>
      </c>
      <c r="L417" s="21" t="s">
        <v>6</v>
      </c>
      <c r="M417" s="21" t="s">
        <v>7</v>
      </c>
      <c r="N417" s="21" t="s">
        <v>8</v>
      </c>
      <c r="O417" s="21" t="s">
        <v>9</v>
      </c>
      <c r="P417" s="21" t="s">
        <v>10</v>
      </c>
      <c r="Q417" s="21" t="s">
        <v>11</v>
      </c>
      <c r="R417" s="22" t="s">
        <v>12</v>
      </c>
      <c r="S417" s="21" t="s">
        <v>13</v>
      </c>
      <c r="T417" s="22" t="s">
        <v>14</v>
      </c>
      <c r="U417" s="21" t="s">
        <v>15</v>
      </c>
      <c r="V417" s="22" t="s">
        <v>16</v>
      </c>
      <c r="W417" s="21" t="s">
        <v>17</v>
      </c>
      <c r="X417" s="22" t="s">
        <v>18</v>
      </c>
      <c r="Y417" s="21" t="s">
        <v>19</v>
      </c>
      <c r="Z417" s="21" t="s">
        <v>20</v>
      </c>
    </row>
    <row r="418" spans="1:26" ht="13.9" customHeight="1">
      <c r="A418" s="15">
        <v>6</v>
      </c>
      <c r="B418" s="15">
        <v>3</v>
      </c>
      <c r="D418" s="13" t="s">
        <v>21</v>
      </c>
      <c r="E418" s="23">
        <v>111</v>
      </c>
      <c r="F418" s="23" t="s">
        <v>129</v>
      </c>
      <c r="G418" s="24">
        <f t="shared" ref="G418:Q418" si="213">G425</f>
        <v>0</v>
      </c>
      <c r="H418" s="24">
        <f t="shared" si="213"/>
        <v>0</v>
      </c>
      <c r="I418" s="24">
        <f t="shared" si="213"/>
        <v>0</v>
      </c>
      <c r="J418" s="24">
        <f t="shared" si="213"/>
        <v>0</v>
      </c>
      <c r="K418" s="24">
        <f t="shared" si="213"/>
        <v>0</v>
      </c>
      <c r="L418" s="24">
        <f t="shared" si="213"/>
        <v>0</v>
      </c>
      <c r="M418" s="24">
        <f t="shared" si="213"/>
        <v>157</v>
      </c>
      <c r="N418" s="24">
        <f t="shared" si="213"/>
        <v>156</v>
      </c>
      <c r="O418" s="24">
        <f t="shared" si="213"/>
        <v>157</v>
      </c>
      <c r="P418" s="24">
        <f t="shared" si="213"/>
        <v>470</v>
      </c>
      <c r="Q418" s="24">
        <f t="shared" si="213"/>
        <v>0</v>
      </c>
      <c r="R418" s="25">
        <f>Q418/$P418</f>
        <v>0</v>
      </c>
      <c r="S418" s="24">
        <f>S425</f>
        <v>156.72</v>
      </c>
      <c r="T418" s="25">
        <f>S418/$P418</f>
        <v>0.33344680851063829</v>
      </c>
      <c r="U418" s="24">
        <f>U425</f>
        <v>313.44</v>
      </c>
      <c r="V418" s="25">
        <f>U418/$P418</f>
        <v>0.66689361702127659</v>
      </c>
      <c r="W418" s="24">
        <f>W425</f>
        <v>470.16</v>
      </c>
      <c r="X418" s="25">
        <f>W418/$P418</f>
        <v>1.000340425531915</v>
      </c>
      <c r="Y418" s="24">
        <f>Y425</f>
        <v>0</v>
      </c>
      <c r="Z418" s="24">
        <f>Z425</f>
        <v>0</v>
      </c>
    </row>
    <row r="419" spans="1:26" ht="13.9" customHeight="1">
      <c r="A419" s="15">
        <v>6</v>
      </c>
      <c r="B419" s="15">
        <v>3</v>
      </c>
      <c r="D419" s="13" t="s">
        <v>21</v>
      </c>
      <c r="E419" s="23">
        <v>41</v>
      </c>
      <c r="F419" s="23" t="s">
        <v>23</v>
      </c>
      <c r="G419" s="24">
        <f t="shared" ref="G419:Q419" si="214">G427+G437</f>
        <v>13384.27</v>
      </c>
      <c r="H419" s="24">
        <f t="shared" si="214"/>
        <v>9940.2200000000012</v>
      </c>
      <c r="I419" s="24">
        <f t="shared" si="214"/>
        <v>10870</v>
      </c>
      <c r="J419" s="24">
        <f t="shared" si="214"/>
        <v>11940.66</v>
      </c>
      <c r="K419" s="24">
        <f t="shared" si="214"/>
        <v>11601</v>
      </c>
      <c r="L419" s="24">
        <f t="shared" si="214"/>
        <v>0</v>
      </c>
      <c r="M419" s="24">
        <f t="shared" si="214"/>
        <v>-157</v>
      </c>
      <c r="N419" s="24">
        <f t="shared" si="214"/>
        <v>-156</v>
      </c>
      <c r="O419" s="24">
        <f t="shared" si="214"/>
        <v>0</v>
      </c>
      <c r="P419" s="24">
        <f t="shared" si="214"/>
        <v>11288</v>
      </c>
      <c r="Q419" s="24">
        <f t="shared" si="214"/>
        <v>1680</v>
      </c>
      <c r="R419" s="25">
        <f>Q419/$P419</f>
        <v>0.148830616583983</v>
      </c>
      <c r="S419" s="24">
        <f>S427+S437</f>
        <v>5584.08</v>
      </c>
      <c r="T419" s="25">
        <f>S419/$P419</f>
        <v>0.49469170800850459</v>
      </c>
      <c r="U419" s="24">
        <f>U427+U437</f>
        <v>6018.36</v>
      </c>
      <c r="V419" s="25">
        <f>U419/$P419</f>
        <v>0.53316442239546413</v>
      </c>
      <c r="W419" s="24">
        <f>W427+W437</f>
        <v>9530.880000000001</v>
      </c>
      <c r="X419" s="25">
        <f>W419/$P419</f>
        <v>0.84433734939759042</v>
      </c>
      <c r="Y419" s="24">
        <f>Y427+Y437</f>
        <v>11601</v>
      </c>
      <c r="Z419" s="24">
        <f>Z427+Z437</f>
        <v>11601</v>
      </c>
    </row>
    <row r="420" spans="1:26" ht="13.9" customHeight="1">
      <c r="A420" s="15">
        <v>6</v>
      </c>
      <c r="B420" s="15">
        <v>3</v>
      </c>
      <c r="D420" s="30"/>
      <c r="E420" s="31"/>
      <c r="F420" s="26" t="s">
        <v>119</v>
      </c>
      <c r="G420" s="27">
        <f t="shared" ref="G420:Q420" si="215">SUM(G418:G419)</f>
        <v>13384.27</v>
      </c>
      <c r="H420" s="27">
        <f t="shared" si="215"/>
        <v>9940.2200000000012</v>
      </c>
      <c r="I420" s="27">
        <f t="shared" si="215"/>
        <v>10870</v>
      </c>
      <c r="J420" s="27">
        <f t="shared" si="215"/>
        <v>11940.66</v>
      </c>
      <c r="K420" s="27">
        <f t="shared" si="215"/>
        <v>11601</v>
      </c>
      <c r="L420" s="27">
        <f t="shared" si="215"/>
        <v>0</v>
      </c>
      <c r="M420" s="27">
        <f t="shared" si="215"/>
        <v>0</v>
      </c>
      <c r="N420" s="27">
        <f t="shared" si="215"/>
        <v>0</v>
      </c>
      <c r="O420" s="27">
        <f t="shared" si="215"/>
        <v>157</v>
      </c>
      <c r="P420" s="27">
        <f t="shared" si="215"/>
        <v>11758</v>
      </c>
      <c r="Q420" s="27">
        <f t="shared" si="215"/>
        <v>1680</v>
      </c>
      <c r="R420" s="28">
        <f>Q420/$P420</f>
        <v>0.14288144242218065</v>
      </c>
      <c r="S420" s="27">
        <f>SUM(S418:S419)</f>
        <v>5740.8</v>
      </c>
      <c r="T420" s="28">
        <f>S420/$P420</f>
        <v>0.48824630039122302</v>
      </c>
      <c r="U420" s="27">
        <f>SUM(U418:U419)</f>
        <v>6331.7999999999993</v>
      </c>
      <c r="V420" s="28">
        <f>U420/$P420</f>
        <v>0.5385099506718829</v>
      </c>
      <c r="W420" s="27">
        <f>SUM(W418:W419)</f>
        <v>10001.040000000001</v>
      </c>
      <c r="X420" s="28">
        <f>W420/$P420</f>
        <v>0.85057322673924141</v>
      </c>
      <c r="Y420" s="27">
        <f>SUM(Y418:Y419)</f>
        <v>11601</v>
      </c>
      <c r="Z420" s="27">
        <f>SUM(Z418:Z419)</f>
        <v>11601</v>
      </c>
    </row>
    <row r="422" spans="1:26" ht="13.9" customHeight="1">
      <c r="D422" s="73" t="s">
        <v>232</v>
      </c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4"/>
      <c r="S422" s="73"/>
      <c r="T422" s="74"/>
      <c r="U422" s="73"/>
      <c r="V422" s="74"/>
      <c r="W422" s="73"/>
      <c r="X422" s="74"/>
      <c r="Y422" s="73"/>
      <c r="Z422" s="73"/>
    </row>
    <row r="423" spans="1:26" ht="13.9" customHeight="1">
      <c r="D423" s="21" t="s">
        <v>32</v>
      </c>
      <c r="E423" s="21" t="s">
        <v>33</v>
      </c>
      <c r="F423" s="21" t="s">
        <v>34</v>
      </c>
      <c r="G423" s="21" t="s">
        <v>1</v>
      </c>
      <c r="H423" s="21" t="s">
        <v>2</v>
      </c>
      <c r="I423" s="21" t="s">
        <v>3</v>
      </c>
      <c r="J423" s="21" t="s">
        <v>4</v>
      </c>
      <c r="K423" s="21" t="s">
        <v>5</v>
      </c>
      <c r="L423" s="21" t="s">
        <v>6</v>
      </c>
      <c r="M423" s="21" t="s">
        <v>7</v>
      </c>
      <c r="N423" s="21" t="s">
        <v>8</v>
      </c>
      <c r="O423" s="21" t="s">
        <v>9</v>
      </c>
      <c r="P423" s="21" t="s">
        <v>10</v>
      </c>
      <c r="Q423" s="21" t="s">
        <v>11</v>
      </c>
      <c r="R423" s="22" t="s">
        <v>12</v>
      </c>
      <c r="S423" s="21" t="s">
        <v>13</v>
      </c>
      <c r="T423" s="22" t="s">
        <v>14</v>
      </c>
      <c r="U423" s="21" t="s">
        <v>15</v>
      </c>
      <c r="V423" s="22" t="s">
        <v>16</v>
      </c>
      <c r="W423" s="21" t="s">
        <v>17</v>
      </c>
      <c r="X423" s="22" t="s">
        <v>18</v>
      </c>
      <c r="Y423" s="21" t="s">
        <v>19</v>
      </c>
      <c r="Z423" s="21" t="s">
        <v>20</v>
      </c>
    </row>
    <row r="424" spans="1:26" ht="13.9" customHeight="1">
      <c r="A424" s="15">
        <v>6</v>
      </c>
      <c r="B424" s="15">
        <v>3</v>
      </c>
      <c r="C424" s="15">
        <v>1</v>
      </c>
      <c r="D424" s="90" t="s">
        <v>233</v>
      </c>
      <c r="E424" s="23">
        <v>630</v>
      </c>
      <c r="F424" s="23" t="s">
        <v>126</v>
      </c>
      <c r="G424" s="24">
        <v>0</v>
      </c>
      <c r="H424" s="24">
        <v>0</v>
      </c>
      <c r="I424" s="24">
        <v>0</v>
      </c>
      <c r="J424" s="24">
        <v>0</v>
      </c>
      <c r="K424" s="24">
        <v>0</v>
      </c>
      <c r="L424" s="24"/>
      <c r="M424" s="24">
        <v>157</v>
      </c>
      <c r="N424" s="24">
        <v>156</v>
      </c>
      <c r="O424" s="24">
        <v>157</v>
      </c>
      <c r="P424" s="24">
        <f>K424+SUM(L424:O424)</f>
        <v>470</v>
      </c>
      <c r="Q424" s="24">
        <v>0</v>
      </c>
      <c r="R424" s="25">
        <f>Q424/$P424</f>
        <v>0</v>
      </c>
      <c r="S424" s="24">
        <v>156.72</v>
      </c>
      <c r="T424" s="25">
        <f>S424/$P424</f>
        <v>0.33344680851063829</v>
      </c>
      <c r="U424" s="24">
        <v>313.44</v>
      </c>
      <c r="V424" s="25">
        <f>U424/$P424</f>
        <v>0.66689361702127659</v>
      </c>
      <c r="W424" s="24">
        <v>470.16</v>
      </c>
      <c r="X424" s="25">
        <f>W424/$P424</f>
        <v>1.000340425531915</v>
      </c>
      <c r="Y424" s="24">
        <v>0</v>
      </c>
      <c r="Z424" s="24">
        <f>Y424</f>
        <v>0</v>
      </c>
    </row>
    <row r="425" spans="1:26" ht="13.9" customHeight="1">
      <c r="A425" s="15">
        <v>6</v>
      </c>
      <c r="B425" s="15">
        <v>3</v>
      </c>
      <c r="C425" s="15">
        <v>1</v>
      </c>
      <c r="D425" s="83" t="s">
        <v>21</v>
      </c>
      <c r="E425" s="84">
        <v>111</v>
      </c>
      <c r="F425" s="48" t="s">
        <v>129</v>
      </c>
      <c r="G425" s="49">
        <f t="shared" ref="G425:Q425" si="216">SUM(G424:G424)</f>
        <v>0</v>
      </c>
      <c r="H425" s="49">
        <f t="shared" si="216"/>
        <v>0</v>
      </c>
      <c r="I425" s="49">
        <f t="shared" si="216"/>
        <v>0</v>
      </c>
      <c r="J425" s="49">
        <f t="shared" si="216"/>
        <v>0</v>
      </c>
      <c r="K425" s="49">
        <f t="shared" si="216"/>
        <v>0</v>
      </c>
      <c r="L425" s="49">
        <f t="shared" si="216"/>
        <v>0</v>
      </c>
      <c r="M425" s="49">
        <f t="shared" si="216"/>
        <v>157</v>
      </c>
      <c r="N425" s="49">
        <f t="shared" si="216"/>
        <v>156</v>
      </c>
      <c r="O425" s="49">
        <f t="shared" si="216"/>
        <v>157</v>
      </c>
      <c r="P425" s="49">
        <f t="shared" si="216"/>
        <v>470</v>
      </c>
      <c r="Q425" s="49">
        <f t="shared" si="216"/>
        <v>0</v>
      </c>
      <c r="R425" s="50">
        <f>Q425/$P425</f>
        <v>0</v>
      </c>
      <c r="S425" s="49">
        <f>SUM(S424:S424)</f>
        <v>156.72</v>
      </c>
      <c r="T425" s="50">
        <f>S425/$P425</f>
        <v>0.33344680851063829</v>
      </c>
      <c r="U425" s="49">
        <f>SUM(U424:U424)</f>
        <v>313.44</v>
      </c>
      <c r="V425" s="50">
        <f>U425/$P425</f>
        <v>0.66689361702127659</v>
      </c>
      <c r="W425" s="49">
        <f>SUM(W424:W424)</f>
        <v>470.16</v>
      </c>
      <c r="X425" s="50">
        <f>W425/$P425</f>
        <v>1.000340425531915</v>
      </c>
      <c r="Y425" s="49">
        <f>SUM(Y424:Y424)</f>
        <v>0</v>
      </c>
      <c r="Z425" s="49">
        <f>SUM(Z424:Z424)</f>
        <v>0</v>
      </c>
    </row>
    <row r="426" spans="1:26" ht="13.9" customHeight="1">
      <c r="A426" s="15">
        <v>6</v>
      </c>
      <c r="B426" s="15">
        <v>3</v>
      </c>
      <c r="C426" s="15">
        <v>1</v>
      </c>
      <c r="D426" s="90" t="s">
        <v>233</v>
      </c>
      <c r="E426" s="23">
        <v>630</v>
      </c>
      <c r="F426" s="23" t="s">
        <v>126</v>
      </c>
      <c r="G426" s="24">
        <v>8984.27</v>
      </c>
      <c r="H426" s="24">
        <v>4940.22</v>
      </c>
      <c r="I426" s="24">
        <v>6670</v>
      </c>
      <c r="J426" s="24">
        <v>7740.66</v>
      </c>
      <c r="K426" s="24">
        <v>7201</v>
      </c>
      <c r="L426" s="24"/>
      <c r="M426" s="24">
        <v>-157</v>
      </c>
      <c r="N426" s="24">
        <v>-156</v>
      </c>
      <c r="O426" s="24"/>
      <c r="P426" s="24">
        <f>K426+SUM(L426:O426)</f>
        <v>6888</v>
      </c>
      <c r="Q426" s="24">
        <v>480</v>
      </c>
      <c r="R426" s="25">
        <f>Q426/$P426</f>
        <v>6.968641114982578E-2</v>
      </c>
      <c r="S426" s="24">
        <v>1184.08</v>
      </c>
      <c r="T426" s="25">
        <f>S426/$P426</f>
        <v>0.17190476190476189</v>
      </c>
      <c r="U426" s="24">
        <v>1618.36</v>
      </c>
      <c r="V426" s="25">
        <f>U426/$P426</f>
        <v>0.23495354239256677</v>
      </c>
      <c r="W426" s="24">
        <v>5130.88</v>
      </c>
      <c r="X426" s="25">
        <f>W426/$P426</f>
        <v>0.74490127758420444</v>
      </c>
      <c r="Y426" s="24">
        <f>K426</f>
        <v>7201</v>
      </c>
      <c r="Z426" s="24">
        <f>Y426</f>
        <v>7201</v>
      </c>
    </row>
    <row r="427" spans="1:26" ht="13.9" customHeight="1">
      <c r="A427" s="15">
        <v>6</v>
      </c>
      <c r="B427" s="15">
        <v>3</v>
      </c>
      <c r="C427" s="15">
        <v>1</v>
      </c>
      <c r="D427" s="83" t="s">
        <v>21</v>
      </c>
      <c r="E427" s="48">
        <v>41</v>
      </c>
      <c r="F427" s="48" t="s">
        <v>23</v>
      </c>
      <c r="G427" s="49">
        <f t="shared" ref="G427:Q427" si="217">SUM(G426:G426)</f>
        <v>8984.27</v>
      </c>
      <c r="H427" s="49">
        <f t="shared" si="217"/>
        <v>4940.22</v>
      </c>
      <c r="I427" s="49">
        <f t="shared" si="217"/>
        <v>6670</v>
      </c>
      <c r="J427" s="49">
        <f t="shared" si="217"/>
        <v>7740.66</v>
      </c>
      <c r="K427" s="49">
        <f t="shared" si="217"/>
        <v>7201</v>
      </c>
      <c r="L427" s="49">
        <f t="shared" si="217"/>
        <v>0</v>
      </c>
      <c r="M427" s="49">
        <f t="shared" si="217"/>
        <v>-157</v>
      </c>
      <c r="N427" s="49">
        <f t="shared" si="217"/>
        <v>-156</v>
      </c>
      <c r="O427" s="49">
        <f t="shared" si="217"/>
        <v>0</v>
      </c>
      <c r="P427" s="49">
        <f t="shared" si="217"/>
        <v>6888</v>
      </c>
      <c r="Q427" s="49">
        <f t="shared" si="217"/>
        <v>480</v>
      </c>
      <c r="R427" s="50">
        <f>Q427/$P427</f>
        <v>6.968641114982578E-2</v>
      </c>
      <c r="S427" s="49">
        <f>SUM(S426:S426)</f>
        <v>1184.08</v>
      </c>
      <c r="T427" s="50">
        <f>S427/$P427</f>
        <v>0.17190476190476189</v>
      </c>
      <c r="U427" s="49">
        <f>SUM(U426:U426)</f>
        <v>1618.36</v>
      </c>
      <c r="V427" s="50">
        <f>U427/$P427</f>
        <v>0.23495354239256677</v>
      </c>
      <c r="W427" s="49">
        <f>SUM(W426:W426)</f>
        <v>5130.88</v>
      </c>
      <c r="X427" s="50">
        <f>W427/$P427</f>
        <v>0.74490127758420444</v>
      </c>
      <c r="Y427" s="49">
        <f>SUM(Y426:Y426)</f>
        <v>7201</v>
      </c>
      <c r="Z427" s="49">
        <f>SUM(Z426:Z426)</f>
        <v>7201</v>
      </c>
    </row>
    <row r="428" spans="1:26" ht="13.9" customHeight="1">
      <c r="A428" s="15">
        <v>6</v>
      </c>
      <c r="B428" s="15">
        <v>3</v>
      </c>
      <c r="C428" s="15">
        <v>1</v>
      </c>
      <c r="D428" s="85"/>
      <c r="E428" s="86"/>
      <c r="F428" s="26" t="s">
        <v>119</v>
      </c>
      <c r="G428" s="27">
        <f t="shared" ref="G428:Q428" si="218">G425+G427</f>
        <v>8984.27</v>
      </c>
      <c r="H428" s="27">
        <f t="shared" si="218"/>
        <v>4940.22</v>
      </c>
      <c r="I428" s="27">
        <f t="shared" si="218"/>
        <v>6670</v>
      </c>
      <c r="J428" s="27">
        <f t="shared" si="218"/>
        <v>7740.66</v>
      </c>
      <c r="K428" s="27">
        <f t="shared" si="218"/>
        <v>7201</v>
      </c>
      <c r="L428" s="27">
        <f t="shared" si="218"/>
        <v>0</v>
      </c>
      <c r="M428" s="27">
        <f t="shared" si="218"/>
        <v>0</v>
      </c>
      <c r="N428" s="27">
        <f t="shared" si="218"/>
        <v>0</v>
      </c>
      <c r="O428" s="27">
        <f t="shared" si="218"/>
        <v>157</v>
      </c>
      <c r="P428" s="27">
        <f t="shared" si="218"/>
        <v>7358</v>
      </c>
      <c r="Q428" s="27">
        <f t="shared" si="218"/>
        <v>480</v>
      </c>
      <c r="R428" s="28">
        <f>Q428/$P428</f>
        <v>6.5235118238651801E-2</v>
      </c>
      <c r="S428" s="27">
        <f>S425+S427</f>
        <v>1340.8</v>
      </c>
      <c r="T428" s="28">
        <f>S428/$P428</f>
        <v>0.18222343027996737</v>
      </c>
      <c r="U428" s="27">
        <f>U425+U427</f>
        <v>1931.8</v>
      </c>
      <c r="V428" s="28">
        <f>U428/$P428</f>
        <v>0.26254416961130739</v>
      </c>
      <c r="W428" s="27">
        <f>W425+W427</f>
        <v>5601.04</v>
      </c>
      <c r="X428" s="28">
        <f>W428/$P428</f>
        <v>0.76121772220712147</v>
      </c>
      <c r="Y428" s="27">
        <f>Y425+Y427</f>
        <v>7201</v>
      </c>
      <c r="Z428" s="27">
        <f>Z425+Z427</f>
        <v>7201</v>
      </c>
    </row>
    <row r="430" spans="1:26" ht="13.9" customHeight="1">
      <c r="E430" s="52" t="s">
        <v>56</v>
      </c>
      <c r="F430" s="30" t="s">
        <v>139</v>
      </c>
      <c r="G430" s="53">
        <v>1298</v>
      </c>
      <c r="H430" s="53">
        <v>1232</v>
      </c>
      <c r="I430" s="53">
        <v>1666</v>
      </c>
      <c r="J430" s="53">
        <v>1694</v>
      </c>
      <c r="K430" s="53">
        <v>2640</v>
      </c>
      <c r="L430" s="53"/>
      <c r="M430" s="53"/>
      <c r="N430" s="53"/>
      <c r="O430" s="53">
        <v>157</v>
      </c>
      <c r="P430" s="53">
        <f>K430+SUM(L430:O430)</f>
        <v>2797</v>
      </c>
      <c r="Q430" s="53">
        <v>480</v>
      </c>
      <c r="R430" s="54">
        <f>Q430/$P430</f>
        <v>0.17161244190203789</v>
      </c>
      <c r="S430" s="53">
        <v>1114</v>
      </c>
      <c r="T430" s="54">
        <f>S430/$P430</f>
        <v>0.39828387558097961</v>
      </c>
      <c r="U430" s="53">
        <v>1705</v>
      </c>
      <c r="V430" s="54">
        <f>U430/$P430</f>
        <v>0.60958169467286383</v>
      </c>
      <c r="W430" s="53">
        <v>2296</v>
      </c>
      <c r="X430" s="55">
        <f>W430/$P430</f>
        <v>0.82087951376474799</v>
      </c>
      <c r="Y430" s="53">
        <f>K430</f>
        <v>2640</v>
      </c>
      <c r="Z430" s="56">
        <f>Y430</f>
        <v>2640</v>
      </c>
    </row>
    <row r="431" spans="1:26" ht="13.9" customHeight="1">
      <c r="E431" s="57"/>
      <c r="F431" s="91" t="s">
        <v>234</v>
      </c>
      <c r="G431" s="81">
        <v>3000</v>
      </c>
      <c r="H431" s="81">
        <v>1500</v>
      </c>
      <c r="I431" s="81">
        <v>3000</v>
      </c>
      <c r="J431" s="81">
        <v>4500</v>
      </c>
      <c r="K431" s="81">
        <v>3000</v>
      </c>
      <c r="L431" s="81"/>
      <c r="M431" s="81"/>
      <c r="N431" s="81"/>
      <c r="O431" s="81"/>
      <c r="P431" s="81">
        <f>K431+SUM(L431:O431)</f>
        <v>3000</v>
      </c>
      <c r="Q431" s="81">
        <v>0</v>
      </c>
      <c r="R431" s="82">
        <f>Q431/$P431</f>
        <v>0</v>
      </c>
      <c r="S431" s="81">
        <v>0</v>
      </c>
      <c r="T431" s="82">
        <f>S431/$P431</f>
        <v>0</v>
      </c>
      <c r="U431" s="81">
        <v>0</v>
      </c>
      <c r="V431" s="82">
        <f>U431/$P431</f>
        <v>0</v>
      </c>
      <c r="W431" s="81">
        <v>3000</v>
      </c>
      <c r="X431" s="60">
        <f>W431/$P431</f>
        <v>1</v>
      </c>
      <c r="Y431" s="81">
        <f>K431</f>
        <v>3000</v>
      </c>
      <c r="Z431" s="61">
        <f>Y431</f>
        <v>3000</v>
      </c>
    </row>
    <row r="432" spans="1:26" ht="13.9" customHeight="1">
      <c r="E432" s="65"/>
      <c r="F432" s="94" t="s">
        <v>235</v>
      </c>
      <c r="G432" s="67">
        <v>2949</v>
      </c>
      <c r="H432" s="67">
        <v>1643.26</v>
      </c>
      <c r="I432" s="67">
        <v>1600</v>
      </c>
      <c r="J432" s="67">
        <v>1386.06</v>
      </c>
      <c r="K432" s="67">
        <v>1400</v>
      </c>
      <c r="L432" s="67"/>
      <c r="M432" s="67"/>
      <c r="N432" s="67"/>
      <c r="O432" s="67"/>
      <c r="P432" s="67">
        <f>K432+SUM(L432:O432)</f>
        <v>1400</v>
      </c>
      <c r="Q432" s="67">
        <v>0</v>
      </c>
      <c r="R432" s="68">
        <f>Q432/$P432</f>
        <v>0</v>
      </c>
      <c r="S432" s="67">
        <v>226.8</v>
      </c>
      <c r="T432" s="68">
        <f>S432/$P432</f>
        <v>0.16200000000000001</v>
      </c>
      <c r="U432" s="67">
        <v>226.8</v>
      </c>
      <c r="V432" s="68">
        <f>U432/$P432</f>
        <v>0.16200000000000001</v>
      </c>
      <c r="W432" s="67">
        <v>226.8</v>
      </c>
      <c r="X432" s="69">
        <f>W432/$P432</f>
        <v>0.16200000000000001</v>
      </c>
      <c r="Y432" s="67">
        <f>K432</f>
        <v>1400</v>
      </c>
      <c r="Z432" s="70">
        <f>Y432</f>
        <v>1400</v>
      </c>
    </row>
    <row r="434" spans="1:26" ht="13.9" customHeight="1">
      <c r="D434" s="73" t="s">
        <v>236</v>
      </c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4"/>
      <c r="S434" s="73"/>
      <c r="T434" s="74"/>
      <c r="U434" s="73"/>
      <c r="V434" s="74"/>
      <c r="W434" s="73"/>
      <c r="X434" s="74"/>
      <c r="Y434" s="73"/>
      <c r="Z434" s="73"/>
    </row>
    <row r="435" spans="1:26" ht="13.9" customHeight="1">
      <c r="D435" s="21" t="s">
        <v>32</v>
      </c>
      <c r="E435" s="21" t="s">
        <v>33</v>
      </c>
      <c r="F435" s="21" t="s">
        <v>34</v>
      </c>
      <c r="G435" s="21" t="s">
        <v>1</v>
      </c>
      <c r="H435" s="21" t="s">
        <v>2</v>
      </c>
      <c r="I435" s="21" t="s">
        <v>3</v>
      </c>
      <c r="J435" s="21" t="s">
        <v>4</v>
      </c>
      <c r="K435" s="21" t="s">
        <v>5</v>
      </c>
      <c r="L435" s="21" t="s">
        <v>6</v>
      </c>
      <c r="M435" s="21" t="s">
        <v>7</v>
      </c>
      <c r="N435" s="21" t="s">
        <v>8</v>
      </c>
      <c r="O435" s="21" t="s">
        <v>9</v>
      </c>
      <c r="P435" s="21" t="s">
        <v>10</v>
      </c>
      <c r="Q435" s="21" t="s">
        <v>11</v>
      </c>
      <c r="R435" s="22" t="s">
        <v>12</v>
      </c>
      <c r="S435" s="21" t="s">
        <v>13</v>
      </c>
      <c r="T435" s="22" t="s">
        <v>14</v>
      </c>
      <c r="U435" s="21" t="s">
        <v>15</v>
      </c>
      <c r="V435" s="22" t="s">
        <v>16</v>
      </c>
      <c r="W435" s="21" t="s">
        <v>17</v>
      </c>
      <c r="X435" s="22" t="s">
        <v>18</v>
      </c>
      <c r="Y435" s="21" t="s">
        <v>19</v>
      </c>
      <c r="Z435" s="21" t="s">
        <v>20</v>
      </c>
    </row>
    <row r="436" spans="1:26" ht="13.9" customHeight="1">
      <c r="A436" s="15">
        <v>6</v>
      </c>
      <c r="B436" s="15">
        <v>3</v>
      </c>
      <c r="C436" s="15">
        <v>2</v>
      </c>
      <c r="D436" s="90" t="s">
        <v>233</v>
      </c>
      <c r="E436" s="23">
        <v>640</v>
      </c>
      <c r="F436" s="23" t="s">
        <v>127</v>
      </c>
      <c r="G436" s="24">
        <v>4400</v>
      </c>
      <c r="H436" s="24">
        <v>5000</v>
      </c>
      <c r="I436" s="24">
        <v>4200</v>
      </c>
      <c r="J436" s="24">
        <f>SUM(J440:J445)</f>
        <v>4200</v>
      </c>
      <c r="K436" s="24">
        <f>SUM(K440:K445)</f>
        <v>4400</v>
      </c>
      <c r="L436" s="24"/>
      <c r="M436" s="24"/>
      <c r="N436" s="24"/>
      <c r="O436" s="24"/>
      <c r="P436" s="24">
        <f>K436+SUM(L436:O436)</f>
        <v>4400</v>
      </c>
      <c r="Q436" s="24">
        <v>1200</v>
      </c>
      <c r="R436" s="25">
        <f>Q436/$P436</f>
        <v>0.27272727272727271</v>
      </c>
      <c r="S436" s="24">
        <v>4400</v>
      </c>
      <c r="T436" s="25">
        <f>S436/$P436</f>
        <v>1</v>
      </c>
      <c r="U436" s="24">
        <v>4400</v>
      </c>
      <c r="V436" s="25">
        <f>U436/$P436</f>
        <v>1</v>
      </c>
      <c r="W436" s="24">
        <v>4400</v>
      </c>
      <c r="X436" s="25">
        <f>W436/$P436</f>
        <v>1</v>
      </c>
      <c r="Y436" s="24">
        <f>SUM(Y440:Y445)</f>
        <v>4400</v>
      </c>
      <c r="Z436" s="24">
        <f>SUM(Z440:Z445)</f>
        <v>4400</v>
      </c>
    </row>
    <row r="437" spans="1:26" ht="13.9" customHeight="1">
      <c r="A437" s="15">
        <v>6</v>
      </c>
      <c r="B437" s="15">
        <v>3</v>
      </c>
      <c r="C437" s="15">
        <v>2</v>
      </c>
      <c r="D437" s="83" t="s">
        <v>21</v>
      </c>
      <c r="E437" s="48">
        <v>41</v>
      </c>
      <c r="F437" s="48" t="s">
        <v>23</v>
      </c>
      <c r="G437" s="49">
        <f t="shared" ref="G437:Q437" si="219">SUM(G436:G436)</f>
        <v>4400</v>
      </c>
      <c r="H437" s="49">
        <f t="shared" si="219"/>
        <v>5000</v>
      </c>
      <c r="I437" s="49">
        <f t="shared" si="219"/>
        <v>4200</v>
      </c>
      <c r="J437" s="49">
        <f t="shared" si="219"/>
        <v>4200</v>
      </c>
      <c r="K437" s="49">
        <f t="shared" si="219"/>
        <v>4400</v>
      </c>
      <c r="L437" s="49">
        <f t="shared" si="219"/>
        <v>0</v>
      </c>
      <c r="M437" s="49">
        <f t="shared" si="219"/>
        <v>0</v>
      </c>
      <c r="N437" s="49">
        <f t="shared" si="219"/>
        <v>0</v>
      </c>
      <c r="O437" s="49">
        <f t="shared" si="219"/>
        <v>0</v>
      </c>
      <c r="P437" s="49">
        <f t="shared" si="219"/>
        <v>4400</v>
      </c>
      <c r="Q437" s="49">
        <f t="shared" si="219"/>
        <v>1200</v>
      </c>
      <c r="R437" s="50">
        <f>Q437/$P437</f>
        <v>0.27272727272727271</v>
      </c>
      <c r="S437" s="49">
        <f>SUM(S436:S436)</f>
        <v>4400</v>
      </c>
      <c r="T437" s="50">
        <f>S437/$P437</f>
        <v>1</v>
      </c>
      <c r="U437" s="49">
        <f>SUM(U436:U436)</f>
        <v>4400</v>
      </c>
      <c r="V437" s="50">
        <f>U437/$P437</f>
        <v>1</v>
      </c>
      <c r="W437" s="49">
        <f>SUM(W436:W436)</f>
        <v>4400</v>
      </c>
      <c r="X437" s="50">
        <f>W437/$P437</f>
        <v>1</v>
      </c>
      <c r="Y437" s="49">
        <f>SUM(Y436:Y436)</f>
        <v>4400</v>
      </c>
      <c r="Z437" s="49">
        <f>SUM(Z436:Z436)</f>
        <v>4400</v>
      </c>
    </row>
    <row r="438" spans="1:26" ht="13.9" customHeight="1">
      <c r="A438" s="15">
        <v>6</v>
      </c>
      <c r="B438" s="15">
        <v>3</v>
      </c>
      <c r="C438" s="15">
        <v>2</v>
      </c>
      <c r="D438" s="85"/>
      <c r="E438" s="86"/>
      <c r="F438" s="26" t="s">
        <v>119</v>
      </c>
      <c r="G438" s="27">
        <f t="shared" ref="G438:Q438" si="220">G437</f>
        <v>4400</v>
      </c>
      <c r="H438" s="27">
        <f t="shared" si="220"/>
        <v>5000</v>
      </c>
      <c r="I438" s="27">
        <f t="shared" si="220"/>
        <v>4200</v>
      </c>
      <c r="J438" s="27">
        <f t="shared" si="220"/>
        <v>4200</v>
      </c>
      <c r="K438" s="27">
        <f t="shared" si="220"/>
        <v>4400</v>
      </c>
      <c r="L438" s="27">
        <f t="shared" si="220"/>
        <v>0</v>
      </c>
      <c r="M438" s="27">
        <f t="shared" si="220"/>
        <v>0</v>
      </c>
      <c r="N438" s="27">
        <f t="shared" si="220"/>
        <v>0</v>
      </c>
      <c r="O438" s="27">
        <f t="shared" si="220"/>
        <v>0</v>
      </c>
      <c r="P438" s="27">
        <f t="shared" si="220"/>
        <v>4400</v>
      </c>
      <c r="Q438" s="27">
        <f t="shared" si="220"/>
        <v>1200</v>
      </c>
      <c r="R438" s="28">
        <f>Q438/$P438</f>
        <v>0.27272727272727271</v>
      </c>
      <c r="S438" s="27">
        <f>S437</f>
        <v>4400</v>
      </c>
      <c r="T438" s="28">
        <f>S438/$P438</f>
        <v>1</v>
      </c>
      <c r="U438" s="27">
        <f>U437</f>
        <v>4400</v>
      </c>
      <c r="V438" s="28">
        <f>U438/$P438</f>
        <v>1</v>
      </c>
      <c r="W438" s="27">
        <f>W437</f>
        <v>4400</v>
      </c>
      <c r="X438" s="28">
        <f>W438/$P438</f>
        <v>1</v>
      </c>
      <c r="Y438" s="27">
        <f>Y437</f>
        <v>4400</v>
      </c>
      <c r="Z438" s="27">
        <f>Z437</f>
        <v>4400</v>
      </c>
    </row>
    <row r="440" spans="1:26" ht="13.9" customHeight="1">
      <c r="E440" s="52" t="s">
        <v>56</v>
      </c>
      <c r="F440" s="30" t="s">
        <v>237</v>
      </c>
      <c r="G440" s="53">
        <v>1000</v>
      </c>
      <c r="H440" s="53">
        <v>1000</v>
      </c>
      <c r="I440" s="53">
        <v>1000</v>
      </c>
      <c r="J440" s="53">
        <v>1100</v>
      </c>
      <c r="K440" s="53">
        <v>1200</v>
      </c>
      <c r="L440" s="53"/>
      <c r="M440" s="53"/>
      <c r="N440" s="53"/>
      <c r="O440" s="53"/>
      <c r="P440" s="53">
        <f t="shared" ref="P440:P445" si="221">K440+SUM(L440:O440)</f>
        <v>1200</v>
      </c>
      <c r="Q440" s="53">
        <v>1200</v>
      </c>
      <c r="R440" s="54">
        <f t="shared" ref="R440:R445" si="222">Q440/$P440</f>
        <v>1</v>
      </c>
      <c r="S440" s="53">
        <v>1200</v>
      </c>
      <c r="T440" s="54">
        <f t="shared" ref="T440:T445" si="223">S440/$P440</f>
        <v>1</v>
      </c>
      <c r="U440" s="53">
        <v>1200</v>
      </c>
      <c r="V440" s="54">
        <f t="shared" ref="V440:V445" si="224">U440/$P440</f>
        <v>1</v>
      </c>
      <c r="W440" s="53">
        <v>1200</v>
      </c>
      <c r="X440" s="55">
        <f t="shared" ref="X440:X445" si="225">W440/$P440</f>
        <v>1</v>
      </c>
      <c r="Y440" s="53">
        <f>K440</f>
        <v>1200</v>
      </c>
      <c r="Z440" s="56">
        <f t="shared" ref="Z440:Z445" si="226">Y440</f>
        <v>1200</v>
      </c>
    </row>
    <row r="441" spans="1:26" ht="13.9" hidden="1" customHeight="1">
      <c r="E441" s="57"/>
      <c r="F441" s="15" t="s">
        <v>238</v>
      </c>
      <c r="G441" s="59">
        <v>600</v>
      </c>
      <c r="H441" s="59"/>
      <c r="I441" s="62"/>
      <c r="J441" s="59"/>
      <c r="K441" s="62"/>
      <c r="L441" s="59"/>
      <c r="M441" s="59"/>
      <c r="N441" s="59"/>
      <c r="O441" s="59"/>
      <c r="P441" s="59">
        <f t="shared" si="221"/>
        <v>0</v>
      </c>
      <c r="Q441" s="59"/>
      <c r="R441" s="16" t="e">
        <f t="shared" si="222"/>
        <v>#DIV/0!</v>
      </c>
      <c r="S441" s="59"/>
      <c r="T441" s="16" t="e">
        <f t="shared" si="223"/>
        <v>#DIV/0!</v>
      </c>
      <c r="U441" s="59"/>
      <c r="V441" s="16" t="e">
        <f t="shared" si="224"/>
        <v>#DIV/0!</v>
      </c>
      <c r="W441" s="59"/>
      <c r="X441" s="60" t="e">
        <f t="shared" si="225"/>
        <v>#DIV/0!</v>
      </c>
      <c r="Y441" s="59">
        <f>K441</f>
        <v>0</v>
      </c>
      <c r="Z441" s="61">
        <f t="shared" si="226"/>
        <v>0</v>
      </c>
    </row>
    <row r="442" spans="1:26" ht="13.9" customHeight="1">
      <c r="E442" s="57"/>
      <c r="F442" s="58" t="s">
        <v>239</v>
      </c>
      <c r="G442" s="59"/>
      <c r="H442" s="59">
        <v>1300</v>
      </c>
      <c r="I442" s="59">
        <v>2000</v>
      </c>
      <c r="J442" s="59">
        <v>2000</v>
      </c>
      <c r="K442" s="59">
        <v>2000</v>
      </c>
      <c r="L442" s="59"/>
      <c r="M442" s="59"/>
      <c r="N442" s="59"/>
      <c r="O442" s="59"/>
      <c r="P442" s="59">
        <f t="shared" si="221"/>
        <v>2000</v>
      </c>
      <c r="Q442" s="59">
        <v>0</v>
      </c>
      <c r="R442" s="16">
        <f t="shared" si="222"/>
        <v>0</v>
      </c>
      <c r="S442" s="59">
        <v>2000</v>
      </c>
      <c r="T442" s="16">
        <f t="shared" si="223"/>
        <v>1</v>
      </c>
      <c r="U442" s="59">
        <v>2000</v>
      </c>
      <c r="V442" s="16">
        <f t="shared" si="224"/>
        <v>1</v>
      </c>
      <c r="W442" s="59">
        <v>2000</v>
      </c>
      <c r="X442" s="60">
        <f t="shared" si="225"/>
        <v>1</v>
      </c>
      <c r="Y442" s="59">
        <f>K442</f>
        <v>2000</v>
      </c>
      <c r="Z442" s="61">
        <f t="shared" si="226"/>
        <v>2000</v>
      </c>
    </row>
    <row r="443" spans="1:26" ht="13.9" customHeight="1">
      <c r="E443" s="100"/>
      <c r="F443" s="101" t="s">
        <v>240</v>
      </c>
      <c r="G443" s="105">
        <v>1000</v>
      </c>
      <c r="H443" s="105">
        <v>1000</v>
      </c>
      <c r="I443" s="105">
        <v>1100</v>
      </c>
      <c r="J443" s="105">
        <v>1100</v>
      </c>
      <c r="K443" s="105">
        <v>1200</v>
      </c>
      <c r="L443" s="105"/>
      <c r="M443" s="105"/>
      <c r="N443" s="105"/>
      <c r="O443" s="105"/>
      <c r="P443" s="105">
        <f t="shared" si="221"/>
        <v>1200</v>
      </c>
      <c r="Q443" s="105">
        <v>0</v>
      </c>
      <c r="R443" s="140">
        <f t="shared" si="222"/>
        <v>0</v>
      </c>
      <c r="S443" s="105">
        <v>1200</v>
      </c>
      <c r="T443" s="140">
        <f t="shared" si="223"/>
        <v>1</v>
      </c>
      <c r="U443" s="105">
        <v>1200</v>
      </c>
      <c r="V443" s="140">
        <f t="shared" si="224"/>
        <v>1</v>
      </c>
      <c r="W443" s="105">
        <v>1200</v>
      </c>
      <c r="X443" s="141">
        <f t="shared" si="225"/>
        <v>1</v>
      </c>
      <c r="Y443" s="105">
        <f>K443</f>
        <v>1200</v>
      </c>
      <c r="Z443" s="106">
        <f t="shared" si="226"/>
        <v>1200</v>
      </c>
    </row>
    <row r="444" spans="1:26" ht="13.9" hidden="1" customHeight="1">
      <c r="E444" s="57"/>
      <c r="F444" s="144" t="s">
        <v>241</v>
      </c>
      <c r="G444" s="81">
        <v>300</v>
      </c>
      <c r="H444" s="81">
        <v>200</v>
      </c>
      <c r="I444" s="92"/>
      <c r="J444" s="81"/>
      <c r="K444" s="92"/>
      <c r="L444" s="81"/>
      <c r="M444" s="81"/>
      <c r="N444" s="81"/>
      <c r="O444" s="81"/>
      <c r="P444" s="81">
        <f t="shared" si="221"/>
        <v>0</v>
      </c>
      <c r="Q444" s="81"/>
      <c r="R444" s="82" t="e">
        <f t="shared" si="222"/>
        <v>#DIV/0!</v>
      </c>
      <c r="S444" s="81"/>
      <c r="T444" s="82" t="e">
        <f t="shared" si="223"/>
        <v>#DIV/0!</v>
      </c>
      <c r="U444" s="81"/>
      <c r="V444" s="82" t="e">
        <f t="shared" si="224"/>
        <v>#DIV/0!</v>
      </c>
      <c r="W444" s="81"/>
      <c r="X444" s="60" t="e">
        <f t="shared" si="225"/>
        <v>#DIV/0!</v>
      </c>
      <c r="Y444" s="81">
        <f>K444</f>
        <v>0</v>
      </c>
      <c r="Z444" s="61">
        <f t="shared" si="226"/>
        <v>0</v>
      </c>
    </row>
    <row r="445" spans="1:26" ht="13.9" hidden="1" customHeight="1">
      <c r="E445" s="65"/>
      <c r="F445" s="66" t="s">
        <v>242</v>
      </c>
      <c r="G445" s="67">
        <v>1500</v>
      </c>
      <c r="H445" s="67">
        <v>1500</v>
      </c>
      <c r="I445" s="95"/>
      <c r="J445" s="67"/>
      <c r="K445" s="95"/>
      <c r="L445" s="67"/>
      <c r="M445" s="67"/>
      <c r="N445" s="67"/>
      <c r="O445" s="67"/>
      <c r="P445" s="67">
        <f t="shared" si="221"/>
        <v>0</v>
      </c>
      <c r="Q445" s="67"/>
      <c r="R445" s="68" t="e">
        <f t="shared" si="222"/>
        <v>#DIV/0!</v>
      </c>
      <c r="S445" s="67"/>
      <c r="T445" s="68" t="e">
        <f t="shared" si="223"/>
        <v>#DIV/0!</v>
      </c>
      <c r="U445" s="67"/>
      <c r="V445" s="68" t="e">
        <f t="shared" si="224"/>
        <v>#DIV/0!</v>
      </c>
      <c r="W445" s="67"/>
      <c r="X445" s="69" t="e">
        <f t="shared" si="225"/>
        <v>#DIV/0!</v>
      </c>
      <c r="Y445" s="67">
        <v>0</v>
      </c>
      <c r="Z445" s="70">
        <f t="shared" si="226"/>
        <v>0</v>
      </c>
    </row>
    <row r="447" spans="1:26" ht="13.9" customHeight="1">
      <c r="D447" s="32" t="s">
        <v>243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3"/>
      <c r="S447" s="32"/>
      <c r="T447" s="33"/>
      <c r="U447" s="32"/>
      <c r="V447" s="33"/>
      <c r="W447" s="32"/>
      <c r="X447" s="33"/>
      <c r="Y447" s="32"/>
      <c r="Z447" s="32"/>
    </row>
    <row r="448" spans="1:26" ht="13.9" customHeight="1">
      <c r="D448" s="20"/>
      <c r="E448" s="20"/>
      <c r="F448" s="20"/>
      <c r="G448" s="21" t="s">
        <v>1</v>
      </c>
      <c r="H448" s="21" t="s">
        <v>2</v>
      </c>
      <c r="I448" s="21" t="s">
        <v>3</v>
      </c>
      <c r="J448" s="21" t="s">
        <v>4</v>
      </c>
      <c r="K448" s="21" t="s">
        <v>5</v>
      </c>
      <c r="L448" s="21" t="s">
        <v>6</v>
      </c>
      <c r="M448" s="21" t="s">
        <v>7</v>
      </c>
      <c r="N448" s="21" t="s">
        <v>8</v>
      </c>
      <c r="O448" s="21" t="s">
        <v>9</v>
      </c>
      <c r="P448" s="21" t="s">
        <v>10</v>
      </c>
      <c r="Q448" s="21" t="s">
        <v>11</v>
      </c>
      <c r="R448" s="22" t="s">
        <v>12</v>
      </c>
      <c r="S448" s="21" t="s">
        <v>13</v>
      </c>
      <c r="T448" s="22" t="s">
        <v>14</v>
      </c>
      <c r="U448" s="21" t="s">
        <v>15</v>
      </c>
      <c r="V448" s="22" t="s">
        <v>16</v>
      </c>
      <c r="W448" s="21" t="s">
        <v>17</v>
      </c>
      <c r="X448" s="22" t="s">
        <v>18</v>
      </c>
      <c r="Y448" s="21" t="s">
        <v>19</v>
      </c>
      <c r="Z448" s="21" t="s">
        <v>20</v>
      </c>
    </row>
    <row r="449" spans="1:26" ht="13.9" customHeight="1">
      <c r="A449" s="15">
        <v>7</v>
      </c>
      <c r="D449" s="12" t="s">
        <v>21</v>
      </c>
      <c r="E449" s="35">
        <v>111</v>
      </c>
      <c r="F449" s="35" t="s">
        <v>46</v>
      </c>
      <c r="G449" s="36">
        <f t="shared" ref="G449:Q449" si="227">G456+G493</f>
        <v>62673.71</v>
      </c>
      <c r="H449" s="36">
        <f t="shared" si="227"/>
        <v>83612.63</v>
      </c>
      <c r="I449" s="36">
        <f t="shared" si="227"/>
        <v>57284</v>
      </c>
      <c r="J449" s="36">
        <f t="shared" si="227"/>
        <v>115462.67</v>
      </c>
      <c r="K449" s="36">
        <f t="shared" si="227"/>
        <v>56300</v>
      </c>
      <c r="L449" s="36">
        <f t="shared" si="227"/>
        <v>18100</v>
      </c>
      <c r="M449" s="36">
        <f t="shared" si="227"/>
        <v>16699</v>
      </c>
      <c r="N449" s="36">
        <f t="shared" si="227"/>
        <v>16114</v>
      </c>
      <c r="O449" s="36">
        <f t="shared" si="227"/>
        <v>15338</v>
      </c>
      <c r="P449" s="36">
        <f t="shared" si="227"/>
        <v>122551</v>
      </c>
      <c r="Q449" s="36">
        <f t="shared" si="227"/>
        <v>32994.959999999999</v>
      </c>
      <c r="R449" s="37">
        <f>Q449/$P449</f>
        <v>0.26923452277011201</v>
      </c>
      <c r="S449" s="36">
        <f>S456+S493</f>
        <v>64776.110000000008</v>
      </c>
      <c r="T449" s="37">
        <f>S449/$P449</f>
        <v>0.52856451599742149</v>
      </c>
      <c r="U449" s="36">
        <f>U456+U493</f>
        <v>87754.42</v>
      </c>
      <c r="V449" s="37">
        <f>U449/$P449</f>
        <v>0.71606449559775109</v>
      </c>
      <c r="W449" s="36">
        <f>W456+W493</f>
        <v>119480.9</v>
      </c>
      <c r="X449" s="37">
        <f>W449/$P449</f>
        <v>0.97494838883403634</v>
      </c>
      <c r="Y449" s="36">
        <f>Y456+Y493</f>
        <v>52100</v>
      </c>
      <c r="Z449" s="36">
        <f>Z456+Z493</f>
        <v>52100</v>
      </c>
    </row>
    <row r="450" spans="1:26" ht="13.9" customHeight="1">
      <c r="A450" s="15">
        <v>7</v>
      </c>
      <c r="D450" s="12"/>
      <c r="E450" s="35">
        <v>41</v>
      </c>
      <c r="F450" s="35" t="s">
        <v>23</v>
      </c>
      <c r="G450" s="36">
        <f t="shared" ref="G450:Q450" si="228">G457+G495</f>
        <v>92914.829999999987</v>
      </c>
      <c r="H450" s="36">
        <f t="shared" si="228"/>
        <v>107521.26</v>
      </c>
      <c r="I450" s="36">
        <f t="shared" si="228"/>
        <v>99477</v>
      </c>
      <c r="J450" s="36">
        <f t="shared" si="228"/>
        <v>99582.87999999999</v>
      </c>
      <c r="K450" s="36">
        <f t="shared" si="228"/>
        <v>130467</v>
      </c>
      <c r="L450" s="36">
        <f t="shared" si="228"/>
        <v>700</v>
      </c>
      <c r="M450" s="36">
        <f t="shared" si="228"/>
        <v>-1269</v>
      </c>
      <c r="N450" s="36">
        <f t="shared" si="228"/>
        <v>-715</v>
      </c>
      <c r="O450" s="36">
        <f t="shared" si="228"/>
        <v>0</v>
      </c>
      <c r="P450" s="36">
        <f t="shared" si="228"/>
        <v>129183</v>
      </c>
      <c r="Q450" s="36">
        <f t="shared" si="228"/>
        <v>21628.920000000002</v>
      </c>
      <c r="R450" s="37">
        <f>Q450/$P450</f>
        <v>0.16742853161793736</v>
      </c>
      <c r="S450" s="36">
        <f>S457+S495</f>
        <v>52420.450000000004</v>
      </c>
      <c r="T450" s="37">
        <f>S450/$P450</f>
        <v>0.40578442983983964</v>
      </c>
      <c r="U450" s="36">
        <f>U457+U495</f>
        <v>79107.75</v>
      </c>
      <c r="V450" s="37">
        <f>U450/$P450</f>
        <v>0.61236966164278583</v>
      </c>
      <c r="W450" s="36">
        <f>W457+W495</f>
        <v>116506.71</v>
      </c>
      <c r="X450" s="37">
        <f>W450/$P450</f>
        <v>0.90187338891340196</v>
      </c>
      <c r="Y450" s="36">
        <f>Y457+Y495</f>
        <v>133439</v>
      </c>
      <c r="Z450" s="36">
        <f>Z457+Z495</f>
        <v>140020</v>
      </c>
    </row>
    <row r="451" spans="1:26" ht="13.9" customHeight="1">
      <c r="A451" s="15">
        <v>7</v>
      </c>
      <c r="D451" s="12"/>
      <c r="E451" s="35">
        <v>72</v>
      </c>
      <c r="F451" s="35" t="s">
        <v>25</v>
      </c>
      <c r="G451" s="36">
        <f t="shared" ref="G451:Q451" si="229">G458</f>
        <v>958.75</v>
      </c>
      <c r="H451" s="36">
        <f t="shared" si="229"/>
        <v>1072.5</v>
      </c>
      <c r="I451" s="36">
        <f t="shared" si="229"/>
        <v>1080</v>
      </c>
      <c r="J451" s="36">
        <f t="shared" si="229"/>
        <v>1221.0899999999999</v>
      </c>
      <c r="K451" s="36">
        <f t="shared" si="229"/>
        <v>1352</v>
      </c>
      <c r="L451" s="36">
        <f t="shared" si="229"/>
        <v>0</v>
      </c>
      <c r="M451" s="36">
        <f t="shared" si="229"/>
        <v>0</v>
      </c>
      <c r="N451" s="36">
        <f t="shared" si="229"/>
        <v>0</v>
      </c>
      <c r="O451" s="36">
        <f t="shared" si="229"/>
        <v>0</v>
      </c>
      <c r="P451" s="36">
        <f t="shared" si="229"/>
        <v>1352</v>
      </c>
      <c r="Q451" s="36">
        <f t="shared" si="229"/>
        <v>0</v>
      </c>
      <c r="R451" s="37">
        <f>Q451/$P451</f>
        <v>0</v>
      </c>
      <c r="S451" s="36">
        <f>S458</f>
        <v>0</v>
      </c>
      <c r="T451" s="37">
        <f>S451/$P451</f>
        <v>0</v>
      </c>
      <c r="U451" s="36">
        <f>U458</f>
        <v>0</v>
      </c>
      <c r="V451" s="37">
        <f>U451/$P451</f>
        <v>0</v>
      </c>
      <c r="W451" s="36">
        <f>W458</f>
        <v>1166.6600000000001</v>
      </c>
      <c r="X451" s="37">
        <f>W451/$P451</f>
        <v>0.86291420118343198</v>
      </c>
      <c r="Y451" s="36">
        <f>Y458</f>
        <v>1352</v>
      </c>
      <c r="Z451" s="36">
        <f>Z458</f>
        <v>1352</v>
      </c>
    </row>
    <row r="452" spans="1:26" ht="13.9" customHeight="1">
      <c r="A452" s="15">
        <v>7</v>
      </c>
      <c r="D452" s="30"/>
      <c r="E452" s="31"/>
      <c r="F452" s="38" t="s">
        <v>119</v>
      </c>
      <c r="G452" s="39">
        <f t="shared" ref="G452:Q452" si="230">SUM(G449:G451)</f>
        <v>156547.28999999998</v>
      </c>
      <c r="H452" s="39">
        <f t="shared" si="230"/>
        <v>192206.39</v>
      </c>
      <c r="I452" s="39">
        <f t="shared" si="230"/>
        <v>157841</v>
      </c>
      <c r="J452" s="39">
        <f t="shared" si="230"/>
        <v>216266.63999999998</v>
      </c>
      <c r="K452" s="39">
        <f t="shared" si="230"/>
        <v>188119</v>
      </c>
      <c r="L452" s="39">
        <f t="shared" si="230"/>
        <v>18800</v>
      </c>
      <c r="M452" s="39">
        <f t="shared" si="230"/>
        <v>15430</v>
      </c>
      <c r="N452" s="39">
        <f t="shared" si="230"/>
        <v>15399</v>
      </c>
      <c r="O452" s="39">
        <f t="shared" si="230"/>
        <v>15338</v>
      </c>
      <c r="P452" s="39">
        <f t="shared" si="230"/>
        <v>253086</v>
      </c>
      <c r="Q452" s="39">
        <f t="shared" si="230"/>
        <v>54623.880000000005</v>
      </c>
      <c r="R452" s="40">
        <f>Q452/$P452</f>
        <v>0.21583129845190965</v>
      </c>
      <c r="S452" s="39">
        <f>SUM(S449:S451)</f>
        <v>117196.56000000001</v>
      </c>
      <c r="T452" s="40">
        <f>S452/$P452</f>
        <v>0.46307010265285325</v>
      </c>
      <c r="U452" s="39">
        <f>SUM(U449:U451)</f>
        <v>166862.16999999998</v>
      </c>
      <c r="V452" s="40">
        <f>U452/$P452</f>
        <v>0.65931015544123339</v>
      </c>
      <c r="W452" s="39">
        <f>SUM(W449:W451)</f>
        <v>237154.27</v>
      </c>
      <c r="X452" s="40">
        <f>W452/$P452</f>
        <v>0.93705013315631835</v>
      </c>
      <c r="Y452" s="39">
        <f>SUM(Y449:Y451)</f>
        <v>186891</v>
      </c>
      <c r="Z452" s="39">
        <f>SUM(Z449:Z451)</f>
        <v>193472</v>
      </c>
    </row>
    <row r="454" spans="1:26" ht="13.9" customHeight="1">
      <c r="D454" s="41" t="s">
        <v>244</v>
      </c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2"/>
      <c r="S454" s="41"/>
      <c r="T454" s="42"/>
      <c r="U454" s="41"/>
      <c r="V454" s="42"/>
      <c r="W454" s="41"/>
      <c r="X454" s="42"/>
      <c r="Y454" s="41"/>
      <c r="Z454" s="41"/>
    </row>
    <row r="455" spans="1:26" ht="13.9" customHeight="1">
      <c r="D455" s="122"/>
      <c r="E455" s="122"/>
      <c r="F455" s="122"/>
      <c r="G455" s="21" t="s">
        <v>1</v>
      </c>
      <c r="H455" s="21" t="s">
        <v>2</v>
      </c>
      <c r="I455" s="21" t="s">
        <v>3</v>
      </c>
      <c r="J455" s="21" t="s">
        <v>4</v>
      </c>
      <c r="K455" s="21" t="s">
        <v>5</v>
      </c>
      <c r="L455" s="21" t="s">
        <v>6</v>
      </c>
      <c r="M455" s="21" t="s">
        <v>7</v>
      </c>
      <c r="N455" s="21" t="s">
        <v>8</v>
      </c>
      <c r="O455" s="21" t="s">
        <v>9</v>
      </c>
      <c r="P455" s="21" t="s">
        <v>10</v>
      </c>
      <c r="Q455" s="21" t="s">
        <v>11</v>
      </c>
      <c r="R455" s="22" t="s">
        <v>12</v>
      </c>
      <c r="S455" s="21" t="s">
        <v>13</v>
      </c>
      <c r="T455" s="22" t="s">
        <v>14</v>
      </c>
      <c r="U455" s="21" t="s">
        <v>15</v>
      </c>
      <c r="V455" s="22" t="s">
        <v>16</v>
      </c>
      <c r="W455" s="21" t="s">
        <v>17</v>
      </c>
      <c r="X455" s="22" t="s">
        <v>18</v>
      </c>
      <c r="Y455" s="21" t="s">
        <v>19</v>
      </c>
      <c r="Z455" s="21" t="s">
        <v>20</v>
      </c>
    </row>
    <row r="456" spans="1:26" ht="13.9" customHeight="1">
      <c r="A456" s="15">
        <v>7</v>
      </c>
      <c r="B456" s="15">
        <v>1</v>
      </c>
      <c r="D456" s="13" t="s">
        <v>21</v>
      </c>
      <c r="E456" s="23">
        <v>111</v>
      </c>
      <c r="F456" s="23" t="s">
        <v>46</v>
      </c>
      <c r="G456" s="24">
        <f t="shared" ref="G456:Q456" si="231">G466</f>
        <v>44092</v>
      </c>
      <c r="H456" s="24">
        <f t="shared" si="231"/>
        <v>54229.729999999996</v>
      </c>
      <c r="I456" s="24">
        <f t="shared" si="231"/>
        <v>50112</v>
      </c>
      <c r="J456" s="24">
        <f t="shared" si="231"/>
        <v>53712</v>
      </c>
      <c r="K456" s="24">
        <f t="shared" si="231"/>
        <v>44220</v>
      </c>
      <c r="L456" s="24">
        <f t="shared" si="231"/>
        <v>16000</v>
      </c>
      <c r="M456" s="24">
        <f t="shared" si="231"/>
        <v>1269</v>
      </c>
      <c r="N456" s="24">
        <f t="shared" si="231"/>
        <v>3650</v>
      </c>
      <c r="O456" s="24">
        <f t="shared" si="231"/>
        <v>505</v>
      </c>
      <c r="P456" s="24">
        <f t="shared" si="231"/>
        <v>65644</v>
      </c>
      <c r="Q456" s="24">
        <f t="shared" si="231"/>
        <v>26903.56</v>
      </c>
      <c r="R456" s="25">
        <f>Q456/$P456</f>
        <v>0.40984035098409605</v>
      </c>
      <c r="S456" s="24">
        <f>S466</f>
        <v>38349.210000000006</v>
      </c>
      <c r="T456" s="25">
        <f>S456/$P456</f>
        <v>0.58419977454146621</v>
      </c>
      <c r="U456" s="24">
        <f>U466</f>
        <v>50154.32</v>
      </c>
      <c r="V456" s="25">
        <f>U456/$P456</f>
        <v>0.76403509840960326</v>
      </c>
      <c r="W456" s="24">
        <f>W466</f>
        <v>62573.7</v>
      </c>
      <c r="X456" s="25">
        <f>W456/$P456</f>
        <v>0.95322801779294375</v>
      </c>
      <c r="Y456" s="24">
        <f>Y466</f>
        <v>44220</v>
      </c>
      <c r="Z456" s="24">
        <f>Z466</f>
        <v>44220</v>
      </c>
    </row>
    <row r="457" spans="1:26" ht="13.9" customHeight="1">
      <c r="A457" s="15">
        <v>7</v>
      </c>
      <c r="B457" s="15">
        <v>1</v>
      </c>
      <c r="D457" s="13"/>
      <c r="E457" s="23">
        <v>41</v>
      </c>
      <c r="F457" s="23" t="s">
        <v>23</v>
      </c>
      <c r="G457" s="24">
        <f t="shared" ref="G457:Q457" si="232">G471+G485</f>
        <v>91714.829999999987</v>
      </c>
      <c r="H457" s="24">
        <f t="shared" si="232"/>
        <v>103021.26</v>
      </c>
      <c r="I457" s="24">
        <f t="shared" si="232"/>
        <v>95077</v>
      </c>
      <c r="J457" s="24">
        <f t="shared" si="232"/>
        <v>95982.87999999999</v>
      </c>
      <c r="K457" s="24">
        <f t="shared" si="232"/>
        <v>126867</v>
      </c>
      <c r="L457" s="24">
        <f t="shared" si="232"/>
        <v>700</v>
      </c>
      <c r="M457" s="24">
        <f t="shared" si="232"/>
        <v>-1269</v>
      </c>
      <c r="N457" s="24">
        <f t="shared" si="232"/>
        <v>-715</v>
      </c>
      <c r="O457" s="24">
        <f t="shared" si="232"/>
        <v>0</v>
      </c>
      <c r="P457" s="24">
        <f t="shared" si="232"/>
        <v>125583</v>
      </c>
      <c r="Q457" s="24">
        <f t="shared" si="232"/>
        <v>21228.920000000002</v>
      </c>
      <c r="R457" s="25">
        <f>Q457/$P457</f>
        <v>0.16904294371053408</v>
      </c>
      <c r="S457" s="24">
        <f>S471+S485</f>
        <v>51420.450000000004</v>
      </c>
      <c r="T457" s="25">
        <f>S457/$P457</f>
        <v>0.40945390697785533</v>
      </c>
      <c r="U457" s="24">
        <f>U471+U485</f>
        <v>77607.75</v>
      </c>
      <c r="V457" s="25">
        <f>U457/$P457</f>
        <v>0.61797974248106835</v>
      </c>
      <c r="W457" s="24">
        <f>W471+W485</f>
        <v>114706.71</v>
      </c>
      <c r="X457" s="25">
        <f>W457/$P457</f>
        <v>0.91339361219273318</v>
      </c>
      <c r="Y457" s="24">
        <f>Y471+Y485</f>
        <v>129839</v>
      </c>
      <c r="Z457" s="24">
        <f>Z471+Z485</f>
        <v>136420</v>
      </c>
    </row>
    <row r="458" spans="1:26" ht="13.9" customHeight="1">
      <c r="A458" s="15">
        <v>7</v>
      </c>
      <c r="B458" s="15">
        <v>1</v>
      </c>
      <c r="D458" s="13"/>
      <c r="E458" s="23">
        <v>72</v>
      </c>
      <c r="F458" s="23" t="s">
        <v>25</v>
      </c>
      <c r="G458" s="24">
        <f t="shared" ref="G458:Q458" si="233">G473</f>
        <v>958.75</v>
      </c>
      <c r="H458" s="24">
        <f t="shared" si="233"/>
        <v>1072.5</v>
      </c>
      <c r="I458" s="24">
        <f t="shared" si="233"/>
        <v>1080</v>
      </c>
      <c r="J458" s="24">
        <f t="shared" si="233"/>
        <v>1221.0899999999999</v>
      </c>
      <c r="K458" s="24">
        <f t="shared" si="233"/>
        <v>1352</v>
      </c>
      <c r="L458" s="24">
        <f t="shared" si="233"/>
        <v>0</v>
      </c>
      <c r="M458" s="24">
        <f t="shared" si="233"/>
        <v>0</v>
      </c>
      <c r="N458" s="24">
        <f t="shared" si="233"/>
        <v>0</v>
      </c>
      <c r="O458" s="24">
        <f t="shared" si="233"/>
        <v>0</v>
      </c>
      <c r="P458" s="24">
        <f t="shared" si="233"/>
        <v>1352</v>
      </c>
      <c r="Q458" s="24">
        <f t="shared" si="233"/>
        <v>0</v>
      </c>
      <c r="R458" s="25">
        <f>Q458/$P458</f>
        <v>0</v>
      </c>
      <c r="S458" s="24">
        <f>S473</f>
        <v>0</v>
      </c>
      <c r="T458" s="25">
        <f>S458/$P458</f>
        <v>0</v>
      </c>
      <c r="U458" s="24">
        <f>U473</f>
        <v>0</v>
      </c>
      <c r="V458" s="25">
        <f>U458/$P458</f>
        <v>0</v>
      </c>
      <c r="W458" s="24">
        <f>W473</f>
        <v>1166.6600000000001</v>
      </c>
      <c r="X458" s="25">
        <f>W458/$P458</f>
        <v>0.86291420118343198</v>
      </c>
      <c r="Y458" s="24">
        <f>Y473</f>
        <v>1352</v>
      </c>
      <c r="Z458" s="24">
        <f>Z473</f>
        <v>1352</v>
      </c>
    </row>
    <row r="459" spans="1:26" ht="13.9" customHeight="1">
      <c r="A459" s="15">
        <v>7</v>
      </c>
      <c r="B459" s="15">
        <v>1</v>
      </c>
      <c r="D459" s="30"/>
      <c r="E459" s="31"/>
      <c r="F459" s="26" t="s">
        <v>119</v>
      </c>
      <c r="G459" s="27">
        <f t="shared" ref="G459:Q459" si="234">SUM(G456:G458)</f>
        <v>136765.57999999999</v>
      </c>
      <c r="H459" s="27">
        <f t="shared" si="234"/>
        <v>158323.49</v>
      </c>
      <c r="I459" s="27">
        <f t="shared" si="234"/>
        <v>146269</v>
      </c>
      <c r="J459" s="27">
        <f t="shared" si="234"/>
        <v>150915.97</v>
      </c>
      <c r="K459" s="27">
        <f t="shared" si="234"/>
        <v>172439</v>
      </c>
      <c r="L459" s="27">
        <f t="shared" si="234"/>
        <v>16700</v>
      </c>
      <c r="M459" s="27">
        <f t="shared" si="234"/>
        <v>0</v>
      </c>
      <c r="N459" s="27">
        <f t="shared" si="234"/>
        <v>2935</v>
      </c>
      <c r="O459" s="27">
        <f t="shared" si="234"/>
        <v>505</v>
      </c>
      <c r="P459" s="27">
        <f t="shared" si="234"/>
        <v>192579</v>
      </c>
      <c r="Q459" s="27">
        <f t="shared" si="234"/>
        <v>48132.480000000003</v>
      </c>
      <c r="R459" s="28">
        <f>Q459/$P459</f>
        <v>0.2499362858878694</v>
      </c>
      <c r="S459" s="27">
        <f>SUM(S456:S458)</f>
        <v>89769.66</v>
      </c>
      <c r="T459" s="28">
        <f>S459/$P459</f>
        <v>0.46614459520508467</v>
      </c>
      <c r="U459" s="27">
        <f>SUM(U456:U458)</f>
        <v>127762.07</v>
      </c>
      <c r="V459" s="28">
        <f>U459/$P459</f>
        <v>0.66342680146848831</v>
      </c>
      <c r="W459" s="27">
        <f>SUM(W456:W458)</f>
        <v>178447.07</v>
      </c>
      <c r="X459" s="28">
        <f>W459/$P459</f>
        <v>0.92661749204222688</v>
      </c>
      <c r="Y459" s="27">
        <f>SUM(Y456:Y458)</f>
        <v>175411</v>
      </c>
      <c r="Z459" s="27">
        <f>SUM(Z456:Z458)</f>
        <v>181992</v>
      </c>
    </row>
    <row r="461" spans="1:26" ht="13.9" customHeight="1">
      <c r="D461" s="73" t="s">
        <v>245</v>
      </c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4"/>
      <c r="S461" s="73"/>
      <c r="T461" s="74"/>
      <c r="U461" s="73"/>
      <c r="V461" s="74"/>
      <c r="W461" s="73"/>
      <c r="X461" s="74"/>
      <c r="Y461" s="73"/>
      <c r="Z461" s="73"/>
    </row>
    <row r="462" spans="1:26" ht="13.9" customHeight="1">
      <c r="D462" s="21" t="s">
        <v>32</v>
      </c>
      <c r="E462" s="21" t="s">
        <v>33</v>
      </c>
      <c r="F462" s="21" t="s">
        <v>34</v>
      </c>
      <c r="G462" s="21" t="s">
        <v>1</v>
      </c>
      <c r="H462" s="21" t="s">
        <v>2</v>
      </c>
      <c r="I462" s="21" t="s">
        <v>3</v>
      </c>
      <c r="J462" s="21" t="s">
        <v>4</v>
      </c>
      <c r="K462" s="21" t="s">
        <v>5</v>
      </c>
      <c r="L462" s="21" t="s">
        <v>6</v>
      </c>
      <c r="M462" s="21" t="s">
        <v>7</v>
      </c>
      <c r="N462" s="21" t="s">
        <v>8</v>
      </c>
      <c r="O462" s="21" t="s">
        <v>9</v>
      </c>
      <c r="P462" s="21" t="s">
        <v>10</v>
      </c>
      <c r="Q462" s="21" t="s">
        <v>11</v>
      </c>
      <c r="R462" s="22" t="s">
        <v>12</v>
      </c>
      <c r="S462" s="21" t="s">
        <v>13</v>
      </c>
      <c r="T462" s="22" t="s">
        <v>14</v>
      </c>
      <c r="U462" s="21" t="s">
        <v>15</v>
      </c>
      <c r="V462" s="22" t="s">
        <v>16</v>
      </c>
      <c r="W462" s="21" t="s">
        <v>17</v>
      </c>
      <c r="X462" s="22" t="s">
        <v>18</v>
      </c>
      <c r="Y462" s="21" t="s">
        <v>19</v>
      </c>
      <c r="Z462" s="21" t="s">
        <v>20</v>
      </c>
    </row>
    <row r="463" spans="1:26" ht="13.9" customHeight="1">
      <c r="A463" s="15">
        <v>7</v>
      </c>
      <c r="B463" s="15">
        <v>1</v>
      </c>
      <c r="C463" s="15">
        <v>1</v>
      </c>
      <c r="D463" s="11" t="s">
        <v>246</v>
      </c>
      <c r="E463" s="23">
        <v>610</v>
      </c>
      <c r="F463" s="23" t="s">
        <v>124</v>
      </c>
      <c r="G463" s="24">
        <v>32752.23</v>
      </c>
      <c r="H463" s="24">
        <v>39601.25</v>
      </c>
      <c r="I463" s="24">
        <v>35970</v>
      </c>
      <c r="J463" s="24">
        <v>36838.400000000001</v>
      </c>
      <c r="K463" s="24">
        <v>32513</v>
      </c>
      <c r="L463" s="24"/>
      <c r="M463" s="24">
        <v>-628</v>
      </c>
      <c r="N463" s="24">
        <v>1354</v>
      </c>
      <c r="O463" s="24"/>
      <c r="P463" s="24">
        <f>K463+SUM(L463:O463)</f>
        <v>33239</v>
      </c>
      <c r="Q463" s="24">
        <v>8071.39</v>
      </c>
      <c r="R463" s="25">
        <f t="shared" ref="R463:R474" si="235">Q463/$P463</f>
        <v>0.2428289058034237</v>
      </c>
      <c r="S463" s="24">
        <v>15604.62</v>
      </c>
      <c r="T463" s="25">
        <f t="shared" ref="T463:T474" si="236">S463/$P463</f>
        <v>0.46946719215379529</v>
      </c>
      <c r="U463" s="24">
        <v>23177.08</v>
      </c>
      <c r="V463" s="25">
        <f t="shared" ref="V463:V474" si="237">U463/$P463</f>
        <v>0.69728571858359156</v>
      </c>
      <c r="W463" s="24">
        <v>30797.75</v>
      </c>
      <c r="X463" s="25">
        <f t="shared" ref="X463:X474" si="238">W463/$P463</f>
        <v>0.92655464965853362</v>
      </c>
      <c r="Y463" s="24">
        <f>K463</f>
        <v>32513</v>
      </c>
      <c r="Z463" s="24">
        <f>Y463</f>
        <v>32513</v>
      </c>
    </row>
    <row r="464" spans="1:26" ht="13.9" customHeight="1">
      <c r="A464" s="15">
        <v>7</v>
      </c>
      <c r="B464" s="15">
        <v>1</v>
      </c>
      <c r="C464" s="15">
        <v>1</v>
      </c>
      <c r="D464" s="11"/>
      <c r="E464" s="23">
        <v>620</v>
      </c>
      <c r="F464" s="23" t="s">
        <v>125</v>
      </c>
      <c r="G464" s="24">
        <v>11339.77</v>
      </c>
      <c r="H464" s="24">
        <v>14628.48</v>
      </c>
      <c r="I464" s="24">
        <v>14142</v>
      </c>
      <c r="J464" s="24">
        <v>13273.6</v>
      </c>
      <c r="K464" s="24">
        <v>11707</v>
      </c>
      <c r="L464" s="24"/>
      <c r="M464" s="24">
        <v>-220</v>
      </c>
      <c r="N464" s="24"/>
      <c r="O464" s="24"/>
      <c r="P464" s="24">
        <f>K464+SUM(L464:O464)</f>
        <v>11487</v>
      </c>
      <c r="Q464" s="24">
        <v>2832.17</v>
      </c>
      <c r="R464" s="25">
        <f t="shared" si="235"/>
        <v>0.24655436580482284</v>
      </c>
      <c r="S464" s="24">
        <v>5475.6</v>
      </c>
      <c r="T464" s="25">
        <f t="shared" si="236"/>
        <v>0.47667798380778276</v>
      </c>
      <c r="U464" s="24">
        <v>8145.46</v>
      </c>
      <c r="V464" s="25">
        <f t="shared" si="237"/>
        <v>0.70910246365456608</v>
      </c>
      <c r="W464" s="24">
        <v>10857.64</v>
      </c>
      <c r="X464" s="25">
        <f t="shared" si="238"/>
        <v>0.94521110820928</v>
      </c>
      <c r="Y464" s="24">
        <f>K464</f>
        <v>11707</v>
      </c>
      <c r="Z464" s="24">
        <f>Y464</f>
        <v>11707</v>
      </c>
    </row>
    <row r="465" spans="1:26" ht="13.9" customHeight="1">
      <c r="D465" s="11"/>
      <c r="E465" s="23">
        <v>630</v>
      </c>
      <c r="F465" s="23" t="s">
        <v>126</v>
      </c>
      <c r="G465" s="24">
        <v>0</v>
      </c>
      <c r="H465" s="24">
        <v>0</v>
      </c>
      <c r="I465" s="24">
        <v>0</v>
      </c>
      <c r="J465" s="24">
        <v>3600</v>
      </c>
      <c r="K465" s="24">
        <v>0</v>
      </c>
      <c r="L465" s="24">
        <v>16000</v>
      </c>
      <c r="M465" s="24">
        <f>848+1269</f>
        <v>2117</v>
      </c>
      <c r="N465" s="24">
        <v>2296</v>
      </c>
      <c r="O465" s="24">
        <v>505</v>
      </c>
      <c r="P465" s="24">
        <f>K465+SUM(L465:O465)</f>
        <v>20918</v>
      </c>
      <c r="Q465" s="24">
        <v>16000</v>
      </c>
      <c r="R465" s="25">
        <f t="shared" si="235"/>
        <v>0.76489148102113014</v>
      </c>
      <c r="S465" s="24">
        <v>17268.990000000002</v>
      </c>
      <c r="T465" s="25">
        <f t="shared" si="236"/>
        <v>0.82555645855244297</v>
      </c>
      <c r="U465" s="24">
        <v>18831.78</v>
      </c>
      <c r="V465" s="25">
        <f t="shared" si="237"/>
        <v>0.90026675590400607</v>
      </c>
      <c r="W465" s="24">
        <v>20918.310000000001</v>
      </c>
      <c r="X465" s="25">
        <f t="shared" si="238"/>
        <v>1.0000148197724448</v>
      </c>
      <c r="Y465" s="24">
        <f>K465</f>
        <v>0</v>
      </c>
      <c r="Z465" s="24">
        <f>Y465</f>
        <v>0</v>
      </c>
    </row>
    <row r="466" spans="1:26" ht="13.9" customHeight="1">
      <c r="A466" s="15">
        <v>7</v>
      </c>
      <c r="B466" s="15">
        <v>1</v>
      </c>
      <c r="C466" s="15">
        <v>1</v>
      </c>
      <c r="D466" s="83" t="s">
        <v>21</v>
      </c>
      <c r="E466" s="48">
        <v>111</v>
      </c>
      <c r="F466" s="48" t="s">
        <v>129</v>
      </c>
      <c r="G466" s="98">
        <f t="shared" ref="G466:Q466" si="239">SUM(G463:G465)</f>
        <v>44092</v>
      </c>
      <c r="H466" s="98">
        <f t="shared" si="239"/>
        <v>54229.729999999996</v>
      </c>
      <c r="I466" s="98">
        <f t="shared" si="239"/>
        <v>50112</v>
      </c>
      <c r="J466" s="98">
        <f t="shared" si="239"/>
        <v>53712</v>
      </c>
      <c r="K466" s="98">
        <f t="shared" si="239"/>
        <v>44220</v>
      </c>
      <c r="L466" s="98">
        <f t="shared" si="239"/>
        <v>16000</v>
      </c>
      <c r="M466" s="98">
        <f t="shared" si="239"/>
        <v>1269</v>
      </c>
      <c r="N466" s="98">
        <f t="shared" si="239"/>
        <v>3650</v>
      </c>
      <c r="O466" s="98">
        <f t="shared" si="239"/>
        <v>505</v>
      </c>
      <c r="P466" s="98">
        <f t="shared" si="239"/>
        <v>65644</v>
      </c>
      <c r="Q466" s="98">
        <f t="shared" si="239"/>
        <v>26903.56</v>
      </c>
      <c r="R466" s="99">
        <f t="shared" si="235"/>
        <v>0.40984035098409605</v>
      </c>
      <c r="S466" s="98">
        <f>SUM(S463:S465)</f>
        <v>38349.210000000006</v>
      </c>
      <c r="T466" s="99">
        <f t="shared" si="236"/>
        <v>0.58419977454146621</v>
      </c>
      <c r="U466" s="98">
        <f>SUM(U463:U465)</f>
        <v>50154.32</v>
      </c>
      <c r="V466" s="99">
        <f t="shared" si="237"/>
        <v>0.76403509840960326</v>
      </c>
      <c r="W466" s="98">
        <f>SUM(W463:W465)</f>
        <v>62573.7</v>
      </c>
      <c r="X466" s="99">
        <f t="shared" si="238"/>
        <v>0.95322801779294375</v>
      </c>
      <c r="Y466" s="98">
        <f>SUM(Y463:Y465)</f>
        <v>44220</v>
      </c>
      <c r="Z466" s="98">
        <f>SUM(Z463:Z465)</f>
        <v>44220</v>
      </c>
    </row>
    <row r="467" spans="1:26" ht="13.9" customHeight="1">
      <c r="A467" s="15">
        <v>7</v>
      </c>
      <c r="B467" s="15">
        <v>1</v>
      </c>
      <c r="C467" s="15">
        <v>1</v>
      </c>
      <c r="D467" s="6" t="s">
        <v>246</v>
      </c>
      <c r="E467" s="23">
        <v>610</v>
      </c>
      <c r="F467" s="23" t="s">
        <v>124</v>
      </c>
      <c r="G467" s="24">
        <v>44457.69</v>
      </c>
      <c r="H467" s="24">
        <v>47011.49</v>
      </c>
      <c r="I467" s="24">
        <v>40363</v>
      </c>
      <c r="J467" s="24">
        <v>39073.97</v>
      </c>
      <c r="K467" s="24">
        <v>52428</v>
      </c>
      <c r="L467" s="24"/>
      <c r="M467" s="24"/>
      <c r="N467" s="24">
        <v>-71</v>
      </c>
      <c r="O467" s="24">
        <v>-157</v>
      </c>
      <c r="P467" s="24">
        <f>K467+SUM(L467:O467)</f>
        <v>52200</v>
      </c>
      <c r="Q467" s="24">
        <v>8272.5300000000007</v>
      </c>
      <c r="R467" s="25">
        <f t="shared" si="235"/>
        <v>0.15847758620689656</v>
      </c>
      <c r="S467" s="24">
        <v>20478</v>
      </c>
      <c r="T467" s="25">
        <f t="shared" si="236"/>
        <v>0.39229885057471264</v>
      </c>
      <c r="U467" s="24">
        <v>32732.07</v>
      </c>
      <c r="V467" s="25">
        <f t="shared" si="237"/>
        <v>0.62705114942528739</v>
      </c>
      <c r="W467" s="24">
        <v>48593</v>
      </c>
      <c r="X467" s="25">
        <f t="shared" si="238"/>
        <v>0.93090038314176249</v>
      </c>
      <c r="Y467" s="24">
        <v>56804</v>
      </c>
      <c r="Z467" s="24">
        <v>61618</v>
      </c>
    </row>
    <row r="468" spans="1:26" ht="13.9" customHeight="1">
      <c r="A468" s="15">
        <v>7</v>
      </c>
      <c r="B468" s="15">
        <v>1</v>
      </c>
      <c r="C468" s="15">
        <v>1</v>
      </c>
      <c r="D468" s="6"/>
      <c r="E468" s="23">
        <v>620</v>
      </c>
      <c r="F468" s="23" t="s">
        <v>125</v>
      </c>
      <c r="G468" s="24">
        <v>15094.65</v>
      </c>
      <c r="H468" s="24">
        <v>18262.7</v>
      </c>
      <c r="I468" s="24">
        <v>16105</v>
      </c>
      <c r="J468" s="24">
        <v>14864.56</v>
      </c>
      <c r="K468" s="24">
        <v>20282</v>
      </c>
      <c r="L468" s="24"/>
      <c r="M468" s="24"/>
      <c r="N468" s="24"/>
      <c r="O468" s="24"/>
      <c r="P468" s="24">
        <f>K468+SUM(L468:O468)</f>
        <v>20282</v>
      </c>
      <c r="Q468" s="24">
        <v>3212.87</v>
      </c>
      <c r="R468" s="25">
        <f t="shared" si="235"/>
        <v>0.15840992012622029</v>
      </c>
      <c r="S468" s="24">
        <v>7799.59</v>
      </c>
      <c r="T468" s="25">
        <f t="shared" si="236"/>
        <v>0.38455724287545606</v>
      </c>
      <c r="U468" s="24">
        <v>12373.13</v>
      </c>
      <c r="V468" s="25">
        <f t="shared" si="237"/>
        <v>0.61005472833053931</v>
      </c>
      <c r="W468" s="24">
        <v>18282.89</v>
      </c>
      <c r="X468" s="25">
        <f t="shared" si="238"/>
        <v>0.90143427669855036</v>
      </c>
      <c r="Y468" s="24">
        <v>21899</v>
      </c>
      <c r="Z468" s="24">
        <v>23680</v>
      </c>
    </row>
    <row r="469" spans="1:26" ht="13.9" customHeight="1">
      <c r="A469" s="15">
        <v>7</v>
      </c>
      <c r="B469" s="15">
        <v>1</v>
      </c>
      <c r="C469" s="15">
        <v>1</v>
      </c>
      <c r="D469" s="6"/>
      <c r="E469" s="23">
        <v>630</v>
      </c>
      <c r="F469" s="23" t="s">
        <v>126</v>
      </c>
      <c r="G469" s="24">
        <v>30286.91</v>
      </c>
      <c r="H469" s="24">
        <v>29423.03</v>
      </c>
      <c r="I469" s="24">
        <v>34831</v>
      </c>
      <c r="J469" s="24">
        <v>33659.120000000003</v>
      </c>
      <c r="K469" s="24">
        <v>50657</v>
      </c>
      <c r="L469" s="24">
        <v>700</v>
      </c>
      <c r="M469" s="24">
        <v>-1269</v>
      </c>
      <c r="N469" s="24">
        <v>-715</v>
      </c>
      <c r="O469" s="24"/>
      <c r="P469" s="24">
        <f>K469+SUM(L469:O469)</f>
        <v>49373</v>
      </c>
      <c r="Q469" s="24">
        <v>9468.73</v>
      </c>
      <c r="R469" s="25">
        <f t="shared" si="235"/>
        <v>0.19177951511959979</v>
      </c>
      <c r="S469" s="24">
        <v>21108.07</v>
      </c>
      <c r="T469" s="25">
        <f t="shared" si="236"/>
        <v>0.42752253255828082</v>
      </c>
      <c r="U469" s="24">
        <v>29598.5</v>
      </c>
      <c r="V469" s="25">
        <f t="shared" si="237"/>
        <v>0.59948757418021992</v>
      </c>
      <c r="W469" s="24">
        <v>44699.11</v>
      </c>
      <c r="X469" s="25">
        <f t="shared" si="238"/>
        <v>0.90533510218135416</v>
      </c>
      <c r="Y469" s="24">
        <v>47636</v>
      </c>
      <c r="Z469" s="24">
        <v>47622</v>
      </c>
    </row>
    <row r="470" spans="1:26" ht="13.9" customHeight="1">
      <c r="A470" s="15">
        <v>7</v>
      </c>
      <c r="B470" s="15">
        <v>1</v>
      </c>
      <c r="C470" s="15">
        <v>1</v>
      </c>
      <c r="D470" s="6"/>
      <c r="E470" s="23">
        <v>640</v>
      </c>
      <c r="F470" s="23" t="s">
        <v>127</v>
      </c>
      <c r="G470" s="24">
        <v>172.18</v>
      </c>
      <c r="H470" s="24">
        <v>6387.09</v>
      </c>
      <c r="I470" s="24">
        <v>1278</v>
      </c>
      <c r="J470" s="24">
        <v>6568.23</v>
      </c>
      <c r="K470" s="24">
        <v>0</v>
      </c>
      <c r="L470" s="24"/>
      <c r="M470" s="24"/>
      <c r="N470" s="24">
        <v>71</v>
      </c>
      <c r="O470" s="24">
        <v>157</v>
      </c>
      <c r="P470" s="24">
        <f>K470+SUM(L470:O470)</f>
        <v>228</v>
      </c>
      <c r="Q470" s="24">
        <v>0</v>
      </c>
      <c r="R470" s="25">
        <f t="shared" si="235"/>
        <v>0</v>
      </c>
      <c r="S470" s="24">
        <v>0</v>
      </c>
      <c r="T470" s="25">
        <f t="shared" si="236"/>
        <v>0</v>
      </c>
      <c r="U470" s="24">
        <v>0</v>
      </c>
      <c r="V470" s="25">
        <f t="shared" si="237"/>
        <v>0</v>
      </c>
      <c r="W470" s="24">
        <v>227.66</v>
      </c>
      <c r="X470" s="25">
        <f t="shared" si="238"/>
        <v>0.99850877192982457</v>
      </c>
      <c r="Y470" s="24">
        <v>0</v>
      </c>
      <c r="Z470" s="24">
        <v>0</v>
      </c>
    </row>
    <row r="471" spans="1:26" ht="13.9" customHeight="1">
      <c r="A471" s="15">
        <v>7</v>
      </c>
      <c r="B471" s="15">
        <v>1</v>
      </c>
      <c r="C471" s="15">
        <v>1</v>
      </c>
      <c r="D471" s="83" t="s">
        <v>21</v>
      </c>
      <c r="E471" s="48">
        <v>41</v>
      </c>
      <c r="F471" s="48" t="s">
        <v>23</v>
      </c>
      <c r="G471" s="49">
        <f t="shared" ref="G471:Q471" si="240">SUM(G467:G470)</f>
        <v>90011.43</v>
      </c>
      <c r="H471" s="49">
        <f t="shared" si="240"/>
        <v>101084.31</v>
      </c>
      <c r="I471" s="49">
        <f t="shared" si="240"/>
        <v>92577</v>
      </c>
      <c r="J471" s="49">
        <f t="shared" si="240"/>
        <v>94165.87999999999</v>
      </c>
      <c r="K471" s="49">
        <f t="shared" si="240"/>
        <v>123367</v>
      </c>
      <c r="L471" s="49">
        <f t="shared" si="240"/>
        <v>700</v>
      </c>
      <c r="M471" s="49">
        <f t="shared" si="240"/>
        <v>-1269</v>
      </c>
      <c r="N471" s="49">
        <f t="shared" si="240"/>
        <v>-715</v>
      </c>
      <c r="O471" s="49">
        <f t="shared" si="240"/>
        <v>0</v>
      </c>
      <c r="P471" s="49">
        <f t="shared" si="240"/>
        <v>122083</v>
      </c>
      <c r="Q471" s="49">
        <f t="shared" si="240"/>
        <v>20954.13</v>
      </c>
      <c r="R471" s="50">
        <f t="shared" si="235"/>
        <v>0.17163839355192778</v>
      </c>
      <c r="S471" s="49">
        <f>SUM(S467:S470)</f>
        <v>49385.66</v>
      </c>
      <c r="T471" s="50">
        <f t="shared" si="236"/>
        <v>0.40452528198029214</v>
      </c>
      <c r="U471" s="49">
        <f>SUM(U467:U470)</f>
        <v>74703.7</v>
      </c>
      <c r="V471" s="50">
        <f t="shared" si="237"/>
        <v>0.61190911101463752</v>
      </c>
      <c r="W471" s="49">
        <f>SUM(W467:W470)</f>
        <v>111802.66</v>
      </c>
      <c r="X471" s="50">
        <f t="shared" si="238"/>
        <v>0.91579220694117935</v>
      </c>
      <c r="Y471" s="49">
        <f>SUM(Y467:Y470)</f>
        <v>126339</v>
      </c>
      <c r="Z471" s="49">
        <f>SUM(Z467:Z470)</f>
        <v>132920</v>
      </c>
    </row>
    <row r="472" spans="1:26" ht="13.9" customHeight="1">
      <c r="A472" s="15">
        <v>7</v>
      </c>
      <c r="B472" s="15">
        <v>1</v>
      </c>
      <c r="C472" s="15">
        <v>1</v>
      </c>
      <c r="D472" s="51" t="s">
        <v>246</v>
      </c>
      <c r="E472" s="23">
        <v>640</v>
      </c>
      <c r="F472" s="23" t="s">
        <v>127</v>
      </c>
      <c r="G472" s="24">
        <v>958.75</v>
      </c>
      <c r="H472" s="24">
        <v>1072.5</v>
      </c>
      <c r="I472" s="24">
        <v>1080</v>
      </c>
      <c r="J472" s="24">
        <v>1221.0899999999999</v>
      </c>
      <c r="K472" s="24">
        <v>1352</v>
      </c>
      <c r="L472" s="24"/>
      <c r="M472" s="24"/>
      <c r="N472" s="24"/>
      <c r="O472" s="24"/>
      <c r="P472" s="24">
        <f>K472+SUM(L472:O472)</f>
        <v>1352</v>
      </c>
      <c r="Q472" s="24">
        <v>0</v>
      </c>
      <c r="R472" s="25">
        <f t="shared" si="235"/>
        <v>0</v>
      </c>
      <c r="S472" s="24">
        <v>0</v>
      </c>
      <c r="T472" s="25">
        <f t="shared" si="236"/>
        <v>0</v>
      </c>
      <c r="U472" s="24">
        <v>0</v>
      </c>
      <c r="V472" s="25">
        <f t="shared" si="237"/>
        <v>0</v>
      </c>
      <c r="W472" s="24">
        <v>1166.6600000000001</v>
      </c>
      <c r="X472" s="25">
        <f t="shared" si="238"/>
        <v>0.86291420118343198</v>
      </c>
      <c r="Y472" s="24">
        <f>K472</f>
        <v>1352</v>
      </c>
      <c r="Z472" s="24">
        <f>Y472</f>
        <v>1352</v>
      </c>
    </row>
    <row r="473" spans="1:26" ht="13.9" customHeight="1">
      <c r="A473" s="15">
        <v>7</v>
      </c>
      <c r="B473" s="15">
        <v>1</v>
      </c>
      <c r="C473" s="15">
        <v>1</v>
      </c>
      <c r="D473" s="83" t="s">
        <v>21</v>
      </c>
      <c r="E473" s="48">
        <v>72</v>
      </c>
      <c r="F473" s="48" t="s">
        <v>25</v>
      </c>
      <c r="G473" s="49">
        <f t="shared" ref="G473:Q473" si="241">SUM(G472:G472)</f>
        <v>958.75</v>
      </c>
      <c r="H473" s="49">
        <f t="shared" si="241"/>
        <v>1072.5</v>
      </c>
      <c r="I473" s="49">
        <f t="shared" si="241"/>
        <v>1080</v>
      </c>
      <c r="J473" s="49">
        <f t="shared" si="241"/>
        <v>1221.0899999999999</v>
      </c>
      <c r="K473" s="49">
        <f t="shared" si="241"/>
        <v>1352</v>
      </c>
      <c r="L473" s="49">
        <f t="shared" si="241"/>
        <v>0</v>
      </c>
      <c r="M473" s="49">
        <f t="shared" si="241"/>
        <v>0</v>
      </c>
      <c r="N473" s="49">
        <f t="shared" si="241"/>
        <v>0</v>
      </c>
      <c r="O473" s="49">
        <f t="shared" si="241"/>
        <v>0</v>
      </c>
      <c r="P473" s="49">
        <f t="shared" si="241"/>
        <v>1352</v>
      </c>
      <c r="Q473" s="49">
        <f t="shared" si="241"/>
        <v>0</v>
      </c>
      <c r="R473" s="50">
        <f t="shared" si="235"/>
        <v>0</v>
      </c>
      <c r="S473" s="49">
        <f>SUM(S472:S472)</f>
        <v>0</v>
      </c>
      <c r="T473" s="50">
        <f t="shared" si="236"/>
        <v>0</v>
      </c>
      <c r="U473" s="49">
        <f>SUM(U472:U472)</f>
        <v>0</v>
      </c>
      <c r="V473" s="50">
        <f t="shared" si="237"/>
        <v>0</v>
      </c>
      <c r="W473" s="49">
        <f>SUM(W472:W472)</f>
        <v>1166.6600000000001</v>
      </c>
      <c r="X473" s="50">
        <f t="shared" si="238"/>
        <v>0.86291420118343198</v>
      </c>
      <c r="Y473" s="49">
        <f>SUM(Y472:Y472)</f>
        <v>1352</v>
      </c>
      <c r="Z473" s="49">
        <f>SUM(Z472:Z472)</f>
        <v>1352</v>
      </c>
    </row>
    <row r="474" spans="1:26" ht="13.9" customHeight="1">
      <c r="A474" s="15">
        <v>7</v>
      </c>
      <c r="B474" s="15">
        <v>1</v>
      </c>
      <c r="C474" s="15">
        <v>1</v>
      </c>
      <c r="D474" s="30"/>
      <c r="E474" s="31"/>
      <c r="F474" s="26" t="s">
        <v>119</v>
      </c>
      <c r="G474" s="27">
        <f t="shared" ref="G474:Q474" si="242">G466+G471+G473</f>
        <v>135062.18</v>
      </c>
      <c r="H474" s="27">
        <f t="shared" si="242"/>
        <v>156386.53999999998</v>
      </c>
      <c r="I474" s="27">
        <f t="shared" si="242"/>
        <v>143769</v>
      </c>
      <c r="J474" s="27">
        <f t="shared" si="242"/>
        <v>149098.97</v>
      </c>
      <c r="K474" s="27">
        <f t="shared" si="242"/>
        <v>168939</v>
      </c>
      <c r="L474" s="27">
        <f t="shared" si="242"/>
        <v>16700</v>
      </c>
      <c r="M474" s="27">
        <f t="shared" si="242"/>
        <v>0</v>
      </c>
      <c r="N474" s="27">
        <f t="shared" si="242"/>
        <v>2935</v>
      </c>
      <c r="O474" s="27">
        <f t="shared" si="242"/>
        <v>505</v>
      </c>
      <c r="P474" s="27">
        <f t="shared" si="242"/>
        <v>189079</v>
      </c>
      <c r="Q474" s="27">
        <f t="shared" si="242"/>
        <v>47857.69</v>
      </c>
      <c r="R474" s="28">
        <f t="shared" si="235"/>
        <v>0.25310949391524179</v>
      </c>
      <c r="S474" s="27">
        <f>S466+S471+S473</f>
        <v>87734.87000000001</v>
      </c>
      <c r="T474" s="28">
        <f t="shared" si="236"/>
        <v>0.4640117093913127</v>
      </c>
      <c r="U474" s="27">
        <f>U466+U471+U473</f>
        <v>124858.01999999999</v>
      </c>
      <c r="V474" s="28">
        <f t="shared" si="237"/>
        <v>0.66034842579027808</v>
      </c>
      <c r="W474" s="27">
        <f>W466+W471+W473</f>
        <v>175543.02</v>
      </c>
      <c r="X474" s="28">
        <f t="shared" si="238"/>
        <v>0.92841098165317137</v>
      </c>
      <c r="Y474" s="27">
        <f>Y466+Y471+Y473</f>
        <v>171911</v>
      </c>
      <c r="Z474" s="27">
        <f>Z466+Z471+Z473</f>
        <v>178492</v>
      </c>
    </row>
    <row r="476" spans="1:26" ht="13.9" customHeight="1">
      <c r="E476" s="52" t="s">
        <v>56</v>
      </c>
      <c r="F476" s="30" t="s">
        <v>139</v>
      </c>
      <c r="G476" s="53">
        <v>2453</v>
      </c>
      <c r="H476" s="53">
        <v>2585</v>
      </c>
      <c r="I476" s="53">
        <v>4333</v>
      </c>
      <c r="J476" s="53">
        <v>3960</v>
      </c>
      <c r="K476" s="53">
        <v>8723</v>
      </c>
      <c r="L476" s="53"/>
      <c r="M476" s="53"/>
      <c r="N476" s="53"/>
      <c r="O476" s="53">
        <v>-1251</v>
      </c>
      <c r="P476" s="53">
        <f>K476+SUM(L476:O476)</f>
        <v>7472</v>
      </c>
      <c r="Q476" s="53">
        <v>1586</v>
      </c>
      <c r="R476" s="54">
        <f>Q476/$P476</f>
        <v>0.21225910064239828</v>
      </c>
      <c r="S476" s="53">
        <v>3625</v>
      </c>
      <c r="T476" s="54">
        <f>S476/$P476</f>
        <v>0.48514453961456105</v>
      </c>
      <c r="U476" s="53">
        <v>5494</v>
      </c>
      <c r="V476" s="54">
        <f>U476/$P476</f>
        <v>0.73527837259100648</v>
      </c>
      <c r="W476" s="53">
        <v>7363</v>
      </c>
      <c r="X476" s="55">
        <f>W476/$P476</f>
        <v>0.98541220556745179</v>
      </c>
      <c r="Y476" s="53">
        <f>K476</f>
        <v>8723</v>
      </c>
      <c r="Z476" s="56">
        <f>Y476</f>
        <v>8723</v>
      </c>
    </row>
    <row r="477" spans="1:26" ht="13.9" customHeight="1">
      <c r="E477" s="57"/>
      <c r="F477" s="91" t="s">
        <v>140</v>
      </c>
      <c r="G477" s="81">
        <v>2148</v>
      </c>
      <c r="H477" s="81">
        <v>1752</v>
      </c>
      <c r="I477" s="81">
        <v>4861</v>
      </c>
      <c r="J477" s="81">
        <v>4856.5</v>
      </c>
      <c r="K477" s="81">
        <v>6567</v>
      </c>
      <c r="L477" s="81"/>
      <c r="M477" s="81"/>
      <c r="N477" s="81"/>
      <c r="O477" s="81">
        <v>42</v>
      </c>
      <c r="P477" s="81">
        <f>K477+SUM(L477:O477)</f>
        <v>6609</v>
      </c>
      <c r="Q477" s="81">
        <v>1194</v>
      </c>
      <c r="R477" s="82">
        <f>Q477/$P477</f>
        <v>0.18066273263731275</v>
      </c>
      <c r="S477" s="81">
        <v>2985</v>
      </c>
      <c r="T477" s="82">
        <f>S477/$P477</f>
        <v>0.4516568315932819</v>
      </c>
      <c r="U477" s="81">
        <v>4776</v>
      </c>
      <c r="V477" s="82">
        <f>U477/$P477</f>
        <v>0.722650930549251</v>
      </c>
      <c r="W477" s="81">
        <v>6567</v>
      </c>
      <c r="X477" s="60">
        <f>W477/$P477</f>
        <v>0.99364502950522016</v>
      </c>
      <c r="Y477" s="81">
        <f>K477</f>
        <v>6567</v>
      </c>
      <c r="Z477" s="61">
        <f>Y477</f>
        <v>6567</v>
      </c>
    </row>
    <row r="478" spans="1:26" ht="13.9" customHeight="1">
      <c r="E478" s="57"/>
      <c r="F478" s="91" t="s">
        <v>247</v>
      </c>
      <c r="G478" s="81"/>
      <c r="H478" s="81"/>
      <c r="I478" s="81"/>
      <c r="J478" s="81"/>
      <c r="K478" s="81">
        <v>3000</v>
      </c>
      <c r="L478" s="81"/>
      <c r="M478" s="81"/>
      <c r="N478" s="81"/>
      <c r="O478" s="81"/>
      <c r="P478" s="81">
        <f>K478+SUM(L478:O478)</f>
        <v>3000</v>
      </c>
      <c r="Q478" s="81">
        <v>0</v>
      </c>
      <c r="R478" s="82">
        <f>Q478/$P478</f>
        <v>0</v>
      </c>
      <c r="S478" s="81">
        <v>0</v>
      </c>
      <c r="T478" s="82">
        <f>S478/$P478</f>
        <v>0</v>
      </c>
      <c r="U478" s="81">
        <v>0</v>
      </c>
      <c r="V478" s="82">
        <f>U478/$P478</f>
        <v>0</v>
      </c>
      <c r="W478" s="81">
        <v>2500</v>
      </c>
      <c r="X478" s="60">
        <f>W478/$P478</f>
        <v>0.83333333333333337</v>
      </c>
      <c r="Y478" s="81">
        <v>250</v>
      </c>
      <c r="Z478" s="61">
        <v>250</v>
      </c>
    </row>
    <row r="479" spans="1:26" ht="13.9" customHeight="1">
      <c r="E479" s="100"/>
      <c r="F479" s="118" t="s">
        <v>248</v>
      </c>
      <c r="G479" s="105">
        <v>13404.89</v>
      </c>
      <c r="H479" s="105">
        <v>12133.27</v>
      </c>
      <c r="I479" s="105">
        <v>13212</v>
      </c>
      <c r="J479" s="105">
        <v>14424.66</v>
      </c>
      <c r="K479" s="105">
        <v>17635</v>
      </c>
      <c r="L479" s="105"/>
      <c r="M479" s="105"/>
      <c r="N479" s="105">
        <v>-1013</v>
      </c>
      <c r="O479" s="105"/>
      <c r="P479" s="105">
        <f>K479+SUM(L479:O479)</f>
        <v>16622</v>
      </c>
      <c r="Q479" s="105">
        <v>4015.13</v>
      </c>
      <c r="R479" s="140">
        <f>Q479/$P479</f>
        <v>0.24155516784983758</v>
      </c>
      <c r="S479" s="105">
        <v>7833.93</v>
      </c>
      <c r="T479" s="140">
        <f>S479/$P479</f>
        <v>0.47129888100108291</v>
      </c>
      <c r="U479" s="105">
        <v>11436.45</v>
      </c>
      <c r="V479" s="140">
        <f>U479/$P479</f>
        <v>0.68803092287330048</v>
      </c>
      <c r="W479" s="105">
        <v>14993.74</v>
      </c>
      <c r="X479" s="141">
        <f>W479/$P479</f>
        <v>0.90204187221754295</v>
      </c>
      <c r="Y479" s="105">
        <f>K479</f>
        <v>17635</v>
      </c>
      <c r="Z479" s="106">
        <f>Y479</f>
        <v>17635</v>
      </c>
    </row>
    <row r="480" spans="1:26" ht="13.9" hidden="1" customHeight="1">
      <c r="E480" s="65"/>
      <c r="F480" s="94" t="s">
        <v>249</v>
      </c>
      <c r="G480" s="67"/>
      <c r="H480" s="67">
        <v>14582.1</v>
      </c>
      <c r="I480" s="67">
        <v>1725</v>
      </c>
      <c r="J480" s="67">
        <v>6469</v>
      </c>
      <c r="K480" s="67">
        <v>0</v>
      </c>
      <c r="L480" s="67"/>
      <c r="M480" s="67"/>
      <c r="N480" s="67"/>
      <c r="O480" s="67"/>
      <c r="P480" s="67">
        <f>K480+SUM(L480:O480)</f>
        <v>0</v>
      </c>
      <c r="Q480" s="67"/>
      <c r="R480" s="68" t="e">
        <f>Q480/$P480</f>
        <v>#DIV/0!</v>
      </c>
      <c r="S480" s="67"/>
      <c r="T480" s="68" t="e">
        <f>S480/$P480</f>
        <v>#DIV/0!</v>
      </c>
      <c r="U480" s="67"/>
      <c r="V480" s="68" t="e">
        <f>U480/$P480</f>
        <v>#DIV/0!</v>
      </c>
      <c r="W480" s="67"/>
      <c r="X480" s="69" t="e">
        <f>W480/$P480</f>
        <v>#DIV/0!</v>
      </c>
      <c r="Y480" s="67">
        <v>0</v>
      </c>
      <c r="Z480" s="70">
        <v>0</v>
      </c>
    </row>
    <row r="482" spans="1:26" ht="13.9" customHeight="1">
      <c r="D482" s="73" t="s">
        <v>250</v>
      </c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4"/>
      <c r="S482" s="73"/>
      <c r="T482" s="74"/>
      <c r="U482" s="73"/>
      <c r="V482" s="74"/>
      <c r="W482" s="73"/>
      <c r="X482" s="74"/>
      <c r="Y482" s="73"/>
      <c r="Z482" s="73"/>
    </row>
    <row r="483" spans="1:26" ht="13.9" customHeight="1">
      <c r="D483" s="21" t="s">
        <v>32</v>
      </c>
      <c r="E483" s="21" t="s">
        <v>33</v>
      </c>
      <c r="F483" s="21" t="s">
        <v>34</v>
      </c>
      <c r="G483" s="21" t="s">
        <v>1</v>
      </c>
      <c r="H483" s="21" t="s">
        <v>2</v>
      </c>
      <c r="I483" s="21" t="s">
        <v>3</v>
      </c>
      <c r="J483" s="21" t="s">
        <v>4</v>
      </c>
      <c r="K483" s="21" t="s">
        <v>5</v>
      </c>
      <c r="L483" s="21" t="s">
        <v>6</v>
      </c>
      <c r="M483" s="21" t="s">
        <v>7</v>
      </c>
      <c r="N483" s="21" t="s">
        <v>8</v>
      </c>
      <c r="O483" s="21" t="s">
        <v>9</v>
      </c>
      <c r="P483" s="21" t="s">
        <v>10</v>
      </c>
      <c r="Q483" s="21" t="s">
        <v>11</v>
      </c>
      <c r="R483" s="22" t="s">
        <v>12</v>
      </c>
      <c r="S483" s="21" t="s">
        <v>13</v>
      </c>
      <c r="T483" s="22" t="s">
        <v>14</v>
      </c>
      <c r="U483" s="21" t="s">
        <v>15</v>
      </c>
      <c r="V483" s="22" t="s">
        <v>16</v>
      </c>
      <c r="W483" s="21" t="s">
        <v>17</v>
      </c>
      <c r="X483" s="22" t="s">
        <v>18</v>
      </c>
      <c r="Y483" s="21" t="s">
        <v>19</v>
      </c>
      <c r="Z483" s="21" t="s">
        <v>20</v>
      </c>
    </row>
    <row r="484" spans="1:26" ht="13.9" customHeight="1">
      <c r="A484" s="15">
        <v>7</v>
      </c>
      <c r="B484" s="15">
        <v>1</v>
      </c>
      <c r="C484" s="15">
        <v>2</v>
      </c>
      <c r="D484" s="90" t="s">
        <v>246</v>
      </c>
      <c r="E484" s="23">
        <v>630</v>
      </c>
      <c r="F484" s="23" t="s">
        <v>126</v>
      </c>
      <c r="G484" s="24">
        <v>1703.4</v>
      </c>
      <c r="H484" s="24">
        <v>1936.95</v>
      </c>
      <c r="I484" s="24">
        <v>2500</v>
      </c>
      <c r="J484" s="24">
        <v>1817</v>
      </c>
      <c r="K484" s="24">
        <v>3500</v>
      </c>
      <c r="L484" s="24"/>
      <c r="M484" s="24"/>
      <c r="N484" s="24"/>
      <c r="O484" s="24"/>
      <c r="P484" s="24">
        <f>K484+SUM(L484:O484)</f>
        <v>3500</v>
      </c>
      <c r="Q484" s="24">
        <v>274.79000000000002</v>
      </c>
      <c r="R484" s="25">
        <f>Q484/$P484</f>
        <v>7.8511428571428579E-2</v>
      </c>
      <c r="S484" s="24">
        <v>2034.79</v>
      </c>
      <c r="T484" s="25">
        <f>S484/$P484</f>
        <v>0.58136857142857146</v>
      </c>
      <c r="U484" s="24">
        <v>2904.05</v>
      </c>
      <c r="V484" s="25">
        <f>U484/$P484</f>
        <v>0.82972857142857148</v>
      </c>
      <c r="W484" s="24">
        <v>2904.05</v>
      </c>
      <c r="X484" s="25">
        <f>W484/$P484</f>
        <v>0.82972857142857148</v>
      </c>
      <c r="Y484" s="24">
        <f>K484</f>
        <v>3500</v>
      </c>
      <c r="Z484" s="24">
        <f>Y484</f>
        <v>3500</v>
      </c>
    </row>
    <row r="485" spans="1:26" ht="13.9" customHeight="1">
      <c r="A485" s="15">
        <v>7</v>
      </c>
      <c r="B485" s="15">
        <v>1</v>
      </c>
      <c r="C485" s="15">
        <v>2</v>
      </c>
      <c r="D485" s="83" t="s">
        <v>21</v>
      </c>
      <c r="E485" s="48">
        <v>41</v>
      </c>
      <c r="F485" s="48" t="s">
        <v>23</v>
      </c>
      <c r="G485" s="49">
        <f t="shared" ref="G485:Q485" si="243">SUM(G484:G484)</f>
        <v>1703.4</v>
      </c>
      <c r="H485" s="49">
        <f t="shared" si="243"/>
        <v>1936.95</v>
      </c>
      <c r="I485" s="49">
        <f t="shared" si="243"/>
        <v>2500</v>
      </c>
      <c r="J485" s="49">
        <f t="shared" si="243"/>
        <v>1817</v>
      </c>
      <c r="K485" s="49">
        <f t="shared" si="243"/>
        <v>3500</v>
      </c>
      <c r="L485" s="49">
        <f t="shared" si="243"/>
        <v>0</v>
      </c>
      <c r="M485" s="49">
        <f t="shared" si="243"/>
        <v>0</v>
      </c>
      <c r="N485" s="49">
        <f t="shared" si="243"/>
        <v>0</v>
      </c>
      <c r="O485" s="49">
        <f t="shared" si="243"/>
        <v>0</v>
      </c>
      <c r="P485" s="49">
        <f t="shared" si="243"/>
        <v>3500</v>
      </c>
      <c r="Q485" s="49">
        <f t="shared" si="243"/>
        <v>274.79000000000002</v>
      </c>
      <c r="R485" s="50">
        <f>Q485/$P485</f>
        <v>7.8511428571428579E-2</v>
      </c>
      <c r="S485" s="49">
        <f>SUM(S484:S484)</f>
        <v>2034.79</v>
      </c>
      <c r="T485" s="50">
        <f>S485/$P485</f>
        <v>0.58136857142857146</v>
      </c>
      <c r="U485" s="49">
        <f>SUM(U484:U484)</f>
        <v>2904.05</v>
      </c>
      <c r="V485" s="50">
        <f>U485/$P485</f>
        <v>0.82972857142857148</v>
      </c>
      <c r="W485" s="49">
        <f>SUM(W484:W484)</f>
        <v>2904.05</v>
      </c>
      <c r="X485" s="50">
        <f>W485/$P485</f>
        <v>0.82972857142857148</v>
      </c>
      <c r="Y485" s="49">
        <f>SUM(Y484:Y484)</f>
        <v>3500</v>
      </c>
      <c r="Z485" s="49">
        <f>SUM(Z484:Z484)</f>
        <v>3500</v>
      </c>
    </row>
    <row r="486" spans="1:26" ht="13.9" customHeight="1">
      <c r="A486" s="15">
        <v>7</v>
      </c>
      <c r="B486" s="15">
        <v>1</v>
      </c>
      <c r="C486" s="15">
        <v>2</v>
      </c>
      <c r="D486" s="85"/>
      <c r="E486" s="86"/>
      <c r="F486" s="26" t="s">
        <v>119</v>
      </c>
      <c r="G486" s="27">
        <f t="shared" ref="G486:Q486" si="244">G485</f>
        <v>1703.4</v>
      </c>
      <c r="H486" s="27">
        <f t="shared" si="244"/>
        <v>1936.95</v>
      </c>
      <c r="I486" s="27">
        <f t="shared" si="244"/>
        <v>2500</v>
      </c>
      <c r="J486" s="27">
        <f t="shared" si="244"/>
        <v>1817</v>
      </c>
      <c r="K486" s="27">
        <f t="shared" si="244"/>
        <v>3500</v>
      </c>
      <c r="L486" s="27">
        <f t="shared" si="244"/>
        <v>0</v>
      </c>
      <c r="M486" s="27">
        <f t="shared" si="244"/>
        <v>0</v>
      </c>
      <c r="N486" s="27">
        <f t="shared" si="244"/>
        <v>0</v>
      </c>
      <c r="O486" s="27">
        <f t="shared" si="244"/>
        <v>0</v>
      </c>
      <c r="P486" s="27">
        <f t="shared" si="244"/>
        <v>3500</v>
      </c>
      <c r="Q486" s="27">
        <f t="shared" si="244"/>
        <v>274.79000000000002</v>
      </c>
      <c r="R486" s="28">
        <f>Q486/$P486</f>
        <v>7.8511428571428579E-2</v>
      </c>
      <c r="S486" s="27">
        <f>S485</f>
        <v>2034.79</v>
      </c>
      <c r="T486" s="28">
        <f>S486/$P486</f>
        <v>0.58136857142857146</v>
      </c>
      <c r="U486" s="27">
        <f>U485</f>
        <v>2904.05</v>
      </c>
      <c r="V486" s="28">
        <f>U486/$P486</f>
        <v>0.82972857142857148</v>
      </c>
      <c r="W486" s="27">
        <f>W485</f>
        <v>2904.05</v>
      </c>
      <c r="X486" s="28">
        <f>W486/$P486</f>
        <v>0.82972857142857148</v>
      </c>
      <c r="Y486" s="27">
        <f>Y485</f>
        <v>3500</v>
      </c>
      <c r="Z486" s="27">
        <f>Z485</f>
        <v>3500</v>
      </c>
    </row>
    <row r="488" spans="1:26" ht="13.9" customHeight="1">
      <c r="D488" s="41" t="s">
        <v>251</v>
      </c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2"/>
      <c r="S488" s="41"/>
      <c r="T488" s="42"/>
      <c r="U488" s="41"/>
      <c r="V488" s="42"/>
      <c r="W488" s="41"/>
      <c r="X488" s="42"/>
      <c r="Y488" s="41"/>
      <c r="Z488" s="41"/>
    </row>
    <row r="489" spans="1:26" ht="13.9" customHeight="1">
      <c r="D489" s="21" t="s">
        <v>32</v>
      </c>
      <c r="E489" s="21" t="s">
        <v>33</v>
      </c>
      <c r="F489" s="21" t="s">
        <v>34</v>
      </c>
      <c r="G489" s="21" t="s">
        <v>1</v>
      </c>
      <c r="H489" s="21" t="s">
        <v>2</v>
      </c>
      <c r="I489" s="21" t="s">
        <v>3</v>
      </c>
      <c r="J489" s="21" t="s">
        <v>4</v>
      </c>
      <c r="K489" s="21" t="s">
        <v>5</v>
      </c>
      <c r="L489" s="21" t="s">
        <v>6</v>
      </c>
      <c r="M489" s="21" t="s">
        <v>7</v>
      </c>
      <c r="N489" s="21" t="s">
        <v>8</v>
      </c>
      <c r="O489" s="21" t="s">
        <v>9</v>
      </c>
      <c r="P489" s="21" t="s">
        <v>10</v>
      </c>
      <c r="Q489" s="21" t="s">
        <v>11</v>
      </c>
      <c r="R489" s="22" t="s">
        <v>12</v>
      </c>
      <c r="S489" s="21" t="s">
        <v>13</v>
      </c>
      <c r="T489" s="22" t="s">
        <v>14</v>
      </c>
      <c r="U489" s="21" t="s">
        <v>15</v>
      </c>
      <c r="V489" s="22" t="s">
        <v>16</v>
      </c>
      <c r="W489" s="21" t="s">
        <v>17</v>
      </c>
      <c r="X489" s="22" t="s">
        <v>18</v>
      </c>
      <c r="Y489" s="21" t="s">
        <v>19</v>
      </c>
      <c r="Z489" s="21" t="s">
        <v>20</v>
      </c>
    </row>
    <row r="490" spans="1:26" ht="13.9" customHeight="1">
      <c r="A490" s="15">
        <v>7</v>
      </c>
      <c r="B490" s="15">
        <v>2</v>
      </c>
      <c r="D490" s="51" t="s">
        <v>252</v>
      </c>
      <c r="E490" s="23">
        <v>640</v>
      </c>
      <c r="F490" s="23" t="s">
        <v>127</v>
      </c>
      <c r="G490" s="46">
        <v>4587.3100000000004</v>
      </c>
      <c r="H490" s="46">
        <v>7154.1</v>
      </c>
      <c r="I490" s="46">
        <v>7172</v>
      </c>
      <c r="J490" s="46">
        <v>7865.77</v>
      </c>
      <c r="K490" s="46">
        <v>7880</v>
      </c>
      <c r="L490" s="46"/>
      <c r="M490" s="46"/>
      <c r="N490" s="46">
        <v>849</v>
      </c>
      <c r="O490" s="46">
        <v>480</v>
      </c>
      <c r="P490" s="46">
        <f>K490+SUM(L490:O490)</f>
        <v>9209</v>
      </c>
      <c r="Q490" s="46">
        <v>1891.5</v>
      </c>
      <c r="R490" s="47">
        <f t="shared" ref="R490:R496" si="245">Q490/$P490</f>
        <v>0.20539689434249103</v>
      </c>
      <c r="S490" s="46">
        <v>4697</v>
      </c>
      <c r="T490" s="47">
        <f t="shared" ref="T490:T496" si="246">S490/$P490</f>
        <v>0.51004452166358993</v>
      </c>
      <c r="U490" s="46">
        <v>7864.2</v>
      </c>
      <c r="V490" s="47">
        <f t="shared" ref="V490:V496" si="247">U490/$P490</f>
        <v>0.85396894342491037</v>
      </c>
      <c r="W490" s="46">
        <v>9209.2999999999993</v>
      </c>
      <c r="X490" s="47">
        <f t="shared" ref="X490:X496" si="248">W490/$P490</f>
        <v>1.0000325768270171</v>
      </c>
      <c r="Y490" s="24">
        <f>K490</f>
        <v>7880</v>
      </c>
      <c r="Z490" s="24">
        <f>Y490</f>
        <v>7880</v>
      </c>
    </row>
    <row r="491" spans="1:26" ht="13.9" customHeight="1">
      <c r="A491" s="15">
        <v>7</v>
      </c>
      <c r="B491" s="15">
        <v>2</v>
      </c>
      <c r="D491" s="10" t="s">
        <v>253</v>
      </c>
      <c r="E491" s="23">
        <v>630</v>
      </c>
      <c r="F491" s="23" t="s">
        <v>126</v>
      </c>
      <c r="G491" s="46">
        <v>13994.4</v>
      </c>
      <c r="H491" s="46">
        <v>22228.799999999999</v>
      </c>
      <c r="I491" s="46">
        <v>0</v>
      </c>
      <c r="J491" s="46">
        <v>30899.4</v>
      </c>
      <c r="K491" s="46">
        <v>2838</v>
      </c>
      <c r="L491" s="46"/>
      <c r="M491" s="46"/>
      <c r="N491" s="46"/>
      <c r="O491" s="46"/>
      <c r="P491" s="46">
        <f>K491+SUM(L491:O491)</f>
        <v>2838</v>
      </c>
      <c r="Q491" s="46">
        <v>2837.9</v>
      </c>
      <c r="R491" s="47">
        <f t="shared" si="245"/>
        <v>0.99996476391825229</v>
      </c>
      <c r="S491" s="46">
        <v>2837.9</v>
      </c>
      <c r="T491" s="47">
        <f t="shared" si="246"/>
        <v>0.99996476391825229</v>
      </c>
      <c r="U491" s="46">
        <v>2837.9</v>
      </c>
      <c r="V491" s="47">
        <f t="shared" si="247"/>
        <v>0.99996476391825229</v>
      </c>
      <c r="W491" s="46">
        <v>2837.9</v>
      </c>
      <c r="X491" s="47">
        <f t="shared" si="248"/>
        <v>0.99996476391825229</v>
      </c>
      <c r="Y491" s="24">
        <v>0</v>
      </c>
      <c r="Z491" s="24">
        <f>Y491</f>
        <v>0</v>
      </c>
    </row>
    <row r="492" spans="1:26" ht="13.9" customHeight="1">
      <c r="A492" s="15">
        <v>7</v>
      </c>
      <c r="B492" s="15">
        <v>2</v>
      </c>
      <c r="D492" s="10"/>
      <c r="E492" s="23">
        <v>640</v>
      </c>
      <c r="F492" s="23" t="s">
        <v>127</v>
      </c>
      <c r="G492" s="46">
        <v>0</v>
      </c>
      <c r="H492" s="46">
        <v>0</v>
      </c>
      <c r="I492" s="46">
        <v>0</v>
      </c>
      <c r="J492" s="46">
        <v>22985.5</v>
      </c>
      <c r="K492" s="46">
        <v>1362</v>
      </c>
      <c r="L492" s="46">
        <v>2100</v>
      </c>
      <c r="M492" s="46">
        <v>15430</v>
      </c>
      <c r="N492" s="46">
        <f>4092+7523</f>
        <v>11615</v>
      </c>
      <c r="O492" s="46">
        <v>14353</v>
      </c>
      <c r="P492" s="46">
        <f>K492+SUM(L492:O492)</f>
        <v>44860</v>
      </c>
      <c r="Q492" s="46">
        <v>1362</v>
      </c>
      <c r="R492" s="47">
        <f t="shared" si="245"/>
        <v>3.0361123495318769E-2</v>
      </c>
      <c r="S492" s="46">
        <v>18892</v>
      </c>
      <c r="T492" s="47">
        <f t="shared" si="246"/>
        <v>0.42113241194828355</v>
      </c>
      <c r="U492" s="46">
        <v>26898</v>
      </c>
      <c r="V492" s="47">
        <f t="shared" si="247"/>
        <v>0.59959875167186805</v>
      </c>
      <c r="W492" s="46">
        <v>44860</v>
      </c>
      <c r="X492" s="47">
        <f t="shared" si="248"/>
        <v>1</v>
      </c>
      <c r="Y492" s="24">
        <v>0</v>
      </c>
      <c r="Z492" s="24">
        <f>Y492</f>
        <v>0</v>
      </c>
    </row>
    <row r="493" spans="1:26" ht="13.9" customHeight="1">
      <c r="A493" s="15">
        <v>7</v>
      </c>
      <c r="B493" s="15">
        <v>2</v>
      </c>
      <c r="D493" s="83" t="s">
        <v>21</v>
      </c>
      <c r="E493" s="48" t="s">
        <v>254</v>
      </c>
      <c r="F493" s="48" t="s">
        <v>129</v>
      </c>
      <c r="G493" s="49">
        <f t="shared" ref="G493:Q493" si="249">SUM(G490:G492)</f>
        <v>18581.71</v>
      </c>
      <c r="H493" s="49">
        <f t="shared" si="249"/>
        <v>29382.9</v>
      </c>
      <c r="I493" s="49">
        <f t="shared" si="249"/>
        <v>7172</v>
      </c>
      <c r="J493" s="49">
        <f t="shared" si="249"/>
        <v>61750.67</v>
      </c>
      <c r="K493" s="49">
        <f t="shared" si="249"/>
        <v>12080</v>
      </c>
      <c r="L493" s="49">
        <f t="shared" si="249"/>
        <v>2100</v>
      </c>
      <c r="M493" s="49">
        <f t="shared" si="249"/>
        <v>15430</v>
      </c>
      <c r="N493" s="49">
        <f t="shared" si="249"/>
        <v>12464</v>
      </c>
      <c r="O493" s="49">
        <f t="shared" si="249"/>
        <v>14833</v>
      </c>
      <c r="P493" s="49">
        <f t="shared" si="249"/>
        <v>56907</v>
      </c>
      <c r="Q493" s="49">
        <f t="shared" si="249"/>
        <v>6091.4</v>
      </c>
      <c r="R493" s="50">
        <f t="shared" si="245"/>
        <v>0.10704131301948792</v>
      </c>
      <c r="S493" s="49">
        <f>SUM(S490:S492)</f>
        <v>26426.9</v>
      </c>
      <c r="T493" s="50">
        <f t="shared" si="246"/>
        <v>0.46438750944523521</v>
      </c>
      <c r="U493" s="49">
        <f>SUM(U490:U492)</f>
        <v>37600.1</v>
      </c>
      <c r="V493" s="50">
        <f t="shared" si="247"/>
        <v>0.66072890857012312</v>
      </c>
      <c r="W493" s="49">
        <f>SUM(W490:W492)</f>
        <v>56907.199999999997</v>
      </c>
      <c r="X493" s="50">
        <f t="shared" si="248"/>
        <v>1.0000035145061239</v>
      </c>
      <c r="Y493" s="49">
        <f>SUM(Y490:Y492)</f>
        <v>7880</v>
      </c>
      <c r="Z493" s="49">
        <f>SUM(Z490:Z492)</f>
        <v>7880</v>
      </c>
    </row>
    <row r="494" spans="1:26" ht="13.9" customHeight="1">
      <c r="A494" s="15">
        <v>7</v>
      </c>
      <c r="B494" s="15">
        <v>2</v>
      </c>
      <c r="D494" s="145" t="s">
        <v>252</v>
      </c>
      <c r="E494" s="23">
        <v>640</v>
      </c>
      <c r="F494" s="23" t="s">
        <v>127</v>
      </c>
      <c r="G494" s="24">
        <v>1200</v>
      </c>
      <c r="H494" s="24">
        <v>4500</v>
      </c>
      <c r="I494" s="24">
        <v>4400</v>
      </c>
      <c r="J494" s="24">
        <v>3600</v>
      </c>
      <c r="K494" s="24">
        <v>3600</v>
      </c>
      <c r="L494" s="24"/>
      <c r="M494" s="24"/>
      <c r="N494" s="24"/>
      <c r="O494" s="24"/>
      <c r="P494" s="24">
        <f>K494+SUM(L494:O494)</f>
        <v>3600</v>
      </c>
      <c r="Q494" s="24">
        <v>400</v>
      </c>
      <c r="R494" s="25">
        <f t="shared" si="245"/>
        <v>0.1111111111111111</v>
      </c>
      <c r="S494" s="24">
        <v>1000</v>
      </c>
      <c r="T494" s="25">
        <f t="shared" si="246"/>
        <v>0.27777777777777779</v>
      </c>
      <c r="U494" s="24">
        <v>1500</v>
      </c>
      <c r="V494" s="25">
        <f t="shared" si="247"/>
        <v>0.41666666666666669</v>
      </c>
      <c r="W494" s="24">
        <v>1800</v>
      </c>
      <c r="X494" s="25">
        <f t="shared" si="248"/>
        <v>0.5</v>
      </c>
      <c r="Y494" s="24">
        <f>K494</f>
        <v>3600</v>
      </c>
      <c r="Z494" s="24">
        <f>Y494</f>
        <v>3600</v>
      </c>
    </row>
    <row r="495" spans="1:26" ht="13.9" customHeight="1">
      <c r="A495" s="15">
        <v>7</v>
      </c>
      <c r="B495" s="15">
        <v>2</v>
      </c>
      <c r="D495" s="83" t="s">
        <v>21</v>
      </c>
      <c r="E495" s="48">
        <v>41</v>
      </c>
      <c r="F495" s="48" t="s">
        <v>23</v>
      </c>
      <c r="G495" s="49">
        <f t="shared" ref="G495:Q495" si="250">SUM(G494:G494)</f>
        <v>1200</v>
      </c>
      <c r="H495" s="49">
        <f t="shared" si="250"/>
        <v>4500</v>
      </c>
      <c r="I495" s="49">
        <f t="shared" si="250"/>
        <v>4400</v>
      </c>
      <c r="J495" s="49">
        <f t="shared" si="250"/>
        <v>3600</v>
      </c>
      <c r="K495" s="49">
        <f t="shared" si="250"/>
        <v>3600</v>
      </c>
      <c r="L495" s="49">
        <f t="shared" si="250"/>
        <v>0</v>
      </c>
      <c r="M495" s="49">
        <f t="shared" si="250"/>
        <v>0</v>
      </c>
      <c r="N495" s="49">
        <f t="shared" si="250"/>
        <v>0</v>
      </c>
      <c r="O495" s="49">
        <f t="shared" si="250"/>
        <v>0</v>
      </c>
      <c r="P495" s="49">
        <f t="shared" si="250"/>
        <v>3600</v>
      </c>
      <c r="Q495" s="49">
        <f t="shared" si="250"/>
        <v>400</v>
      </c>
      <c r="R495" s="50">
        <f t="shared" si="245"/>
        <v>0.1111111111111111</v>
      </c>
      <c r="S495" s="49">
        <f>SUM(S494:S494)</f>
        <v>1000</v>
      </c>
      <c r="T495" s="50">
        <f t="shared" si="246"/>
        <v>0.27777777777777779</v>
      </c>
      <c r="U495" s="49">
        <f>SUM(U494:U494)</f>
        <v>1500</v>
      </c>
      <c r="V495" s="50">
        <f t="shared" si="247"/>
        <v>0.41666666666666669</v>
      </c>
      <c r="W495" s="49">
        <f>SUM(W494:W494)</f>
        <v>1800</v>
      </c>
      <c r="X495" s="50">
        <f t="shared" si="248"/>
        <v>0.5</v>
      </c>
      <c r="Y495" s="49">
        <f>SUM(Y494:Y494)</f>
        <v>3600</v>
      </c>
      <c r="Z495" s="49">
        <f>SUM(Z494:Z494)</f>
        <v>3600</v>
      </c>
    </row>
    <row r="496" spans="1:26" ht="13.9" customHeight="1">
      <c r="A496" s="15">
        <v>7</v>
      </c>
      <c r="B496" s="15">
        <v>2</v>
      </c>
      <c r="D496" s="30"/>
      <c r="E496" s="31"/>
      <c r="F496" s="26" t="s">
        <v>119</v>
      </c>
      <c r="G496" s="27">
        <f t="shared" ref="G496:Q496" si="251">G493+G495</f>
        <v>19781.71</v>
      </c>
      <c r="H496" s="27">
        <f t="shared" si="251"/>
        <v>33882.9</v>
      </c>
      <c r="I496" s="27">
        <f t="shared" si="251"/>
        <v>11572</v>
      </c>
      <c r="J496" s="27">
        <f t="shared" si="251"/>
        <v>65350.67</v>
      </c>
      <c r="K496" s="27">
        <f t="shared" si="251"/>
        <v>15680</v>
      </c>
      <c r="L496" s="27">
        <f t="shared" si="251"/>
        <v>2100</v>
      </c>
      <c r="M496" s="27">
        <f t="shared" si="251"/>
        <v>15430</v>
      </c>
      <c r="N496" s="27">
        <f t="shared" si="251"/>
        <v>12464</v>
      </c>
      <c r="O496" s="27">
        <f t="shared" si="251"/>
        <v>14833</v>
      </c>
      <c r="P496" s="27">
        <f t="shared" si="251"/>
        <v>60507</v>
      </c>
      <c r="Q496" s="27">
        <f t="shared" si="251"/>
        <v>6491.4</v>
      </c>
      <c r="R496" s="28">
        <f t="shared" si="245"/>
        <v>0.10728345480688184</v>
      </c>
      <c r="S496" s="27">
        <f>S493+S495</f>
        <v>27426.9</v>
      </c>
      <c r="T496" s="28">
        <f t="shared" si="246"/>
        <v>0.45328474391392731</v>
      </c>
      <c r="U496" s="27">
        <f>U493+U495</f>
        <v>39100.1</v>
      </c>
      <c r="V496" s="28">
        <f t="shared" si="247"/>
        <v>0.64620787677458802</v>
      </c>
      <c r="W496" s="27">
        <f>W493+W495</f>
        <v>58707.199999999997</v>
      </c>
      <c r="X496" s="28">
        <f t="shared" si="248"/>
        <v>0.97025468127654646</v>
      </c>
      <c r="Y496" s="27">
        <f>Y493+Y495</f>
        <v>11480</v>
      </c>
      <c r="Z496" s="27">
        <f>Z493+Z495</f>
        <v>11480</v>
      </c>
    </row>
    <row r="498" spans="1:26" ht="13.9" customHeight="1">
      <c r="E498" s="52" t="s">
        <v>56</v>
      </c>
      <c r="F498" s="30" t="s">
        <v>255</v>
      </c>
      <c r="G498" s="53">
        <v>1200</v>
      </c>
      <c r="H498" s="53">
        <v>4500</v>
      </c>
      <c r="I498" s="53">
        <v>4400</v>
      </c>
      <c r="J498" s="53">
        <v>3600</v>
      </c>
      <c r="K498" s="53">
        <v>3600</v>
      </c>
      <c r="L498" s="53"/>
      <c r="M498" s="53"/>
      <c r="N498" s="53"/>
      <c r="O498" s="53"/>
      <c r="P498" s="53">
        <f>K498+SUM(L498:O498)</f>
        <v>3600</v>
      </c>
      <c r="Q498" s="53">
        <v>400</v>
      </c>
      <c r="R498" s="54">
        <f>Q498/$P498</f>
        <v>0.1111111111111111</v>
      </c>
      <c r="S498" s="53">
        <v>1000</v>
      </c>
      <c r="T498" s="54">
        <f>S498/$P498</f>
        <v>0.27777777777777779</v>
      </c>
      <c r="U498" s="53">
        <v>1500</v>
      </c>
      <c r="V498" s="54">
        <f>U498/$P498</f>
        <v>0.41666666666666669</v>
      </c>
      <c r="W498" s="53">
        <v>1800</v>
      </c>
      <c r="X498" s="55">
        <f>W498/$P498</f>
        <v>0.5</v>
      </c>
      <c r="Y498" s="53">
        <f>K498</f>
        <v>3600</v>
      </c>
      <c r="Z498" s="56">
        <f>Y498</f>
        <v>3600</v>
      </c>
    </row>
    <row r="499" spans="1:26" ht="13.9" customHeight="1">
      <c r="E499" s="57"/>
      <c r="F499" s="91" t="s">
        <v>80</v>
      </c>
      <c r="G499" s="81">
        <v>4487.71</v>
      </c>
      <c r="H499" s="81">
        <v>7120.9</v>
      </c>
      <c r="I499" s="81">
        <v>7172</v>
      </c>
      <c r="J499" s="81">
        <v>7865.27</v>
      </c>
      <c r="K499" s="81">
        <v>7880</v>
      </c>
      <c r="L499" s="81"/>
      <c r="M499" s="81"/>
      <c r="N499" s="81">
        <v>849</v>
      </c>
      <c r="O499" s="81">
        <v>480</v>
      </c>
      <c r="P499" s="81">
        <f>K499+SUM(L499:O499)</f>
        <v>9209</v>
      </c>
      <c r="Q499" s="81">
        <v>1891.5</v>
      </c>
      <c r="R499" s="82">
        <f>Q499/$P499</f>
        <v>0.20539689434249103</v>
      </c>
      <c r="S499" s="81">
        <v>4697</v>
      </c>
      <c r="T499" s="82">
        <f>S499/$P499</f>
        <v>0.51004452166358993</v>
      </c>
      <c r="U499" s="81">
        <v>7864.2</v>
      </c>
      <c r="V499" s="82">
        <f>U499/$P499</f>
        <v>0.85396894342491037</v>
      </c>
      <c r="W499" s="81">
        <v>9209.2999999999993</v>
      </c>
      <c r="X499" s="60">
        <f>W499/$P499</f>
        <v>1.0000325768270171</v>
      </c>
      <c r="Y499" s="81">
        <f>K499</f>
        <v>7880</v>
      </c>
      <c r="Z499" s="61">
        <f>Y499</f>
        <v>7880</v>
      </c>
    </row>
    <row r="500" spans="1:26" ht="13.9" customHeight="1">
      <c r="E500" s="57"/>
      <c r="F500" s="91" t="s">
        <v>256</v>
      </c>
      <c r="G500" s="81">
        <v>13994.4</v>
      </c>
      <c r="H500" s="81">
        <v>22228.799999999999</v>
      </c>
      <c r="I500" s="81"/>
      <c r="J500" s="81">
        <v>30899.4</v>
      </c>
      <c r="K500" s="81">
        <v>2838</v>
      </c>
      <c r="L500" s="81"/>
      <c r="M500" s="81"/>
      <c r="N500" s="81"/>
      <c r="O500" s="81"/>
      <c r="P500" s="81">
        <f>K500+SUM(L500:O500)</f>
        <v>2838</v>
      </c>
      <c r="Q500" s="81">
        <v>2837.9</v>
      </c>
      <c r="R500" s="82">
        <f>Q500/$P500</f>
        <v>0.99996476391825229</v>
      </c>
      <c r="S500" s="81">
        <v>2837.9</v>
      </c>
      <c r="T500" s="82">
        <f>S500/$P500</f>
        <v>0.99996476391825229</v>
      </c>
      <c r="U500" s="81">
        <v>2837.9</v>
      </c>
      <c r="V500" s="82">
        <f>U500/$P500</f>
        <v>0.99996476391825229</v>
      </c>
      <c r="W500" s="81">
        <v>2837.9</v>
      </c>
      <c r="X500" s="60">
        <v>0</v>
      </c>
      <c r="Y500" s="81"/>
      <c r="Z500" s="61"/>
    </row>
    <row r="501" spans="1:26" ht="13.9" customHeight="1">
      <c r="E501" s="65"/>
      <c r="F501" s="94" t="s">
        <v>87</v>
      </c>
      <c r="G501" s="67"/>
      <c r="H501" s="67"/>
      <c r="I501" s="67"/>
      <c r="J501" s="67">
        <v>22985.5</v>
      </c>
      <c r="K501" s="67">
        <v>1362</v>
      </c>
      <c r="L501" s="67">
        <v>2100</v>
      </c>
      <c r="M501" s="67">
        <v>15430</v>
      </c>
      <c r="N501" s="67">
        <f>4092+7523</f>
        <v>11615</v>
      </c>
      <c r="O501" s="67">
        <v>14353</v>
      </c>
      <c r="P501" s="67">
        <f>K501+SUM(L501:O501)</f>
        <v>44860</v>
      </c>
      <c r="Q501" s="67">
        <v>1362</v>
      </c>
      <c r="R501" s="68">
        <f>Q501/$P501</f>
        <v>3.0361123495318769E-2</v>
      </c>
      <c r="S501" s="67">
        <v>18892</v>
      </c>
      <c r="T501" s="68">
        <f>S501/$P501</f>
        <v>0.42113241194828355</v>
      </c>
      <c r="U501" s="67">
        <v>26898</v>
      </c>
      <c r="V501" s="68">
        <f>U501/$P501</f>
        <v>0.59959875167186805</v>
      </c>
      <c r="W501" s="67">
        <v>44860</v>
      </c>
      <c r="X501" s="69">
        <v>0</v>
      </c>
      <c r="Y501" s="67"/>
      <c r="Z501" s="70"/>
    </row>
    <row r="503" spans="1:26" ht="13.9" customHeight="1">
      <c r="D503" s="32" t="s">
        <v>257</v>
      </c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3"/>
      <c r="S503" s="32"/>
      <c r="T503" s="33"/>
      <c r="U503" s="32"/>
      <c r="V503" s="33"/>
      <c r="W503" s="32"/>
      <c r="X503" s="33"/>
      <c r="Y503" s="32"/>
      <c r="Z503" s="32"/>
    </row>
    <row r="504" spans="1:26" ht="13.9" customHeight="1">
      <c r="D504" s="20"/>
      <c r="E504" s="20"/>
      <c r="F504" s="20"/>
      <c r="G504" s="21" t="s">
        <v>1</v>
      </c>
      <c r="H504" s="21" t="s">
        <v>2</v>
      </c>
      <c r="I504" s="21" t="s">
        <v>3</v>
      </c>
      <c r="J504" s="21" t="s">
        <v>4</v>
      </c>
      <c r="K504" s="21" t="s">
        <v>5</v>
      </c>
      <c r="L504" s="21" t="s">
        <v>6</v>
      </c>
      <c r="M504" s="21" t="s">
        <v>7</v>
      </c>
      <c r="N504" s="21" t="s">
        <v>8</v>
      </c>
      <c r="O504" s="21" t="s">
        <v>9</v>
      </c>
      <c r="P504" s="21" t="s">
        <v>10</v>
      </c>
      <c r="Q504" s="21" t="s">
        <v>11</v>
      </c>
      <c r="R504" s="22" t="s">
        <v>12</v>
      </c>
      <c r="S504" s="21" t="s">
        <v>13</v>
      </c>
      <c r="T504" s="22" t="s">
        <v>14</v>
      </c>
      <c r="U504" s="21" t="s">
        <v>15</v>
      </c>
      <c r="V504" s="22" t="s">
        <v>16</v>
      </c>
      <c r="W504" s="21" t="s">
        <v>17</v>
      </c>
      <c r="X504" s="22" t="s">
        <v>18</v>
      </c>
      <c r="Y504" s="21" t="s">
        <v>19</v>
      </c>
      <c r="Z504" s="21" t="s">
        <v>20</v>
      </c>
    </row>
    <row r="505" spans="1:26" ht="13.9" customHeight="1">
      <c r="A505" s="15">
        <v>8</v>
      </c>
      <c r="D505" s="12" t="s">
        <v>21</v>
      </c>
      <c r="E505" s="35">
        <v>111</v>
      </c>
      <c r="F505" s="35" t="s">
        <v>46</v>
      </c>
      <c r="G505" s="36">
        <f t="shared" ref="G505:Q505" si="252">G521+G549+G564+G580</f>
        <v>0</v>
      </c>
      <c r="H505" s="36">
        <f t="shared" si="252"/>
        <v>89115.6</v>
      </c>
      <c r="I505" s="36">
        <f t="shared" si="252"/>
        <v>366765</v>
      </c>
      <c r="J505" s="36">
        <f t="shared" si="252"/>
        <v>190577.56</v>
      </c>
      <c r="K505" s="36">
        <f t="shared" si="252"/>
        <v>400935</v>
      </c>
      <c r="L505" s="36">
        <f t="shared" si="252"/>
        <v>0</v>
      </c>
      <c r="M505" s="36">
        <f t="shared" si="252"/>
        <v>0</v>
      </c>
      <c r="N505" s="36">
        <f t="shared" si="252"/>
        <v>46828</v>
      </c>
      <c r="O505" s="36">
        <f t="shared" si="252"/>
        <v>0</v>
      </c>
      <c r="P505" s="36">
        <f t="shared" si="252"/>
        <v>447763</v>
      </c>
      <c r="Q505" s="36">
        <f t="shared" si="252"/>
        <v>150933.32999999999</v>
      </c>
      <c r="R505" s="37">
        <f>Q505/$P505</f>
        <v>0.33708307743158766</v>
      </c>
      <c r="S505" s="36">
        <f>S521+S549+S564+S580</f>
        <v>150933.32999999999</v>
      </c>
      <c r="T505" s="37">
        <f>S505/$P505</f>
        <v>0.33708307743158766</v>
      </c>
      <c r="U505" s="36">
        <f>U521+U549+U564+U580</f>
        <v>150933.32999999999</v>
      </c>
      <c r="V505" s="37">
        <f>U505/$P505</f>
        <v>0.33708307743158766</v>
      </c>
      <c r="W505" s="36">
        <f>W521+W549+W564+W580</f>
        <v>0</v>
      </c>
      <c r="X505" s="37">
        <f>W505/$P505</f>
        <v>0</v>
      </c>
      <c r="Y505" s="36">
        <f>Y521+Y549+Y564+Y580</f>
        <v>0</v>
      </c>
      <c r="Z505" s="36">
        <f>Z521+Z549+Z564+Z580</f>
        <v>0</v>
      </c>
    </row>
    <row r="506" spans="1:26" ht="13.9" customHeight="1">
      <c r="A506" s="15">
        <v>8</v>
      </c>
      <c r="D506" s="12"/>
      <c r="E506" s="35">
        <v>41</v>
      </c>
      <c r="F506" s="35" t="s">
        <v>23</v>
      </c>
      <c r="G506" s="36">
        <f t="shared" ref="G506:Q506" si="253">G511+G522+G537+G550+G565+G581+G591</f>
        <v>137834.32</v>
      </c>
      <c r="H506" s="36">
        <f t="shared" si="253"/>
        <v>885584.75</v>
      </c>
      <c r="I506" s="36">
        <f t="shared" si="253"/>
        <v>932682</v>
      </c>
      <c r="J506" s="36">
        <f t="shared" si="253"/>
        <v>776952.59000000008</v>
      </c>
      <c r="K506" s="36">
        <f t="shared" si="253"/>
        <v>529835</v>
      </c>
      <c r="L506" s="36">
        <f t="shared" si="253"/>
        <v>0</v>
      </c>
      <c r="M506" s="36">
        <f t="shared" si="253"/>
        <v>28864</v>
      </c>
      <c r="N506" s="36">
        <f t="shared" si="253"/>
        <v>159510</v>
      </c>
      <c r="O506" s="36">
        <f t="shared" si="253"/>
        <v>-21073</v>
      </c>
      <c r="P506" s="36">
        <f t="shared" si="253"/>
        <v>697136</v>
      </c>
      <c r="Q506" s="36">
        <f t="shared" si="253"/>
        <v>11489.130000000005</v>
      </c>
      <c r="R506" s="37">
        <f>Q506/$P506</f>
        <v>1.6480471529228161E-2</v>
      </c>
      <c r="S506" s="36">
        <f>S511+S522+S537+S550+S565+S581+S591</f>
        <v>234351.64</v>
      </c>
      <c r="T506" s="37">
        <f>S506/$P506</f>
        <v>0.33616344586995939</v>
      </c>
      <c r="U506" s="36">
        <f>U511+U522+U537+U550+U565+U581+U591</f>
        <v>497777.83999999997</v>
      </c>
      <c r="V506" s="37">
        <f>U506/$P506</f>
        <v>0.71403261343554192</v>
      </c>
      <c r="W506" s="36">
        <f>W511+W522+W537+W550+W565+W581+W591</f>
        <v>765356.6</v>
      </c>
      <c r="X506" s="37">
        <f>W506/$P506</f>
        <v>1.097858380574235</v>
      </c>
      <c r="Y506" s="36">
        <f>Y511+Y522+Y537+Y550+Y565+Y581+Y591</f>
        <v>417676</v>
      </c>
      <c r="Z506" s="36">
        <f>Z511+Z522+Z537+Z550+Z565+Z581+Z591</f>
        <v>386159</v>
      </c>
    </row>
    <row r="507" spans="1:26" ht="13.9" customHeight="1">
      <c r="A507" s="15">
        <v>8</v>
      </c>
      <c r="D507" s="30"/>
      <c r="E507" s="31"/>
      <c r="F507" s="38" t="s">
        <v>119</v>
      </c>
      <c r="G507" s="39">
        <f t="shared" ref="G507:Q507" si="254">SUM(G505:G506)</f>
        <v>137834.32</v>
      </c>
      <c r="H507" s="39">
        <f t="shared" si="254"/>
        <v>974700.35</v>
      </c>
      <c r="I507" s="39">
        <f t="shared" si="254"/>
        <v>1299447</v>
      </c>
      <c r="J507" s="39">
        <f t="shared" si="254"/>
        <v>967530.15000000014</v>
      </c>
      <c r="K507" s="39">
        <f t="shared" si="254"/>
        <v>930770</v>
      </c>
      <c r="L507" s="39">
        <f t="shared" si="254"/>
        <v>0</v>
      </c>
      <c r="M507" s="39">
        <f t="shared" si="254"/>
        <v>28864</v>
      </c>
      <c r="N507" s="39">
        <f t="shared" si="254"/>
        <v>206338</v>
      </c>
      <c r="O507" s="39">
        <f t="shared" si="254"/>
        <v>-21073</v>
      </c>
      <c r="P507" s="39">
        <f t="shared" si="254"/>
        <v>1144899</v>
      </c>
      <c r="Q507" s="39">
        <f t="shared" si="254"/>
        <v>162422.46</v>
      </c>
      <c r="R507" s="40">
        <f>Q507/$P507</f>
        <v>0.14186619081683188</v>
      </c>
      <c r="S507" s="39">
        <f>SUM(S505:S506)</f>
        <v>385284.97</v>
      </c>
      <c r="T507" s="40">
        <f>S507/$P507</f>
        <v>0.33652310815189806</v>
      </c>
      <c r="U507" s="39">
        <f>SUM(U505:U506)</f>
        <v>648711.16999999993</v>
      </c>
      <c r="V507" s="40">
        <f>U507/$P507</f>
        <v>0.56660995424050498</v>
      </c>
      <c r="W507" s="39">
        <f>SUM(W505:W506)</f>
        <v>765356.6</v>
      </c>
      <c r="X507" s="40">
        <f>W507/$P507</f>
        <v>0.6684926792669047</v>
      </c>
      <c r="Y507" s="39">
        <f>SUM(Y505:Y506)</f>
        <v>417676</v>
      </c>
      <c r="Z507" s="39">
        <f>SUM(Z505:Z506)</f>
        <v>386159</v>
      </c>
    </row>
    <row r="509" spans="1:26" ht="13.9" customHeight="1">
      <c r="D509" s="41" t="s">
        <v>258</v>
      </c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2"/>
      <c r="S509" s="41"/>
      <c r="T509" s="42"/>
      <c r="U509" s="41"/>
      <c r="V509" s="42"/>
      <c r="W509" s="41"/>
      <c r="X509" s="42"/>
      <c r="Y509" s="41"/>
      <c r="Z509" s="41"/>
    </row>
    <row r="510" spans="1:26" ht="13.9" customHeight="1">
      <c r="D510" s="146"/>
      <c r="E510" s="21"/>
      <c r="F510" s="21"/>
      <c r="G510" s="21" t="s">
        <v>1</v>
      </c>
      <c r="H510" s="21" t="s">
        <v>2</v>
      </c>
      <c r="I510" s="21" t="s">
        <v>3</v>
      </c>
      <c r="J510" s="21" t="s">
        <v>4</v>
      </c>
      <c r="K510" s="21" t="s">
        <v>5</v>
      </c>
      <c r="L510" s="21" t="s">
        <v>6</v>
      </c>
      <c r="M510" s="21" t="s">
        <v>7</v>
      </c>
      <c r="N510" s="21" t="s">
        <v>8</v>
      </c>
      <c r="O510" s="21" t="s">
        <v>9</v>
      </c>
      <c r="P510" s="21" t="s">
        <v>10</v>
      </c>
      <c r="Q510" s="21" t="s">
        <v>11</v>
      </c>
      <c r="R510" s="22" t="s">
        <v>12</v>
      </c>
      <c r="S510" s="21" t="s">
        <v>13</v>
      </c>
      <c r="T510" s="22" t="s">
        <v>14</v>
      </c>
      <c r="U510" s="21" t="s">
        <v>15</v>
      </c>
      <c r="V510" s="22" t="s">
        <v>16</v>
      </c>
      <c r="W510" s="21" t="s">
        <v>17</v>
      </c>
      <c r="X510" s="22" t="s">
        <v>18</v>
      </c>
      <c r="Y510" s="21" t="s">
        <v>19</v>
      </c>
      <c r="Z510" s="21" t="s">
        <v>20</v>
      </c>
    </row>
    <row r="511" spans="1:26" ht="13.9" customHeight="1">
      <c r="A511" s="15">
        <v>8</v>
      </c>
      <c r="B511" s="15">
        <v>1</v>
      </c>
      <c r="D511" s="43" t="s">
        <v>21</v>
      </c>
      <c r="E511" s="23">
        <v>41</v>
      </c>
      <c r="F511" s="23" t="s">
        <v>23</v>
      </c>
      <c r="G511" s="24">
        <f t="shared" ref="G511:Q511" si="255">SUM(G515:G517)</f>
        <v>2670</v>
      </c>
      <c r="H511" s="24">
        <f t="shared" si="255"/>
        <v>57743.57</v>
      </c>
      <c r="I511" s="24">
        <f t="shared" si="255"/>
        <v>5000</v>
      </c>
      <c r="J511" s="24">
        <f t="shared" si="255"/>
        <v>3862.5</v>
      </c>
      <c r="K511" s="24">
        <f t="shared" si="255"/>
        <v>10000</v>
      </c>
      <c r="L511" s="24">
        <f t="shared" si="255"/>
        <v>0</v>
      </c>
      <c r="M511" s="24">
        <f t="shared" si="255"/>
        <v>-3900</v>
      </c>
      <c r="N511" s="24">
        <f t="shared" si="255"/>
        <v>0</v>
      </c>
      <c r="O511" s="24">
        <f t="shared" si="255"/>
        <v>0</v>
      </c>
      <c r="P511" s="24">
        <f t="shared" si="255"/>
        <v>6100</v>
      </c>
      <c r="Q511" s="24">
        <f t="shared" si="255"/>
        <v>0</v>
      </c>
      <c r="R511" s="25">
        <f>Q511/$P511</f>
        <v>0</v>
      </c>
      <c r="S511" s="24">
        <f>SUM(S515:S517)</f>
        <v>0</v>
      </c>
      <c r="T511" s="25">
        <f>S511/$P511</f>
        <v>0</v>
      </c>
      <c r="U511" s="24">
        <f>SUM(U515:U517)</f>
        <v>0</v>
      </c>
      <c r="V511" s="25">
        <f>U511/$P511</f>
        <v>0</v>
      </c>
      <c r="W511" s="24">
        <f>SUM(W515:W517)</f>
        <v>0</v>
      </c>
      <c r="X511" s="25">
        <f>W511/$P511</f>
        <v>0</v>
      </c>
      <c r="Y511" s="24">
        <f>SUM(Y515:Y517)</f>
        <v>0</v>
      </c>
      <c r="Z511" s="24">
        <f>SUM(Z515:Z517)</f>
        <v>0</v>
      </c>
    </row>
    <row r="512" spans="1:26" ht="13.9" customHeight="1">
      <c r="A512" s="15">
        <v>8</v>
      </c>
      <c r="B512" s="15">
        <v>1</v>
      </c>
      <c r="D512" s="30"/>
      <c r="E512" s="31"/>
      <c r="F512" s="26" t="s">
        <v>119</v>
      </c>
      <c r="G512" s="27">
        <f t="shared" ref="G512:Q512" si="256">SUM(G511:G511)</f>
        <v>2670</v>
      </c>
      <c r="H512" s="27">
        <f t="shared" si="256"/>
        <v>57743.57</v>
      </c>
      <c r="I512" s="27">
        <f t="shared" si="256"/>
        <v>5000</v>
      </c>
      <c r="J512" s="27">
        <f t="shared" si="256"/>
        <v>3862.5</v>
      </c>
      <c r="K512" s="27">
        <f t="shared" si="256"/>
        <v>10000</v>
      </c>
      <c r="L512" s="27">
        <f t="shared" si="256"/>
        <v>0</v>
      </c>
      <c r="M512" s="27">
        <f t="shared" si="256"/>
        <v>-3900</v>
      </c>
      <c r="N512" s="27">
        <f t="shared" si="256"/>
        <v>0</v>
      </c>
      <c r="O512" s="27">
        <f t="shared" si="256"/>
        <v>0</v>
      </c>
      <c r="P512" s="27">
        <f t="shared" si="256"/>
        <v>6100</v>
      </c>
      <c r="Q512" s="27">
        <f t="shared" si="256"/>
        <v>0</v>
      </c>
      <c r="R512" s="28">
        <f>Q512/$P512</f>
        <v>0</v>
      </c>
      <c r="S512" s="27">
        <f>SUM(S511:S511)</f>
        <v>0</v>
      </c>
      <c r="T512" s="28">
        <f>S512/$P512</f>
        <v>0</v>
      </c>
      <c r="U512" s="27">
        <f>SUM(U511:U511)</f>
        <v>0</v>
      </c>
      <c r="V512" s="28">
        <f>U512/$P512</f>
        <v>0</v>
      </c>
      <c r="W512" s="27">
        <f>SUM(W511:W511)</f>
        <v>0</v>
      </c>
      <c r="X512" s="28">
        <f>W512/$P512</f>
        <v>0</v>
      </c>
      <c r="Y512" s="27">
        <f>SUM(Y511:Y511)</f>
        <v>0</v>
      </c>
      <c r="Z512" s="27">
        <f>SUM(Z511:Z511)</f>
        <v>0</v>
      </c>
    </row>
    <row r="514" spans="1:26" ht="13.9" customHeight="1">
      <c r="D514" s="15" t="s">
        <v>56</v>
      </c>
    </row>
    <row r="515" spans="1:26" ht="13.9" hidden="1" customHeight="1">
      <c r="D515" s="43" t="s">
        <v>259</v>
      </c>
      <c r="E515" s="115" t="s">
        <v>260</v>
      </c>
      <c r="F515" s="123"/>
      <c r="G515" s="125">
        <v>2670</v>
      </c>
      <c r="H515" s="125">
        <v>370</v>
      </c>
      <c r="I515" s="125">
        <v>5000</v>
      </c>
      <c r="J515" s="125">
        <v>3862.5</v>
      </c>
      <c r="K515" s="125"/>
      <c r="L515" s="125"/>
      <c r="M515" s="125"/>
      <c r="N515" s="125"/>
      <c r="O515" s="125"/>
      <c r="P515" s="125">
        <f>K515+SUM(L515:O515)</f>
        <v>0</v>
      </c>
      <c r="Q515" s="125"/>
      <c r="R515" s="126" t="e">
        <f>Q515/$P515</f>
        <v>#DIV/0!</v>
      </c>
      <c r="S515" s="125"/>
      <c r="T515" s="126" t="e">
        <f>S515/$P515</f>
        <v>#DIV/0!</v>
      </c>
      <c r="U515" s="125"/>
      <c r="V515" s="126" t="e">
        <f>U515/$P515</f>
        <v>#DIV/0!</v>
      </c>
      <c r="W515" s="125"/>
      <c r="X515" s="127" t="e">
        <f>W515/$P515</f>
        <v>#DIV/0!</v>
      </c>
      <c r="Y515" s="125"/>
      <c r="Z515" s="128"/>
    </row>
    <row r="516" spans="1:26" ht="13.9" customHeight="1">
      <c r="D516" s="43" t="s">
        <v>259</v>
      </c>
      <c r="E516" s="115" t="s">
        <v>261</v>
      </c>
      <c r="F516" s="123"/>
      <c r="G516" s="125"/>
      <c r="H516" s="125"/>
      <c r="I516" s="125"/>
      <c r="J516" s="125"/>
      <c r="K516" s="125">
        <v>10000</v>
      </c>
      <c r="L516" s="125"/>
      <c r="M516" s="125">
        <v>-3900</v>
      </c>
      <c r="N516" s="125"/>
      <c r="O516" s="125"/>
      <c r="P516" s="125">
        <f>K516+SUM(L516:O516)</f>
        <v>6100</v>
      </c>
      <c r="Q516" s="125">
        <v>0</v>
      </c>
      <c r="R516" s="126">
        <f>Q516/$P516</f>
        <v>0</v>
      </c>
      <c r="S516" s="125">
        <v>0</v>
      </c>
      <c r="T516" s="126">
        <f>S516/$P516</f>
        <v>0</v>
      </c>
      <c r="U516" s="125">
        <v>0</v>
      </c>
      <c r="V516" s="126">
        <f>U516/$P516</f>
        <v>0</v>
      </c>
      <c r="W516" s="125">
        <v>0</v>
      </c>
      <c r="X516" s="127">
        <f>W516/$P516</f>
        <v>0</v>
      </c>
      <c r="Y516" s="125"/>
      <c r="Z516" s="128"/>
    </row>
    <row r="517" spans="1:26" ht="13.9" hidden="1" customHeight="1">
      <c r="D517" s="147" t="s">
        <v>262</v>
      </c>
      <c r="E517" s="115" t="s">
        <v>263</v>
      </c>
      <c r="F517" s="123"/>
      <c r="G517" s="125"/>
      <c r="H517" s="125">
        <v>57373.57</v>
      </c>
      <c r="I517" s="125"/>
      <c r="J517" s="125"/>
      <c r="K517" s="125"/>
      <c r="L517" s="125"/>
      <c r="M517" s="125"/>
      <c r="N517" s="125"/>
      <c r="O517" s="125"/>
      <c r="P517" s="125">
        <f>K517+SUM(L517:O517)</f>
        <v>0</v>
      </c>
      <c r="Q517" s="125"/>
      <c r="R517" s="126" t="e">
        <f>Q517/$P517</f>
        <v>#DIV/0!</v>
      </c>
      <c r="S517" s="125"/>
      <c r="T517" s="126" t="e">
        <f>S517/$P517</f>
        <v>#DIV/0!</v>
      </c>
      <c r="U517" s="125"/>
      <c r="V517" s="126" t="e">
        <f>U517/$P517</f>
        <v>#DIV/0!</v>
      </c>
      <c r="W517" s="125"/>
      <c r="X517" s="127" t="e">
        <f>W517/$P517</f>
        <v>#DIV/0!</v>
      </c>
      <c r="Y517" s="125"/>
      <c r="Z517" s="128"/>
    </row>
    <row r="519" spans="1:26" ht="13.9" customHeight="1">
      <c r="D519" s="41" t="s">
        <v>264</v>
      </c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2"/>
      <c r="S519" s="41"/>
      <c r="T519" s="42"/>
      <c r="U519" s="41"/>
      <c r="V519" s="42"/>
      <c r="W519" s="41"/>
      <c r="X519" s="42"/>
      <c r="Y519" s="41"/>
      <c r="Z519" s="41"/>
    </row>
    <row r="520" spans="1:26" ht="13.9" customHeight="1">
      <c r="D520" s="146"/>
      <c r="E520" s="21"/>
      <c r="F520" s="21"/>
      <c r="G520" s="21" t="s">
        <v>1</v>
      </c>
      <c r="H520" s="21" t="s">
        <v>2</v>
      </c>
      <c r="I520" s="21" t="s">
        <v>3</v>
      </c>
      <c r="J520" s="21" t="s">
        <v>4</v>
      </c>
      <c r="K520" s="21" t="s">
        <v>5</v>
      </c>
      <c r="L520" s="21" t="s">
        <v>6</v>
      </c>
      <c r="M520" s="21" t="s">
        <v>7</v>
      </c>
      <c r="N520" s="21" t="s">
        <v>8</v>
      </c>
      <c r="O520" s="21" t="s">
        <v>9</v>
      </c>
      <c r="P520" s="21" t="s">
        <v>10</v>
      </c>
      <c r="Q520" s="21" t="s">
        <v>11</v>
      </c>
      <c r="R520" s="22" t="s">
        <v>12</v>
      </c>
      <c r="S520" s="21" t="s">
        <v>13</v>
      </c>
      <c r="T520" s="22" t="s">
        <v>14</v>
      </c>
      <c r="U520" s="21" t="s">
        <v>15</v>
      </c>
      <c r="V520" s="22" t="s">
        <v>16</v>
      </c>
      <c r="W520" s="21" t="s">
        <v>17</v>
      </c>
      <c r="X520" s="22" t="s">
        <v>18</v>
      </c>
      <c r="Y520" s="21" t="s">
        <v>19</v>
      </c>
      <c r="Z520" s="21" t="s">
        <v>20</v>
      </c>
    </row>
    <row r="521" spans="1:26" ht="13.9" customHeight="1">
      <c r="A521" s="15">
        <v>8</v>
      </c>
      <c r="B521" s="15">
        <v>2</v>
      </c>
      <c r="D521" s="2" t="s">
        <v>21</v>
      </c>
      <c r="E521" s="23">
        <v>111</v>
      </c>
      <c r="F521" s="23" t="s">
        <v>129</v>
      </c>
      <c r="G521" s="24">
        <v>0</v>
      </c>
      <c r="H521" s="24">
        <f>H527</f>
        <v>89115.6</v>
      </c>
      <c r="I521" s="24">
        <f>189183+10884</f>
        <v>200067</v>
      </c>
      <c r="J521" s="24">
        <f>10884.4+160778.08+18915.08</f>
        <v>190577.56</v>
      </c>
      <c r="K521" s="24">
        <v>250000</v>
      </c>
      <c r="L521" s="24"/>
      <c r="M521" s="24"/>
      <c r="N521" s="24">
        <v>46828</v>
      </c>
      <c r="O521" s="24"/>
      <c r="P521" s="24">
        <f>K521+SUM(L521:O521)</f>
        <v>296828</v>
      </c>
      <c r="Q521" s="24">
        <v>0</v>
      </c>
      <c r="R521" s="25">
        <f>Q521/$P521</f>
        <v>0</v>
      </c>
      <c r="S521" s="24">
        <v>0</v>
      </c>
      <c r="T521" s="25">
        <f>S521/$P521</f>
        <v>0</v>
      </c>
      <c r="U521" s="24">
        <v>0</v>
      </c>
      <c r="V521" s="25">
        <f>U521/$P521</f>
        <v>0</v>
      </c>
      <c r="W521" s="24">
        <v>0</v>
      </c>
      <c r="X521" s="25">
        <f>W521/$P521</f>
        <v>0</v>
      </c>
      <c r="Y521" s="24">
        <v>0</v>
      </c>
      <c r="Z521" s="24">
        <v>0</v>
      </c>
    </row>
    <row r="522" spans="1:26" ht="13.9" customHeight="1">
      <c r="A522" s="15">
        <v>8</v>
      </c>
      <c r="B522" s="15">
        <v>2</v>
      </c>
      <c r="D522" s="2" t="s">
        <v>21</v>
      </c>
      <c r="E522" s="23">
        <v>41</v>
      </c>
      <c r="F522" s="23" t="s">
        <v>23</v>
      </c>
      <c r="G522" s="24">
        <f t="shared" ref="G522:Q522" si="257">SUM(G526:G533)-G521</f>
        <v>140</v>
      </c>
      <c r="H522" s="24">
        <f t="shared" si="257"/>
        <v>222669.1</v>
      </c>
      <c r="I522" s="24">
        <f t="shared" si="257"/>
        <v>120957</v>
      </c>
      <c r="J522" s="24">
        <f t="shared" si="257"/>
        <v>123299.20000000001</v>
      </c>
      <c r="K522" s="24">
        <f t="shared" si="257"/>
        <v>14000</v>
      </c>
      <c r="L522" s="24">
        <f t="shared" si="257"/>
        <v>0</v>
      </c>
      <c r="M522" s="24">
        <f t="shared" si="257"/>
        <v>4332</v>
      </c>
      <c r="N522" s="24">
        <f t="shared" si="257"/>
        <v>53423</v>
      </c>
      <c r="O522" s="24">
        <f t="shared" si="257"/>
        <v>-1573</v>
      </c>
      <c r="P522" s="24">
        <f t="shared" si="257"/>
        <v>70182</v>
      </c>
      <c r="Q522" s="24">
        <f t="shared" si="257"/>
        <v>144</v>
      </c>
      <c r="R522" s="25">
        <f>Q522/$P522</f>
        <v>2.0518081559374197E-3</v>
      </c>
      <c r="S522" s="24">
        <f>SUM(S526:S533)-S521</f>
        <v>4044</v>
      </c>
      <c r="T522" s="25">
        <f>S522/$P522</f>
        <v>5.7621612379242543E-2</v>
      </c>
      <c r="U522" s="24">
        <f>SUM(U526:U533)-U521</f>
        <v>5276</v>
      </c>
      <c r="V522" s="25">
        <f>U522/$P522</f>
        <v>7.5175971046707132E-2</v>
      </c>
      <c r="W522" s="24">
        <f>SUM(W526:W533)-W521</f>
        <v>96423.43</v>
      </c>
      <c r="X522" s="25">
        <f>W522/$P522</f>
        <v>1.3739054173434784</v>
      </c>
      <c r="Y522" s="24">
        <v>0</v>
      </c>
      <c r="Z522" s="24">
        <f>SUM(Z526:Z533)</f>
        <v>0</v>
      </c>
    </row>
    <row r="523" spans="1:26" ht="13.9" customHeight="1">
      <c r="A523" s="15">
        <v>8</v>
      </c>
      <c r="B523" s="15">
        <v>2</v>
      </c>
      <c r="D523" s="30"/>
      <c r="E523" s="31"/>
      <c r="F523" s="26" t="s">
        <v>119</v>
      </c>
      <c r="G523" s="27">
        <f t="shared" ref="G523:Q523" si="258">SUM(G521:G522)</f>
        <v>140</v>
      </c>
      <c r="H523" s="27">
        <f t="shared" si="258"/>
        <v>311784.7</v>
      </c>
      <c r="I523" s="27">
        <f t="shared" si="258"/>
        <v>321024</v>
      </c>
      <c r="J523" s="27">
        <f t="shared" si="258"/>
        <v>313876.76</v>
      </c>
      <c r="K523" s="27">
        <f t="shared" si="258"/>
        <v>264000</v>
      </c>
      <c r="L523" s="27">
        <f t="shared" si="258"/>
        <v>0</v>
      </c>
      <c r="M523" s="27">
        <f t="shared" si="258"/>
        <v>4332</v>
      </c>
      <c r="N523" s="27">
        <f t="shared" si="258"/>
        <v>100251</v>
      </c>
      <c r="O523" s="27">
        <f t="shared" si="258"/>
        <v>-1573</v>
      </c>
      <c r="P523" s="27">
        <f t="shared" si="258"/>
        <v>367010</v>
      </c>
      <c r="Q523" s="27">
        <f t="shared" si="258"/>
        <v>144</v>
      </c>
      <c r="R523" s="28">
        <f>Q523/$P523</f>
        <v>3.9235988120214706E-4</v>
      </c>
      <c r="S523" s="27">
        <f>SUM(S521:S522)</f>
        <v>4044</v>
      </c>
      <c r="T523" s="28">
        <f>S523/$P523</f>
        <v>1.1018773330426964E-2</v>
      </c>
      <c r="U523" s="27">
        <f>SUM(U521:U522)</f>
        <v>5276</v>
      </c>
      <c r="V523" s="28">
        <f>U523/$P523</f>
        <v>1.437563009182311E-2</v>
      </c>
      <c r="W523" s="27">
        <f>SUM(W521:W522)</f>
        <v>96423.43</v>
      </c>
      <c r="X523" s="28">
        <f>W523/$P523</f>
        <v>0.26272698291599683</v>
      </c>
      <c r="Y523" s="27">
        <f>SUM(Y521:Y522)</f>
        <v>0</v>
      </c>
      <c r="Z523" s="27">
        <f>SUM(Z521:Z522)</f>
        <v>0</v>
      </c>
    </row>
    <row r="525" spans="1:26" ht="13.9" customHeight="1">
      <c r="D525" s="15" t="s">
        <v>56</v>
      </c>
    </row>
    <row r="526" spans="1:26" ht="13.9" hidden="1" customHeight="1">
      <c r="D526" s="149" t="s">
        <v>265</v>
      </c>
      <c r="E526" s="52" t="s">
        <v>266</v>
      </c>
      <c r="F526" s="30"/>
      <c r="G526" s="53"/>
      <c r="H526" s="53"/>
      <c r="I526" s="53">
        <v>199140</v>
      </c>
      <c r="J526" s="53">
        <v>189150.68</v>
      </c>
      <c r="K526" s="53"/>
      <c r="L526" s="53"/>
      <c r="M526" s="53"/>
      <c r="N526" s="53"/>
      <c r="O526" s="53"/>
      <c r="P526" s="53">
        <f t="shared" ref="P526:P533" si="259">K526+SUM(L526:O526)</f>
        <v>0</v>
      </c>
      <c r="Q526" s="53"/>
      <c r="R526" s="54" t="e">
        <f t="shared" ref="R526:R533" si="260">Q526/$P526</f>
        <v>#DIV/0!</v>
      </c>
      <c r="S526" s="53"/>
      <c r="T526" s="54" t="e">
        <f t="shared" ref="T526:T533" si="261">S526/$P526</f>
        <v>#DIV/0!</v>
      </c>
      <c r="U526" s="53"/>
      <c r="V526" s="54" t="e">
        <f t="shared" ref="V526:V533" si="262">U526/$P526</f>
        <v>#DIV/0!</v>
      </c>
      <c r="W526" s="53"/>
      <c r="X526" s="55" t="e">
        <f t="shared" ref="X526:X533" si="263">W526/$P526</f>
        <v>#DIV/0!</v>
      </c>
      <c r="Y526" s="53"/>
      <c r="Z526" s="56"/>
    </row>
    <row r="527" spans="1:26" ht="13.9" hidden="1" customHeight="1">
      <c r="D527" s="150"/>
      <c r="E527" s="151" t="s">
        <v>267</v>
      </c>
      <c r="F527" s="91"/>
      <c r="G527" s="81"/>
      <c r="H527" s="81">
        <v>89115.6</v>
      </c>
      <c r="I527" s="81">
        <v>91884</v>
      </c>
      <c r="J527" s="81">
        <v>89115.6</v>
      </c>
      <c r="K527" s="81"/>
      <c r="L527" s="81"/>
      <c r="M527" s="81"/>
      <c r="N527" s="81"/>
      <c r="O527" s="81"/>
      <c r="P527" s="81">
        <f t="shared" si="259"/>
        <v>0</v>
      </c>
      <c r="Q527" s="81"/>
      <c r="R527" s="82" t="e">
        <f t="shared" si="260"/>
        <v>#DIV/0!</v>
      </c>
      <c r="S527" s="81"/>
      <c r="T527" s="82" t="e">
        <f t="shared" si="261"/>
        <v>#DIV/0!</v>
      </c>
      <c r="U527" s="81"/>
      <c r="V527" s="82" t="e">
        <f t="shared" si="262"/>
        <v>#DIV/0!</v>
      </c>
      <c r="W527" s="81"/>
      <c r="X527" s="60" t="e">
        <f t="shared" si="263"/>
        <v>#DIV/0!</v>
      </c>
      <c r="Y527" s="81"/>
      <c r="Z527" s="61"/>
    </row>
    <row r="528" spans="1:26" ht="13.9" hidden="1" customHeight="1">
      <c r="D528" s="57"/>
      <c r="E528" s="151" t="s">
        <v>268</v>
      </c>
      <c r="F528" s="91"/>
      <c r="G528" s="81"/>
      <c r="H528" s="81"/>
      <c r="I528" s="81">
        <v>30000</v>
      </c>
      <c r="J528" s="81">
        <v>35610.480000000003</v>
      </c>
      <c r="K528" s="81"/>
      <c r="L528" s="81"/>
      <c r="M528" s="81"/>
      <c r="N528" s="81"/>
      <c r="O528" s="81"/>
      <c r="P528" s="81">
        <f t="shared" si="259"/>
        <v>0</v>
      </c>
      <c r="Q528" s="81"/>
      <c r="R528" s="82" t="e">
        <f t="shared" si="260"/>
        <v>#DIV/0!</v>
      </c>
      <c r="S528" s="81"/>
      <c r="T528" s="82" t="e">
        <f t="shared" si="261"/>
        <v>#DIV/0!</v>
      </c>
      <c r="U528" s="81"/>
      <c r="V528" s="82" t="e">
        <f t="shared" si="262"/>
        <v>#DIV/0!</v>
      </c>
      <c r="W528" s="81"/>
      <c r="X528" s="60" t="e">
        <f t="shared" si="263"/>
        <v>#DIV/0!</v>
      </c>
      <c r="Y528" s="81"/>
      <c r="Z528" s="61"/>
    </row>
    <row r="529" spans="1:26" ht="13.9" customHeight="1">
      <c r="D529" s="152" t="s">
        <v>265</v>
      </c>
      <c r="E529" s="153" t="s">
        <v>269</v>
      </c>
      <c r="F529" s="154"/>
      <c r="G529" s="155"/>
      <c r="H529" s="155"/>
      <c r="I529" s="155"/>
      <c r="J529" s="155"/>
      <c r="K529" s="155"/>
      <c r="L529" s="155"/>
      <c r="M529" s="155">
        <v>3900</v>
      </c>
      <c r="N529" s="155">
        <v>89293</v>
      </c>
      <c r="O529" s="155"/>
      <c r="P529" s="155">
        <f t="shared" si="259"/>
        <v>93193</v>
      </c>
      <c r="Q529" s="155">
        <v>0</v>
      </c>
      <c r="R529" s="156">
        <f t="shared" si="260"/>
        <v>0</v>
      </c>
      <c r="S529" s="155">
        <v>3900</v>
      </c>
      <c r="T529" s="156">
        <f t="shared" si="261"/>
        <v>4.1848636700181345E-2</v>
      </c>
      <c r="U529" s="155">
        <v>4700</v>
      </c>
      <c r="V529" s="156">
        <f t="shared" si="262"/>
        <v>5.0432972433551874E-2</v>
      </c>
      <c r="W529" s="155">
        <v>90521.43</v>
      </c>
      <c r="X529" s="157">
        <f t="shared" si="263"/>
        <v>0.97133293273099908</v>
      </c>
      <c r="Y529" s="155"/>
      <c r="Z529" s="158"/>
    </row>
    <row r="530" spans="1:26" ht="13.9" customHeight="1">
      <c r="D530" s="152"/>
      <c r="E530" s="153" t="s">
        <v>270</v>
      </c>
      <c r="F530" s="154"/>
      <c r="G530" s="155"/>
      <c r="H530" s="155"/>
      <c r="I530" s="155"/>
      <c r="J530" s="155"/>
      <c r="K530" s="155"/>
      <c r="L530" s="155"/>
      <c r="M530" s="155"/>
      <c r="N530" s="155"/>
      <c r="O530" s="155">
        <v>4368</v>
      </c>
      <c r="P530" s="155">
        <f t="shared" si="259"/>
        <v>4368</v>
      </c>
      <c r="Q530" s="155"/>
      <c r="R530" s="156">
        <f t="shared" si="260"/>
        <v>0</v>
      </c>
      <c r="S530" s="155"/>
      <c r="T530" s="156">
        <f t="shared" si="261"/>
        <v>0</v>
      </c>
      <c r="U530" s="155"/>
      <c r="V530" s="156">
        <f t="shared" si="262"/>
        <v>0</v>
      </c>
      <c r="W530" s="155">
        <v>4368</v>
      </c>
      <c r="X530" s="157">
        <f t="shared" si="263"/>
        <v>1</v>
      </c>
      <c r="Y530" s="155"/>
      <c r="Z530" s="158"/>
    </row>
    <row r="531" spans="1:26" ht="13.9" customHeight="1">
      <c r="D531" s="57"/>
      <c r="E531" s="151" t="s">
        <v>271</v>
      </c>
      <c r="F531" s="91"/>
      <c r="G531" s="81"/>
      <c r="H531" s="81"/>
      <c r="I531" s="81"/>
      <c r="J531" s="81"/>
      <c r="K531" s="81"/>
      <c r="L531" s="81"/>
      <c r="M531" s="81">
        <v>432</v>
      </c>
      <c r="N531" s="81">
        <v>10000</v>
      </c>
      <c r="O531" s="81"/>
      <c r="P531" s="81">
        <f t="shared" si="259"/>
        <v>10432</v>
      </c>
      <c r="Q531" s="81">
        <v>0</v>
      </c>
      <c r="R531" s="82">
        <f t="shared" si="260"/>
        <v>0</v>
      </c>
      <c r="S531" s="81">
        <v>0</v>
      </c>
      <c r="T531" s="82">
        <f t="shared" si="261"/>
        <v>0</v>
      </c>
      <c r="U531" s="81">
        <v>432</v>
      </c>
      <c r="V531" s="82">
        <f t="shared" si="262"/>
        <v>4.1411042944785273E-2</v>
      </c>
      <c r="W531" s="81">
        <v>432</v>
      </c>
      <c r="X531" s="60">
        <f t="shared" si="263"/>
        <v>4.1411042944785273E-2</v>
      </c>
      <c r="Y531" s="81"/>
      <c r="Z531" s="61"/>
    </row>
    <row r="532" spans="1:26" ht="13.9" customHeight="1">
      <c r="D532" s="57"/>
      <c r="E532" s="151" t="s">
        <v>272</v>
      </c>
      <c r="F532" s="91"/>
      <c r="G532" s="81">
        <v>140</v>
      </c>
      <c r="H532" s="81">
        <v>222669.1</v>
      </c>
      <c r="I532" s="81"/>
      <c r="J532" s="81"/>
      <c r="K532" s="81">
        <v>264000</v>
      </c>
      <c r="L532" s="81"/>
      <c r="M532" s="81"/>
      <c r="N532" s="81"/>
      <c r="O532" s="81">
        <v>-5941</v>
      </c>
      <c r="P532" s="81">
        <f t="shared" si="259"/>
        <v>258059</v>
      </c>
      <c r="Q532" s="81">
        <v>144</v>
      </c>
      <c r="R532" s="82">
        <f t="shared" si="260"/>
        <v>5.5801192750495041E-4</v>
      </c>
      <c r="S532" s="81">
        <v>144</v>
      </c>
      <c r="T532" s="82">
        <f t="shared" si="261"/>
        <v>5.5801192750495041E-4</v>
      </c>
      <c r="U532" s="81">
        <v>144</v>
      </c>
      <c r="V532" s="82">
        <f t="shared" si="262"/>
        <v>5.5801192750495041E-4</v>
      </c>
      <c r="W532" s="81">
        <v>144</v>
      </c>
      <c r="X532" s="60">
        <f t="shared" si="263"/>
        <v>5.5801192750495041E-4</v>
      </c>
      <c r="Y532" s="81"/>
      <c r="Z532" s="61"/>
    </row>
    <row r="533" spans="1:26" ht="13.9" customHeight="1">
      <c r="D533" s="159"/>
      <c r="E533" s="160" t="s">
        <v>273</v>
      </c>
      <c r="F533" s="94"/>
      <c r="G533" s="67"/>
      <c r="H533" s="67"/>
      <c r="I533" s="67"/>
      <c r="J533" s="67"/>
      <c r="K533" s="67">
        <v>0</v>
      </c>
      <c r="L533" s="67"/>
      <c r="M533" s="67"/>
      <c r="N533" s="67">
        <v>958</v>
      </c>
      <c r="O533" s="67"/>
      <c r="P533" s="67">
        <f t="shared" si="259"/>
        <v>958</v>
      </c>
      <c r="Q533" s="67">
        <v>0</v>
      </c>
      <c r="R533" s="68">
        <f t="shared" si="260"/>
        <v>0</v>
      </c>
      <c r="S533" s="67">
        <v>0</v>
      </c>
      <c r="T533" s="68">
        <f t="shared" si="261"/>
        <v>0</v>
      </c>
      <c r="U533" s="67">
        <v>0</v>
      </c>
      <c r="V533" s="68">
        <f t="shared" si="262"/>
        <v>0</v>
      </c>
      <c r="W533" s="67">
        <v>958</v>
      </c>
      <c r="X533" s="69">
        <f t="shared" si="263"/>
        <v>1</v>
      </c>
      <c r="Y533" s="67"/>
      <c r="Z533" s="70"/>
    </row>
    <row r="535" spans="1:26" ht="13.9" customHeight="1">
      <c r="D535" s="41" t="s">
        <v>274</v>
      </c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2"/>
      <c r="S535" s="41"/>
      <c r="T535" s="42"/>
      <c r="U535" s="41"/>
      <c r="V535" s="42"/>
      <c r="W535" s="41"/>
      <c r="X535" s="42"/>
      <c r="Y535" s="41"/>
      <c r="Z535" s="41"/>
    </row>
    <row r="536" spans="1:26" ht="13.9" customHeight="1">
      <c r="D536" s="146"/>
      <c r="E536" s="21"/>
      <c r="F536" s="21"/>
      <c r="G536" s="21" t="s">
        <v>1</v>
      </c>
      <c r="H536" s="21" t="s">
        <v>2</v>
      </c>
      <c r="I536" s="21" t="s">
        <v>3</v>
      </c>
      <c r="J536" s="21" t="s">
        <v>4</v>
      </c>
      <c r="K536" s="21" t="s">
        <v>5</v>
      </c>
      <c r="L536" s="21" t="s">
        <v>6</v>
      </c>
      <c r="M536" s="21" t="s">
        <v>7</v>
      </c>
      <c r="N536" s="21" t="s">
        <v>8</v>
      </c>
      <c r="O536" s="21" t="s">
        <v>9</v>
      </c>
      <c r="P536" s="21" t="s">
        <v>10</v>
      </c>
      <c r="Q536" s="21" t="s">
        <v>11</v>
      </c>
      <c r="R536" s="22" t="s">
        <v>12</v>
      </c>
      <c r="S536" s="21" t="s">
        <v>13</v>
      </c>
      <c r="T536" s="22" t="s">
        <v>14</v>
      </c>
      <c r="U536" s="21" t="s">
        <v>15</v>
      </c>
      <c r="V536" s="22" t="s">
        <v>16</v>
      </c>
      <c r="W536" s="21" t="s">
        <v>17</v>
      </c>
      <c r="X536" s="22" t="s">
        <v>18</v>
      </c>
      <c r="Y536" s="21" t="s">
        <v>19</v>
      </c>
      <c r="Z536" s="21" t="s">
        <v>20</v>
      </c>
    </row>
    <row r="537" spans="1:26" ht="13.9" customHeight="1">
      <c r="A537" s="15">
        <v>8</v>
      </c>
      <c r="B537" s="15">
        <v>3</v>
      </c>
      <c r="D537" s="148" t="s">
        <v>21</v>
      </c>
      <c r="E537" s="23">
        <v>41</v>
      </c>
      <c r="F537" s="23" t="s">
        <v>23</v>
      </c>
      <c r="G537" s="24">
        <f t="shared" ref="G537:Q537" si="264">SUM(G541:G545)</f>
        <v>1010</v>
      </c>
      <c r="H537" s="24">
        <f t="shared" si="264"/>
        <v>271615.03000000003</v>
      </c>
      <c r="I537" s="24">
        <f t="shared" si="264"/>
        <v>450000</v>
      </c>
      <c r="J537" s="24">
        <f t="shared" si="264"/>
        <v>425261.19</v>
      </c>
      <c r="K537" s="24">
        <f t="shared" si="264"/>
        <v>260000</v>
      </c>
      <c r="L537" s="24">
        <f t="shared" si="264"/>
        <v>0</v>
      </c>
      <c r="M537" s="24">
        <f t="shared" si="264"/>
        <v>0</v>
      </c>
      <c r="N537" s="24">
        <f t="shared" si="264"/>
        <v>0</v>
      </c>
      <c r="O537" s="24">
        <f t="shared" si="264"/>
        <v>-604</v>
      </c>
      <c r="P537" s="24">
        <f t="shared" si="264"/>
        <v>259396</v>
      </c>
      <c r="Q537" s="24">
        <f t="shared" si="264"/>
        <v>0</v>
      </c>
      <c r="R537" s="25">
        <f>Q537/$P537</f>
        <v>0</v>
      </c>
      <c r="S537" s="24">
        <f>SUM(S541:S545)</f>
        <v>189398.7</v>
      </c>
      <c r="T537" s="25">
        <f>S537/$P537</f>
        <v>0.7301527394408549</v>
      </c>
      <c r="U537" s="24">
        <f>SUM(U541:U545)</f>
        <v>202847.19</v>
      </c>
      <c r="V537" s="25">
        <f>U537/$P537</f>
        <v>0.78199814183719107</v>
      </c>
      <c r="W537" s="24">
        <f>SUM(W541:W545)</f>
        <v>203327.19</v>
      </c>
      <c r="X537" s="25">
        <f>W537/$P537</f>
        <v>0.78384859442705368</v>
      </c>
      <c r="Y537" s="24">
        <f>SUM(Y541:Y545)</f>
        <v>417676</v>
      </c>
      <c r="Z537" s="24">
        <f>SUM(Z541:Z545)</f>
        <v>0</v>
      </c>
    </row>
    <row r="538" spans="1:26" ht="13.9" customHeight="1">
      <c r="A538" s="15">
        <v>8</v>
      </c>
      <c r="B538" s="15">
        <v>3</v>
      </c>
      <c r="D538" s="30"/>
      <c r="E538" s="31"/>
      <c r="F538" s="26" t="s">
        <v>119</v>
      </c>
      <c r="G538" s="27">
        <f t="shared" ref="G538:Q538" si="265">SUM(G537:G537)</f>
        <v>1010</v>
      </c>
      <c r="H538" s="27">
        <f t="shared" si="265"/>
        <v>271615.03000000003</v>
      </c>
      <c r="I538" s="27">
        <f t="shared" si="265"/>
        <v>450000</v>
      </c>
      <c r="J538" s="27">
        <f t="shared" si="265"/>
        <v>425261.19</v>
      </c>
      <c r="K538" s="27">
        <f t="shared" si="265"/>
        <v>260000</v>
      </c>
      <c r="L538" s="27">
        <f t="shared" si="265"/>
        <v>0</v>
      </c>
      <c r="M538" s="27">
        <f t="shared" si="265"/>
        <v>0</v>
      </c>
      <c r="N538" s="27">
        <f t="shared" si="265"/>
        <v>0</v>
      </c>
      <c r="O538" s="27">
        <f t="shared" si="265"/>
        <v>-604</v>
      </c>
      <c r="P538" s="27">
        <f t="shared" si="265"/>
        <v>259396</v>
      </c>
      <c r="Q538" s="27">
        <f t="shared" si="265"/>
        <v>0</v>
      </c>
      <c r="R538" s="28">
        <f>Q538/$P538</f>
        <v>0</v>
      </c>
      <c r="S538" s="27">
        <f>SUM(S537:S537)</f>
        <v>189398.7</v>
      </c>
      <c r="T538" s="28">
        <f>S538/$P538</f>
        <v>0.7301527394408549</v>
      </c>
      <c r="U538" s="27">
        <f>SUM(U537:U537)</f>
        <v>202847.19</v>
      </c>
      <c r="V538" s="28">
        <f>U538/$P538</f>
        <v>0.78199814183719107</v>
      </c>
      <c r="W538" s="27">
        <f>SUM(W537:W537)</f>
        <v>203327.19</v>
      </c>
      <c r="X538" s="28">
        <f>W538/$P538</f>
        <v>0.78384859442705368</v>
      </c>
      <c r="Y538" s="27">
        <f>SUM(Y537:Y537)</f>
        <v>417676</v>
      </c>
      <c r="Z538" s="27">
        <f>SUM(Z537:Z537)</f>
        <v>0</v>
      </c>
    </row>
    <row r="540" spans="1:26" ht="13.9" customHeight="1">
      <c r="D540" s="15" t="s">
        <v>56</v>
      </c>
    </row>
    <row r="541" spans="1:26" ht="13.9" hidden="1" customHeight="1">
      <c r="D541" s="43" t="s">
        <v>275</v>
      </c>
      <c r="E541" s="115" t="s">
        <v>276</v>
      </c>
      <c r="F541" s="123"/>
      <c r="G541" s="125">
        <v>870</v>
      </c>
      <c r="H541" s="125">
        <v>4074</v>
      </c>
      <c r="I541" s="125"/>
      <c r="J541" s="125"/>
      <c r="K541" s="125"/>
      <c r="L541" s="125"/>
      <c r="M541" s="125"/>
      <c r="N541" s="125"/>
      <c r="O541" s="125"/>
      <c r="P541" s="125">
        <f>K541+SUM(L541:O541)</f>
        <v>0</v>
      </c>
      <c r="Q541" s="125"/>
      <c r="R541" s="126" t="e">
        <f>Q541/$P541</f>
        <v>#DIV/0!</v>
      </c>
      <c r="S541" s="125"/>
      <c r="T541" s="126" t="e">
        <f>S541/$P541</f>
        <v>#DIV/0!</v>
      </c>
      <c r="U541" s="125"/>
      <c r="V541" s="126" t="e">
        <f>U541/$P541</f>
        <v>#DIV/0!</v>
      </c>
      <c r="W541" s="125"/>
      <c r="X541" s="127" t="e">
        <f>W541/$P541</f>
        <v>#DIV/0!</v>
      </c>
      <c r="Y541" s="125"/>
      <c r="Z541" s="128"/>
    </row>
    <row r="542" spans="1:26" ht="13.9" hidden="1" customHeight="1">
      <c r="D542" s="43"/>
      <c r="E542" s="115" t="s">
        <v>277</v>
      </c>
      <c r="F542" s="123"/>
      <c r="G542" s="125">
        <v>140</v>
      </c>
      <c r="H542" s="125">
        <v>19393.900000000001</v>
      </c>
      <c r="I542" s="125"/>
      <c r="J542" s="125"/>
      <c r="K542" s="125"/>
      <c r="L542" s="125"/>
      <c r="M542" s="125"/>
      <c r="N542" s="125"/>
      <c r="O542" s="125"/>
      <c r="P542" s="125">
        <f>K542+SUM(L542:O542)</f>
        <v>0</v>
      </c>
      <c r="Q542" s="125"/>
      <c r="R542" s="126" t="e">
        <f>Q542/$P542</f>
        <v>#DIV/0!</v>
      </c>
      <c r="S542" s="125"/>
      <c r="T542" s="126" t="e">
        <f>S542/$P542</f>
        <v>#DIV/0!</v>
      </c>
      <c r="U542" s="125"/>
      <c r="V542" s="126" t="e">
        <f>U542/$P542</f>
        <v>#DIV/0!</v>
      </c>
      <c r="W542" s="125"/>
      <c r="X542" s="127" t="e">
        <f>W542/$P542</f>
        <v>#DIV/0!</v>
      </c>
      <c r="Y542" s="125"/>
      <c r="Z542" s="128"/>
    </row>
    <row r="543" spans="1:26" ht="13.9" customHeight="1">
      <c r="D543" s="13" t="s">
        <v>275</v>
      </c>
      <c r="E543" s="115" t="s">
        <v>278</v>
      </c>
      <c r="F543" s="123"/>
      <c r="G543" s="125"/>
      <c r="H543" s="125"/>
      <c r="I543" s="125"/>
      <c r="J543" s="125"/>
      <c r="K543" s="125">
        <v>10000</v>
      </c>
      <c r="L543" s="125"/>
      <c r="M543" s="125"/>
      <c r="N543" s="125"/>
      <c r="O543" s="125">
        <v>-794</v>
      </c>
      <c r="P543" s="125">
        <f>K543+SUM(L543:O543)</f>
        <v>9206</v>
      </c>
      <c r="Q543" s="125">
        <v>0</v>
      </c>
      <c r="R543" s="126">
        <f>Q543/$P543</f>
        <v>0</v>
      </c>
      <c r="S543" s="125">
        <v>7800</v>
      </c>
      <c r="T543" s="126">
        <f>S543/$P543</f>
        <v>0.84727351727134481</v>
      </c>
      <c r="U543" s="125">
        <v>7800</v>
      </c>
      <c r="V543" s="126">
        <f>U543/$P543</f>
        <v>0.84727351727134481</v>
      </c>
      <c r="W543" s="125">
        <f>8090</f>
        <v>8090</v>
      </c>
      <c r="X543" s="127">
        <f>W543/$P543</f>
        <v>0.87877471214425373</v>
      </c>
      <c r="Y543" s="125"/>
      <c r="Z543" s="128"/>
    </row>
    <row r="544" spans="1:26" ht="13.9" customHeight="1">
      <c r="D544" s="13"/>
      <c r="E544" s="115" t="s">
        <v>279</v>
      </c>
      <c r="F544" s="123"/>
      <c r="G544" s="125"/>
      <c r="H544" s="125">
        <v>248147.13</v>
      </c>
      <c r="I544" s="125">
        <v>450000</v>
      </c>
      <c r="J544" s="125">
        <v>425261.19</v>
      </c>
      <c r="K544" s="125">
        <v>250000</v>
      </c>
      <c r="L544" s="125"/>
      <c r="M544" s="125"/>
      <c r="N544" s="125"/>
      <c r="O544" s="125">
        <v>190</v>
      </c>
      <c r="P544" s="125">
        <f>K544+SUM(L544:O544)</f>
        <v>250190</v>
      </c>
      <c r="Q544" s="125">
        <v>0</v>
      </c>
      <c r="R544" s="126">
        <f>Q544/$P544</f>
        <v>0</v>
      </c>
      <c r="S544" s="125">
        <v>181598.7</v>
      </c>
      <c r="T544" s="126">
        <f>S544/$P544</f>
        <v>0.72584315919900877</v>
      </c>
      <c r="U544" s="125">
        <v>195047.19</v>
      </c>
      <c r="V544" s="126">
        <f>U544/$P544</f>
        <v>0.77959626683720373</v>
      </c>
      <c r="W544" s="125">
        <v>195237.19</v>
      </c>
      <c r="X544" s="127">
        <f>W544/$P544</f>
        <v>0.78035568967584634</v>
      </c>
      <c r="Y544" s="125"/>
      <c r="Z544" s="128"/>
    </row>
    <row r="545" spans="1:26" ht="13.9" hidden="1" customHeight="1">
      <c r="D545" s="43" t="s">
        <v>275</v>
      </c>
      <c r="E545" s="115" t="s">
        <v>280</v>
      </c>
      <c r="F545" s="123"/>
      <c r="G545" s="125"/>
      <c r="H545" s="125"/>
      <c r="I545" s="125"/>
      <c r="J545" s="125"/>
      <c r="K545" s="125"/>
      <c r="L545" s="125"/>
      <c r="M545" s="125"/>
      <c r="N545" s="125"/>
      <c r="O545" s="125"/>
      <c r="P545" s="125">
        <f>K545+SUM(L545:O545)</f>
        <v>0</v>
      </c>
      <c r="Q545" s="125"/>
      <c r="R545" s="126" t="e">
        <f>Q545/$P545</f>
        <v>#DIV/0!</v>
      </c>
      <c r="S545" s="125"/>
      <c r="T545" s="126" t="e">
        <f>S545/$P545</f>
        <v>#DIV/0!</v>
      </c>
      <c r="U545" s="125"/>
      <c r="V545" s="126" t="e">
        <f>U545/$P545</f>
        <v>#DIV/0!</v>
      </c>
      <c r="W545" s="125"/>
      <c r="X545" s="127" t="e">
        <f>W545/$P545</f>
        <v>#DIV/0!</v>
      </c>
      <c r="Y545" s="124">
        <v>417676</v>
      </c>
      <c r="Z545" s="128"/>
    </row>
    <row r="547" spans="1:26" ht="13.9" customHeight="1">
      <c r="D547" s="41" t="s">
        <v>281</v>
      </c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2"/>
      <c r="S547" s="41"/>
      <c r="T547" s="42"/>
      <c r="U547" s="41"/>
      <c r="V547" s="42"/>
      <c r="W547" s="41"/>
      <c r="X547" s="42"/>
      <c r="Y547" s="41"/>
      <c r="Z547" s="41"/>
    </row>
    <row r="548" spans="1:26" ht="13.9" customHeight="1">
      <c r="D548" s="146"/>
      <c r="E548" s="21"/>
      <c r="F548" s="21"/>
      <c r="G548" s="21" t="s">
        <v>1</v>
      </c>
      <c r="H548" s="21" t="s">
        <v>2</v>
      </c>
      <c r="I548" s="21" t="s">
        <v>3</v>
      </c>
      <c r="J548" s="21" t="s">
        <v>4</v>
      </c>
      <c r="K548" s="21" t="s">
        <v>5</v>
      </c>
      <c r="L548" s="21" t="s">
        <v>6</v>
      </c>
      <c r="M548" s="21" t="s">
        <v>7</v>
      </c>
      <c r="N548" s="21" t="s">
        <v>8</v>
      </c>
      <c r="O548" s="21" t="s">
        <v>9</v>
      </c>
      <c r="P548" s="21" t="s">
        <v>10</v>
      </c>
      <c r="Q548" s="21" t="s">
        <v>11</v>
      </c>
      <c r="R548" s="22" t="s">
        <v>12</v>
      </c>
      <c r="S548" s="21" t="s">
        <v>13</v>
      </c>
      <c r="T548" s="22" t="s">
        <v>14</v>
      </c>
      <c r="U548" s="21" t="s">
        <v>15</v>
      </c>
      <c r="V548" s="22" t="s">
        <v>16</v>
      </c>
      <c r="W548" s="21" t="s">
        <v>17</v>
      </c>
      <c r="X548" s="22" t="s">
        <v>18</v>
      </c>
      <c r="Y548" s="21" t="s">
        <v>19</v>
      </c>
      <c r="Z548" s="21" t="s">
        <v>20</v>
      </c>
    </row>
    <row r="549" spans="1:26" ht="13.9" customHeight="1">
      <c r="A549" s="15">
        <v>8</v>
      </c>
      <c r="B549" s="15">
        <v>5</v>
      </c>
      <c r="D549" s="13" t="s">
        <v>21</v>
      </c>
      <c r="E549" s="23">
        <v>111</v>
      </c>
      <c r="F549" s="23" t="s">
        <v>46</v>
      </c>
      <c r="G549" s="24">
        <v>0</v>
      </c>
      <c r="H549" s="24">
        <v>0</v>
      </c>
      <c r="I549" s="24">
        <v>166698</v>
      </c>
      <c r="J549" s="24">
        <v>0</v>
      </c>
      <c r="K549" s="24">
        <v>150935</v>
      </c>
      <c r="L549" s="24">
        <v>0</v>
      </c>
      <c r="M549" s="24">
        <v>0</v>
      </c>
      <c r="N549" s="24">
        <v>0</v>
      </c>
      <c r="O549" s="24">
        <v>0</v>
      </c>
      <c r="P549" s="24">
        <v>150935</v>
      </c>
      <c r="Q549" s="24">
        <v>150933.32999999999</v>
      </c>
      <c r="R549" s="25">
        <f>Q549/$P549</f>
        <v>0.99998893563454461</v>
      </c>
      <c r="S549" s="24">
        <v>150933.32999999999</v>
      </c>
      <c r="T549" s="25">
        <f>S549/$P549</f>
        <v>0.99998893563454461</v>
      </c>
      <c r="U549" s="24">
        <v>150933.32999999999</v>
      </c>
      <c r="V549" s="25">
        <f>U549/$P549</f>
        <v>0.99998893563454461</v>
      </c>
      <c r="W549" s="24">
        <v>0</v>
      </c>
      <c r="X549" s="25">
        <f>W549/$P549</f>
        <v>0</v>
      </c>
      <c r="Y549" s="24">
        <v>0</v>
      </c>
      <c r="Z549" s="24">
        <v>0</v>
      </c>
    </row>
    <row r="550" spans="1:26" ht="13.9" customHeight="1">
      <c r="A550" s="15">
        <v>8</v>
      </c>
      <c r="B550" s="15">
        <v>5</v>
      </c>
      <c r="D550" s="13"/>
      <c r="E550" s="23">
        <v>41</v>
      </c>
      <c r="F550" s="23" t="s">
        <v>23</v>
      </c>
      <c r="G550" s="24">
        <f t="shared" ref="G550:Q550" si="266">SUM(G554:G560)-G549</f>
        <v>74155.569999999992</v>
      </c>
      <c r="H550" s="24">
        <f t="shared" si="266"/>
        <v>226141.9</v>
      </c>
      <c r="I550" s="24">
        <f t="shared" si="266"/>
        <v>245805</v>
      </c>
      <c r="J550" s="24">
        <f t="shared" si="266"/>
        <v>167391.96000000002</v>
      </c>
      <c r="K550" s="24">
        <f t="shared" si="266"/>
        <v>213835</v>
      </c>
      <c r="L550" s="24">
        <f t="shared" si="266"/>
        <v>0</v>
      </c>
      <c r="M550" s="24">
        <f t="shared" si="266"/>
        <v>8000</v>
      </c>
      <c r="N550" s="24">
        <f t="shared" si="266"/>
        <v>2000</v>
      </c>
      <c r="O550" s="24">
        <f t="shared" si="266"/>
        <v>604</v>
      </c>
      <c r="P550" s="24">
        <f t="shared" si="266"/>
        <v>224439</v>
      </c>
      <c r="Q550" s="24">
        <f t="shared" si="266"/>
        <v>11305.130000000005</v>
      </c>
      <c r="R550" s="25">
        <f>Q550/$P550</f>
        <v>5.0370612950512185E-2</v>
      </c>
      <c r="S550" s="24">
        <f>SUM(S554:S560)-S549</f>
        <v>37783.130000000005</v>
      </c>
      <c r="T550" s="25">
        <f>S550/$P550</f>
        <v>0.16834476182838101</v>
      </c>
      <c r="U550" s="24">
        <f>SUM(U554:U560)-U549</f>
        <v>188212.42</v>
      </c>
      <c r="V550" s="25">
        <f>U550/$P550</f>
        <v>0.8385905301663259</v>
      </c>
      <c r="W550" s="24">
        <f>SUM(W554:W560)-W549</f>
        <v>349237.35</v>
      </c>
      <c r="X550" s="25">
        <f>W550/$P550</f>
        <v>1.5560457407135122</v>
      </c>
      <c r="Y550" s="24">
        <f>SUM(Y554:Y560)</f>
        <v>0</v>
      </c>
      <c r="Z550" s="24">
        <f>SUM(Z554:Z560)</f>
        <v>386159</v>
      </c>
    </row>
    <row r="551" spans="1:26" ht="13.9" customHeight="1">
      <c r="A551" s="15">
        <v>8</v>
      </c>
      <c r="B551" s="15">
        <v>5</v>
      </c>
      <c r="D551" s="30"/>
      <c r="E551" s="31"/>
      <c r="F551" s="26" t="s">
        <v>119</v>
      </c>
      <c r="G551" s="27">
        <f t="shared" ref="G551:Q551" si="267">SUM(G549:G550)</f>
        <v>74155.569999999992</v>
      </c>
      <c r="H551" s="27">
        <f t="shared" si="267"/>
        <v>226141.9</v>
      </c>
      <c r="I551" s="27">
        <f t="shared" si="267"/>
        <v>412503</v>
      </c>
      <c r="J551" s="27">
        <f t="shared" si="267"/>
        <v>167391.96000000002</v>
      </c>
      <c r="K551" s="27">
        <f t="shared" si="267"/>
        <v>364770</v>
      </c>
      <c r="L551" s="27">
        <f t="shared" si="267"/>
        <v>0</v>
      </c>
      <c r="M551" s="27">
        <f t="shared" si="267"/>
        <v>8000</v>
      </c>
      <c r="N551" s="27">
        <f t="shared" si="267"/>
        <v>2000</v>
      </c>
      <c r="O551" s="27">
        <f t="shared" si="267"/>
        <v>604</v>
      </c>
      <c r="P551" s="27">
        <f t="shared" si="267"/>
        <v>375374</v>
      </c>
      <c r="Q551" s="27">
        <f t="shared" si="267"/>
        <v>162238.46</v>
      </c>
      <c r="R551" s="28">
        <f>Q551/$P551</f>
        <v>0.43220484103853757</v>
      </c>
      <c r="S551" s="27">
        <f>SUM(S549:S550)</f>
        <v>188716.46</v>
      </c>
      <c r="T551" s="28">
        <f>S551/$P551</f>
        <v>0.50274249148848882</v>
      </c>
      <c r="U551" s="27">
        <f>SUM(U549:U550)</f>
        <v>339145.75</v>
      </c>
      <c r="V551" s="28">
        <f>U551/$P551</f>
        <v>0.90348758837852383</v>
      </c>
      <c r="W551" s="27">
        <f>SUM(W549:W550)</f>
        <v>349237.35</v>
      </c>
      <c r="X551" s="28">
        <f>W551/$P551</f>
        <v>0.93037170928194279</v>
      </c>
      <c r="Y551" s="27">
        <f>SUM(Y549:Y550)</f>
        <v>0</v>
      </c>
      <c r="Z551" s="27">
        <f>SUM(Z549:Z550)</f>
        <v>386159</v>
      </c>
    </row>
    <row r="553" spans="1:26" ht="13.9" customHeight="1">
      <c r="D553" s="15" t="s">
        <v>56</v>
      </c>
    </row>
    <row r="554" spans="1:26" ht="13.9" customHeight="1">
      <c r="D554" s="43" t="s">
        <v>282</v>
      </c>
      <c r="E554" s="115" t="s">
        <v>283</v>
      </c>
      <c r="F554" s="123"/>
      <c r="G554" s="124">
        <v>20209.86</v>
      </c>
      <c r="H554" s="124"/>
      <c r="I554" s="124">
        <v>124430</v>
      </c>
      <c r="J554" s="124">
        <v>112331.32</v>
      </c>
      <c r="K554" s="124">
        <v>150000</v>
      </c>
      <c r="L554" s="124"/>
      <c r="M554" s="124"/>
      <c r="N554" s="124"/>
      <c r="O554" s="124"/>
      <c r="P554" s="124">
        <f t="shared" ref="P554:P560" si="268">K554+SUM(L554:O554)</f>
        <v>150000</v>
      </c>
      <c r="Q554" s="124">
        <v>0</v>
      </c>
      <c r="R554" s="138">
        <f t="shared" ref="R554:R560" si="269">Q554/$P554</f>
        <v>0</v>
      </c>
      <c r="S554" s="124">
        <v>0</v>
      </c>
      <c r="T554" s="138">
        <f t="shared" ref="T554:T560" si="270">S554/$P554</f>
        <v>0</v>
      </c>
      <c r="U554" s="124">
        <v>128332.54</v>
      </c>
      <c r="V554" s="138">
        <f t="shared" ref="V554:V560" si="271">U554/$P554</f>
        <v>0.85555026666666667</v>
      </c>
      <c r="W554" s="124">
        <v>128332.54</v>
      </c>
      <c r="X554" s="139">
        <f t="shared" ref="X554:X560" si="272">W554/$P554</f>
        <v>0.85555026666666667</v>
      </c>
      <c r="Y554" s="125"/>
      <c r="Z554" s="128"/>
    </row>
    <row r="555" spans="1:26" ht="13.9" hidden="1" customHeight="1">
      <c r="D555" s="43" t="s">
        <v>284</v>
      </c>
      <c r="E555" s="115" t="s">
        <v>285</v>
      </c>
      <c r="F555" s="123"/>
      <c r="G555" s="125">
        <v>50367.76</v>
      </c>
      <c r="H555" s="125"/>
      <c r="I555" s="125"/>
      <c r="J555" s="125"/>
      <c r="K555" s="125"/>
      <c r="L555" s="125"/>
      <c r="M555" s="125"/>
      <c r="N555" s="125"/>
      <c r="O555" s="125"/>
      <c r="P555" s="125">
        <f t="shared" si="268"/>
        <v>0</v>
      </c>
      <c r="Q555" s="125"/>
      <c r="R555" s="126" t="e">
        <f t="shared" si="269"/>
        <v>#DIV/0!</v>
      </c>
      <c r="S555" s="125"/>
      <c r="T555" s="126" t="e">
        <f t="shared" si="270"/>
        <v>#DIV/0!</v>
      </c>
      <c r="U555" s="125"/>
      <c r="V555" s="126" t="e">
        <f t="shared" si="271"/>
        <v>#DIV/0!</v>
      </c>
      <c r="W555" s="125"/>
      <c r="X555" s="127" t="e">
        <f t="shared" si="272"/>
        <v>#DIV/0!</v>
      </c>
      <c r="Y555" s="125"/>
      <c r="Z555" s="128"/>
    </row>
    <row r="556" spans="1:26" ht="13.9" customHeight="1">
      <c r="D556" s="1" t="s">
        <v>284</v>
      </c>
      <c r="E556" s="52" t="s">
        <v>286</v>
      </c>
      <c r="F556" s="30"/>
      <c r="G556" s="53">
        <v>223.9</v>
      </c>
      <c r="H556" s="53">
        <v>5028</v>
      </c>
      <c r="I556" s="53"/>
      <c r="J556" s="53">
        <v>1800</v>
      </c>
      <c r="K556" s="53"/>
      <c r="L556" s="53"/>
      <c r="M556" s="53"/>
      <c r="N556" s="53">
        <v>2000</v>
      </c>
      <c r="O556" s="53">
        <v>604</v>
      </c>
      <c r="P556" s="53">
        <f t="shared" si="268"/>
        <v>2604</v>
      </c>
      <c r="Q556" s="53">
        <v>0</v>
      </c>
      <c r="R556" s="54">
        <f t="shared" si="269"/>
        <v>0</v>
      </c>
      <c r="S556" s="53">
        <v>0</v>
      </c>
      <c r="T556" s="54">
        <f t="shared" si="270"/>
        <v>0</v>
      </c>
      <c r="U556" s="53">
        <v>0</v>
      </c>
      <c r="V556" s="54">
        <f t="shared" si="271"/>
        <v>0</v>
      </c>
      <c r="W556" s="53">
        <v>2604</v>
      </c>
      <c r="X556" s="55">
        <f t="shared" si="272"/>
        <v>1</v>
      </c>
      <c r="Y556" s="53"/>
      <c r="Z556" s="56"/>
    </row>
    <row r="557" spans="1:26" ht="13.9" hidden="1" customHeight="1">
      <c r="D557" s="1" t="s">
        <v>284</v>
      </c>
      <c r="E557" s="65" t="s">
        <v>287</v>
      </c>
      <c r="F557" s="94"/>
      <c r="G557" s="67"/>
      <c r="H557" s="67"/>
      <c r="I557" s="67"/>
      <c r="J557" s="67"/>
      <c r="K557" s="67"/>
      <c r="L557" s="67"/>
      <c r="M557" s="67"/>
      <c r="N557" s="67"/>
      <c r="O557" s="67"/>
      <c r="P557" s="67">
        <f t="shared" si="268"/>
        <v>0</v>
      </c>
      <c r="Q557" s="67"/>
      <c r="R557" s="68" t="e">
        <f t="shared" si="269"/>
        <v>#DIV/0!</v>
      </c>
      <c r="S557" s="67"/>
      <c r="T557" s="68" t="e">
        <f t="shared" si="270"/>
        <v>#DIV/0!</v>
      </c>
      <c r="U557" s="67"/>
      <c r="V557" s="68" t="e">
        <f t="shared" si="271"/>
        <v>#DIV/0!</v>
      </c>
      <c r="W557" s="67"/>
      <c r="X557" s="69" t="e">
        <f t="shared" si="272"/>
        <v>#DIV/0!</v>
      </c>
      <c r="Y557" s="67"/>
      <c r="Z557" s="161">
        <v>386159</v>
      </c>
    </row>
    <row r="558" spans="1:26" ht="13.9" customHeight="1">
      <c r="D558" s="1" t="s">
        <v>284</v>
      </c>
      <c r="E558" s="65" t="s">
        <v>288</v>
      </c>
      <c r="F558" s="94"/>
      <c r="G558" s="67">
        <v>1200</v>
      </c>
      <c r="H558" s="67"/>
      <c r="I558" s="67">
        <v>175472</v>
      </c>
      <c r="J558" s="67">
        <v>500</v>
      </c>
      <c r="K558" s="95">
        <v>162240</v>
      </c>
      <c r="L558" s="67"/>
      <c r="M558" s="67"/>
      <c r="N558" s="67"/>
      <c r="O558" s="67"/>
      <c r="P558" s="67">
        <f t="shared" si="268"/>
        <v>162240</v>
      </c>
      <c r="Q558" s="67">
        <v>162238.46</v>
      </c>
      <c r="R558" s="68">
        <f t="shared" si="269"/>
        <v>0.99999050788954635</v>
      </c>
      <c r="S558" s="67">
        <v>162238.46</v>
      </c>
      <c r="T558" s="68">
        <f t="shared" si="270"/>
        <v>0.99999050788954635</v>
      </c>
      <c r="U558" s="67">
        <v>162238.46</v>
      </c>
      <c r="V558" s="68">
        <f t="shared" si="271"/>
        <v>0.99999050788954635</v>
      </c>
      <c r="W558" s="67">
        <v>162238.46</v>
      </c>
      <c r="X558" s="69">
        <f t="shared" si="272"/>
        <v>0.99999050788954635</v>
      </c>
      <c r="Y558" s="124"/>
      <c r="Z558" s="162"/>
    </row>
    <row r="559" spans="1:26" ht="13.9" customHeight="1">
      <c r="D559" s="163" t="s">
        <v>289</v>
      </c>
      <c r="E559" s="115" t="s">
        <v>290</v>
      </c>
      <c r="F559" s="123"/>
      <c r="G559" s="125">
        <v>2154.0500000000002</v>
      </c>
      <c r="H559" s="125">
        <v>215186.4</v>
      </c>
      <c r="I559" s="124">
        <v>12601</v>
      </c>
      <c r="J559" s="125">
        <v>17482.32</v>
      </c>
      <c r="K559" s="125">
        <v>0</v>
      </c>
      <c r="L559" s="125"/>
      <c r="M559" s="125">
        <v>8000</v>
      </c>
      <c r="N559" s="125"/>
      <c r="O559" s="125"/>
      <c r="P559" s="125">
        <f t="shared" si="268"/>
        <v>8000</v>
      </c>
      <c r="Q559" s="125">
        <v>0</v>
      </c>
      <c r="R559" s="126">
        <f t="shared" si="269"/>
        <v>0</v>
      </c>
      <c r="S559" s="125">
        <v>0</v>
      </c>
      <c r="T559" s="126">
        <f t="shared" si="270"/>
        <v>0</v>
      </c>
      <c r="U559" s="125">
        <v>0</v>
      </c>
      <c r="V559" s="126">
        <f t="shared" si="271"/>
        <v>0</v>
      </c>
      <c r="W559" s="125">
        <v>7487.6</v>
      </c>
      <c r="X559" s="127">
        <f t="shared" si="272"/>
        <v>0.93595000000000006</v>
      </c>
      <c r="Y559" s="125"/>
      <c r="Z559" s="128"/>
    </row>
    <row r="560" spans="1:26" ht="13.9" customHeight="1">
      <c r="D560" s="43" t="s">
        <v>291</v>
      </c>
      <c r="E560" s="164" t="s">
        <v>292</v>
      </c>
      <c r="F560" s="123"/>
      <c r="G560" s="125"/>
      <c r="H560" s="125">
        <v>5927.5</v>
      </c>
      <c r="I560" s="125">
        <v>100000</v>
      </c>
      <c r="J560" s="125">
        <v>35278.32</v>
      </c>
      <c r="K560" s="125">
        <f>47530+5000</f>
        <v>52530</v>
      </c>
      <c r="L560" s="125"/>
      <c r="M560" s="125"/>
      <c r="N560" s="125"/>
      <c r="O560" s="125"/>
      <c r="P560" s="125">
        <f t="shared" si="268"/>
        <v>52530</v>
      </c>
      <c r="Q560" s="125">
        <v>0</v>
      </c>
      <c r="R560" s="126">
        <f t="shared" si="269"/>
        <v>0</v>
      </c>
      <c r="S560" s="125">
        <v>26478</v>
      </c>
      <c r="T560" s="126">
        <f t="shared" si="270"/>
        <v>0.50405482581382066</v>
      </c>
      <c r="U560" s="125">
        <v>48574.75</v>
      </c>
      <c r="V560" s="126">
        <f t="shared" si="271"/>
        <v>0.92470493051589564</v>
      </c>
      <c r="W560" s="125">
        <v>48574.75</v>
      </c>
      <c r="X560" s="127">
        <f t="shared" si="272"/>
        <v>0.92470493051589564</v>
      </c>
      <c r="Y560" s="123"/>
      <c r="Z560" s="165"/>
    </row>
    <row r="562" spans="1:26" ht="13.9" customHeight="1">
      <c r="D562" s="41" t="s">
        <v>293</v>
      </c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2"/>
      <c r="S562" s="41"/>
      <c r="T562" s="42"/>
      <c r="U562" s="41"/>
      <c r="V562" s="42"/>
      <c r="W562" s="41"/>
      <c r="X562" s="42"/>
      <c r="Y562" s="41"/>
      <c r="Z562" s="41"/>
    </row>
    <row r="563" spans="1:26" ht="13.9" customHeight="1">
      <c r="D563" s="146"/>
      <c r="E563" s="21"/>
      <c r="F563" s="21"/>
      <c r="G563" s="21" t="s">
        <v>1</v>
      </c>
      <c r="H563" s="21" t="s">
        <v>2</v>
      </c>
      <c r="I563" s="21" t="s">
        <v>3</v>
      </c>
      <c r="J563" s="21" t="s">
        <v>4</v>
      </c>
      <c r="K563" s="21" t="s">
        <v>5</v>
      </c>
      <c r="L563" s="21" t="s">
        <v>6</v>
      </c>
      <c r="M563" s="21" t="s">
        <v>7</v>
      </c>
      <c r="N563" s="21" t="s">
        <v>8</v>
      </c>
      <c r="O563" s="21" t="s">
        <v>9</v>
      </c>
      <c r="P563" s="21" t="s">
        <v>10</v>
      </c>
      <c r="Q563" s="21" t="s">
        <v>11</v>
      </c>
      <c r="R563" s="22" t="s">
        <v>12</v>
      </c>
      <c r="S563" s="21" t="s">
        <v>13</v>
      </c>
      <c r="T563" s="22" t="s">
        <v>14</v>
      </c>
      <c r="U563" s="21" t="s">
        <v>15</v>
      </c>
      <c r="V563" s="22" t="s">
        <v>16</v>
      </c>
      <c r="W563" s="21" t="s">
        <v>17</v>
      </c>
      <c r="X563" s="22" t="s">
        <v>18</v>
      </c>
      <c r="Y563" s="21" t="s">
        <v>19</v>
      </c>
      <c r="Z563" s="21" t="s">
        <v>20</v>
      </c>
    </row>
    <row r="564" spans="1:26" ht="13.9" hidden="1" customHeight="1">
      <c r="A564" s="15">
        <v>8</v>
      </c>
      <c r="B564" s="15">
        <v>6</v>
      </c>
      <c r="D564" s="148" t="s">
        <v>21</v>
      </c>
      <c r="E564" s="23">
        <v>111</v>
      </c>
      <c r="F564" s="23" t="s">
        <v>129</v>
      </c>
      <c r="G564" s="24">
        <v>0</v>
      </c>
      <c r="H564" s="24">
        <v>0</v>
      </c>
      <c r="I564" s="24">
        <v>0</v>
      </c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0</v>
      </c>
      <c r="P564" s="24">
        <v>0</v>
      </c>
      <c r="Q564" s="24">
        <v>0</v>
      </c>
      <c r="R564" s="25" t="e">
        <f>Q564/$P564</f>
        <v>#DIV/0!</v>
      </c>
      <c r="S564" s="24">
        <v>0</v>
      </c>
      <c r="T564" s="25" t="e">
        <f>S564/$P564</f>
        <v>#DIV/0!</v>
      </c>
      <c r="U564" s="24">
        <v>0</v>
      </c>
      <c r="V564" s="25" t="e">
        <f>U564/$P564</f>
        <v>#DIV/0!</v>
      </c>
      <c r="W564" s="24">
        <v>0</v>
      </c>
      <c r="X564" s="25" t="e">
        <f>W564/$P564</f>
        <v>#DIV/0!</v>
      </c>
      <c r="Y564" s="24">
        <f>SUM(Y568:Y568)</f>
        <v>0</v>
      </c>
      <c r="Z564" s="24">
        <f>SUM(Z568:Z568)</f>
        <v>0</v>
      </c>
    </row>
    <row r="565" spans="1:26" ht="13.9" customHeight="1">
      <c r="A565" s="15">
        <v>8</v>
      </c>
      <c r="B565" s="15">
        <v>6</v>
      </c>
      <c r="D565" s="148" t="s">
        <v>21</v>
      </c>
      <c r="E565" s="23">
        <v>41</v>
      </c>
      <c r="F565" s="23" t="s">
        <v>23</v>
      </c>
      <c r="G565" s="24">
        <f>SUM(G569:G576)</f>
        <v>13652.03</v>
      </c>
      <c r="H565" s="24">
        <v>99049.39</v>
      </c>
      <c r="I565" s="24">
        <f t="shared" ref="I565:Q565" si="273">SUM(I569:I576)-I564</f>
        <v>99920</v>
      </c>
      <c r="J565" s="24">
        <f t="shared" si="273"/>
        <v>51253.74</v>
      </c>
      <c r="K565" s="24">
        <f t="shared" si="273"/>
        <v>10000</v>
      </c>
      <c r="L565" s="24">
        <f t="shared" si="273"/>
        <v>0</v>
      </c>
      <c r="M565" s="24">
        <f t="shared" si="273"/>
        <v>20432</v>
      </c>
      <c r="N565" s="24">
        <f t="shared" si="273"/>
        <v>104000</v>
      </c>
      <c r="O565" s="24">
        <f t="shared" si="273"/>
        <v>-19500</v>
      </c>
      <c r="P565" s="24">
        <f t="shared" si="273"/>
        <v>114932</v>
      </c>
      <c r="Q565" s="24">
        <f t="shared" si="273"/>
        <v>0</v>
      </c>
      <c r="R565" s="25">
        <f>Q565/$P565</f>
        <v>0</v>
      </c>
      <c r="S565" s="24">
        <f>SUM(S569:S576)-S564</f>
        <v>670.81</v>
      </c>
      <c r="T565" s="25">
        <f>S565/$P565</f>
        <v>5.8365816308773881E-3</v>
      </c>
      <c r="U565" s="24">
        <f>SUM(U569:U576)-U564</f>
        <v>98147.23</v>
      </c>
      <c r="V565" s="25">
        <f>U565/$P565</f>
        <v>0.85395912365572679</v>
      </c>
      <c r="W565" s="24">
        <f>SUM(W569:W576)-W564</f>
        <v>98217.63</v>
      </c>
      <c r="X565" s="25">
        <f>W565/$P565</f>
        <v>0.85457165976403437</v>
      </c>
      <c r="Y565" s="24">
        <f>SUM(Y569:Y576)-Y564</f>
        <v>0</v>
      </c>
      <c r="Z565" s="24">
        <f>SUM(Z569:Z576)-Z564</f>
        <v>0</v>
      </c>
    </row>
    <row r="566" spans="1:26" ht="13.9" customHeight="1">
      <c r="A566" s="15">
        <v>8</v>
      </c>
      <c r="B566" s="15">
        <v>6</v>
      </c>
      <c r="D566" s="30"/>
      <c r="E566" s="31"/>
      <c r="F566" s="26" t="s">
        <v>119</v>
      </c>
      <c r="G566" s="27">
        <f t="shared" ref="G566:Q566" si="274">SUM(G564:G565)</f>
        <v>13652.03</v>
      </c>
      <c r="H566" s="27">
        <f t="shared" si="274"/>
        <v>99049.39</v>
      </c>
      <c r="I566" s="27">
        <f t="shared" si="274"/>
        <v>99920</v>
      </c>
      <c r="J566" s="27">
        <f t="shared" si="274"/>
        <v>51253.74</v>
      </c>
      <c r="K566" s="27">
        <f t="shared" si="274"/>
        <v>10000</v>
      </c>
      <c r="L566" s="27">
        <f t="shared" si="274"/>
        <v>0</v>
      </c>
      <c r="M566" s="27">
        <f t="shared" si="274"/>
        <v>20432</v>
      </c>
      <c r="N566" s="27">
        <f t="shared" si="274"/>
        <v>104000</v>
      </c>
      <c r="O566" s="27">
        <f t="shared" si="274"/>
        <v>-19500</v>
      </c>
      <c r="P566" s="27">
        <f t="shared" si="274"/>
        <v>114932</v>
      </c>
      <c r="Q566" s="27">
        <f t="shared" si="274"/>
        <v>0</v>
      </c>
      <c r="R566" s="28">
        <f>Q566/$P566</f>
        <v>0</v>
      </c>
      <c r="S566" s="27">
        <f>SUM(S564:S565)</f>
        <v>670.81</v>
      </c>
      <c r="T566" s="28">
        <f>S566/$P566</f>
        <v>5.8365816308773881E-3</v>
      </c>
      <c r="U566" s="27">
        <f>SUM(U564:U565)</f>
        <v>98147.23</v>
      </c>
      <c r="V566" s="28">
        <f>U566/$P566</f>
        <v>0.85395912365572679</v>
      </c>
      <c r="W566" s="27">
        <f>SUM(W564:W565)</f>
        <v>98217.63</v>
      </c>
      <c r="X566" s="28">
        <f>W566/$P566</f>
        <v>0.85457165976403437</v>
      </c>
      <c r="Y566" s="27">
        <f>SUM(Y564:Y565)</f>
        <v>0</v>
      </c>
      <c r="Z566" s="27">
        <f>SUM(Z564:Z565)</f>
        <v>0</v>
      </c>
    </row>
    <row r="568" spans="1:26" ht="13.9" customHeight="1">
      <c r="D568" s="15" t="s">
        <v>56</v>
      </c>
    </row>
    <row r="569" spans="1:26" ht="13.9" customHeight="1">
      <c r="D569" s="178" t="s">
        <v>294</v>
      </c>
      <c r="E569" s="52" t="s">
        <v>295</v>
      </c>
      <c r="F569" s="30"/>
      <c r="G569" s="53">
        <f>4320.43+110</f>
        <v>4430.43</v>
      </c>
      <c r="H569" s="53">
        <v>99049.39</v>
      </c>
      <c r="I569" s="53">
        <v>20000</v>
      </c>
      <c r="J569" s="53">
        <v>15964.89</v>
      </c>
      <c r="K569" s="53">
        <v>10000</v>
      </c>
      <c r="L569" s="53"/>
      <c r="M569" s="53"/>
      <c r="N569" s="53">
        <v>-1947</v>
      </c>
      <c r="O569" s="53"/>
      <c r="P569" s="53">
        <f t="shared" ref="P569:P576" si="275">K569+SUM(L569:O569)</f>
        <v>8053</v>
      </c>
      <c r="Q569" s="53">
        <v>0</v>
      </c>
      <c r="R569" s="54">
        <f t="shared" ref="R569:R576" si="276">Q569/$P569</f>
        <v>0</v>
      </c>
      <c r="S569" s="53">
        <v>670.81</v>
      </c>
      <c r="T569" s="54">
        <f t="shared" ref="T569:T576" si="277">S569/$P569</f>
        <v>8.3299391531106409E-2</v>
      </c>
      <c r="U569" s="53">
        <v>5767.77</v>
      </c>
      <c r="V569" s="54">
        <f t="shared" ref="V569:V576" si="278">U569/$P569</f>
        <v>0.71622625108655169</v>
      </c>
      <c r="W569" s="53">
        <v>5838.17</v>
      </c>
      <c r="X569" s="55">
        <f t="shared" ref="X569:X576" si="279">W569/$P569</f>
        <v>0.72496833478206879</v>
      </c>
      <c r="Y569" s="53"/>
      <c r="Z569" s="56"/>
    </row>
    <row r="570" spans="1:26" ht="13.9" hidden="1" customHeight="1">
      <c r="D570" s="178"/>
      <c r="E570" s="57" t="s">
        <v>296</v>
      </c>
      <c r="F570" s="91"/>
      <c r="G570" s="81"/>
      <c r="H570" s="81"/>
      <c r="I570" s="81">
        <v>19920</v>
      </c>
      <c r="J570" s="81"/>
      <c r="K570" s="81"/>
      <c r="L570" s="81"/>
      <c r="M570" s="81"/>
      <c r="N570" s="81"/>
      <c r="O570" s="81"/>
      <c r="P570" s="81">
        <f t="shared" si="275"/>
        <v>0</v>
      </c>
      <c r="Q570" s="81"/>
      <c r="R570" s="82" t="e">
        <f t="shared" si="276"/>
        <v>#DIV/0!</v>
      </c>
      <c r="S570" s="81"/>
      <c r="T570" s="82" t="e">
        <f t="shared" si="277"/>
        <v>#DIV/0!</v>
      </c>
      <c r="U570" s="81"/>
      <c r="V570" s="82" t="e">
        <f t="shared" si="278"/>
        <v>#DIV/0!</v>
      </c>
      <c r="W570" s="81"/>
      <c r="X570" s="60" t="e">
        <f t="shared" si="279"/>
        <v>#DIV/0!</v>
      </c>
      <c r="Y570" s="81"/>
      <c r="Z570" s="61"/>
    </row>
    <row r="571" spans="1:26" ht="13.9" customHeight="1">
      <c r="D571" s="178"/>
      <c r="E571" s="57" t="s">
        <v>297</v>
      </c>
      <c r="F571" s="91"/>
      <c r="G571" s="81"/>
      <c r="H571" s="81"/>
      <c r="I571" s="81"/>
      <c r="J571" s="81"/>
      <c r="K571" s="81"/>
      <c r="L571" s="81"/>
      <c r="M571" s="81">
        <v>20000</v>
      </c>
      <c r="N571" s="81">
        <v>1947</v>
      </c>
      <c r="O571" s="81"/>
      <c r="P571" s="81">
        <f t="shared" si="275"/>
        <v>21947</v>
      </c>
      <c r="Q571" s="81">
        <v>0</v>
      </c>
      <c r="R571" s="82">
        <f t="shared" si="276"/>
        <v>0</v>
      </c>
      <c r="S571" s="81">
        <v>0</v>
      </c>
      <c r="T571" s="82">
        <f t="shared" si="277"/>
        <v>0</v>
      </c>
      <c r="U571" s="81">
        <v>21947.46</v>
      </c>
      <c r="V571" s="82">
        <f t="shared" si="278"/>
        <v>1.0000209595844534</v>
      </c>
      <c r="W571" s="81">
        <v>21947.46</v>
      </c>
      <c r="X571" s="60">
        <f t="shared" si="279"/>
        <v>1.0000209595844534</v>
      </c>
      <c r="Y571" s="81"/>
      <c r="Z571" s="61"/>
    </row>
    <row r="572" spans="1:26" ht="13.9" customHeight="1">
      <c r="D572" s="178"/>
      <c r="E572" s="65" t="s">
        <v>298</v>
      </c>
      <c r="F572" s="94"/>
      <c r="G572" s="67"/>
      <c r="H572" s="67"/>
      <c r="I572" s="67"/>
      <c r="J572" s="67"/>
      <c r="K572" s="67"/>
      <c r="L572" s="67"/>
      <c r="M572" s="67">
        <v>432</v>
      </c>
      <c r="N572" s="67">
        <v>10000</v>
      </c>
      <c r="O572" s="67"/>
      <c r="P572" s="67">
        <f t="shared" si="275"/>
        <v>10432</v>
      </c>
      <c r="Q572" s="67">
        <v>0</v>
      </c>
      <c r="R572" s="68">
        <f t="shared" si="276"/>
        <v>0</v>
      </c>
      <c r="S572" s="67">
        <v>0</v>
      </c>
      <c r="T572" s="68">
        <f t="shared" si="277"/>
        <v>0</v>
      </c>
      <c r="U572" s="67">
        <v>432</v>
      </c>
      <c r="V572" s="68">
        <f t="shared" si="278"/>
        <v>4.1411042944785273E-2</v>
      </c>
      <c r="W572" s="67">
        <v>432</v>
      </c>
      <c r="X572" s="69">
        <f t="shared" si="279"/>
        <v>4.1411042944785273E-2</v>
      </c>
      <c r="Y572" s="67"/>
      <c r="Z572" s="70"/>
    </row>
    <row r="573" spans="1:26" ht="13.9" customHeight="1">
      <c r="D573" s="43" t="s">
        <v>299</v>
      </c>
      <c r="E573" s="65" t="s">
        <v>300</v>
      </c>
      <c r="F573" s="94"/>
      <c r="G573" s="67"/>
      <c r="H573" s="67"/>
      <c r="I573" s="67"/>
      <c r="J573" s="67"/>
      <c r="K573" s="67"/>
      <c r="L573" s="67"/>
      <c r="M573" s="67"/>
      <c r="N573" s="67">
        <v>94000</v>
      </c>
      <c r="O573" s="67">
        <v>-19500</v>
      </c>
      <c r="P573" s="67">
        <f t="shared" si="275"/>
        <v>74500</v>
      </c>
      <c r="Q573" s="67">
        <v>0</v>
      </c>
      <c r="R573" s="68">
        <f t="shared" si="276"/>
        <v>0</v>
      </c>
      <c r="S573" s="67">
        <v>0</v>
      </c>
      <c r="T573" s="68">
        <f t="shared" si="277"/>
        <v>0</v>
      </c>
      <c r="U573" s="67">
        <v>70000</v>
      </c>
      <c r="V573" s="68">
        <f t="shared" si="278"/>
        <v>0.93959731543624159</v>
      </c>
      <c r="W573" s="67">
        <v>70000</v>
      </c>
      <c r="X573" s="69">
        <f t="shared" si="279"/>
        <v>0.93959731543624159</v>
      </c>
      <c r="Y573" s="67"/>
      <c r="Z573" s="70"/>
    </row>
    <row r="574" spans="1:26" ht="13.9" hidden="1" customHeight="1">
      <c r="D574" s="179" t="s">
        <v>301</v>
      </c>
      <c r="E574" s="57" t="s">
        <v>302</v>
      </c>
      <c r="F574" s="91"/>
      <c r="G574" s="81">
        <v>3012</v>
      </c>
      <c r="H574" s="81"/>
      <c r="I574" s="81">
        <v>30000</v>
      </c>
      <c r="J574" s="81">
        <v>26384.85</v>
      </c>
      <c r="K574" s="81"/>
      <c r="L574" s="81"/>
      <c r="M574" s="81"/>
      <c r="N574" s="81"/>
      <c r="O574" s="81"/>
      <c r="P574" s="53">
        <f t="shared" si="275"/>
        <v>0</v>
      </c>
      <c r="Q574" s="81"/>
      <c r="R574" s="54" t="e">
        <f t="shared" si="276"/>
        <v>#DIV/0!</v>
      </c>
      <c r="S574" s="81"/>
      <c r="T574" s="54" t="e">
        <f t="shared" si="277"/>
        <v>#DIV/0!</v>
      </c>
      <c r="U574" s="81"/>
      <c r="V574" s="54" t="e">
        <f t="shared" si="278"/>
        <v>#DIV/0!</v>
      </c>
      <c r="W574" s="81"/>
      <c r="X574" s="55" t="e">
        <f t="shared" si="279"/>
        <v>#DIV/0!</v>
      </c>
      <c r="Y574" s="81"/>
      <c r="Z574" s="61"/>
    </row>
    <row r="575" spans="1:26" ht="13.9" hidden="1" customHeight="1">
      <c r="D575" s="179"/>
      <c r="E575" s="57" t="s">
        <v>303</v>
      </c>
      <c r="F575" s="91"/>
      <c r="G575" s="81">
        <v>2129.6</v>
      </c>
      <c r="H575" s="81"/>
      <c r="I575" s="81">
        <v>30000</v>
      </c>
      <c r="J575" s="81">
        <v>8904</v>
      </c>
      <c r="K575" s="81"/>
      <c r="L575" s="81"/>
      <c r="M575" s="81"/>
      <c r="N575" s="81"/>
      <c r="O575" s="81"/>
      <c r="P575" s="81">
        <f t="shared" si="275"/>
        <v>0</v>
      </c>
      <c r="Q575" s="81"/>
      <c r="R575" s="82" t="e">
        <f t="shared" si="276"/>
        <v>#DIV/0!</v>
      </c>
      <c r="S575" s="81"/>
      <c r="T575" s="82" t="e">
        <f t="shared" si="277"/>
        <v>#DIV/0!</v>
      </c>
      <c r="U575" s="81"/>
      <c r="V575" s="82" t="e">
        <f t="shared" si="278"/>
        <v>#DIV/0!</v>
      </c>
      <c r="W575" s="81"/>
      <c r="X575" s="60" t="e">
        <f t="shared" si="279"/>
        <v>#DIV/0!</v>
      </c>
      <c r="Y575" s="81"/>
      <c r="Z575" s="61"/>
    </row>
    <row r="576" spans="1:26" ht="13.9" hidden="1" customHeight="1">
      <c r="D576" s="179"/>
      <c r="E576" s="65" t="s">
        <v>304</v>
      </c>
      <c r="F576" s="94"/>
      <c r="G576" s="67">
        <v>4080</v>
      </c>
      <c r="H576" s="67"/>
      <c r="I576" s="67"/>
      <c r="J576" s="67"/>
      <c r="K576" s="67"/>
      <c r="L576" s="67"/>
      <c r="M576" s="67"/>
      <c r="N576" s="67"/>
      <c r="O576" s="67"/>
      <c r="P576" s="67">
        <f t="shared" si="275"/>
        <v>0</v>
      </c>
      <c r="Q576" s="67"/>
      <c r="R576" s="68" t="e">
        <f t="shared" si="276"/>
        <v>#DIV/0!</v>
      </c>
      <c r="S576" s="67"/>
      <c r="T576" s="68" t="e">
        <f t="shared" si="277"/>
        <v>#DIV/0!</v>
      </c>
      <c r="U576" s="67"/>
      <c r="V576" s="68" t="e">
        <f t="shared" si="278"/>
        <v>#DIV/0!</v>
      </c>
      <c r="W576" s="67"/>
      <c r="X576" s="69" t="e">
        <f t="shared" si="279"/>
        <v>#DIV/0!</v>
      </c>
      <c r="Y576" s="67"/>
      <c r="Z576" s="70"/>
    </row>
    <row r="578" spans="1:28" ht="13.9" customHeight="1">
      <c r="D578" s="41" t="s">
        <v>305</v>
      </c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2"/>
      <c r="S578" s="41"/>
      <c r="T578" s="42"/>
      <c r="U578" s="41"/>
      <c r="V578" s="42"/>
      <c r="W578" s="41"/>
      <c r="X578" s="42"/>
      <c r="Y578" s="41"/>
      <c r="Z578" s="41"/>
    </row>
    <row r="579" spans="1:28" ht="13.9" customHeight="1">
      <c r="D579" s="146"/>
      <c r="E579" s="21"/>
      <c r="F579" s="21"/>
      <c r="G579" s="21" t="s">
        <v>1</v>
      </c>
      <c r="H579" s="21" t="s">
        <v>2</v>
      </c>
      <c r="I579" s="21" t="s">
        <v>3</v>
      </c>
      <c r="J579" s="21" t="s">
        <v>4</v>
      </c>
      <c r="K579" s="21" t="s">
        <v>5</v>
      </c>
      <c r="L579" s="21" t="s">
        <v>6</v>
      </c>
      <c r="M579" s="21" t="s">
        <v>7</v>
      </c>
      <c r="N579" s="21" t="s">
        <v>8</v>
      </c>
      <c r="O579" s="21" t="s">
        <v>9</v>
      </c>
      <c r="P579" s="21" t="s">
        <v>10</v>
      </c>
      <c r="Q579" s="21" t="s">
        <v>11</v>
      </c>
      <c r="R579" s="22" t="s">
        <v>12</v>
      </c>
      <c r="S579" s="21" t="s">
        <v>13</v>
      </c>
      <c r="T579" s="22" t="s">
        <v>14</v>
      </c>
      <c r="U579" s="21" t="s">
        <v>15</v>
      </c>
      <c r="V579" s="22" t="s">
        <v>16</v>
      </c>
      <c r="W579" s="21" t="s">
        <v>17</v>
      </c>
      <c r="X579" s="22" t="s">
        <v>18</v>
      </c>
      <c r="Y579" s="21" t="s">
        <v>19</v>
      </c>
      <c r="Z579" s="21" t="s">
        <v>20</v>
      </c>
    </row>
    <row r="580" spans="1:28" ht="13.9" hidden="1" customHeight="1">
      <c r="A580" s="15">
        <v>8</v>
      </c>
      <c r="B580" s="15">
        <v>7</v>
      </c>
      <c r="D580" s="13" t="s">
        <v>21</v>
      </c>
      <c r="E580" s="23">
        <v>111</v>
      </c>
      <c r="F580" s="23" t="s">
        <v>46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4">
        <v>0</v>
      </c>
      <c r="Q580" s="24">
        <v>0</v>
      </c>
      <c r="R580" s="25" t="e">
        <f>Q580/$P580</f>
        <v>#DIV/0!</v>
      </c>
      <c r="S580" s="24">
        <v>0</v>
      </c>
      <c r="T580" s="25" t="e">
        <f>S580/$P580</f>
        <v>#DIV/0!</v>
      </c>
      <c r="U580" s="24">
        <v>0</v>
      </c>
      <c r="V580" s="25" t="e">
        <f>U580/$P580</f>
        <v>#DIV/0!</v>
      </c>
      <c r="W580" s="24">
        <v>0</v>
      </c>
      <c r="X580" s="25" t="e">
        <f>W580/$P580</f>
        <v>#DIV/0!</v>
      </c>
      <c r="Y580" s="24">
        <v>0</v>
      </c>
      <c r="Z580" s="24">
        <v>0</v>
      </c>
    </row>
    <row r="581" spans="1:28" ht="13.9" customHeight="1">
      <c r="A581" s="15">
        <v>8</v>
      </c>
      <c r="B581" s="15">
        <v>7</v>
      </c>
      <c r="D581" s="13"/>
      <c r="E581" s="23">
        <v>41</v>
      </c>
      <c r="F581" s="23" t="s">
        <v>23</v>
      </c>
      <c r="G581" s="24">
        <f>SUM(G585:G585)</f>
        <v>41814.720000000001</v>
      </c>
      <c r="H581" s="24">
        <v>5341.76</v>
      </c>
      <c r="I581" s="24">
        <f>SUM(I585:I587)-I580</f>
        <v>11000</v>
      </c>
      <c r="J581" s="24">
        <f>SUM(J585:J587)-J580</f>
        <v>4000</v>
      </c>
      <c r="K581" s="24">
        <f>SUM(K585:K587)-K580</f>
        <v>10000</v>
      </c>
      <c r="L581" s="24">
        <f>SUM(L585:L585)-L580</f>
        <v>0</v>
      </c>
      <c r="M581" s="24">
        <f>SUM(M585:M585)-M580</f>
        <v>0</v>
      </c>
      <c r="N581" s="24">
        <f>SUM(N585:N587)-N580</f>
        <v>87</v>
      </c>
      <c r="O581" s="24">
        <f>SUM(O585:O585)-O580</f>
        <v>0</v>
      </c>
      <c r="P581" s="24">
        <f>SUM(P585:P587)-P580</f>
        <v>10087</v>
      </c>
      <c r="Q581" s="24">
        <f>SUM(Q585:Q587)-Q580</f>
        <v>16</v>
      </c>
      <c r="R581" s="25">
        <f>Q581/$P581</f>
        <v>1.5862000594825023E-3</v>
      </c>
      <c r="S581" s="24">
        <f>SUM(S585:S587)-S580</f>
        <v>2431</v>
      </c>
      <c r="T581" s="25">
        <f>S581/$P581</f>
        <v>0.24100327153762269</v>
      </c>
      <c r="U581" s="24">
        <f>SUM(U585:U587)-U580</f>
        <v>2431</v>
      </c>
      <c r="V581" s="25">
        <f>U581/$P581</f>
        <v>0.24100327153762269</v>
      </c>
      <c r="W581" s="24">
        <f>SUM(W585:W587)-W580</f>
        <v>10087</v>
      </c>
      <c r="X581" s="25">
        <f>W581/$P581</f>
        <v>1</v>
      </c>
      <c r="Y581" s="24">
        <f>SUM(Y585:Y585)</f>
        <v>0</v>
      </c>
      <c r="Z581" s="24">
        <f>SUM(Z585:Z585)</f>
        <v>0</v>
      </c>
    </row>
    <row r="582" spans="1:28" ht="13.9" customHeight="1">
      <c r="A582" s="15">
        <v>8</v>
      </c>
      <c r="B582" s="15">
        <v>7</v>
      </c>
      <c r="D582" s="30"/>
      <c r="E582" s="31"/>
      <c r="F582" s="26" t="s">
        <v>119</v>
      </c>
      <c r="G582" s="27">
        <f t="shared" ref="G582:Q582" si="280">SUM(G580:G581)</f>
        <v>41814.720000000001</v>
      </c>
      <c r="H582" s="27">
        <f t="shared" si="280"/>
        <v>5341.76</v>
      </c>
      <c r="I582" s="27">
        <f t="shared" si="280"/>
        <v>11000</v>
      </c>
      <c r="J582" s="27">
        <f t="shared" si="280"/>
        <v>4000</v>
      </c>
      <c r="K582" s="27">
        <f t="shared" si="280"/>
        <v>10000</v>
      </c>
      <c r="L582" s="27">
        <f t="shared" si="280"/>
        <v>0</v>
      </c>
      <c r="M582" s="27">
        <f t="shared" si="280"/>
        <v>0</v>
      </c>
      <c r="N582" s="27">
        <f t="shared" si="280"/>
        <v>87</v>
      </c>
      <c r="O582" s="27">
        <f t="shared" si="280"/>
        <v>0</v>
      </c>
      <c r="P582" s="27">
        <f t="shared" si="280"/>
        <v>10087</v>
      </c>
      <c r="Q582" s="27">
        <f t="shared" si="280"/>
        <v>16</v>
      </c>
      <c r="R582" s="28">
        <f>Q582/$P582</f>
        <v>1.5862000594825023E-3</v>
      </c>
      <c r="S582" s="27">
        <f>SUM(S580:S581)</f>
        <v>2431</v>
      </c>
      <c r="T582" s="28">
        <f>S582/$P582</f>
        <v>0.24100327153762269</v>
      </c>
      <c r="U582" s="27">
        <f>SUM(U580:U581)</f>
        <v>2431</v>
      </c>
      <c r="V582" s="28">
        <f>U582/$P582</f>
        <v>0.24100327153762269</v>
      </c>
      <c r="W582" s="27">
        <f>SUM(W580:W581)</f>
        <v>10087</v>
      </c>
      <c r="X582" s="28">
        <f>W582/$P582</f>
        <v>1</v>
      </c>
      <c r="Y582" s="27">
        <f>SUM(Y580:Y581)</f>
        <v>0</v>
      </c>
      <c r="Z582" s="27">
        <f>SUM(Z580:Z581)</f>
        <v>0</v>
      </c>
    </row>
    <row r="584" spans="1:28" ht="13.9" customHeight="1">
      <c r="D584" s="15" t="s">
        <v>56</v>
      </c>
    </row>
    <row r="585" spans="1:28" ht="13.9" hidden="1" customHeight="1">
      <c r="D585" s="43" t="s">
        <v>306</v>
      </c>
      <c r="E585" s="52" t="s">
        <v>307</v>
      </c>
      <c r="F585" s="30"/>
      <c r="G585" s="117">
        <v>41814.720000000001</v>
      </c>
      <c r="H585" s="117"/>
      <c r="I585" s="117"/>
      <c r="J585" s="117"/>
      <c r="K585" s="117"/>
      <c r="L585" s="117"/>
      <c r="M585" s="117"/>
      <c r="N585" s="117"/>
      <c r="O585" s="117"/>
      <c r="P585" s="117">
        <f>K585+SUM(L585:O585)</f>
        <v>0</v>
      </c>
      <c r="Q585" s="117"/>
      <c r="R585" s="120" t="e">
        <f>Q585/$P585</f>
        <v>#DIV/0!</v>
      </c>
      <c r="S585" s="117"/>
      <c r="T585" s="120" t="e">
        <f>S585/$P585</f>
        <v>#DIV/0!</v>
      </c>
      <c r="U585" s="117"/>
      <c r="V585" s="120" t="e">
        <f>U585/$P585</f>
        <v>#DIV/0!</v>
      </c>
      <c r="W585" s="117"/>
      <c r="X585" s="121" t="e">
        <f>W585/$P585</f>
        <v>#DIV/0!</v>
      </c>
      <c r="Y585" s="53"/>
      <c r="Z585" s="56"/>
      <c r="AB585" s="166"/>
    </row>
    <row r="586" spans="1:28" ht="13.9" hidden="1" customHeight="1">
      <c r="D586" s="167" t="s">
        <v>306</v>
      </c>
      <c r="E586" s="57" t="s">
        <v>308</v>
      </c>
      <c r="F586" s="91"/>
      <c r="G586" s="81"/>
      <c r="H586" s="81">
        <v>5341.76</v>
      </c>
      <c r="I586" s="92">
        <v>3000</v>
      </c>
      <c r="J586" s="92">
        <v>4000</v>
      </c>
      <c r="K586" s="92"/>
      <c r="L586" s="92"/>
      <c r="M586" s="92"/>
      <c r="N586" s="92"/>
      <c r="O586" s="92"/>
      <c r="P586" s="92">
        <f>K586+SUM(L586:O586)</f>
        <v>0</v>
      </c>
      <c r="Q586" s="92"/>
      <c r="R586" s="93" t="e">
        <f>Q586/$P586</f>
        <v>#DIV/0!</v>
      </c>
      <c r="S586" s="92"/>
      <c r="T586" s="93" t="e">
        <f>S586/$P586</f>
        <v>#DIV/0!</v>
      </c>
      <c r="U586" s="92"/>
      <c r="V586" s="93" t="e">
        <f>U586/$P586</f>
        <v>#DIV/0!</v>
      </c>
      <c r="W586" s="92"/>
      <c r="X586" s="64" t="e">
        <f>W586/$P586</f>
        <v>#DIV/0!</v>
      </c>
      <c r="Y586" s="81"/>
      <c r="Z586" s="61"/>
      <c r="AB586" s="166"/>
    </row>
    <row r="587" spans="1:28" ht="13.9" customHeight="1">
      <c r="D587" s="168" t="s">
        <v>306</v>
      </c>
      <c r="E587" s="169" t="s">
        <v>309</v>
      </c>
      <c r="F587" s="170"/>
      <c r="G587" s="171"/>
      <c r="H587" s="171"/>
      <c r="I587" s="172">
        <v>8000</v>
      </c>
      <c r="J587" s="172"/>
      <c r="K587" s="172">
        <v>10000</v>
      </c>
      <c r="L587" s="172"/>
      <c r="M587" s="172"/>
      <c r="N587" s="172">
        <v>87</v>
      </c>
      <c r="O587" s="172"/>
      <c r="P587" s="172">
        <f>K587+SUM(L587:O587)</f>
        <v>10087</v>
      </c>
      <c r="Q587" s="172">
        <v>16</v>
      </c>
      <c r="R587" s="173">
        <f>Q587/$P587</f>
        <v>1.5862000594825023E-3</v>
      </c>
      <c r="S587" s="172">
        <v>2431</v>
      </c>
      <c r="T587" s="173">
        <f>S587/$P587</f>
        <v>0.24100327153762269</v>
      </c>
      <c r="U587" s="172">
        <v>2431</v>
      </c>
      <c r="V587" s="173">
        <f>U587/$P587</f>
        <v>0.24100327153762269</v>
      </c>
      <c r="W587" s="172">
        <v>10087</v>
      </c>
      <c r="X587" s="174">
        <f>W587/$P587</f>
        <v>1</v>
      </c>
      <c r="Y587" s="171"/>
      <c r="Z587" s="175"/>
      <c r="AB587" s="166"/>
    </row>
    <row r="589" spans="1:28" ht="13.9" customHeight="1">
      <c r="D589" s="41" t="s">
        <v>310</v>
      </c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2"/>
      <c r="S589" s="41"/>
      <c r="T589" s="42"/>
      <c r="U589" s="41"/>
      <c r="V589" s="42"/>
      <c r="W589" s="41"/>
      <c r="X589" s="42"/>
      <c r="Y589" s="41"/>
      <c r="Z589" s="41"/>
    </row>
    <row r="590" spans="1:28" ht="13.9" customHeight="1">
      <c r="D590" s="146"/>
      <c r="E590" s="21"/>
      <c r="F590" s="21"/>
      <c r="G590" s="21" t="s">
        <v>1</v>
      </c>
      <c r="H590" s="21" t="s">
        <v>2</v>
      </c>
      <c r="I590" s="21" t="s">
        <v>3</v>
      </c>
      <c r="J590" s="21" t="s">
        <v>4</v>
      </c>
      <c r="K590" s="21" t="s">
        <v>5</v>
      </c>
      <c r="L590" s="21" t="s">
        <v>6</v>
      </c>
      <c r="M590" s="21" t="s">
        <v>7</v>
      </c>
      <c r="N590" s="21" t="s">
        <v>8</v>
      </c>
      <c r="O590" s="21" t="s">
        <v>9</v>
      </c>
      <c r="P590" s="21" t="s">
        <v>10</v>
      </c>
      <c r="Q590" s="21" t="s">
        <v>11</v>
      </c>
      <c r="R590" s="22" t="s">
        <v>12</v>
      </c>
      <c r="S590" s="21" t="s">
        <v>13</v>
      </c>
      <c r="T590" s="22" t="s">
        <v>14</v>
      </c>
      <c r="U590" s="21" t="s">
        <v>15</v>
      </c>
      <c r="V590" s="22" t="s">
        <v>16</v>
      </c>
      <c r="W590" s="21" t="s">
        <v>17</v>
      </c>
      <c r="X590" s="22" t="s">
        <v>18</v>
      </c>
      <c r="Y590" s="21" t="s">
        <v>19</v>
      </c>
      <c r="Z590" s="21" t="s">
        <v>20</v>
      </c>
    </row>
    <row r="591" spans="1:28" ht="13.9" customHeight="1">
      <c r="A591" s="15">
        <v>8</v>
      </c>
      <c r="B591" s="15">
        <v>8</v>
      </c>
      <c r="D591" s="142" t="s">
        <v>21</v>
      </c>
      <c r="E591" s="23">
        <v>41</v>
      </c>
      <c r="F591" s="23" t="s">
        <v>23</v>
      </c>
      <c r="G591" s="24">
        <f>SUM(G595:G595)</f>
        <v>4392</v>
      </c>
      <c r="H591" s="24">
        <v>3024</v>
      </c>
      <c r="I591" s="24">
        <f t="shared" ref="I591:Q591" si="281">SUM(I595:I595)</f>
        <v>0</v>
      </c>
      <c r="J591" s="24">
        <f t="shared" si="281"/>
        <v>1884</v>
      </c>
      <c r="K591" s="24">
        <f t="shared" si="281"/>
        <v>12000</v>
      </c>
      <c r="L591" s="24">
        <f t="shared" si="281"/>
        <v>0</v>
      </c>
      <c r="M591" s="24">
        <f t="shared" si="281"/>
        <v>0</v>
      </c>
      <c r="N591" s="24">
        <f t="shared" si="281"/>
        <v>0</v>
      </c>
      <c r="O591" s="24">
        <f t="shared" si="281"/>
        <v>0</v>
      </c>
      <c r="P591" s="24">
        <f t="shared" si="281"/>
        <v>12000</v>
      </c>
      <c r="Q591" s="24">
        <f t="shared" si="281"/>
        <v>24</v>
      </c>
      <c r="R591" s="25">
        <f>Q591/$P591</f>
        <v>2E-3</v>
      </c>
      <c r="S591" s="24">
        <f>SUM(S595:S595)</f>
        <v>24</v>
      </c>
      <c r="T591" s="25">
        <f>S591/$P591</f>
        <v>2E-3</v>
      </c>
      <c r="U591" s="24">
        <f>SUM(U595:U595)</f>
        <v>864</v>
      </c>
      <c r="V591" s="25">
        <f>U591/$P591</f>
        <v>7.1999999999999995E-2</v>
      </c>
      <c r="W591" s="24">
        <f>SUM(W595:W595)</f>
        <v>8064</v>
      </c>
      <c r="X591" s="25">
        <f>W591/$P591</f>
        <v>0.67200000000000004</v>
      </c>
      <c r="Y591" s="24">
        <f>SUM(Y595:Y595)</f>
        <v>0</v>
      </c>
      <c r="Z591" s="24">
        <f>SUM(Z595:Z595)</f>
        <v>0</v>
      </c>
    </row>
    <row r="592" spans="1:28" ht="13.9" customHeight="1">
      <c r="A592" s="15">
        <v>8</v>
      </c>
      <c r="B592" s="15">
        <v>8</v>
      </c>
      <c r="D592" s="30"/>
      <c r="E592" s="31"/>
      <c r="F592" s="26" t="s">
        <v>119</v>
      </c>
      <c r="G592" s="27">
        <f t="shared" ref="G592:Q592" si="282">SUM(G591)</f>
        <v>4392</v>
      </c>
      <c r="H592" s="27">
        <f t="shared" si="282"/>
        <v>3024</v>
      </c>
      <c r="I592" s="27">
        <f t="shared" si="282"/>
        <v>0</v>
      </c>
      <c r="J592" s="27">
        <f t="shared" si="282"/>
        <v>1884</v>
      </c>
      <c r="K592" s="27">
        <f t="shared" si="282"/>
        <v>12000</v>
      </c>
      <c r="L592" s="27">
        <f t="shared" si="282"/>
        <v>0</v>
      </c>
      <c r="M592" s="27">
        <f t="shared" si="282"/>
        <v>0</v>
      </c>
      <c r="N592" s="27">
        <f t="shared" si="282"/>
        <v>0</v>
      </c>
      <c r="O592" s="27">
        <f t="shared" si="282"/>
        <v>0</v>
      </c>
      <c r="P592" s="27">
        <f t="shared" si="282"/>
        <v>12000</v>
      </c>
      <c r="Q592" s="27">
        <f t="shared" si="282"/>
        <v>24</v>
      </c>
      <c r="R592" s="28">
        <f>Q592/$P592</f>
        <v>2E-3</v>
      </c>
      <c r="S592" s="27">
        <f>SUM(S591)</f>
        <v>24</v>
      </c>
      <c r="T592" s="28">
        <f>S592/$P592</f>
        <v>2E-3</v>
      </c>
      <c r="U592" s="27">
        <f>SUM(U591)</f>
        <v>864</v>
      </c>
      <c r="V592" s="28">
        <f>U592/$P592</f>
        <v>7.1999999999999995E-2</v>
      </c>
      <c r="W592" s="27">
        <f>SUM(W591)</f>
        <v>8064</v>
      </c>
      <c r="X592" s="28">
        <f>W592/$P592</f>
        <v>0.67200000000000004</v>
      </c>
      <c r="Y592" s="27">
        <f>SUM(Y591)</f>
        <v>0</v>
      </c>
      <c r="Z592" s="27">
        <f>SUM(Z591)</f>
        <v>0</v>
      </c>
    </row>
    <row r="594" spans="1:26" ht="13.9" customHeight="1">
      <c r="D594" s="15" t="s">
        <v>56</v>
      </c>
    </row>
    <row r="595" spans="1:26" ht="13.9" customHeight="1">
      <c r="D595" s="51" t="s">
        <v>311</v>
      </c>
      <c r="E595" s="115" t="s">
        <v>312</v>
      </c>
      <c r="F595" s="123"/>
      <c r="G595" s="125">
        <v>4392</v>
      </c>
      <c r="H595" s="125">
        <v>3024</v>
      </c>
      <c r="I595" s="124">
        <v>0</v>
      </c>
      <c r="J595" s="125">
        <v>1884</v>
      </c>
      <c r="K595" s="124">
        <v>12000</v>
      </c>
      <c r="L595" s="125"/>
      <c r="M595" s="125"/>
      <c r="N595" s="125"/>
      <c r="O595" s="125"/>
      <c r="P595" s="125">
        <f>K595+SUM(L595:O595)</f>
        <v>12000</v>
      </c>
      <c r="Q595" s="125">
        <v>24</v>
      </c>
      <c r="R595" s="126">
        <f>Q595/$P595</f>
        <v>2E-3</v>
      </c>
      <c r="S595" s="125">
        <v>24</v>
      </c>
      <c r="T595" s="126">
        <f>S595/$P595</f>
        <v>2E-3</v>
      </c>
      <c r="U595" s="125">
        <v>864</v>
      </c>
      <c r="V595" s="126">
        <f>U595/$P595</f>
        <v>7.1999999999999995E-2</v>
      </c>
      <c r="W595" s="125">
        <v>8064</v>
      </c>
      <c r="X595" s="127">
        <f>W595/$P595</f>
        <v>0.67200000000000004</v>
      </c>
      <c r="Y595" s="125"/>
      <c r="Z595" s="128"/>
    </row>
    <row r="597" spans="1:26" ht="13.9" customHeight="1">
      <c r="D597" s="32" t="s">
        <v>313</v>
      </c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3"/>
      <c r="S597" s="32"/>
      <c r="T597" s="33"/>
      <c r="U597" s="32"/>
      <c r="V597" s="33"/>
      <c r="W597" s="32"/>
      <c r="X597" s="33"/>
      <c r="Y597" s="32"/>
      <c r="Z597" s="32"/>
    </row>
    <row r="598" spans="1:26" ht="13.9" customHeight="1">
      <c r="D598" s="20"/>
      <c r="E598" s="20"/>
      <c r="F598" s="20"/>
      <c r="G598" s="21" t="s">
        <v>1</v>
      </c>
      <c r="H598" s="21" t="s">
        <v>2</v>
      </c>
      <c r="I598" s="21" t="s">
        <v>3</v>
      </c>
      <c r="J598" s="21" t="s">
        <v>4</v>
      </c>
      <c r="K598" s="21" t="s">
        <v>5</v>
      </c>
      <c r="L598" s="21" t="s">
        <v>6</v>
      </c>
      <c r="M598" s="21" t="s">
        <v>7</v>
      </c>
      <c r="N598" s="21" t="s">
        <v>8</v>
      </c>
      <c r="O598" s="21" t="s">
        <v>9</v>
      </c>
      <c r="P598" s="21" t="s">
        <v>10</v>
      </c>
      <c r="Q598" s="21" t="s">
        <v>11</v>
      </c>
      <c r="R598" s="22" t="s">
        <v>12</v>
      </c>
      <c r="S598" s="21" t="s">
        <v>13</v>
      </c>
      <c r="T598" s="22" t="s">
        <v>14</v>
      </c>
      <c r="U598" s="21" t="s">
        <v>15</v>
      </c>
      <c r="V598" s="22" t="s">
        <v>16</v>
      </c>
      <c r="W598" s="21" t="s">
        <v>17</v>
      </c>
      <c r="X598" s="22" t="s">
        <v>18</v>
      </c>
      <c r="Y598" s="21" t="s">
        <v>19</v>
      </c>
      <c r="Z598" s="21" t="s">
        <v>20</v>
      </c>
    </row>
    <row r="599" spans="1:26" ht="13.9" customHeight="1">
      <c r="A599" s="15">
        <v>9</v>
      </c>
      <c r="D599" s="34" t="s">
        <v>21</v>
      </c>
      <c r="E599" s="35">
        <v>71</v>
      </c>
      <c r="F599" s="35" t="s">
        <v>24</v>
      </c>
      <c r="G599" s="36">
        <f t="shared" ref="G599:Q599" si="283">G605</f>
        <v>0</v>
      </c>
      <c r="H599" s="36">
        <f t="shared" si="283"/>
        <v>0</v>
      </c>
      <c r="I599" s="36">
        <f t="shared" si="283"/>
        <v>0</v>
      </c>
      <c r="J599" s="36">
        <f t="shared" si="283"/>
        <v>300</v>
      </c>
      <c r="K599" s="36">
        <f t="shared" si="283"/>
        <v>3000</v>
      </c>
      <c r="L599" s="36">
        <f t="shared" si="283"/>
        <v>0</v>
      </c>
      <c r="M599" s="36">
        <f t="shared" si="283"/>
        <v>0</v>
      </c>
      <c r="N599" s="36">
        <f t="shared" si="283"/>
        <v>0</v>
      </c>
      <c r="O599" s="36">
        <f t="shared" si="283"/>
        <v>26000</v>
      </c>
      <c r="P599" s="36">
        <f t="shared" si="283"/>
        <v>29000</v>
      </c>
      <c r="Q599" s="36">
        <f t="shared" si="283"/>
        <v>0</v>
      </c>
      <c r="R599" s="37">
        <f>Q599/$P599</f>
        <v>0</v>
      </c>
      <c r="S599" s="36">
        <f>S605</f>
        <v>100</v>
      </c>
      <c r="T599" s="37">
        <f>S599/$P599</f>
        <v>3.4482758620689655E-3</v>
      </c>
      <c r="U599" s="36">
        <f>U605</f>
        <v>370</v>
      </c>
      <c r="V599" s="37">
        <f>U599/$P599</f>
        <v>1.2758620689655173E-2</v>
      </c>
      <c r="W599" s="36">
        <f>W605</f>
        <v>4020</v>
      </c>
      <c r="X599" s="37">
        <f>W599/$P599</f>
        <v>0.13862068965517241</v>
      </c>
      <c r="Y599" s="36">
        <f>Y605</f>
        <v>0</v>
      </c>
      <c r="Z599" s="36">
        <f>Z605</f>
        <v>0</v>
      </c>
    </row>
    <row r="600" spans="1:26" ht="13.9" customHeight="1">
      <c r="A600" s="15">
        <v>9</v>
      </c>
      <c r="D600" s="30"/>
      <c r="E600" s="31"/>
      <c r="F600" s="38" t="s">
        <v>119</v>
      </c>
      <c r="G600" s="39">
        <f t="shared" ref="G600:Q600" si="284">SUM(G599:G599)</f>
        <v>0</v>
      </c>
      <c r="H600" s="39">
        <f t="shared" si="284"/>
        <v>0</v>
      </c>
      <c r="I600" s="39">
        <f t="shared" si="284"/>
        <v>0</v>
      </c>
      <c r="J600" s="39">
        <f t="shared" si="284"/>
        <v>300</v>
      </c>
      <c r="K600" s="39">
        <f t="shared" si="284"/>
        <v>3000</v>
      </c>
      <c r="L600" s="39">
        <f t="shared" si="284"/>
        <v>0</v>
      </c>
      <c r="M600" s="39">
        <f t="shared" si="284"/>
        <v>0</v>
      </c>
      <c r="N600" s="39">
        <f t="shared" si="284"/>
        <v>0</v>
      </c>
      <c r="O600" s="39">
        <f t="shared" si="284"/>
        <v>26000</v>
      </c>
      <c r="P600" s="39">
        <f t="shared" si="284"/>
        <v>29000</v>
      </c>
      <c r="Q600" s="39">
        <f t="shared" si="284"/>
        <v>0</v>
      </c>
      <c r="R600" s="40">
        <f>Q600/$P600</f>
        <v>0</v>
      </c>
      <c r="S600" s="39">
        <f>SUM(S599:S599)</f>
        <v>100</v>
      </c>
      <c r="T600" s="40">
        <f>S600/$P600</f>
        <v>3.4482758620689655E-3</v>
      </c>
      <c r="U600" s="39">
        <f>SUM(U599:U599)</f>
        <v>370</v>
      </c>
      <c r="V600" s="40">
        <f>U600/$P600</f>
        <v>1.2758620689655173E-2</v>
      </c>
      <c r="W600" s="39">
        <f>SUM(W599:W599)</f>
        <v>4020</v>
      </c>
      <c r="X600" s="40">
        <f>W600/$P600</f>
        <v>0.13862068965517241</v>
      </c>
      <c r="Y600" s="39">
        <f>SUM(Y599:Y599)</f>
        <v>0</v>
      </c>
      <c r="Z600" s="39">
        <f>SUM(Z599:Z599)</f>
        <v>0</v>
      </c>
    </row>
    <row r="602" spans="1:26" ht="13.9" customHeight="1">
      <c r="D602" s="73" t="s">
        <v>314</v>
      </c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4"/>
      <c r="S602" s="73"/>
      <c r="T602" s="74"/>
      <c r="U602" s="73"/>
      <c r="V602" s="74"/>
      <c r="W602" s="73"/>
      <c r="X602" s="74"/>
      <c r="Y602" s="73"/>
      <c r="Z602" s="73"/>
    </row>
    <row r="603" spans="1:26" ht="13.9" customHeight="1">
      <c r="D603" s="21" t="s">
        <v>32</v>
      </c>
      <c r="E603" s="21" t="s">
        <v>33</v>
      </c>
      <c r="F603" s="21" t="s">
        <v>34</v>
      </c>
      <c r="G603" s="21" t="s">
        <v>1</v>
      </c>
      <c r="H603" s="21" t="s">
        <v>2</v>
      </c>
      <c r="I603" s="21" t="s">
        <v>3</v>
      </c>
      <c r="J603" s="21" t="s">
        <v>4</v>
      </c>
      <c r="K603" s="21" t="s">
        <v>5</v>
      </c>
      <c r="L603" s="21" t="s">
        <v>6</v>
      </c>
      <c r="M603" s="21" t="s">
        <v>7</v>
      </c>
      <c r="N603" s="21" t="s">
        <v>8</v>
      </c>
      <c r="O603" s="21" t="s">
        <v>9</v>
      </c>
      <c r="P603" s="21" t="s">
        <v>10</v>
      </c>
      <c r="Q603" s="21" t="s">
        <v>11</v>
      </c>
      <c r="R603" s="22" t="s">
        <v>12</v>
      </c>
      <c r="S603" s="21" t="s">
        <v>13</v>
      </c>
      <c r="T603" s="22" t="s">
        <v>14</v>
      </c>
      <c r="U603" s="21" t="s">
        <v>15</v>
      </c>
      <c r="V603" s="22" t="s">
        <v>16</v>
      </c>
      <c r="W603" s="21" t="s">
        <v>17</v>
      </c>
      <c r="X603" s="22" t="s">
        <v>18</v>
      </c>
      <c r="Y603" s="21" t="s">
        <v>19</v>
      </c>
      <c r="Z603" s="21" t="s">
        <v>20</v>
      </c>
    </row>
    <row r="604" spans="1:26" ht="13.9" customHeight="1">
      <c r="A604" s="15">
        <v>9</v>
      </c>
      <c r="B604" s="15">
        <v>1</v>
      </c>
      <c r="D604" s="90" t="s">
        <v>123</v>
      </c>
      <c r="E604" s="23">
        <v>810</v>
      </c>
      <c r="F604" s="23" t="s">
        <v>315</v>
      </c>
      <c r="G604" s="24">
        <v>0</v>
      </c>
      <c r="H604" s="24">
        <v>0</v>
      </c>
      <c r="I604" s="24">
        <v>0</v>
      </c>
      <c r="J604" s="24">
        <v>300</v>
      </c>
      <c r="K604" s="24">
        <v>3000</v>
      </c>
      <c r="L604" s="24"/>
      <c r="M604" s="24"/>
      <c r="N604" s="24"/>
      <c r="O604" s="24">
        <v>26000</v>
      </c>
      <c r="P604" s="24">
        <f>K604+SUM(L604:O604)</f>
        <v>29000</v>
      </c>
      <c r="Q604" s="24">
        <v>0</v>
      </c>
      <c r="R604" s="25">
        <f>Q604/$P604</f>
        <v>0</v>
      </c>
      <c r="S604" s="24">
        <v>100</v>
      </c>
      <c r="T604" s="25">
        <f>S604/$P604</f>
        <v>3.4482758620689655E-3</v>
      </c>
      <c r="U604" s="24">
        <v>370</v>
      </c>
      <c r="V604" s="25">
        <f>U604/$P604</f>
        <v>1.2758620689655173E-2</v>
      </c>
      <c r="W604" s="24">
        <v>4020</v>
      </c>
      <c r="X604" s="25">
        <f>W604/$P604</f>
        <v>0.13862068965517241</v>
      </c>
      <c r="Y604" s="24">
        <v>0</v>
      </c>
      <c r="Z604" s="24">
        <v>0</v>
      </c>
    </row>
    <row r="605" spans="1:26" ht="13.9" customHeight="1">
      <c r="A605" s="15">
        <v>9</v>
      </c>
      <c r="B605" s="15">
        <v>1</v>
      </c>
      <c r="D605" s="83" t="s">
        <v>21</v>
      </c>
      <c r="E605" s="48">
        <v>71</v>
      </c>
      <c r="F605" s="48" t="s">
        <v>24</v>
      </c>
      <c r="G605" s="49">
        <f t="shared" ref="G605:Q606" si="285">SUM(G604:G604)</f>
        <v>0</v>
      </c>
      <c r="H605" s="49">
        <f t="shared" si="285"/>
        <v>0</v>
      </c>
      <c r="I605" s="49">
        <f t="shared" si="285"/>
        <v>0</v>
      </c>
      <c r="J605" s="49">
        <f t="shared" si="285"/>
        <v>300</v>
      </c>
      <c r="K605" s="49">
        <f t="shared" si="285"/>
        <v>3000</v>
      </c>
      <c r="L605" s="49">
        <f t="shared" si="285"/>
        <v>0</v>
      </c>
      <c r="M605" s="49">
        <f t="shared" si="285"/>
        <v>0</v>
      </c>
      <c r="N605" s="49">
        <f t="shared" si="285"/>
        <v>0</v>
      </c>
      <c r="O605" s="49">
        <f t="shared" si="285"/>
        <v>26000</v>
      </c>
      <c r="P605" s="49">
        <f t="shared" si="285"/>
        <v>29000</v>
      </c>
      <c r="Q605" s="49">
        <f t="shared" si="285"/>
        <v>0</v>
      </c>
      <c r="R605" s="50">
        <f>Q605/$P605</f>
        <v>0</v>
      </c>
      <c r="S605" s="49">
        <f>SUM(S604:S604)</f>
        <v>100</v>
      </c>
      <c r="T605" s="50">
        <f>S605/$P605</f>
        <v>3.4482758620689655E-3</v>
      </c>
      <c r="U605" s="49">
        <f>SUM(U604:U604)</f>
        <v>370</v>
      </c>
      <c r="V605" s="50">
        <f>U605/$P605</f>
        <v>1.2758620689655173E-2</v>
      </c>
      <c r="W605" s="49">
        <f>SUM(W604:W604)</f>
        <v>4020</v>
      </c>
      <c r="X605" s="50">
        <f>W605/$P605</f>
        <v>0.13862068965517241</v>
      </c>
      <c r="Y605" s="49">
        <f>SUM(Y604:Y604)</f>
        <v>0</v>
      </c>
      <c r="Z605" s="49">
        <f>SUM(Z604:Z604)</f>
        <v>0</v>
      </c>
    </row>
    <row r="606" spans="1:26" ht="13.9" customHeight="1">
      <c r="A606" s="15">
        <v>9</v>
      </c>
      <c r="B606" s="15">
        <v>1</v>
      </c>
      <c r="D606" s="85"/>
      <c r="E606" s="86"/>
      <c r="F606" s="26" t="s">
        <v>119</v>
      </c>
      <c r="G606" s="27">
        <f t="shared" si="285"/>
        <v>0</v>
      </c>
      <c r="H606" s="27">
        <f t="shared" si="285"/>
        <v>0</v>
      </c>
      <c r="I606" s="27">
        <f t="shared" si="285"/>
        <v>0</v>
      </c>
      <c r="J606" s="27">
        <f t="shared" si="285"/>
        <v>300</v>
      </c>
      <c r="K606" s="27">
        <f t="shared" si="285"/>
        <v>3000</v>
      </c>
      <c r="L606" s="27">
        <f t="shared" si="285"/>
        <v>0</v>
      </c>
      <c r="M606" s="27">
        <f t="shared" si="285"/>
        <v>0</v>
      </c>
      <c r="N606" s="27">
        <f t="shared" si="285"/>
        <v>0</v>
      </c>
      <c r="O606" s="27">
        <f t="shared" si="285"/>
        <v>26000</v>
      </c>
      <c r="P606" s="27">
        <f t="shared" si="285"/>
        <v>29000</v>
      </c>
      <c r="Q606" s="27">
        <f t="shared" si="285"/>
        <v>0</v>
      </c>
      <c r="R606" s="28">
        <f>Q606/$P606</f>
        <v>0</v>
      </c>
      <c r="S606" s="27">
        <f>SUM(S605:S605)</f>
        <v>100</v>
      </c>
      <c r="T606" s="28">
        <f>S606/$P606</f>
        <v>3.4482758620689655E-3</v>
      </c>
      <c r="U606" s="27">
        <f>SUM(U605:U605)</f>
        <v>370</v>
      </c>
      <c r="V606" s="28">
        <f>U606/$P606</f>
        <v>1.2758620689655173E-2</v>
      </c>
      <c r="W606" s="27">
        <f>SUM(W605:W605)</f>
        <v>4020</v>
      </c>
      <c r="X606" s="28">
        <f>W606/$P606</f>
        <v>0.13862068965517241</v>
      </c>
      <c r="Y606" s="27">
        <f>SUM(Y605:Y605)</f>
        <v>0</v>
      </c>
      <c r="Z606" s="27">
        <f>SUM(Z605:Z605)</f>
        <v>0</v>
      </c>
    </row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9">
    <mergeCell ref="D556:D558"/>
    <mergeCell ref="D569:D572"/>
    <mergeCell ref="D574:D576"/>
    <mergeCell ref="D580:D581"/>
    <mergeCell ref="D491:D492"/>
    <mergeCell ref="D505:D506"/>
    <mergeCell ref="D521:D522"/>
    <mergeCell ref="D543:D544"/>
    <mergeCell ref="D549:D550"/>
    <mergeCell ref="D418:D419"/>
    <mergeCell ref="D449:D451"/>
    <mergeCell ref="D456:D458"/>
    <mergeCell ref="D463:D465"/>
    <mergeCell ref="D467:D470"/>
    <mergeCell ref="D353:D354"/>
    <mergeCell ref="D361:D363"/>
    <mergeCell ref="D381:D382"/>
    <mergeCell ref="D399:D400"/>
    <mergeCell ref="D411:D412"/>
    <mergeCell ref="D289:D290"/>
    <mergeCell ref="D305:D307"/>
    <mergeCell ref="D334:D335"/>
    <mergeCell ref="D337:D339"/>
    <mergeCell ref="D347:D348"/>
    <mergeCell ref="D230:D233"/>
    <mergeCell ref="D247:D250"/>
    <mergeCell ref="D255:D257"/>
    <mergeCell ref="D264:D265"/>
    <mergeCell ref="D275:D277"/>
    <mergeCell ref="D153:D155"/>
    <mergeCell ref="D165:D166"/>
    <mergeCell ref="D183:D185"/>
    <mergeCell ref="D192:D195"/>
    <mergeCell ref="D209:D211"/>
    <mergeCell ref="D121:Z121"/>
    <mergeCell ref="D130:Z130"/>
    <mergeCell ref="D143:Z143"/>
    <mergeCell ref="D145:D147"/>
    <mergeCell ref="D151:Z151"/>
    <mergeCell ref="D85:D87"/>
    <mergeCell ref="D100:Z100"/>
    <mergeCell ref="D106:Z106"/>
    <mergeCell ref="D108:D110"/>
    <mergeCell ref="D112:D115"/>
    <mergeCell ref="D58:Z58"/>
    <mergeCell ref="D60:D62"/>
    <mergeCell ref="D68:Z68"/>
    <mergeCell ref="D70:D71"/>
    <mergeCell ref="D81:Z81"/>
    <mergeCell ref="D33:Z33"/>
    <mergeCell ref="D35:D38"/>
    <mergeCell ref="D44:Z44"/>
    <mergeCell ref="D46:D47"/>
    <mergeCell ref="D49:D52"/>
    <mergeCell ref="D3:D16"/>
    <mergeCell ref="D19:Z19"/>
    <mergeCell ref="D21:D23"/>
    <mergeCell ref="D26:Z26"/>
    <mergeCell ref="D28:D30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12" manualBreakCount="12">
    <brk id="18" max="16383" man="1"/>
    <brk id="80" max="16383" man="1"/>
    <brk id="150" max="16383" man="1"/>
    <brk id="180" max="16383" man="1"/>
    <brk id="206" max="16383" man="1"/>
    <brk id="244" max="16383" man="1"/>
    <brk id="344" max="16383" man="1"/>
    <brk id="415" max="16383" man="1"/>
    <brk id="446" max="16383" man="1"/>
    <brk id="502" max="16383" man="1"/>
    <brk id="588" max="16383" man="1"/>
    <brk id="5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6"/>
  <sheetViews>
    <sheetView zoomScale="90" zoomScaleNormal="90" workbookViewId="0"/>
  </sheetViews>
  <sheetFormatPr defaultColWidth="11.5703125" defaultRowHeight="15"/>
  <cols>
    <col min="1" max="1" width="16.42578125" style="176" customWidth="1"/>
    <col min="2" max="2" width="17.5703125" style="176" customWidth="1"/>
    <col min="3" max="64" width="8.7109375" style="177" customWidth="1"/>
  </cols>
  <sheetData>
    <row r="1" spans="1:2">
      <c r="A1" s="176" t="s">
        <v>316</v>
      </c>
      <c r="B1" s="176" t="s">
        <v>317</v>
      </c>
    </row>
    <row r="2" spans="1:2">
      <c r="A2" s="176" t="s">
        <v>5</v>
      </c>
      <c r="B2" s="176" t="s">
        <v>318</v>
      </c>
    </row>
    <row r="3" spans="1:2">
      <c r="A3" s="176" t="s">
        <v>10</v>
      </c>
      <c r="B3" s="176" t="s">
        <v>319</v>
      </c>
    </row>
    <row r="4" spans="1:2">
      <c r="A4" s="176" t="s">
        <v>320</v>
      </c>
      <c r="B4" s="176" t="s">
        <v>321</v>
      </c>
    </row>
    <row r="5" spans="1:2">
      <c r="A5" s="176" t="s">
        <v>322</v>
      </c>
      <c r="B5" s="176" t="s">
        <v>323</v>
      </c>
    </row>
    <row r="6" spans="1:2">
      <c r="A6" s="176" t="s">
        <v>324</v>
      </c>
      <c r="B6" s="176" t="s">
        <v>325</v>
      </c>
    </row>
    <row r="7" spans="1:2">
      <c r="A7" s="176" t="s">
        <v>83</v>
      </c>
      <c r="B7" s="176" t="s">
        <v>326</v>
      </c>
    </row>
    <row r="8" spans="1:2">
      <c r="A8" s="176" t="s">
        <v>33</v>
      </c>
      <c r="B8" s="176" t="s">
        <v>327</v>
      </c>
    </row>
    <row r="9" spans="1:2">
      <c r="A9" s="176" t="s">
        <v>328</v>
      </c>
      <c r="B9" s="176" t="s">
        <v>213</v>
      </c>
    </row>
    <row r="10" spans="1:2">
      <c r="A10" s="176" t="s">
        <v>32</v>
      </c>
      <c r="B10" s="176" t="s">
        <v>329</v>
      </c>
    </row>
    <row r="11" spans="1:2">
      <c r="A11" s="176" t="s">
        <v>330</v>
      </c>
      <c r="B11" s="176" t="s">
        <v>331</v>
      </c>
    </row>
    <row r="12" spans="1:2">
      <c r="A12" s="176" t="s">
        <v>332</v>
      </c>
      <c r="B12" s="176" t="s">
        <v>333</v>
      </c>
    </row>
    <row r="13" spans="1:2">
      <c r="A13" s="176" t="s">
        <v>334</v>
      </c>
      <c r="B13" s="176" t="s">
        <v>335</v>
      </c>
    </row>
    <row r="14" spans="1:2">
      <c r="A14" s="176" t="s">
        <v>336</v>
      </c>
      <c r="B14" s="176" t="s">
        <v>337</v>
      </c>
    </row>
    <row r="15" spans="1:2">
      <c r="A15" s="176" t="s">
        <v>113</v>
      </c>
      <c r="B15" s="176" t="s">
        <v>338</v>
      </c>
    </row>
    <row r="16" spans="1:2">
      <c r="A16" s="176" t="s">
        <v>114</v>
      </c>
      <c r="B16" s="176" t="s">
        <v>339</v>
      </c>
    </row>
    <row r="17" spans="1:2">
      <c r="A17" s="176" t="s">
        <v>115</v>
      </c>
      <c r="B17" s="176" t="s">
        <v>340</v>
      </c>
    </row>
    <row r="18" spans="1:2">
      <c r="A18" s="176" t="s">
        <v>49</v>
      </c>
      <c r="B18" s="176" t="s">
        <v>341</v>
      </c>
    </row>
    <row r="19" spans="1:2">
      <c r="A19" s="176" t="s">
        <v>237</v>
      </c>
      <c r="B19" s="176" t="s">
        <v>342</v>
      </c>
    </row>
    <row r="20" spans="1:2">
      <c r="A20" s="176" t="s">
        <v>343</v>
      </c>
      <c r="B20" s="176" t="s">
        <v>344</v>
      </c>
    </row>
    <row r="21" spans="1:2">
      <c r="A21" s="176" t="s">
        <v>345</v>
      </c>
      <c r="B21" s="176" t="s">
        <v>346</v>
      </c>
    </row>
    <row r="22" spans="1:2">
      <c r="A22" s="176" t="s">
        <v>347</v>
      </c>
      <c r="B22" s="176" t="s">
        <v>348</v>
      </c>
    </row>
    <row r="23" spans="1:2">
      <c r="A23" s="176" t="s">
        <v>349</v>
      </c>
      <c r="B23" s="176" t="s">
        <v>350</v>
      </c>
    </row>
    <row r="24" spans="1:2">
      <c r="A24" s="176" t="s">
        <v>351</v>
      </c>
      <c r="B24" s="176" t="s">
        <v>352</v>
      </c>
    </row>
    <row r="25" spans="1:2">
      <c r="A25" s="176" t="s">
        <v>353</v>
      </c>
      <c r="B25" s="176" t="s">
        <v>354</v>
      </c>
    </row>
    <row r="26" spans="1:2">
      <c r="A26" s="176" t="s">
        <v>355</v>
      </c>
      <c r="B26" s="176" t="s">
        <v>356</v>
      </c>
    </row>
  </sheetData>
  <pageMargins left="0.196527777777778" right="0" top="0" bottom="0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6551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2023 - Obec Nesluša (čerpanie a úpravy)</dc:title>
  <dc:subject>Čerpanie a úpravy rozpočetu Obce Nesluša</dc:subject>
  <dc:creator>Matej Tabaček</dc:creator>
  <cp:keywords>rozpočet čerpanie úpravy obec Nesluša 2023</cp:keywords>
  <dc:description>Schválený 09. 03. 2023 uznesením č. I-14/2023
Úpravy:
RO č. 1-1/2023 z 10. 03. 2023 schválené starostkou obce,
RO č. 2-1/2023 z 12. 04. 2023 schválené uznesením č. II-4/2023,
RO č. 2-2/2023 z 01. 06. 2023 schválené starostkou obce,
RO č. 3-1/2023 z 24. 07. 2023 schválené uznesením č. IV-5/2023,
RO č. 3-2/2023 z 01. 09. 2023 schválené starostkou obce,
RO č. 4-1/2023 zo 04. 12. 2023 schválené starostkou obce,
RO č. 4-2/2023 z 08. 12. 2023 schválené uznesenie č. VI-3/2023.</dc:description>
  <cp:lastModifiedBy>Matej Tabaček</cp:lastModifiedBy>
  <cp:revision>386</cp:revision>
  <cp:lastPrinted>2024-03-01T12:13:06Z</cp:lastPrinted>
  <dcterms:created xsi:type="dcterms:W3CDTF">2016-11-16T13:19:48Z</dcterms:created>
  <dcterms:modified xsi:type="dcterms:W3CDTF">2024-03-01T11:15:33Z</dcterms:modified>
  <dc:language>sk-SK</dc:language>
</cp:coreProperties>
</file>