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tej\Documents\uctovnictvo\rozpocet\2021\cerpanie\"/>
    </mc:Choice>
  </mc:AlternateContent>
  <xr:revisionPtr revIDLastSave="0" documentId="13_ncr:1_{ADBF2BC3-EF30-415E-A7F6-EA29A99176FC}" xr6:coauthVersionLast="47" xr6:coauthVersionMax="47" xr10:uidLastSave="{00000000-0000-0000-0000-000000000000}"/>
  <bookViews>
    <workbookView xWindow="-120" yWindow="-120" windowWidth="29040" windowHeight="17640" tabRatio="500" xr2:uid="{00000000-000D-0000-FFFF-FFFF00000000}"/>
  </bookViews>
  <sheets>
    <sheet name="príjmy" sheetId="1" r:id="rId1"/>
    <sheet name="výdaje" sheetId="2" r:id="rId2"/>
    <sheet name="skratky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U655" i="2" l="1"/>
  <c r="S655" i="2"/>
  <c r="N655" i="2"/>
  <c r="M655" i="2"/>
  <c r="L655" i="2"/>
  <c r="K655" i="2"/>
  <c r="Z654" i="2"/>
  <c r="Z655" i="2" s="1"/>
  <c r="Y654" i="2"/>
  <c r="W654" i="2"/>
  <c r="W655" i="2" s="1"/>
  <c r="U654" i="2"/>
  <c r="S654" i="2"/>
  <c r="Q654" i="2"/>
  <c r="P654" i="2"/>
  <c r="O654" i="2"/>
  <c r="O655" i="2" s="1"/>
  <c r="N654" i="2"/>
  <c r="M654" i="2"/>
  <c r="L654" i="2"/>
  <c r="K654" i="2"/>
  <c r="J654" i="2"/>
  <c r="J655" i="2" s="1"/>
  <c r="I654" i="2"/>
  <c r="H654" i="2"/>
  <c r="G654" i="2"/>
  <c r="G655" i="2" s="1"/>
  <c r="P653" i="2"/>
  <c r="X653" i="2" s="1"/>
  <c r="Y652" i="2"/>
  <c r="Y644" i="2" s="1"/>
  <c r="W652" i="2"/>
  <c r="U652" i="2"/>
  <c r="S652" i="2"/>
  <c r="Q652" i="2"/>
  <c r="O652" i="2"/>
  <c r="N652" i="2"/>
  <c r="M652" i="2"/>
  <c r="L652" i="2"/>
  <c r="K652" i="2"/>
  <c r="J652" i="2"/>
  <c r="J644" i="2" s="1"/>
  <c r="I652" i="2"/>
  <c r="I644" i="2" s="1"/>
  <c r="H652" i="2"/>
  <c r="G652" i="2"/>
  <c r="Y651" i="2"/>
  <c r="Z651" i="2" s="1"/>
  <c r="Z652" i="2" s="1"/>
  <c r="V651" i="2"/>
  <c r="T651" i="2"/>
  <c r="R651" i="2"/>
  <c r="P651" i="2"/>
  <c r="X651" i="2" s="1"/>
  <c r="P650" i="2"/>
  <c r="X650" i="2" s="1"/>
  <c r="W645" i="2"/>
  <c r="U645" i="2"/>
  <c r="S645" i="2"/>
  <c r="O645" i="2"/>
  <c r="N645" i="2"/>
  <c r="M645" i="2"/>
  <c r="L645" i="2"/>
  <c r="K645" i="2"/>
  <c r="G645" i="2"/>
  <c r="Z644" i="2"/>
  <c r="W644" i="2"/>
  <c r="W646" i="2" s="1"/>
  <c r="U644" i="2"/>
  <c r="S644" i="2"/>
  <c r="O644" i="2"/>
  <c r="O646" i="2" s="1"/>
  <c r="N644" i="2"/>
  <c r="N646" i="2" s="1"/>
  <c r="M644" i="2"/>
  <c r="L644" i="2"/>
  <c r="L646" i="2" s="1"/>
  <c r="K644" i="2"/>
  <c r="K646" i="2" s="1"/>
  <c r="H644" i="2"/>
  <c r="G644" i="2"/>
  <c r="G646" i="2" s="1"/>
  <c r="P640" i="2"/>
  <c r="X639" i="2"/>
  <c r="V639" i="2"/>
  <c r="P639" i="2"/>
  <c r="T639" i="2" s="1"/>
  <c r="V638" i="2"/>
  <c r="T638" i="2"/>
  <c r="R638" i="2"/>
  <c r="P638" i="2"/>
  <c r="X638" i="2" s="1"/>
  <c r="U635" i="2"/>
  <c r="S635" i="2"/>
  <c r="Q635" i="2"/>
  <c r="N635" i="2"/>
  <c r="M635" i="2"/>
  <c r="L635" i="2"/>
  <c r="K635" i="2"/>
  <c r="Z634" i="2"/>
  <c r="Z635" i="2" s="1"/>
  <c r="Y634" i="2"/>
  <c r="Y635" i="2" s="1"/>
  <c r="W634" i="2"/>
  <c r="W635" i="2" s="1"/>
  <c r="U634" i="2"/>
  <c r="S634" i="2"/>
  <c r="O634" i="2"/>
  <c r="O635" i="2" s="1"/>
  <c r="N634" i="2"/>
  <c r="M634" i="2"/>
  <c r="L634" i="2"/>
  <c r="K634" i="2"/>
  <c r="J634" i="2"/>
  <c r="J635" i="2" s="1"/>
  <c r="I634" i="2"/>
  <c r="I635" i="2" s="1"/>
  <c r="H634" i="2"/>
  <c r="H635" i="2" s="1"/>
  <c r="G634" i="2"/>
  <c r="G635" i="2" s="1"/>
  <c r="X630" i="2"/>
  <c r="R630" i="2"/>
  <c r="P630" i="2"/>
  <c r="V630" i="2" s="1"/>
  <c r="X629" i="2"/>
  <c r="V629" i="2"/>
  <c r="T629" i="2"/>
  <c r="R629" i="2"/>
  <c r="P629" i="2"/>
  <c r="P628" i="2"/>
  <c r="Z625" i="2"/>
  <c r="Y625" i="2"/>
  <c r="S625" i="2"/>
  <c r="Q625" i="2"/>
  <c r="L625" i="2"/>
  <c r="K625" i="2"/>
  <c r="J625" i="2"/>
  <c r="I625" i="2"/>
  <c r="Z624" i="2"/>
  <c r="Y624" i="2"/>
  <c r="W624" i="2"/>
  <c r="U624" i="2"/>
  <c r="U625" i="2" s="1"/>
  <c r="S624" i="2"/>
  <c r="Q624" i="2"/>
  <c r="O624" i="2"/>
  <c r="O625" i="2" s="1"/>
  <c r="N624" i="2"/>
  <c r="N625" i="2" s="1"/>
  <c r="M624" i="2"/>
  <c r="M625" i="2" s="1"/>
  <c r="L624" i="2"/>
  <c r="K624" i="2"/>
  <c r="J624" i="2"/>
  <c r="I624" i="2"/>
  <c r="H624" i="2"/>
  <c r="H625" i="2" s="1"/>
  <c r="G624" i="2"/>
  <c r="G625" i="2" s="1"/>
  <c r="X623" i="2"/>
  <c r="V623" i="2"/>
  <c r="T623" i="2"/>
  <c r="R623" i="2"/>
  <c r="P619" i="2"/>
  <c r="X618" i="2"/>
  <c r="P618" i="2"/>
  <c r="V618" i="2" s="1"/>
  <c r="X617" i="2"/>
  <c r="V617" i="2"/>
  <c r="T617" i="2"/>
  <c r="R617" i="2"/>
  <c r="P617" i="2"/>
  <c r="K616" i="2"/>
  <c r="X615" i="2"/>
  <c r="P615" i="2"/>
  <c r="V615" i="2" s="1"/>
  <c r="W612" i="2"/>
  <c r="Q612" i="2"/>
  <c r="O612" i="2"/>
  <c r="J612" i="2"/>
  <c r="I612" i="2"/>
  <c r="H612" i="2"/>
  <c r="G612" i="2"/>
  <c r="W611" i="2"/>
  <c r="U611" i="2"/>
  <c r="S611" i="2"/>
  <c r="S612" i="2" s="1"/>
  <c r="Q611" i="2"/>
  <c r="O611" i="2"/>
  <c r="N611" i="2"/>
  <c r="N612" i="2" s="1"/>
  <c r="M611" i="2"/>
  <c r="M612" i="2" s="1"/>
  <c r="L611" i="2"/>
  <c r="L612" i="2" s="1"/>
  <c r="J611" i="2"/>
  <c r="I611" i="2"/>
  <c r="H611" i="2"/>
  <c r="G611" i="2"/>
  <c r="Z610" i="2"/>
  <c r="Z611" i="2" s="1"/>
  <c r="Y610" i="2"/>
  <c r="Y611" i="2" s="1"/>
  <c r="X610" i="2"/>
  <c r="V610" i="2"/>
  <c r="T610" i="2"/>
  <c r="R610" i="2"/>
  <c r="R606" i="2"/>
  <c r="P606" i="2"/>
  <c r="O606" i="2"/>
  <c r="P605" i="2"/>
  <c r="X605" i="2" s="1"/>
  <c r="K604" i="2"/>
  <c r="P604" i="2" s="1"/>
  <c r="V603" i="2"/>
  <c r="T603" i="2"/>
  <c r="R603" i="2"/>
  <c r="P603" i="2"/>
  <c r="X603" i="2" s="1"/>
  <c r="K603" i="2"/>
  <c r="P602" i="2"/>
  <c r="X601" i="2"/>
  <c r="V601" i="2"/>
  <c r="P601" i="2"/>
  <c r="T601" i="2" s="1"/>
  <c r="V600" i="2"/>
  <c r="T600" i="2"/>
  <c r="R600" i="2"/>
  <c r="P600" i="2"/>
  <c r="X600" i="2" s="1"/>
  <c r="P599" i="2"/>
  <c r="X599" i="2" s="1"/>
  <c r="X598" i="2"/>
  <c r="V598" i="2"/>
  <c r="T598" i="2"/>
  <c r="R598" i="2"/>
  <c r="P598" i="2"/>
  <c r="P597" i="2"/>
  <c r="Z594" i="2"/>
  <c r="U594" i="2"/>
  <c r="S594" i="2"/>
  <c r="M594" i="2"/>
  <c r="L594" i="2"/>
  <c r="K594" i="2"/>
  <c r="J594" i="2"/>
  <c r="Z593" i="2"/>
  <c r="Y593" i="2"/>
  <c r="Y594" i="2" s="1"/>
  <c r="W593" i="2"/>
  <c r="W594" i="2" s="1"/>
  <c r="U593" i="2"/>
  <c r="S593" i="2"/>
  <c r="Q593" i="2"/>
  <c r="Q594" i="2" s="1"/>
  <c r="O593" i="2"/>
  <c r="O594" i="2" s="1"/>
  <c r="N593" i="2"/>
  <c r="N594" i="2" s="1"/>
  <c r="M593" i="2"/>
  <c r="L593" i="2"/>
  <c r="K593" i="2"/>
  <c r="J593" i="2"/>
  <c r="I593" i="2"/>
  <c r="I594" i="2" s="1"/>
  <c r="H593" i="2"/>
  <c r="H594" i="2" s="1"/>
  <c r="G593" i="2"/>
  <c r="G594" i="2" s="1"/>
  <c r="X592" i="2"/>
  <c r="V592" i="2"/>
  <c r="T592" i="2"/>
  <c r="R592" i="2"/>
  <c r="V588" i="2"/>
  <c r="T588" i="2"/>
  <c r="R588" i="2"/>
  <c r="P588" i="2"/>
  <c r="X588" i="2" s="1"/>
  <c r="P587" i="2"/>
  <c r="X587" i="2" s="1"/>
  <c r="X586" i="2"/>
  <c r="V586" i="2"/>
  <c r="T586" i="2"/>
  <c r="R586" i="2"/>
  <c r="P586" i="2"/>
  <c r="R585" i="2"/>
  <c r="P585" i="2"/>
  <c r="X584" i="2"/>
  <c r="V584" i="2"/>
  <c r="P584" i="2"/>
  <c r="T584" i="2" s="1"/>
  <c r="W581" i="2"/>
  <c r="Q581" i="2"/>
  <c r="O581" i="2"/>
  <c r="J581" i="2"/>
  <c r="I581" i="2"/>
  <c r="H581" i="2"/>
  <c r="G581" i="2"/>
  <c r="W580" i="2"/>
  <c r="U580" i="2"/>
  <c r="S580" i="2"/>
  <c r="S581" i="2" s="1"/>
  <c r="Q580" i="2"/>
  <c r="O580" i="2"/>
  <c r="N580" i="2"/>
  <c r="N581" i="2" s="1"/>
  <c r="M580" i="2"/>
  <c r="M581" i="2" s="1"/>
  <c r="L580" i="2"/>
  <c r="L581" i="2" s="1"/>
  <c r="K580" i="2"/>
  <c r="K581" i="2" s="1"/>
  <c r="J580" i="2"/>
  <c r="I580" i="2"/>
  <c r="H580" i="2"/>
  <c r="G580" i="2"/>
  <c r="Z579" i="2"/>
  <c r="Z580" i="2" s="1"/>
  <c r="Y579" i="2"/>
  <c r="X579" i="2"/>
  <c r="V579" i="2"/>
  <c r="T579" i="2"/>
  <c r="R579" i="2"/>
  <c r="P575" i="2"/>
  <c r="X574" i="2"/>
  <c r="V574" i="2"/>
  <c r="P574" i="2"/>
  <c r="T574" i="2" s="1"/>
  <c r="X573" i="2"/>
  <c r="V573" i="2"/>
  <c r="T573" i="2"/>
  <c r="R573" i="2"/>
  <c r="P573" i="2"/>
  <c r="K573" i="2"/>
  <c r="R572" i="2"/>
  <c r="P572" i="2"/>
  <c r="Z569" i="2"/>
  <c r="U569" i="2"/>
  <c r="S569" i="2"/>
  <c r="M569" i="2"/>
  <c r="L569" i="2"/>
  <c r="K569" i="2"/>
  <c r="J569" i="2"/>
  <c r="Z568" i="2"/>
  <c r="Y568" i="2"/>
  <c r="Y569" i="2" s="1"/>
  <c r="W568" i="2"/>
  <c r="W569" i="2" s="1"/>
  <c r="U568" i="2"/>
  <c r="S568" i="2"/>
  <c r="Q568" i="2"/>
  <c r="O568" i="2"/>
  <c r="O569" i="2" s="1"/>
  <c r="N568" i="2"/>
  <c r="N569" i="2" s="1"/>
  <c r="M568" i="2"/>
  <c r="L568" i="2"/>
  <c r="K568" i="2"/>
  <c r="J568" i="2"/>
  <c r="I568" i="2"/>
  <c r="I569" i="2" s="1"/>
  <c r="H568" i="2"/>
  <c r="H569" i="2" s="1"/>
  <c r="G568" i="2"/>
  <c r="G569" i="2" s="1"/>
  <c r="X564" i="2"/>
  <c r="V564" i="2"/>
  <c r="P564" i="2"/>
  <c r="T564" i="2" s="1"/>
  <c r="X563" i="2"/>
  <c r="V563" i="2"/>
  <c r="T563" i="2"/>
  <c r="R563" i="2"/>
  <c r="P563" i="2"/>
  <c r="P562" i="2"/>
  <c r="X561" i="2"/>
  <c r="V561" i="2"/>
  <c r="T561" i="2"/>
  <c r="P561" i="2"/>
  <c r="R561" i="2" s="1"/>
  <c r="T560" i="2"/>
  <c r="P560" i="2"/>
  <c r="X560" i="2" s="1"/>
  <c r="K560" i="2"/>
  <c r="P559" i="2"/>
  <c r="K559" i="2"/>
  <c r="X558" i="2"/>
  <c r="V558" i="2"/>
  <c r="P558" i="2"/>
  <c r="T558" i="2" s="1"/>
  <c r="X557" i="2"/>
  <c r="V557" i="2"/>
  <c r="T557" i="2"/>
  <c r="R557" i="2"/>
  <c r="P557" i="2"/>
  <c r="Y554" i="2"/>
  <c r="U554" i="2"/>
  <c r="S554" i="2"/>
  <c r="O554" i="2"/>
  <c r="N554" i="2"/>
  <c r="M554" i="2"/>
  <c r="L554" i="2"/>
  <c r="Z553" i="2"/>
  <c r="Z554" i="2" s="1"/>
  <c r="W553" i="2"/>
  <c r="W554" i="2" s="1"/>
  <c r="U553" i="2"/>
  <c r="S553" i="2"/>
  <c r="Q553" i="2"/>
  <c r="Q554" i="2" s="1"/>
  <c r="O553" i="2"/>
  <c r="N553" i="2"/>
  <c r="M553" i="2"/>
  <c r="L553" i="2"/>
  <c r="J553" i="2"/>
  <c r="J554" i="2" s="1"/>
  <c r="H553" i="2"/>
  <c r="H554" i="2" s="1"/>
  <c r="K552" i="2"/>
  <c r="I552" i="2"/>
  <c r="G552" i="2"/>
  <c r="P548" i="2"/>
  <c r="X547" i="2"/>
  <c r="V547" i="2"/>
  <c r="T547" i="2"/>
  <c r="R547" i="2"/>
  <c r="P547" i="2"/>
  <c r="T546" i="2"/>
  <c r="R546" i="2"/>
  <c r="P546" i="2"/>
  <c r="X545" i="2"/>
  <c r="V545" i="2"/>
  <c r="P545" i="2"/>
  <c r="T545" i="2" s="1"/>
  <c r="X544" i="2"/>
  <c r="V544" i="2"/>
  <c r="T544" i="2"/>
  <c r="R544" i="2"/>
  <c r="P544" i="2"/>
  <c r="P543" i="2"/>
  <c r="X542" i="2"/>
  <c r="V542" i="2"/>
  <c r="T542" i="2"/>
  <c r="P542" i="2"/>
  <c r="R542" i="2" s="1"/>
  <c r="V541" i="2"/>
  <c r="P541" i="2"/>
  <c r="X541" i="2" s="1"/>
  <c r="P540" i="2"/>
  <c r="X539" i="2"/>
  <c r="V539" i="2"/>
  <c r="T539" i="2"/>
  <c r="R539" i="2"/>
  <c r="P539" i="2"/>
  <c r="R538" i="2"/>
  <c r="P538" i="2"/>
  <c r="H538" i="2"/>
  <c r="H533" i="2" s="1"/>
  <c r="H535" i="2" s="1"/>
  <c r="Y535" i="2"/>
  <c r="U535" i="2"/>
  <c r="N535" i="2"/>
  <c r="K535" i="2"/>
  <c r="Z534" i="2"/>
  <c r="X534" i="2"/>
  <c r="V534" i="2"/>
  <c r="T534" i="2"/>
  <c r="R534" i="2"/>
  <c r="Z533" i="2"/>
  <c r="W533" i="2"/>
  <c r="U533" i="2"/>
  <c r="U527" i="2" s="1"/>
  <c r="S533" i="2"/>
  <c r="S527" i="2" s="1"/>
  <c r="Q533" i="2"/>
  <c r="Q535" i="2" s="1"/>
  <c r="O533" i="2"/>
  <c r="O535" i="2" s="1"/>
  <c r="N533" i="2"/>
  <c r="N527" i="2" s="1"/>
  <c r="M533" i="2"/>
  <c r="M527" i="2" s="1"/>
  <c r="L533" i="2"/>
  <c r="K533" i="2"/>
  <c r="J533" i="2"/>
  <c r="J535" i="2" s="1"/>
  <c r="I533" i="2"/>
  <c r="I535" i="2" s="1"/>
  <c r="G533" i="2"/>
  <c r="G535" i="2" s="1"/>
  <c r="Q529" i="2"/>
  <c r="J529" i="2"/>
  <c r="Y528" i="2"/>
  <c r="W528" i="2"/>
  <c r="X528" i="2" s="1"/>
  <c r="V528" i="2"/>
  <c r="U528" i="2"/>
  <c r="T528" i="2"/>
  <c r="S528" i="2"/>
  <c r="R528" i="2"/>
  <c r="Q528" i="2"/>
  <c r="P528" i="2"/>
  <c r="O528" i="2"/>
  <c r="N528" i="2"/>
  <c r="M528" i="2"/>
  <c r="L528" i="2"/>
  <c r="K528" i="2"/>
  <c r="J528" i="2"/>
  <c r="I528" i="2"/>
  <c r="H528" i="2"/>
  <c r="G528" i="2"/>
  <c r="Q527" i="2"/>
  <c r="O527" i="2"/>
  <c r="O529" i="2" s="1"/>
  <c r="J527" i="2"/>
  <c r="H527" i="2"/>
  <c r="H529" i="2" s="1"/>
  <c r="W526" i="2"/>
  <c r="U526" i="2"/>
  <c r="U529" i="2" s="1"/>
  <c r="S526" i="2"/>
  <c r="S529" i="2" s="1"/>
  <c r="Q526" i="2"/>
  <c r="O526" i="2"/>
  <c r="N526" i="2"/>
  <c r="N529" i="2" s="1"/>
  <c r="M526" i="2"/>
  <c r="M529" i="2" s="1"/>
  <c r="L526" i="2"/>
  <c r="K526" i="2"/>
  <c r="J526" i="2"/>
  <c r="H526" i="2"/>
  <c r="Y522" i="2"/>
  <c r="Z522" i="2" s="1"/>
  <c r="X522" i="2"/>
  <c r="V522" i="2"/>
  <c r="T522" i="2"/>
  <c r="P522" i="2"/>
  <c r="R522" i="2" s="1"/>
  <c r="W520" i="2"/>
  <c r="O520" i="2"/>
  <c r="N520" i="2"/>
  <c r="H520" i="2"/>
  <c r="G520" i="2"/>
  <c r="Y519" i="2"/>
  <c r="Y520" i="2" s="1"/>
  <c r="W519" i="2"/>
  <c r="U519" i="2"/>
  <c r="S519" i="2"/>
  <c r="Q519" i="2"/>
  <c r="O519" i="2"/>
  <c r="N519" i="2"/>
  <c r="M519" i="2"/>
  <c r="L519" i="2"/>
  <c r="L469" i="2" s="1"/>
  <c r="K519" i="2"/>
  <c r="J519" i="2"/>
  <c r="I519" i="2"/>
  <c r="H519" i="2"/>
  <c r="G519" i="2"/>
  <c r="Z518" i="2"/>
  <c r="X518" i="2"/>
  <c r="V518" i="2"/>
  <c r="P518" i="2"/>
  <c r="T518" i="2" s="1"/>
  <c r="Y517" i="2"/>
  <c r="Z517" i="2" s="1"/>
  <c r="T517" i="2"/>
  <c r="P517" i="2"/>
  <c r="Z516" i="2"/>
  <c r="Z519" i="2" s="1"/>
  <c r="Y516" i="2"/>
  <c r="T516" i="2"/>
  <c r="P516" i="2"/>
  <c r="Z515" i="2"/>
  <c r="Y515" i="2"/>
  <c r="W515" i="2"/>
  <c r="U515" i="2"/>
  <c r="U520" i="2" s="1"/>
  <c r="S515" i="2"/>
  <c r="S520" i="2" s="1"/>
  <c r="Q515" i="2"/>
  <c r="O515" i="2"/>
  <c r="M515" i="2"/>
  <c r="M520" i="2" s="1"/>
  <c r="L515" i="2"/>
  <c r="K515" i="2"/>
  <c r="K520" i="2" s="1"/>
  <c r="J515" i="2"/>
  <c r="J520" i="2" s="1"/>
  <c r="I515" i="2"/>
  <c r="I520" i="2" s="1"/>
  <c r="H515" i="2"/>
  <c r="G515" i="2"/>
  <c r="Z514" i="2"/>
  <c r="X514" i="2"/>
  <c r="V514" i="2"/>
  <c r="P514" i="2"/>
  <c r="T514" i="2" s="1"/>
  <c r="Y513" i="2"/>
  <c r="Z513" i="2" s="1"/>
  <c r="P513" i="2"/>
  <c r="N513" i="2"/>
  <c r="N515" i="2" s="1"/>
  <c r="Y509" i="2"/>
  <c r="Z509" i="2" s="1"/>
  <c r="P509" i="2"/>
  <c r="Z508" i="2"/>
  <c r="Y508" i="2"/>
  <c r="P508" i="2"/>
  <c r="Y507" i="2"/>
  <c r="Z507" i="2" s="1"/>
  <c r="R507" i="2"/>
  <c r="P507" i="2"/>
  <c r="Z505" i="2"/>
  <c r="Y505" i="2"/>
  <c r="W505" i="2"/>
  <c r="U505" i="2"/>
  <c r="S505" i="2"/>
  <c r="Q505" i="2"/>
  <c r="O505" i="2"/>
  <c r="N505" i="2"/>
  <c r="M505" i="2"/>
  <c r="L505" i="2"/>
  <c r="K505" i="2"/>
  <c r="J505" i="2"/>
  <c r="I505" i="2"/>
  <c r="H505" i="2"/>
  <c r="G505" i="2"/>
  <c r="Y504" i="2"/>
  <c r="Z504" i="2" s="1"/>
  <c r="T504" i="2"/>
  <c r="P504" i="2"/>
  <c r="R500" i="2"/>
  <c r="P500" i="2"/>
  <c r="X499" i="2"/>
  <c r="V499" i="2"/>
  <c r="T499" i="2"/>
  <c r="P499" i="2"/>
  <c r="R499" i="2" s="1"/>
  <c r="Y498" i="2"/>
  <c r="Z498" i="2" s="1"/>
  <c r="X498" i="2"/>
  <c r="V498" i="2"/>
  <c r="T498" i="2"/>
  <c r="R498" i="2"/>
  <c r="P498" i="2"/>
  <c r="Y497" i="2"/>
  <c r="Z497" i="2" s="1"/>
  <c r="X497" i="2"/>
  <c r="V497" i="2"/>
  <c r="T497" i="2"/>
  <c r="R497" i="2"/>
  <c r="P497" i="2"/>
  <c r="Y496" i="2"/>
  <c r="Z496" i="2" s="1"/>
  <c r="R496" i="2"/>
  <c r="P496" i="2"/>
  <c r="X496" i="2" s="1"/>
  <c r="S494" i="2"/>
  <c r="L494" i="2"/>
  <c r="W493" i="2"/>
  <c r="W494" i="2" s="1"/>
  <c r="U493" i="2"/>
  <c r="S493" i="2"/>
  <c r="Q493" i="2"/>
  <c r="O493" i="2"/>
  <c r="O494" i="2" s="1"/>
  <c r="N493" i="2"/>
  <c r="N477" i="2" s="1"/>
  <c r="N470" i="2" s="1"/>
  <c r="M493" i="2"/>
  <c r="L493" i="2"/>
  <c r="K493" i="2"/>
  <c r="K477" i="2" s="1"/>
  <c r="K470" i="2" s="1"/>
  <c r="J493" i="2"/>
  <c r="I493" i="2"/>
  <c r="H493" i="2"/>
  <c r="H477" i="2" s="1"/>
  <c r="H470" i="2" s="1"/>
  <c r="G493" i="2"/>
  <c r="G494" i="2" s="1"/>
  <c r="Z492" i="2"/>
  <c r="Y492" i="2"/>
  <c r="P492" i="2"/>
  <c r="Y491" i="2"/>
  <c r="X491" i="2"/>
  <c r="T491" i="2"/>
  <c r="P491" i="2"/>
  <c r="V491" i="2" s="1"/>
  <c r="Y490" i="2"/>
  <c r="Y476" i="2" s="1"/>
  <c r="W490" i="2"/>
  <c r="U490" i="2"/>
  <c r="S490" i="2"/>
  <c r="Q490" i="2"/>
  <c r="Q476" i="2" s="1"/>
  <c r="O490" i="2"/>
  <c r="N490" i="2"/>
  <c r="M490" i="2"/>
  <c r="L490" i="2"/>
  <c r="J490" i="2"/>
  <c r="J476" i="2" s="1"/>
  <c r="J469" i="2" s="1"/>
  <c r="I490" i="2"/>
  <c r="H490" i="2"/>
  <c r="H476" i="2" s="1"/>
  <c r="H469" i="2" s="1"/>
  <c r="G490" i="2"/>
  <c r="P489" i="2"/>
  <c r="K489" i="2"/>
  <c r="Z488" i="2"/>
  <c r="Y488" i="2"/>
  <c r="P488" i="2"/>
  <c r="K488" i="2"/>
  <c r="Z487" i="2"/>
  <c r="Y487" i="2"/>
  <c r="P487" i="2"/>
  <c r="K487" i="2"/>
  <c r="K486" i="2"/>
  <c r="P486" i="2" s="1"/>
  <c r="Z485" i="2"/>
  <c r="Z475" i="2" s="1"/>
  <c r="Y485" i="2"/>
  <c r="W485" i="2"/>
  <c r="U485" i="2"/>
  <c r="S485" i="2"/>
  <c r="Q485" i="2"/>
  <c r="Q494" i="2" s="1"/>
  <c r="P485" i="2"/>
  <c r="O485" i="2"/>
  <c r="N485" i="2"/>
  <c r="N494" i="2" s="1"/>
  <c r="M485" i="2"/>
  <c r="M475" i="2" s="1"/>
  <c r="M468" i="2" s="1"/>
  <c r="L485" i="2"/>
  <c r="K485" i="2"/>
  <c r="J485" i="2"/>
  <c r="I485" i="2"/>
  <c r="I494" i="2" s="1"/>
  <c r="H485" i="2"/>
  <c r="G485" i="2"/>
  <c r="P484" i="2"/>
  <c r="X483" i="2"/>
  <c r="V483" i="2"/>
  <c r="P483" i="2"/>
  <c r="T483" i="2" s="1"/>
  <c r="P482" i="2"/>
  <c r="M478" i="2"/>
  <c r="W477" i="2"/>
  <c r="U477" i="2"/>
  <c r="Q477" i="2"/>
  <c r="O477" i="2"/>
  <c r="O470" i="2" s="1"/>
  <c r="M477" i="2"/>
  <c r="L477" i="2"/>
  <c r="J477" i="2"/>
  <c r="I477" i="2"/>
  <c r="G477" i="2"/>
  <c r="W476" i="2"/>
  <c r="U476" i="2"/>
  <c r="S476" i="2"/>
  <c r="O476" i="2"/>
  <c r="N476" i="2"/>
  <c r="M476" i="2"/>
  <c r="L476" i="2"/>
  <c r="L478" i="2" s="1"/>
  <c r="G476" i="2"/>
  <c r="Y475" i="2"/>
  <c r="W475" i="2"/>
  <c r="S475" i="2"/>
  <c r="Q475" i="2"/>
  <c r="O475" i="2"/>
  <c r="N475" i="2"/>
  <c r="N478" i="2" s="1"/>
  <c r="L475" i="2"/>
  <c r="K475" i="2"/>
  <c r="I475" i="2"/>
  <c r="G475" i="2"/>
  <c r="G478" i="2" s="1"/>
  <c r="W470" i="2"/>
  <c r="U470" i="2"/>
  <c r="Q470" i="2"/>
  <c r="M470" i="2"/>
  <c r="L470" i="2"/>
  <c r="J470" i="2"/>
  <c r="I470" i="2"/>
  <c r="G470" i="2"/>
  <c r="W469" i="2"/>
  <c r="U469" i="2"/>
  <c r="O469" i="2"/>
  <c r="N469" i="2"/>
  <c r="M469" i="2"/>
  <c r="M471" i="2" s="1"/>
  <c r="G469" i="2"/>
  <c r="Y468" i="2"/>
  <c r="W468" i="2"/>
  <c r="S468" i="2"/>
  <c r="Q468" i="2"/>
  <c r="O468" i="2"/>
  <c r="N468" i="2"/>
  <c r="N471" i="2" s="1"/>
  <c r="K468" i="2"/>
  <c r="G468" i="2"/>
  <c r="G471" i="2" s="1"/>
  <c r="Z464" i="2"/>
  <c r="P464" i="2"/>
  <c r="Y463" i="2"/>
  <c r="Z463" i="2" s="1"/>
  <c r="X463" i="2"/>
  <c r="T463" i="2"/>
  <c r="P463" i="2"/>
  <c r="V463" i="2" s="1"/>
  <c r="Z462" i="2"/>
  <c r="Y462" i="2"/>
  <c r="X462" i="2"/>
  <c r="V462" i="2"/>
  <c r="R462" i="2"/>
  <c r="P462" i="2"/>
  <c r="T462" i="2" s="1"/>
  <c r="Y461" i="2"/>
  <c r="Z461" i="2" s="1"/>
  <c r="X461" i="2"/>
  <c r="V461" i="2"/>
  <c r="P461" i="2"/>
  <c r="T461" i="2" s="1"/>
  <c r="Y460" i="2"/>
  <c r="Z460" i="2" s="1"/>
  <c r="Z456" i="2" s="1"/>
  <c r="Z457" i="2" s="1"/>
  <c r="X460" i="2"/>
  <c r="V460" i="2"/>
  <c r="T460" i="2"/>
  <c r="R460" i="2"/>
  <c r="P460" i="2"/>
  <c r="Z459" i="2"/>
  <c r="Y459" i="2"/>
  <c r="V459" i="2"/>
  <c r="T459" i="2"/>
  <c r="R459" i="2"/>
  <c r="P459" i="2"/>
  <c r="X459" i="2" s="1"/>
  <c r="W457" i="2"/>
  <c r="U457" i="2"/>
  <c r="S457" i="2"/>
  <c r="Q457" i="2"/>
  <c r="O457" i="2"/>
  <c r="N457" i="2"/>
  <c r="M457" i="2"/>
  <c r="L457" i="2"/>
  <c r="J457" i="2"/>
  <c r="J440" i="2" s="1"/>
  <c r="J441" i="2" s="1"/>
  <c r="H457" i="2"/>
  <c r="G457" i="2"/>
  <c r="Y456" i="2"/>
  <c r="Y457" i="2" s="1"/>
  <c r="K456" i="2"/>
  <c r="K457" i="2" s="1"/>
  <c r="K440" i="2" s="1"/>
  <c r="K441" i="2" s="1"/>
  <c r="I456" i="2"/>
  <c r="I457" i="2" s="1"/>
  <c r="Z452" i="2"/>
  <c r="Y452" i="2"/>
  <c r="V452" i="2"/>
  <c r="T452" i="2"/>
  <c r="R452" i="2"/>
  <c r="P452" i="2"/>
  <c r="X452" i="2" s="1"/>
  <c r="Z451" i="2"/>
  <c r="X451" i="2"/>
  <c r="V451" i="2"/>
  <c r="R451" i="2"/>
  <c r="P451" i="2"/>
  <c r="T451" i="2" s="1"/>
  <c r="Z450" i="2"/>
  <c r="Y450" i="2"/>
  <c r="P450" i="2"/>
  <c r="Z449" i="2"/>
  <c r="Y449" i="2"/>
  <c r="V449" i="2"/>
  <c r="T449" i="2"/>
  <c r="R449" i="2"/>
  <c r="P449" i="2"/>
  <c r="X449" i="2" s="1"/>
  <c r="Z447" i="2"/>
  <c r="Z440" i="2" s="1"/>
  <c r="Z441" i="2" s="1"/>
  <c r="Y447" i="2"/>
  <c r="W447" i="2"/>
  <c r="U447" i="2"/>
  <c r="U440" i="2" s="1"/>
  <c r="S447" i="2"/>
  <c r="Q447" i="2"/>
  <c r="O447" i="2"/>
  <c r="N447" i="2"/>
  <c r="N440" i="2" s="1"/>
  <c r="M447" i="2"/>
  <c r="M440" i="2" s="1"/>
  <c r="L447" i="2"/>
  <c r="K447" i="2"/>
  <c r="J447" i="2"/>
  <c r="I447" i="2"/>
  <c r="H447" i="2"/>
  <c r="H440" i="2" s="1"/>
  <c r="H441" i="2" s="1"/>
  <c r="G447" i="2"/>
  <c r="Z446" i="2"/>
  <c r="X446" i="2"/>
  <c r="V446" i="2"/>
  <c r="R446" i="2"/>
  <c r="P446" i="2"/>
  <c r="T446" i="2" s="1"/>
  <c r="Z445" i="2"/>
  <c r="Y445" i="2"/>
  <c r="X445" i="2"/>
  <c r="P445" i="2"/>
  <c r="U441" i="2"/>
  <c r="S441" i="2"/>
  <c r="O441" i="2"/>
  <c r="O372" i="2" s="1"/>
  <c r="N441" i="2"/>
  <c r="M441" i="2"/>
  <c r="Y440" i="2"/>
  <c r="Y441" i="2" s="1"/>
  <c r="W440" i="2"/>
  <c r="S440" i="2"/>
  <c r="Q440" i="2"/>
  <c r="Q441" i="2" s="1"/>
  <c r="O440" i="2"/>
  <c r="I440" i="2"/>
  <c r="I441" i="2" s="1"/>
  <c r="G440" i="2"/>
  <c r="G441" i="2" s="1"/>
  <c r="W436" i="2"/>
  <c r="U436" i="2"/>
  <c r="S436" i="2"/>
  <c r="Q436" i="2"/>
  <c r="O436" i="2"/>
  <c r="N436" i="2"/>
  <c r="N405" i="2" s="1"/>
  <c r="N406" i="2" s="1"/>
  <c r="N372" i="2" s="1"/>
  <c r="M436" i="2"/>
  <c r="L436" i="2"/>
  <c r="K436" i="2"/>
  <c r="J436" i="2"/>
  <c r="I436" i="2"/>
  <c r="H436" i="2"/>
  <c r="G436" i="2"/>
  <c r="Y435" i="2"/>
  <c r="Z435" i="2" s="1"/>
  <c r="V435" i="2"/>
  <c r="T435" i="2"/>
  <c r="R435" i="2"/>
  <c r="P435" i="2"/>
  <c r="X435" i="2" s="1"/>
  <c r="Y434" i="2"/>
  <c r="X434" i="2"/>
  <c r="T434" i="2"/>
  <c r="R434" i="2"/>
  <c r="P434" i="2"/>
  <c r="V434" i="2" s="1"/>
  <c r="Y430" i="2"/>
  <c r="Z430" i="2" s="1"/>
  <c r="X430" i="2"/>
  <c r="V430" i="2"/>
  <c r="R430" i="2"/>
  <c r="P430" i="2"/>
  <c r="T430" i="2" s="1"/>
  <c r="Z429" i="2"/>
  <c r="Y429" i="2"/>
  <c r="X429" i="2"/>
  <c r="V429" i="2"/>
  <c r="T429" i="2"/>
  <c r="P429" i="2"/>
  <c r="R429" i="2" s="1"/>
  <c r="Z428" i="2"/>
  <c r="Y428" i="2"/>
  <c r="V428" i="2"/>
  <c r="T428" i="2"/>
  <c r="R428" i="2"/>
  <c r="P428" i="2"/>
  <c r="X428" i="2" s="1"/>
  <c r="Z427" i="2"/>
  <c r="Y427" i="2"/>
  <c r="P427" i="2"/>
  <c r="Y425" i="2"/>
  <c r="W425" i="2"/>
  <c r="U425" i="2"/>
  <c r="S425" i="2"/>
  <c r="Q425" i="2"/>
  <c r="O425" i="2"/>
  <c r="N425" i="2"/>
  <c r="M425" i="2"/>
  <c r="L425" i="2"/>
  <c r="K425" i="2"/>
  <c r="J425" i="2"/>
  <c r="I425" i="2"/>
  <c r="H425" i="2"/>
  <c r="G425" i="2"/>
  <c r="Y424" i="2"/>
  <c r="Z424" i="2" s="1"/>
  <c r="X424" i="2"/>
  <c r="P424" i="2"/>
  <c r="T424" i="2" s="1"/>
  <c r="Z423" i="2"/>
  <c r="Y423" i="2"/>
  <c r="X423" i="2"/>
  <c r="V423" i="2"/>
  <c r="T423" i="2"/>
  <c r="P423" i="2"/>
  <c r="Z422" i="2"/>
  <c r="Y422" i="2"/>
  <c r="V422" i="2"/>
  <c r="T422" i="2"/>
  <c r="R422" i="2"/>
  <c r="P422" i="2"/>
  <c r="X422" i="2" s="1"/>
  <c r="Z418" i="2"/>
  <c r="Y418" i="2"/>
  <c r="T418" i="2"/>
  <c r="R418" i="2"/>
  <c r="P418" i="2"/>
  <c r="Y417" i="2"/>
  <c r="Z417" i="2" s="1"/>
  <c r="P417" i="2"/>
  <c r="Z416" i="2"/>
  <c r="Y416" i="2"/>
  <c r="X416" i="2"/>
  <c r="P416" i="2"/>
  <c r="Y415" i="2"/>
  <c r="Z415" i="2" s="1"/>
  <c r="V415" i="2"/>
  <c r="T415" i="2"/>
  <c r="R415" i="2"/>
  <c r="P415" i="2"/>
  <c r="X415" i="2" s="1"/>
  <c r="Y414" i="2"/>
  <c r="Z414" i="2" s="1"/>
  <c r="X414" i="2"/>
  <c r="T414" i="2"/>
  <c r="R414" i="2"/>
  <c r="P414" i="2"/>
  <c r="V414" i="2" s="1"/>
  <c r="W412" i="2"/>
  <c r="U412" i="2"/>
  <c r="S412" i="2"/>
  <c r="S405" i="2" s="1"/>
  <c r="Q412" i="2"/>
  <c r="O412" i="2"/>
  <c r="O405" i="2" s="1"/>
  <c r="O406" i="2" s="1"/>
  <c r="N412" i="2"/>
  <c r="M412" i="2"/>
  <c r="L412" i="2"/>
  <c r="K412" i="2"/>
  <c r="K405" i="2" s="1"/>
  <c r="J412" i="2"/>
  <c r="I412" i="2"/>
  <c r="I405" i="2" s="1"/>
  <c r="I406" i="2" s="1"/>
  <c r="H412" i="2"/>
  <c r="G412" i="2"/>
  <c r="G405" i="2" s="1"/>
  <c r="G406" i="2" s="1"/>
  <c r="Y411" i="2"/>
  <c r="Z411" i="2" s="1"/>
  <c r="P411" i="2"/>
  <c r="Z410" i="2"/>
  <c r="Z412" i="2" s="1"/>
  <c r="V410" i="2"/>
  <c r="T410" i="2"/>
  <c r="R410" i="2"/>
  <c r="P410" i="2"/>
  <c r="X410" i="2" s="1"/>
  <c r="L406" i="2"/>
  <c r="J406" i="2"/>
  <c r="U405" i="2"/>
  <c r="U406" i="2" s="1"/>
  <c r="L405" i="2"/>
  <c r="J405" i="2"/>
  <c r="H405" i="2"/>
  <c r="H406" i="2" s="1"/>
  <c r="H372" i="2" s="1"/>
  <c r="Y401" i="2"/>
  <c r="Z401" i="2" s="1"/>
  <c r="P401" i="2"/>
  <c r="Y400" i="2"/>
  <c r="X400" i="2"/>
  <c r="V400" i="2"/>
  <c r="R400" i="2"/>
  <c r="P400" i="2"/>
  <c r="T400" i="2" s="1"/>
  <c r="Z399" i="2"/>
  <c r="Y399" i="2"/>
  <c r="X399" i="2"/>
  <c r="V399" i="2"/>
  <c r="T399" i="2"/>
  <c r="P399" i="2"/>
  <c r="R399" i="2" s="1"/>
  <c r="Z398" i="2"/>
  <c r="Y398" i="2"/>
  <c r="V398" i="2"/>
  <c r="T398" i="2"/>
  <c r="R398" i="2"/>
  <c r="P398" i="2"/>
  <c r="X398" i="2" s="1"/>
  <c r="W396" i="2"/>
  <c r="U396" i="2"/>
  <c r="T396" i="2"/>
  <c r="S396" i="2"/>
  <c r="Q396" i="2"/>
  <c r="P396" i="2"/>
  <c r="R396" i="2" s="1"/>
  <c r="O396" i="2"/>
  <c r="N396" i="2"/>
  <c r="M396" i="2"/>
  <c r="M378" i="2" s="1"/>
  <c r="L396" i="2"/>
  <c r="L378" i="2" s="1"/>
  <c r="J396" i="2"/>
  <c r="H396" i="2"/>
  <c r="G396" i="2"/>
  <c r="X395" i="2"/>
  <c r="T395" i="2"/>
  <c r="R395" i="2"/>
  <c r="P395" i="2"/>
  <c r="V395" i="2" s="1"/>
  <c r="K395" i="2"/>
  <c r="K396" i="2" s="1"/>
  <c r="I395" i="2"/>
  <c r="I396" i="2" s="1"/>
  <c r="Y391" i="2"/>
  <c r="Z391" i="2" s="1"/>
  <c r="X391" i="2"/>
  <c r="V391" i="2"/>
  <c r="T391" i="2"/>
  <c r="R391" i="2"/>
  <c r="P391" i="2"/>
  <c r="W389" i="2"/>
  <c r="U389" i="2"/>
  <c r="O389" i="2"/>
  <c r="N389" i="2"/>
  <c r="M389" i="2"/>
  <c r="G389" i="2"/>
  <c r="Y388" i="2"/>
  <c r="W388" i="2"/>
  <c r="U388" i="2"/>
  <c r="S388" i="2"/>
  <c r="Q388" i="2"/>
  <c r="O388" i="2"/>
  <c r="N388" i="2"/>
  <c r="M388" i="2"/>
  <c r="L388" i="2"/>
  <c r="K388" i="2"/>
  <c r="J388" i="2"/>
  <c r="J389" i="2" s="1"/>
  <c r="I388" i="2"/>
  <c r="I378" i="2" s="1"/>
  <c r="H388" i="2"/>
  <c r="G388" i="2"/>
  <c r="Z387" i="2"/>
  <c r="Y387" i="2"/>
  <c r="V387" i="2"/>
  <c r="T387" i="2"/>
  <c r="R387" i="2"/>
  <c r="P387" i="2"/>
  <c r="X387" i="2" s="1"/>
  <c r="Y386" i="2"/>
  <c r="Z386" i="2" s="1"/>
  <c r="P386" i="2"/>
  <c r="N386" i="2"/>
  <c r="Y385" i="2"/>
  <c r="Z385" i="2" s="1"/>
  <c r="P385" i="2"/>
  <c r="Z384" i="2"/>
  <c r="Y384" i="2"/>
  <c r="W384" i="2"/>
  <c r="U384" i="2"/>
  <c r="V384" i="2" s="1"/>
  <c r="S384" i="2"/>
  <c r="Q384" i="2"/>
  <c r="P384" i="2"/>
  <c r="R384" i="2" s="1"/>
  <c r="O384" i="2"/>
  <c r="N384" i="2"/>
  <c r="M384" i="2"/>
  <c r="L384" i="2"/>
  <c r="K384" i="2"/>
  <c r="J384" i="2"/>
  <c r="I384" i="2"/>
  <c r="H384" i="2"/>
  <c r="H389" i="2" s="1"/>
  <c r="G384" i="2"/>
  <c r="Z383" i="2"/>
  <c r="X383" i="2"/>
  <c r="V383" i="2"/>
  <c r="T383" i="2"/>
  <c r="R383" i="2"/>
  <c r="P383" i="2"/>
  <c r="W379" i="2"/>
  <c r="O379" i="2"/>
  <c r="M379" i="2"/>
  <c r="W378" i="2"/>
  <c r="O378" i="2"/>
  <c r="N378" i="2"/>
  <c r="K378" i="2"/>
  <c r="J378" i="2"/>
  <c r="J372" i="2" s="1"/>
  <c r="H378" i="2"/>
  <c r="G378" i="2"/>
  <c r="Z377" i="2"/>
  <c r="Y377" i="2"/>
  <c r="W377" i="2"/>
  <c r="U377" i="2"/>
  <c r="Q377" i="2"/>
  <c r="O377" i="2"/>
  <c r="O371" i="2" s="1"/>
  <c r="N377" i="2"/>
  <c r="N371" i="2" s="1"/>
  <c r="M377" i="2"/>
  <c r="M371" i="2" s="1"/>
  <c r="J377" i="2"/>
  <c r="I377" i="2"/>
  <c r="G377" i="2"/>
  <c r="G372" i="2"/>
  <c r="Z371" i="2"/>
  <c r="Y371" i="2"/>
  <c r="Q371" i="2"/>
  <c r="J371" i="2"/>
  <c r="I371" i="2"/>
  <c r="W367" i="2"/>
  <c r="U367" i="2"/>
  <c r="O367" i="2"/>
  <c r="M367" i="2"/>
  <c r="G367" i="2"/>
  <c r="Z366" i="2"/>
  <c r="Z335" i="2" s="1"/>
  <c r="Y366" i="2"/>
  <c r="Y335" i="2" s="1"/>
  <c r="Y284" i="2" s="1"/>
  <c r="W366" i="2"/>
  <c r="U366" i="2"/>
  <c r="S366" i="2"/>
  <c r="Q366" i="2"/>
  <c r="Q335" i="2" s="1"/>
  <c r="O366" i="2"/>
  <c r="N366" i="2"/>
  <c r="M366" i="2"/>
  <c r="L366" i="2"/>
  <c r="K366" i="2"/>
  <c r="K335" i="2" s="1"/>
  <c r="J366" i="2"/>
  <c r="J335" i="2" s="1"/>
  <c r="I366" i="2"/>
  <c r="I335" i="2" s="1"/>
  <c r="H366" i="2"/>
  <c r="G366" i="2"/>
  <c r="P365" i="2"/>
  <c r="Z364" i="2"/>
  <c r="Y364" i="2"/>
  <c r="W364" i="2"/>
  <c r="U364" i="2"/>
  <c r="S364" i="2"/>
  <c r="Q364" i="2"/>
  <c r="O364" i="2"/>
  <c r="N364" i="2"/>
  <c r="M364" i="2"/>
  <c r="L364" i="2"/>
  <c r="L334" i="2" s="1"/>
  <c r="K364" i="2"/>
  <c r="J364" i="2"/>
  <c r="J367" i="2" s="1"/>
  <c r="I364" i="2"/>
  <c r="H364" i="2"/>
  <c r="G364" i="2"/>
  <c r="Z363" i="2"/>
  <c r="V363" i="2"/>
  <c r="T363" i="2"/>
  <c r="R363" i="2"/>
  <c r="P363" i="2"/>
  <c r="X363" i="2" s="1"/>
  <c r="Z362" i="2"/>
  <c r="R362" i="2"/>
  <c r="P362" i="2"/>
  <c r="Z361" i="2"/>
  <c r="X361" i="2"/>
  <c r="T361" i="2"/>
  <c r="P361" i="2"/>
  <c r="V361" i="2" s="1"/>
  <c r="Z360" i="2"/>
  <c r="X360" i="2"/>
  <c r="V360" i="2"/>
  <c r="P360" i="2"/>
  <c r="T360" i="2" s="1"/>
  <c r="Y359" i="2"/>
  <c r="W359" i="2"/>
  <c r="W333" i="2" s="1"/>
  <c r="U359" i="2"/>
  <c r="S359" i="2"/>
  <c r="S367" i="2" s="1"/>
  <c r="Q359" i="2"/>
  <c r="Q367" i="2" s="1"/>
  <c r="P359" i="2"/>
  <c r="O359" i="2"/>
  <c r="N359" i="2"/>
  <c r="N367" i="2" s="1"/>
  <c r="M359" i="2"/>
  <c r="L359" i="2"/>
  <c r="L367" i="2" s="1"/>
  <c r="K359" i="2"/>
  <c r="K367" i="2" s="1"/>
  <c r="J359" i="2"/>
  <c r="I359" i="2"/>
  <c r="I367" i="2" s="1"/>
  <c r="H359" i="2"/>
  <c r="G359" i="2"/>
  <c r="Z358" i="2"/>
  <c r="X358" i="2"/>
  <c r="T358" i="2"/>
  <c r="P358" i="2"/>
  <c r="V358" i="2" s="1"/>
  <c r="Z357" i="2"/>
  <c r="Z359" i="2" s="1"/>
  <c r="X357" i="2"/>
  <c r="V357" i="2"/>
  <c r="P357" i="2"/>
  <c r="T357" i="2" s="1"/>
  <c r="Y353" i="2"/>
  <c r="Z353" i="2" s="1"/>
  <c r="X353" i="2"/>
  <c r="V353" i="2"/>
  <c r="T353" i="2"/>
  <c r="R353" i="2"/>
  <c r="P353" i="2"/>
  <c r="W351" i="2"/>
  <c r="U351" i="2"/>
  <c r="U334" i="2" s="1"/>
  <c r="S351" i="2"/>
  <c r="Q351" i="2"/>
  <c r="O351" i="2"/>
  <c r="M351" i="2"/>
  <c r="M334" i="2" s="1"/>
  <c r="L351" i="2"/>
  <c r="K351" i="2"/>
  <c r="J351" i="2"/>
  <c r="I351" i="2"/>
  <c r="H351" i="2"/>
  <c r="G351" i="2"/>
  <c r="Y350" i="2"/>
  <c r="N350" i="2"/>
  <c r="Y346" i="2"/>
  <c r="Z346" i="2" s="1"/>
  <c r="T346" i="2"/>
  <c r="P346" i="2"/>
  <c r="X346" i="2" s="1"/>
  <c r="Y345" i="2"/>
  <c r="Z345" i="2" s="1"/>
  <c r="X345" i="2"/>
  <c r="N345" i="2"/>
  <c r="P345" i="2" s="1"/>
  <c r="Y344" i="2"/>
  <c r="Z344" i="2" s="1"/>
  <c r="X344" i="2"/>
  <c r="R344" i="2"/>
  <c r="P344" i="2"/>
  <c r="V344" i="2" s="1"/>
  <c r="Y343" i="2"/>
  <c r="Z343" i="2" s="1"/>
  <c r="X343" i="2"/>
  <c r="V343" i="2"/>
  <c r="P343" i="2"/>
  <c r="T343" i="2" s="1"/>
  <c r="W341" i="2"/>
  <c r="U341" i="2"/>
  <c r="S341" i="2"/>
  <c r="Q341" i="2"/>
  <c r="R341" i="2" s="1"/>
  <c r="P341" i="2"/>
  <c r="O341" i="2"/>
  <c r="N341" i="2"/>
  <c r="M341" i="2"/>
  <c r="L341" i="2"/>
  <c r="K341" i="2"/>
  <c r="J341" i="2"/>
  <c r="I341" i="2"/>
  <c r="H341" i="2"/>
  <c r="H334" i="2" s="1"/>
  <c r="G341" i="2"/>
  <c r="Z340" i="2"/>
  <c r="Z341" i="2" s="1"/>
  <c r="Y340" i="2"/>
  <c r="Y341" i="2" s="1"/>
  <c r="P340" i="2"/>
  <c r="W335" i="2"/>
  <c r="U335" i="2"/>
  <c r="O335" i="2"/>
  <c r="O284" i="2" s="1"/>
  <c r="N335" i="2"/>
  <c r="M335" i="2"/>
  <c r="L335" i="2"/>
  <c r="H335" i="2"/>
  <c r="G335" i="2"/>
  <c r="S334" i="2"/>
  <c r="Q334" i="2"/>
  <c r="Q336" i="2" s="1"/>
  <c r="K334" i="2"/>
  <c r="J334" i="2"/>
  <c r="I334" i="2"/>
  <c r="I336" i="2" s="1"/>
  <c r="Z333" i="2"/>
  <c r="Y333" i="2"/>
  <c r="U333" i="2"/>
  <c r="Q333" i="2"/>
  <c r="O333" i="2"/>
  <c r="N333" i="2"/>
  <c r="M333" i="2"/>
  <c r="L333" i="2"/>
  <c r="J333" i="2"/>
  <c r="J336" i="2" s="1"/>
  <c r="I333" i="2"/>
  <c r="G333" i="2"/>
  <c r="Y329" i="2"/>
  <c r="W329" i="2"/>
  <c r="X329" i="2" s="1"/>
  <c r="V329" i="2"/>
  <c r="U329" i="2"/>
  <c r="S329" i="2"/>
  <c r="T329" i="2" s="1"/>
  <c r="Q329" i="2"/>
  <c r="R329" i="2" s="1"/>
  <c r="O329" i="2"/>
  <c r="N329" i="2"/>
  <c r="M329" i="2"/>
  <c r="L329" i="2"/>
  <c r="K329" i="2"/>
  <c r="J329" i="2"/>
  <c r="I329" i="2"/>
  <c r="H329" i="2"/>
  <c r="G329" i="2"/>
  <c r="Z328" i="2"/>
  <c r="Z329" i="2" s="1"/>
  <c r="Y328" i="2"/>
  <c r="V328" i="2"/>
  <c r="T328" i="2"/>
  <c r="R328" i="2"/>
  <c r="P328" i="2"/>
  <c r="P329" i="2" s="1"/>
  <c r="Y324" i="2"/>
  <c r="Z324" i="2" s="1"/>
  <c r="U324" i="2"/>
  <c r="V324" i="2" s="1"/>
  <c r="T324" i="2"/>
  <c r="R324" i="2"/>
  <c r="P324" i="2"/>
  <c r="X324" i="2" s="1"/>
  <c r="Y323" i="2"/>
  <c r="Z323" i="2" s="1"/>
  <c r="T323" i="2"/>
  <c r="P323" i="2"/>
  <c r="W321" i="2"/>
  <c r="U321" i="2"/>
  <c r="S321" i="2"/>
  <c r="Q321" i="2"/>
  <c r="O321" i="2"/>
  <c r="N321" i="2"/>
  <c r="M321" i="2"/>
  <c r="L321" i="2"/>
  <c r="L290" i="2" s="1"/>
  <c r="K321" i="2"/>
  <c r="J321" i="2"/>
  <c r="I321" i="2"/>
  <c r="H321" i="2"/>
  <c r="G321" i="2"/>
  <c r="Y320" i="2"/>
  <c r="Z320" i="2" s="1"/>
  <c r="P320" i="2"/>
  <c r="Y319" i="2"/>
  <c r="X319" i="2"/>
  <c r="V319" i="2"/>
  <c r="T319" i="2"/>
  <c r="P319" i="2"/>
  <c r="R319" i="2" s="1"/>
  <c r="U313" i="2"/>
  <c r="S313" i="2"/>
  <c r="M313" i="2"/>
  <c r="L313" i="2"/>
  <c r="Y312" i="2"/>
  <c r="W312" i="2"/>
  <c r="U312" i="2"/>
  <c r="S312" i="2"/>
  <c r="Q312" i="2"/>
  <c r="O312" i="2"/>
  <c r="N312" i="2"/>
  <c r="M312" i="2"/>
  <c r="L312" i="2"/>
  <c r="K312" i="2"/>
  <c r="J312" i="2"/>
  <c r="I312" i="2"/>
  <c r="H312" i="2"/>
  <c r="G312" i="2"/>
  <c r="Z311" i="2"/>
  <c r="Z312" i="2" s="1"/>
  <c r="P311" i="2"/>
  <c r="W310" i="2"/>
  <c r="U310" i="2"/>
  <c r="S310" i="2"/>
  <c r="Q310" i="2"/>
  <c r="Q313" i="2" s="1"/>
  <c r="O310" i="2"/>
  <c r="N310" i="2"/>
  <c r="M310" i="2"/>
  <c r="L310" i="2"/>
  <c r="J310" i="2"/>
  <c r="J313" i="2" s="1"/>
  <c r="I310" i="2"/>
  <c r="I313" i="2" s="1"/>
  <c r="H310" i="2"/>
  <c r="H313" i="2" s="1"/>
  <c r="G310" i="2"/>
  <c r="Z309" i="2"/>
  <c r="Z308" i="2"/>
  <c r="Z310" i="2" s="1"/>
  <c r="Z313" i="2" s="1"/>
  <c r="Y308" i="2"/>
  <c r="P308" i="2"/>
  <c r="X308" i="2" s="1"/>
  <c r="Y307" i="2"/>
  <c r="Z307" i="2" s="1"/>
  <c r="X307" i="2"/>
  <c r="T307" i="2"/>
  <c r="P307" i="2"/>
  <c r="Y303" i="2"/>
  <c r="Z303" i="2" s="1"/>
  <c r="X303" i="2"/>
  <c r="V303" i="2"/>
  <c r="R303" i="2"/>
  <c r="P303" i="2"/>
  <c r="T303" i="2" s="1"/>
  <c r="W301" i="2"/>
  <c r="N301" i="2"/>
  <c r="G301" i="2"/>
  <c r="W300" i="2"/>
  <c r="U300" i="2"/>
  <c r="S300" i="2"/>
  <c r="Q300" i="2"/>
  <c r="O300" i="2"/>
  <c r="N300" i="2"/>
  <c r="M300" i="2"/>
  <c r="L300" i="2"/>
  <c r="L291" i="2" s="1"/>
  <c r="L283" i="2" s="1"/>
  <c r="K300" i="2"/>
  <c r="K291" i="2" s="1"/>
  <c r="K283" i="2" s="1"/>
  <c r="J300" i="2"/>
  <c r="J291" i="2" s="1"/>
  <c r="I300" i="2"/>
  <c r="H300" i="2"/>
  <c r="G300" i="2"/>
  <c r="V299" i="2"/>
  <c r="T299" i="2"/>
  <c r="K299" i="2"/>
  <c r="P299" i="2" s="1"/>
  <c r="W298" i="2"/>
  <c r="U298" i="2"/>
  <c r="U301" i="2" s="1"/>
  <c r="S298" i="2"/>
  <c r="Q298" i="2"/>
  <c r="O298" i="2"/>
  <c r="O290" i="2" s="1"/>
  <c r="N298" i="2"/>
  <c r="N290" i="2" s="1"/>
  <c r="M298" i="2"/>
  <c r="M301" i="2" s="1"/>
  <c r="L298" i="2"/>
  <c r="L301" i="2" s="1"/>
  <c r="J298" i="2"/>
  <c r="J301" i="2" s="1"/>
  <c r="I298" i="2"/>
  <c r="I301" i="2" s="1"/>
  <c r="H298" i="2"/>
  <c r="H290" i="2" s="1"/>
  <c r="H282" i="2" s="1"/>
  <c r="G298" i="2"/>
  <c r="G290" i="2" s="1"/>
  <c r="K297" i="2"/>
  <c r="Z296" i="2"/>
  <c r="Y296" i="2"/>
  <c r="V296" i="2"/>
  <c r="P296" i="2"/>
  <c r="X296" i="2" s="1"/>
  <c r="Q292" i="2"/>
  <c r="W291" i="2"/>
  <c r="W283" i="2" s="1"/>
  <c r="U291" i="2"/>
  <c r="U283" i="2" s="1"/>
  <c r="Q291" i="2"/>
  <c r="O291" i="2"/>
  <c r="O283" i="2" s="1"/>
  <c r="N291" i="2"/>
  <c r="N283" i="2" s="1"/>
  <c r="M291" i="2"/>
  <c r="M283" i="2" s="1"/>
  <c r="I291" i="2"/>
  <c r="H291" i="2"/>
  <c r="H283" i="2" s="1"/>
  <c r="G291" i="2"/>
  <c r="G283" i="2" s="1"/>
  <c r="S290" i="2"/>
  <c r="S282" i="2" s="1"/>
  <c r="Q290" i="2"/>
  <c r="Q282" i="2" s="1"/>
  <c r="M290" i="2"/>
  <c r="J290" i="2"/>
  <c r="J282" i="2" s="1"/>
  <c r="I290" i="2"/>
  <c r="W289" i="2"/>
  <c r="U289" i="2"/>
  <c r="S289" i="2"/>
  <c r="Q289" i="2"/>
  <c r="M289" i="2"/>
  <c r="L289" i="2"/>
  <c r="J289" i="2"/>
  <c r="I289" i="2"/>
  <c r="H289" i="2"/>
  <c r="H292" i="2" s="1"/>
  <c r="Q285" i="2"/>
  <c r="J285" i="2"/>
  <c r="Z284" i="2"/>
  <c r="W284" i="2"/>
  <c r="U284" i="2"/>
  <c r="Q284" i="2"/>
  <c r="N284" i="2"/>
  <c r="M284" i="2"/>
  <c r="L284" i="2"/>
  <c r="K284" i="2"/>
  <c r="J284" i="2"/>
  <c r="I284" i="2"/>
  <c r="H284" i="2"/>
  <c r="G284" i="2"/>
  <c r="Q283" i="2"/>
  <c r="J283" i="2"/>
  <c r="I283" i="2"/>
  <c r="M282" i="2"/>
  <c r="Q281" i="2"/>
  <c r="L281" i="2"/>
  <c r="J281" i="2"/>
  <c r="I281" i="2"/>
  <c r="P277" i="2"/>
  <c r="X276" i="2"/>
  <c r="R276" i="2"/>
  <c r="P276" i="2"/>
  <c r="V276" i="2" s="1"/>
  <c r="Y275" i="2"/>
  <c r="Z275" i="2" s="1"/>
  <c r="X275" i="2"/>
  <c r="V275" i="2"/>
  <c r="P275" i="2"/>
  <c r="T275" i="2" s="1"/>
  <c r="Y274" i="2"/>
  <c r="Z274" i="2" s="1"/>
  <c r="X274" i="2"/>
  <c r="V274" i="2"/>
  <c r="T274" i="2"/>
  <c r="P274" i="2"/>
  <c r="R274" i="2" s="1"/>
  <c r="P273" i="2"/>
  <c r="Z272" i="2"/>
  <c r="Y272" i="2"/>
  <c r="P272" i="2"/>
  <c r="X272" i="2" s="1"/>
  <c r="S270" i="2"/>
  <c r="J270" i="2"/>
  <c r="W269" i="2"/>
  <c r="U269" i="2"/>
  <c r="S269" i="2"/>
  <c r="Q269" i="2"/>
  <c r="O269" i="2"/>
  <c r="N269" i="2"/>
  <c r="N242" i="2" s="1"/>
  <c r="M269" i="2"/>
  <c r="L269" i="2"/>
  <c r="K269" i="2"/>
  <c r="J269" i="2"/>
  <c r="I269" i="2"/>
  <c r="H269" i="2"/>
  <c r="G269" i="2"/>
  <c r="Y268" i="2"/>
  <c r="Y269" i="2" s="1"/>
  <c r="Y242" i="2" s="1"/>
  <c r="V268" i="2"/>
  <c r="T268" i="2"/>
  <c r="R268" i="2"/>
  <c r="P268" i="2"/>
  <c r="X268" i="2" s="1"/>
  <c r="Y267" i="2"/>
  <c r="W267" i="2"/>
  <c r="U267" i="2"/>
  <c r="S267" i="2"/>
  <c r="Q267" i="2"/>
  <c r="O267" i="2"/>
  <c r="N267" i="2"/>
  <c r="M267" i="2"/>
  <c r="L267" i="2"/>
  <c r="J267" i="2"/>
  <c r="I267" i="2"/>
  <c r="I270" i="2" s="1"/>
  <c r="H267" i="2"/>
  <c r="H241" i="2" s="1"/>
  <c r="G267" i="2"/>
  <c r="P266" i="2"/>
  <c r="X266" i="2" s="1"/>
  <c r="Z265" i="2"/>
  <c r="Z267" i="2" s="1"/>
  <c r="Y265" i="2"/>
  <c r="K265" i="2"/>
  <c r="K267" i="2" s="1"/>
  <c r="K270" i="2" s="1"/>
  <c r="X264" i="2"/>
  <c r="V264" i="2"/>
  <c r="P264" i="2"/>
  <c r="T264" i="2" s="1"/>
  <c r="P263" i="2"/>
  <c r="K263" i="2"/>
  <c r="Y262" i="2"/>
  <c r="W262" i="2"/>
  <c r="W270" i="2" s="1"/>
  <c r="U262" i="2"/>
  <c r="S262" i="2"/>
  <c r="Q262" i="2"/>
  <c r="O262" i="2"/>
  <c r="O270" i="2" s="1"/>
  <c r="N262" i="2"/>
  <c r="N270" i="2" s="1"/>
  <c r="M262" i="2"/>
  <c r="L262" i="2"/>
  <c r="L270" i="2" s="1"/>
  <c r="K262" i="2"/>
  <c r="J262" i="2"/>
  <c r="I262" i="2"/>
  <c r="H262" i="2"/>
  <c r="G262" i="2"/>
  <c r="G270" i="2" s="1"/>
  <c r="Z261" i="2"/>
  <c r="Z262" i="2" s="1"/>
  <c r="X261" i="2"/>
  <c r="V261" i="2"/>
  <c r="P261" i="2"/>
  <c r="T261" i="2" s="1"/>
  <c r="W257" i="2"/>
  <c r="Q257" i="2"/>
  <c r="O257" i="2"/>
  <c r="N257" i="2"/>
  <c r="I257" i="2"/>
  <c r="H257" i="2"/>
  <c r="G257" i="2"/>
  <c r="Z256" i="2"/>
  <c r="W256" i="2"/>
  <c r="U256" i="2"/>
  <c r="S256" i="2"/>
  <c r="Q256" i="2"/>
  <c r="O256" i="2"/>
  <c r="N256" i="2"/>
  <c r="M256" i="2"/>
  <c r="L256" i="2"/>
  <c r="K256" i="2"/>
  <c r="K241" i="2" s="1"/>
  <c r="J256" i="2"/>
  <c r="J241" i="2" s="1"/>
  <c r="I256" i="2"/>
  <c r="H256" i="2"/>
  <c r="G256" i="2"/>
  <c r="Z255" i="2"/>
  <c r="Y255" i="2"/>
  <c r="Y256" i="2" s="1"/>
  <c r="Y257" i="2" s="1"/>
  <c r="X255" i="2"/>
  <c r="V255" i="2"/>
  <c r="T255" i="2"/>
  <c r="P255" i="2"/>
  <c r="R255" i="2" s="1"/>
  <c r="P254" i="2"/>
  <c r="Z253" i="2"/>
  <c r="Y253" i="2"/>
  <c r="W253" i="2"/>
  <c r="X253" i="2" s="1"/>
  <c r="U253" i="2"/>
  <c r="U257" i="2" s="1"/>
  <c r="S253" i="2"/>
  <c r="R253" i="2"/>
  <c r="Q253" i="2"/>
  <c r="P253" i="2"/>
  <c r="V253" i="2" s="1"/>
  <c r="O253" i="2"/>
  <c r="N253" i="2"/>
  <c r="M253" i="2"/>
  <c r="M257" i="2" s="1"/>
  <c r="L253" i="2"/>
  <c r="L257" i="2" s="1"/>
  <c r="K253" i="2"/>
  <c r="K257" i="2" s="1"/>
  <c r="J253" i="2"/>
  <c r="I253" i="2"/>
  <c r="H253" i="2"/>
  <c r="G253" i="2"/>
  <c r="Z252" i="2"/>
  <c r="X252" i="2"/>
  <c r="V252" i="2"/>
  <c r="T252" i="2"/>
  <c r="R252" i="2"/>
  <c r="P252" i="2"/>
  <c r="W248" i="2"/>
  <c r="U248" i="2"/>
  <c r="U241" i="2" s="1"/>
  <c r="S248" i="2"/>
  <c r="Q248" i="2"/>
  <c r="O248" i="2"/>
  <c r="N248" i="2"/>
  <c r="N241" i="2" s="1"/>
  <c r="M248" i="2"/>
  <c r="M241" i="2" s="1"/>
  <c r="L248" i="2"/>
  <c r="K248" i="2"/>
  <c r="J248" i="2"/>
  <c r="I248" i="2"/>
  <c r="H248" i="2"/>
  <c r="G248" i="2"/>
  <c r="Z247" i="2"/>
  <c r="Z248" i="2" s="1"/>
  <c r="Y247" i="2"/>
  <c r="Y248" i="2" s="1"/>
  <c r="X247" i="2"/>
  <c r="T247" i="2"/>
  <c r="R247" i="2"/>
  <c r="P247" i="2"/>
  <c r="V247" i="2" s="1"/>
  <c r="O243" i="2"/>
  <c r="W242" i="2"/>
  <c r="U242" i="2"/>
  <c r="S242" i="2"/>
  <c r="Q242" i="2"/>
  <c r="O242" i="2"/>
  <c r="M242" i="2"/>
  <c r="L242" i="2"/>
  <c r="K242" i="2"/>
  <c r="J242" i="2"/>
  <c r="I242" i="2"/>
  <c r="H242" i="2"/>
  <c r="G242" i="2"/>
  <c r="Y241" i="2"/>
  <c r="Y243" i="2" s="1"/>
  <c r="W241" i="2"/>
  <c r="W243" i="2" s="1"/>
  <c r="O241" i="2"/>
  <c r="L241" i="2"/>
  <c r="I241" i="2"/>
  <c r="I243" i="2" s="1"/>
  <c r="G241" i="2"/>
  <c r="G243" i="2" s="1"/>
  <c r="Y240" i="2"/>
  <c r="W240" i="2"/>
  <c r="S240" i="2"/>
  <c r="Q240" i="2"/>
  <c r="O240" i="2"/>
  <c r="M240" i="2"/>
  <c r="L240" i="2"/>
  <c r="I240" i="2"/>
  <c r="H240" i="2"/>
  <c r="H243" i="2" s="1"/>
  <c r="G240" i="2"/>
  <c r="Z236" i="2"/>
  <c r="X236" i="2"/>
  <c r="V236" i="2"/>
  <c r="T236" i="2"/>
  <c r="P236" i="2"/>
  <c r="R236" i="2" s="1"/>
  <c r="Z235" i="2"/>
  <c r="Y235" i="2"/>
  <c r="X235" i="2"/>
  <c r="V235" i="2"/>
  <c r="T235" i="2"/>
  <c r="R235" i="2"/>
  <c r="P235" i="2"/>
  <c r="Y234" i="2"/>
  <c r="Z234" i="2" s="1"/>
  <c r="T234" i="2"/>
  <c r="R234" i="2"/>
  <c r="P234" i="2"/>
  <c r="Y233" i="2"/>
  <c r="Z233" i="2" s="1"/>
  <c r="X233" i="2"/>
  <c r="P233" i="2"/>
  <c r="Z232" i="2"/>
  <c r="Y232" i="2"/>
  <c r="X232" i="2"/>
  <c r="P232" i="2"/>
  <c r="N232" i="2"/>
  <c r="Z231" i="2"/>
  <c r="Y231" i="2"/>
  <c r="V231" i="2"/>
  <c r="T231" i="2"/>
  <c r="P231" i="2"/>
  <c r="R231" i="2" s="1"/>
  <c r="Z230" i="2"/>
  <c r="Y230" i="2"/>
  <c r="V230" i="2"/>
  <c r="T230" i="2"/>
  <c r="R230" i="2"/>
  <c r="P230" i="2"/>
  <c r="X230" i="2" s="1"/>
  <c r="Z228" i="2"/>
  <c r="M228" i="2"/>
  <c r="L228" i="2"/>
  <c r="Z227" i="2"/>
  <c r="Z216" i="2" s="1"/>
  <c r="Y227" i="2"/>
  <c r="Y216" i="2" s="1"/>
  <c r="W227" i="2"/>
  <c r="U227" i="2"/>
  <c r="S227" i="2"/>
  <c r="Q227" i="2"/>
  <c r="O227" i="2"/>
  <c r="N227" i="2"/>
  <c r="M227" i="2"/>
  <c r="L227" i="2"/>
  <c r="K227" i="2"/>
  <c r="J227" i="2"/>
  <c r="J216" i="2" s="1"/>
  <c r="I227" i="2"/>
  <c r="H227" i="2"/>
  <c r="G227" i="2"/>
  <c r="Z226" i="2"/>
  <c r="Y226" i="2"/>
  <c r="R226" i="2"/>
  <c r="P226" i="2"/>
  <c r="W225" i="2"/>
  <c r="W228" i="2" s="1"/>
  <c r="U225" i="2"/>
  <c r="S225" i="2"/>
  <c r="S228" i="2" s="1"/>
  <c r="Q225" i="2"/>
  <c r="O225" i="2"/>
  <c r="M225" i="2"/>
  <c r="L225" i="2"/>
  <c r="J225" i="2"/>
  <c r="I225" i="2"/>
  <c r="H225" i="2"/>
  <c r="G225" i="2"/>
  <c r="G228" i="2" s="1"/>
  <c r="X224" i="2"/>
  <c r="P224" i="2"/>
  <c r="V224" i="2" s="1"/>
  <c r="Z223" i="2"/>
  <c r="Z225" i="2" s="1"/>
  <c r="Y223" i="2"/>
  <c r="Y225" i="2" s="1"/>
  <c r="N223" i="2"/>
  <c r="N225" i="2" s="1"/>
  <c r="N228" i="2" s="1"/>
  <c r="K223" i="2"/>
  <c r="X222" i="2"/>
  <c r="V222" i="2"/>
  <c r="T222" i="2"/>
  <c r="R222" i="2"/>
  <c r="P222" i="2"/>
  <c r="T221" i="2"/>
  <c r="R221" i="2"/>
  <c r="P221" i="2"/>
  <c r="X221" i="2" s="1"/>
  <c r="U217" i="2"/>
  <c r="M217" i="2"/>
  <c r="W216" i="2"/>
  <c r="U216" i="2"/>
  <c r="S216" i="2"/>
  <c r="Q216" i="2"/>
  <c r="O216" i="2"/>
  <c r="N216" i="2"/>
  <c r="M216" i="2"/>
  <c r="L216" i="2"/>
  <c r="K216" i="2"/>
  <c r="I216" i="2"/>
  <c r="H216" i="2"/>
  <c r="G216" i="2"/>
  <c r="Z215" i="2"/>
  <c r="Z217" i="2" s="1"/>
  <c r="U215" i="2"/>
  <c r="S215" i="2"/>
  <c r="S217" i="2" s="1"/>
  <c r="N215" i="2"/>
  <c r="N217" i="2" s="1"/>
  <c r="M215" i="2"/>
  <c r="L215" i="2"/>
  <c r="L217" i="2" s="1"/>
  <c r="J215" i="2"/>
  <c r="J217" i="2" s="1"/>
  <c r="Y211" i="2"/>
  <c r="Z211" i="2" s="1"/>
  <c r="X211" i="2"/>
  <c r="V211" i="2"/>
  <c r="T211" i="2"/>
  <c r="R211" i="2"/>
  <c r="P211" i="2"/>
  <c r="Y210" i="2"/>
  <c r="Z210" i="2" s="1"/>
  <c r="X210" i="2"/>
  <c r="V210" i="2"/>
  <c r="U210" i="2"/>
  <c r="T210" i="2"/>
  <c r="R210" i="2"/>
  <c r="P210" i="2"/>
  <c r="G210" i="2"/>
  <c r="Q208" i="2"/>
  <c r="N208" i="2"/>
  <c r="I208" i="2"/>
  <c r="W207" i="2"/>
  <c r="X207" i="2" s="1"/>
  <c r="U207" i="2"/>
  <c r="V207" i="2" s="1"/>
  <c r="T207" i="2"/>
  <c r="S207" i="2"/>
  <c r="Q207" i="2"/>
  <c r="O207" i="2"/>
  <c r="N207" i="2"/>
  <c r="M207" i="2"/>
  <c r="M156" i="2" s="1"/>
  <c r="L207" i="2"/>
  <c r="L156" i="2" s="1"/>
  <c r="K207" i="2"/>
  <c r="J207" i="2"/>
  <c r="I207" i="2"/>
  <c r="H207" i="2"/>
  <c r="G207" i="2"/>
  <c r="Y206" i="2"/>
  <c r="X206" i="2"/>
  <c r="V206" i="2"/>
  <c r="T206" i="2"/>
  <c r="R206" i="2"/>
  <c r="P206" i="2"/>
  <c r="P207" i="2" s="1"/>
  <c r="R207" i="2" s="1"/>
  <c r="W205" i="2"/>
  <c r="W208" i="2" s="1"/>
  <c r="U205" i="2"/>
  <c r="S205" i="2"/>
  <c r="Q205" i="2"/>
  <c r="O205" i="2"/>
  <c r="O208" i="2" s="1"/>
  <c r="N205" i="2"/>
  <c r="M205" i="2"/>
  <c r="L205" i="2"/>
  <c r="J205" i="2"/>
  <c r="I205" i="2"/>
  <c r="H205" i="2"/>
  <c r="H155" i="2" s="1"/>
  <c r="G205" i="2"/>
  <c r="G208" i="2" s="1"/>
  <c r="X204" i="2"/>
  <c r="V204" i="2"/>
  <c r="T204" i="2"/>
  <c r="P204" i="2"/>
  <c r="R204" i="2" s="1"/>
  <c r="Z203" i="2"/>
  <c r="Z205" i="2" s="1"/>
  <c r="Y203" i="2"/>
  <c r="Y205" i="2" s="1"/>
  <c r="K203" i="2"/>
  <c r="K205" i="2" s="1"/>
  <c r="T202" i="2"/>
  <c r="P202" i="2"/>
  <c r="P201" i="2"/>
  <c r="W200" i="2"/>
  <c r="U200" i="2"/>
  <c r="U208" i="2" s="1"/>
  <c r="S200" i="2"/>
  <c r="Q200" i="2"/>
  <c r="O200" i="2"/>
  <c r="N200" i="2"/>
  <c r="M200" i="2"/>
  <c r="M208" i="2" s="1"/>
  <c r="L200" i="2"/>
  <c r="L208" i="2" s="1"/>
  <c r="K200" i="2"/>
  <c r="J200" i="2"/>
  <c r="J154" i="2" s="1"/>
  <c r="I200" i="2"/>
  <c r="H200" i="2"/>
  <c r="H208" i="2" s="1"/>
  <c r="G200" i="2"/>
  <c r="P199" i="2"/>
  <c r="K199" i="2"/>
  <c r="Y199" i="2" s="1"/>
  <c r="Y195" i="2"/>
  <c r="Z195" i="2" s="1"/>
  <c r="P195" i="2"/>
  <c r="Z194" i="2"/>
  <c r="Y194" i="2"/>
  <c r="T194" i="2"/>
  <c r="R194" i="2"/>
  <c r="P194" i="2"/>
  <c r="X194" i="2" s="1"/>
  <c r="M192" i="2"/>
  <c r="L192" i="2"/>
  <c r="J192" i="2"/>
  <c r="Y191" i="2"/>
  <c r="W191" i="2"/>
  <c r="S191" i="2"/>
  <c r="Q191" i="2"/>
  <c r="P191" i="2"/>
  <c r="X191" i="2" s="1"/>
  <c r="O191" i="2"/>
  <c r="N191" i="2"/>
  <c r="N156" i="2" s="1"/>
  <c r="M191" i="2"/>
  <c r="L191" i="2"/>
  <c r="K191" i="2"/>
  <c r="J191" i="2"/>
  <c r="I191" i="2"/>
  <c r="I156" i="2" s="1"/>
  <c r="H191" i="2"/>
  <c r="H156" i="2" s="1"/>
  <c r="G191" i="2"/>
  <c r="Z190" i="2"/>
  <c r="Z191" i="2" s="1"/>
  <c r="Y190" i="2"/>
  <c r="W190" i="2"/>
  <c r="U190" i="2"/>
  <c r="P190" i="2"/>
  <c r="V189" i="2"/>
  <c r="U189" i="2"/>
  <c r="S189" i="2"/>
  <c r="Q189" i="2"/>
  <c r="O189" i="2"/>
  <c r="N189" i="2"/>
  <c r="M189" i="2"/>
  <c r="L189" i="2"/>
  <c r="K189" i="2"/>
  <c r="J189" i="2"/>
  <c r="I189" i="2"/>
  <c r="H189" i="2"/>
  <c r="G189" i="2"/>
  <c r="Y188" i="2"/>
  <c r="Z188" i="2" s="1"/>
  <c r="X188" i="2"/>
  <c r="V188" i="2"/>
  <c r="T188" i="2"/>
  <c r="P188" i="2"/>
  <c r="R188" i="2" s="1"/>
  <c r="Y187" i="2"/>
  <c r="Z187" i="2" s="1"/>
  <c r="X187" i="2"/>
  <c r="W187" i="2"/>
  <c r="W189" i="2" s="1"/>
  <c r="X189" i="2" s="1"/>
  <c r="V187" i="2"/>
  <c r="U187" i="2"/>
  <c r="P187" i="2"/>
  <c r="T187" i="2" s="1"/>
  <c r="Y186" i="2"/>
  <c r="Z186" i="2" s="1"/>
  <c r="X186" i="2"/>
  <c r="V186" i="2"/>
  <c r="T186" i="2"/>
  <c r="P186" i="2"/>
  <c r="R186" i="2" s="1"/>
  <c r="Y185" i="2"/>
  <c r="Z185" i="2" s="1"/>
  <c r="X185" i="2"/>
  <c r="V185" i="2"/>
  <c r="T185" i="2"/>
  <c r="R185" i="2"/>
  <c r="P185" i="2"/>
  <c r="P189" i="2" s="1"/>
  <c r="R189" i="2" s="1"/>
  <c r="W184" i="2"/>
  <c r="U184" i="2"/>
  <c r="S184" i="2"/>
  <c r="Q184" i="2"/>
  <c r="P184" i="2"/>
  <c r="O184" i="2"/>
  <c r="N184" i="2"/>
  <c r="M184" i="2"/>
  <c r="M154" i="2" s="1"/>
  <c r="L184" i="2"/>
  <c r="K184" i="2"/>
  <c r="J184" i="2"/>
  <c r="I184" i="2"/>
  <c r="H184" i="2"/>
  <c r="G184" i="2"/>
  <c r="Y183" i="2"/>
  <c r="Z183" i="2" s="1"/>
  <c r="W183" i="2"/>
  <c r="U183" i="2"/>
  <c r="V183" i="2" s="1"/>
  <c r="T183" i="2"/>
  <c r="R183" i="2"/>
  <c r="P183" i="2"/>
  <c r="X183" i="2" s="1"/>
  <c r="Z182" i="2"/>
  <c r="Y182" i="2"/>
  <c r="P182" i="2"/>
  <c r="Z181" i="2"/>
  <c r="X181" i="2"/>
  <c r="P181" i="2"/>
  <c r="V181" i="2" s="1"/>
  <c r="Y177" i="2"/>
  <c r="Z177" i="2" s="1"/>
  <c r="X177" i="2"/>
  <c r="V177" i="2"/>
  <c r="T177" i="2"/>
  <c r="P177" i="2"/>
  <c r="R177" i="2" s="1"/>
  <c r="Y176" i="2"/>
  <c r="Z176" i="2" s="1"/>
  <c r="X176" i="2"/>
  <c r="V176" i="2"/>
  <c r="T176" i="2"/>
  <c r="R176" i="2"/>
  <c r="P176" i="2"/>
  <c r="Y175" i="2"/>
  <c r="Z175" i="2" s="1"/>
  <c r="X175" i="2"/>
  <c r="V175" i="2"/>
  <c r="T175" i="2"/>
  <c r="R175" i="2"/>
  <c r="P175" i="2"/>
  <c r="W173" i="2"/>
  <c r="O173" i="2"/>
  <c r="N173" i="2"/>
  <c r="L173" i="2"/>
  <c r="G173" i="2"/>
  <c r="W172" i="2"/>
  <c r="U172" i="2"/>
  <c r="S172" i="2"/>
  <c r="Q172" i="2"/>
  <c r="O172" i="2"/>
  <c r="N172" i="2"/>
  <c r="M172" i="2"/>
  <c r="L172" i="2"/>
  <c r="K172" i="2"/>
  <c r="J172" i="2"/>
  <c r="I172" i="2"/>
  <c r="H172" i="2"/>
  <c r="G172" i="2"/>
  <c r="Y171" i="2"/>
  <c r="Z171" i="2" s="1"/>
  <c r="P171" i="2"/>
  <c r="K170" i="2"/>
  <c r="Z169" i="2"/>
  <c r="W169" i="2"/>
  <c r="U169" i="2"/>
  <c r="S169" i="2"/>
  <c r="Q169" i="2"/>
  <c r="O169" i="2"/>
  <c r="M169" i="2"/>
  <c r="L169" i="2"/>
  <c r="K169" i="2"/>
  <c r="J169" i="2"/>
  <c r="I169" i="2"/>
  <c r="H169" i="2"/>
  <c r="G169" i="2"/>
  <c r="X168" i="2"/>
  <c r="V168" i="2"/>
  <c r="T168" i="2"/>
  <c r="R168" i="2"/>
  <c r="P168" i="2"/>
  <c r="Z167" i="2"/>
  <c r="Y167" i="2"/>
  <c r="Y169" i="2" s="1"/>
  <c r="V167" i="2"/>
  <c r="P167" i="2"/>
  <c r="N167" i="2"/>
  <c r="K167" i="2"/>
  <c r="T166" i="2"/>
  <c r="R166" i="2"/>
  <c r="P166" i="2"/>
  <c r="X166" i="2" s="1"/>
  <c r="X165" i="2"/>
  <c r="N165" i="2"/>
  <c r="N169" i="2" s="1"/>
  <c r="N155" i="2" s="1"/>
  <c r="M165" i="2"/>
  <c r="P165" i="2" s="1"/>
  <c r="W164" i="2"/>
  <c r="U164" i="2"/>
  <c r="V164" i="2" s="1"/>
  <c r="S164" i="2"/>
  <c r="Q164" i="2"/>
  <c r="O164" i="2"/>
  <c r="M164" i="2"/>
  <c r="L164" i="2"/>
  <c r="L154" i="2" s="1"/>
  <c r="L157" i="2" s="1"/>
  <c r="K164" i="2"/>
  <c r="J164" i="2"/>
  <c r="I164" i="2"/>
  <c r="H164" i="2"/>
  <c r="H173" i="2" s="1"/>
  <c r="G164" i="2"/>
  <c r="X163" i="2"/>
  <c r="V163" i="2"/>
  <c r="T163" i="2"/>
  <c r="R163" i="2"/>
  <c r="P163" i="2"/>
  <c r="N163" i="2"/>
  <c r="N164" i="2" s="1"/>
  <c r="N154" i="2" s="1"/>
  <c r="K163" i="2"/>
  <c r="Y162" i="2"/>
  <c r="X162" i="2"/>
  <c r="V162" i="2"/>
  <c r="T162" i="2"/>
  <c r="R162" i="2"/>
  <c r="P162" i="2"/>
  <c r="Y161" i="2"/>
  <c r="Z161" i="2" s="1"/>
  <c r="X161" i="2"/>
  <c r="V161" i="2"/>
  <c r="T161" i="2"/>
  <c r="R161" i="2"/>
  <c r="P161" i="2"/>
  <c r="P164" i="2" s="1"/>
  <c r="N157" i="2"/>
  <c r="W156" i="2"/>
  <c r="S156" i="2"/>
  <c r="O156" i="2"/>
  <c r="K156" i="2"/>
  <c r="G156" i="2"/>
  <c r="W155" i="2"/>
  <c r="Q155" i="2"/>
  <c r="L155" i="2"/>
  <c r="J155" i="2"/>
  <c r="I155" i="2"/>
  <c r="G155" i="2"/>
  <c r="S154" i="2"/>
  <c r="K154" i="2"/>
  <c r="H154" i="2"/>
  <c r="W150" i="2"/>
  <c r="U150" i="2"/>
  <c r="S150" i="2"/>
  <c r="Q150" i="2"/>
  <c r="O150" i="2"/>
  <c r="N150" i="2"/>
  <c r="M150" i="2"/>
  <c r="L150" i="2"/>
  <c r="K150" i="2"/>
  <c r="I150" i="2"/>
  <c r="H150" i="2"/>
  <c r="G150" i="2"/>
  <c r="Z149" i="2"/>
  <c r="Z150" i="2" s="1"/>
  <c r="Y149" i="2"/>
  <c r="Y150" i="2" s="1"/>
  <c r="X149" i="2"/>
  <c r="V149" i="2"/>
  <c r="P149" i="2"/>
  <c r="T149" i="2" s="1"/>
  <c r="J149" i="2"/>
  <c r="J150" i="2" s="1"/>
  <c r="X148" i="2"/>
  <c r="V148" i="2"/>
  <c r="T148" i="2"/>
  <c r="R148" i="2"/>
  <c r="P148" i="2"/>
  <c r="T147" i="2"/>
  <c r="R147" i="2"/>
  <c r="P147" i="2"/>
  <c r="X147" i="2" s="1"/>
  <c r="Z143" i="2"/>
  <c r="P143" i="2"/>
  <c r="Z142" i="2"/>
  <c r="X142" i="2"/>
  <c r="V142" i="2"/>
  <c r="T142" i="2"/>
  <c r="P142" i="2"/>
  <c r="R142" i="2" s="1"/>
  <c r="Z141" i="2"/>
  <c r="X141" i="2"/>
  <c r="V141" i="2"/>
  <c r="T141" i="2"/>
  <c r="R141" i="2"/>
  <c r="P141" i="2"/>
  <c r="Y140" i="2"/>
  <c r="Z140" i="2" s="1"/>
  <c r="V140" i="2"/>
  <c r="P140" i="2"/>
  <c r="Z139" i="2"/>
  <c r="Y139" i="2"/>
  <c r="T139" i="2"/>
  <c r="R139" i="2"/>
  <c r="P139" i="2"/>
  <c r="X139" i="2" s="1"/>
  <c r="W137" i="2"/>
  <c r="U137" i="2"/>
  <c r="S137" i="2"/>
  <c r="Q137" i="2"/>
  <c r="O137" i="2"/>
  <c r="N137" i="2"/>
  <c r="M137" i="2"/>
  <c r="L137" i="2"/>
  <c r="K137" i="2"/>
  <c r="J137" i="2"/>
  <c r="I137" i="2"/>
  <c r="H137" i="2"/>
  <c r="G137" i="2"/>
  <c r="Y136" i="2"/>
  <c r="X136" i="2"/>
  <c r="V136" i="2"/>
  <c r="T136" i="2"/>
  <c r="R136" i="2"/>
  <c r="P136" i="2"/>
  <c r="Y135" i="2"/>
  <c r="Z135" i="2" s="1"/>
  <c r="X135" i="2"/>
  <c r="V135" i="2"/>
  <c r="T135" i="2"/>
  <c r="R135" i="2"/>
  <c r="P135" i="2"/>
  <c r="Z134" i="2"/>
  <c r="Y134" i="2"/>
  <c r="P134" i="2"/>
  <c r="Z133" i="2"/>
  <c r="P133" i="2"/>
  <c r="S129" i="2"/>
  <c r="L129" i="2"/>
  <c r="W128" i="2"/>
  <c r="U128" i="2"/>
  <c r="S128" i="2"/>
  <c r="Q128" i="2"/>
  <c r="P128" i="2"/>
  <c r="T128" i="2" s="1"/>
  <c r="O128" i="2"/>
  <c r="N128" i="2"/>
  <c r="M128" i="2"/>
  <c r="L128" i="2"/>
  <c r="K128" i="2"/>
  <c r="J128" i="2"/>
  <c r="I128" i="2"/>
  <c r="H128" i="2"/>
  <c r="G128" i="2"/>
  <c r="Y127" i="2"/>
  <c r="Z127" i="2" s="1"/>
  <c r="P127" i="2"/>
  <c r="Z126" i="2"/>
  <c r="Z128" i="2" s="1"/>
  <c r="Y126" i="2"/>
  <c r="Y128" i="2" s="1"/>
  <c r="X126" i="2"/>
  <c r="V126" i="2"/>
  <c r="P126" i="2"/>
  <c r="T126" i="2" s="1"/>
  <c r="W125" i="2"/>
  <c r="U125" i="2"/>
  <c r="S125" i="2"/>
  <c r="Q125" i="2"/>
  <c r="Q129" i="2" s="1"/>
  <c r="O125" i="2"/>
  <c r="O129" i="2" s="1"/>
  <c r="N125" i="2"/>
  <c r="N129" i="2" s="1"/>
  <c r="M125" i="2"/>
  <c r="M129" i="2" s="1"/>
  <c r="L125" i="2"/>
  <c r="J125" i="2"/>
  <c r="J129" i="2" s="1"/>
  <c r="I125" i="2"/>
  <c r="I129" i="2" s="1"/>
  <c r="H125" i="2"/>
  <c r="G125" i="2"/>
  <c r="K124" i="2"/>
  <c r="S120" i="2"/>
  <c r="N120" i="2"/>
  <c r="Y119" i="2"/>
  <c r="W119" i="2"/>
  <c r="U119" i="2"/>
  <c r="S119" i="2"/>
  <c r="Q119" i="2"/>
  <c r="O119" i="2"/>
  <c r="N119" i="2"/>
  <c r="M119" i="2"/>
  <c r="L119" i="2"/>
  <c r="K119" i="2"/>
  <c r="J119" i="2"/>
  <c r="I119" i="2"/>
  <c r="H119" i="2"/>
  <c r="G119" i="2"/>
  <c r="Y118" i="2"/>
  <c r="Z118" i="2" s="1"/>
  <c r="Z119" i="2" s="1"/>
  <c r="T118" i="2"/>
  <c r="R118" i="2"/>
  <c r="P118" i="2"/>
  <c r="X118" i="2" s="1"/>
  <c r="W117" i="2"/>
  <c r="U117" i="2"/>
  <c r="S117" i="2"/>
  <c r="Q117" i="2"/>
  <c r="O117" i="2"/>
  <c r="N117" i="2"/>
  <c r="M117" i="2"/>
  <c r="L117" i="2"/>
  <c r="L120" i="2" s="1"/>
  <c r="J117" i="2"/>
  <c r="I117" i="2"/>
  <c r="H117" i="2"/>
  <c r="G117" i="2"/>
  <c r="Y116" i="2"/>
  <c r="V116" i="2"/>
  <c r="P116" i="2"/>
  <c r="R116" i="2" s="1"/>
  <c r="Z115" i="2"/>
  <c r="Y115" i="2"/>
  <c r="K115" i="2"/>
  <c r="P114" i="2"/>
  <c r="X113" i="2"/>
  <c r="V113" i="2"/>
  <c r="T113" i="2"/>
  <c r="P113" i="2"/>
  <c r="R113" i="2" s="1"/>
  <c r="W112" i="2"/>
  <c r="W120" i="2" s="1"/>
  <c r="U112" i="2"/>
  <c r="S112" i="2"/>
  <c r="Q112" i="2"/>
  <c r="O112" i="2"/>
  <c r="N112" i="2"/>
  <c r="M112" i="2"/>
  <c r="L112" i="2"/>
  <c r="J112" i="2"/>
  <c r="I112" i="2"/>
  <c r="H112" i="2"/>
  <c r="H120" i="2" s="1"/>
  <c r="G112" i="2"/>
  <c r="P111" i="2"/>
  <c r="K111" i="2"/>
  <c r="Y110" i="2"/>
  <c r="Z110" i="2" s="1"/>
  <c r="T110" i="2"/>
  <c r="P110" i="2"/>
  <c r="Z109" i="2"/>
  <c r="Y109" i="2"/>
  <c r="X109" i="2"/>
  <c r="R109" i="2"/>
  <c r="P109" i="2"/>
  <c r="Z105" i="2"/>
  <c r="Y105" i="2"/>
  <c r="W105" i="2"/>
  <c r="X105" i="2" s="1"/>
  <c r="U105" i="2"/>
  <c r="S105" i="2"/>
  <c r="T105" i="2" s="1"/>
  <c r="R105" i="2"/>
  <c r="Q105" i="2"/>
  <c r="O105" i="2"/>
  <c r="N105" i="2"/>
  <c r="M105" i="2"/>
  <c r="L105" i="2"/>
  <c r="K105" i="2"/>
  <c r="J105" i="2"/>
  <c r="I105" i="2"/>
  <c r="H105" i="2"/>
  <c r="G105" i="2"/>
  <c r="Z104" i="2"/>
  <c r="Y104" i="2"/>
  <c r="X104" i="2"/>
  <c r="V104" i="2"/>
  <c r="T104" i="2"/>
  <c r="R104" i="2"/>
  <c r="P104" i="2"/>
  <c r="P105" i="2" s="1"/>
  <c r="V105" i="2" s="1"/>
  <c r="Z100" i="2"/>
  <c r="Y100" i="2"/>
  <c r="P100" i="2"/>
  <c r="Y99" i="2"/>
  <c r="Z99" i="2" s="1"/>
  <c r="U99" i="2"/>
  <c r="T99" i="2"/>
  <c r="S99" i="2"/>
  <c r="R99" i="2"/>
  <c r="N99" i="2"/>
  <c r="P99" i="2" s="1"/>
  <c r="X99" i="2" s="1"/>
  <c r="M99" i="2"/>
  <c r="Y98" i="2"/>
  <c r="Z98" i="2" s="1"/>
  <c r="X98" i="2"/>
  <c r="T98" i="2"/>
  <c r="R98" i="2"/>
  <c r="P98" i="2"/>
  <c r="V98" i="2" s="1"/>
  <c r="Z97" i="2"/>
  <c r="Y97" i="2"/>
  <c r="X97" i="2"/>
  <c r="V97" i="2"/>
  <c r="R97" i="2"/>
  <c r="P97" i="2"/>
  <c r="T97" i="2" s="1"/>
  <c r="Z96" i="2"/>
  <c r="Y96" i="2"/>
  <c r="V96" i="2"/>
  <c r="T96" i="2"/>
  <c r="R96" i="2"/>
  <c r="P96" i="2"/>
  <c r="X96" i="2" s="1"/>
  <c r="N94" i="2"/>
  <c r="M94" i="2"/>
  <c r="W93" i="2"/>
  <c r="U93" i="2"/>
  <c r="S93" i="2"/>
  <c r="Q93" i="2"/>
  <c r="O93" i="2"/>
  <c r="N93" i="2"/>
  <c r="M93" i="2"/>
  <c r="L93" i="2"/>
  <c r="K93" i="2"/>
  <c r="J93" i="2"/>
  <c r="J94" i="2" s="1"/>
  <c r="I93" i="2"/>
  <c r="I94" i="2" s="1"/>
  <c r="H93" i="2"/>
  <c r="G93" i="2"/>
  <c r="Z92" i="2"/>
  <c r="Z93" i="2" s="1"/>
  <c r="Y92" i="2"/>
  <c r="Y93" i="2" s="1"/>
  <c r="P92" i="2"/>
  <c r="Y91" i="2"/>
  <c r="Y94" i="2" s="1"/>
  <c r="W91" i="2"/>
  <c r="U91" i="2"/>
  <c r="U94" i="2" s="1"/>
  <c r="S91" i="2"/>
  <c r="Q91" i="2"/>
  <c r="O91" i="2"/>
  <c r="N91" i="2"/>
  <c r="M91" i="2"/>
  <c r="L91" i="2"/>
  <c r="L94" i="2" s="1"/>
  <c r="K91" i="2"/>
  <c r="K94" i="2" s="1"/>
  <c r="J91" i="2"/>
  <c r="I91" i="2"/>
  <c r="H91" i="2"/>
  <c r="H94" i="2" s="1"/>
  <c r="G91" i="2"/>
  <c r="X90" i="2"/>
  <c r="V90" i="2"/>
  <c r="T90" i="2"/>
  <c r="R90" i="2"/>
  <c r="P90" i="2"/>
  <c r="Y89" i="2"/>
  <c r="Z89" i="2" s="1"/>
  <c r="P89" i="2"/>
  <c r="K89" i="2"/>
  <c r="Z88" i="2"/>
  <c r="Y88" i="2"/>
  <c r="R88" i="2"/>
  <c r="P88" i="2"/>
  <c r="V87" i="2"/>
  <c r="T87" i="2"/>
  <c r="R87" i="2"/>
  <c r="P87" i="2"/>
  <c r="X87" i="2" s="1"/>
  <c r="Y83" i="2"/>
  <c r="Z83" i="2" s="1"/>
  <c r="X83" i="2"/>
  <c r="T83" i="2"/>
  <c r="R83" i="2"/>
  <c r="P83" i="2"/>
  <c r="V83" i="2" s="1"/>
  <c r="Y82" i="2"/>
  <c r="Z82" i="2" s="1"/>
  <c r="X82" i="2"/>
  <c r="V82" i="2"/>
  <c r="R82" i="2"/>
  <c r="P82" i="2"/>
  <c r="T82" i="2" s="1"/>
  <c r="Z81" i="2"/>
  <c r="Y81" i="2"/>
  <c r="P81" i="2"/>
  <c r="Z80" i="2"/>
  <c r="Y80" i="2"/>
  <c r="T80" i="2"/>
  <c r="R80" i="2"/>
  <c r="N80" i="2"/>
  <c r="P80" i="2" s="1"/>
  <c r="Z79" i="2"/>
  <c r="Y79" i="2"/>
  <c r="X79" i="2"/>
  <c r="V79" i="2"/>
  <c r="T79" i="2"/>
  <c r="R79" i="2"/>
  <c r="P79" i="2"/>
  <c r="U77" i="2"/>
  <c r="L77" i="2"/>
  <c r="W76" i="2"/>
  <c r="U76" i="2"/>
  <c r="S76" i="2"/>
  <c r="Q76" i="2"/>
  <c r="N76" i="2"/>
  <c r="M76" i="2"/>
  <c r="L76" i="2"/>
  <c r="K76" i="2"/>
  <c r="J76" i="2"/>
  <c r="I76" i="2"/>
  <c r="H76" i="2"/>
  <c r="G76" i="2"/>
  <c r="Y75" i="2"/>
  <c r="P75" i="2"/>
  <c r="R75" i="2" s="1"/>
  <c r="Y74" i="2"/>
  <c r="Z74" i="2" s="1"/>
  <c r="O74" i="2"/>
  <c r="O76" i="2" s="1"/>
  <c r="N74" i="2"/>
  <c r="Z73" i="2"/>
  <c r="W73" i="2"/>
  <c r="W77" i="2" s="1"/>
  <c r="U73" i="2"/>
  <c r="S73" i="2"/>
  <c r="S77" i="2" s="1"/>
  <c r="Q73" i="2"/>
  <c r="Q77" i="2" s="1"/>
  <c r="O73" i="2"/>
  <c r="O77" i="2" s="1"/>
  <c r="N73" i="2"/>
  <c r="M73" i="2"/>
  <c r="M31" i="2" s="1"/>
  <c r="L73" i="2"/>
  <c r="K73" i="2"/>
  <c r="K77" i="2" s="1"/>
  <c r="J73" i="2"/>
  <c r="J77" i="2" s="1"/>
  <c r="I73" i="2"/>
  <c r="I77" i="2" s="1"/>
  <c r="H73" i="2"/>
  <c r="H77" i="2" s="1"/>
  <c r="G73" i="2"/>
  <c r="G77" i="2" s="1"/>
  <c r="Y72" i="2"/>
  <c r="Z72" i="2" s="1"/>
  <c r="X72" i="2"/>
  <c r="T72" i="2"/>
  <c r="R72" i="2"/>
  <c r="P72" i="2"/>
  <c r="V72" i="2" s="1"/>
  <c r="W68" i="2"/>
  <c r="U68" i="2"/>
  <c r="M68" i="2"/>
  <c r="Y67" i="2"/>
  <c r="W67" i="2"/>
  <c r="U67" i="2"/>
  <c r="T67" i="2"/>
  <c r="S67" i="2"/>
  <c r="Q67" i="2"/>
  <c r="P67" i="2"/>
  <c r="X67" i="2" s="1"/>
  <c r="O67" i="2"/>
  <c r="N67" i="2"/>
  <c r="M67" i="2"/>
  <c r="L67" i="2"/>
  <c r="K67" i="2"/>
  <c r="K33" i="2" s="1"/>
  <c r="K26" i="2" s="1"/>
  <c r="K6" i="2" s="1"/>
  <c r="K19" i="2" s="1"/>
  <c r="J67" i="2"/>
  <c r="I67" i="2"/>
  <c r="I68" i="2" s="1"/>
  <c r="H67" i="2"/>
  <c r="H68" i="2" s="1"/>
  <c r="G67" i="2"/>
  <c r="Y66" i="2"/>
  <c r="Z66" i="2" s="1"/>
  <c r="Z67" i="2" s="1"/>
  <c r="X66" i="2"/>
  <c r="V66" i="2"/>
  <c r="R66" i="2"/>
  <c r="P66" i="2"/>
  <c r="T66" i="2" s="1"/>
  <c r="W65" i="2"/>
  <c r="U65" i="2"/>
  <c r="S65" i="2"/>
  <c r="S68" i="2" s="1"/>
  <c r="Q65" i="2"/>
  <c r="O65" i="2"/>
  <c r="N65" i="2"/>
  <c r="N68" i="2" s="1"/>
  <c r="M65" i="2"/>
  <c r="L65" i="2"/>
  <c r="L68" i="2" s="1"/>
  <c r="K65" i="2"/>
  <c r="K68" i="2" s="1"/>
  <c r="J65" i="2"/>
  <c r="J68" i="2" s="1"/>
  <c r="I65" i="2"/>
  <c r="H65" i="2"/>
  <c r="G65" i="2"/>
  <c r="Z64" i="2"/>
  <c r="Z65" i="2" s="1"/>
  <c r="Y64" i="2"/>
  <c r="Y65" i="2" s="1"/>
  <c r="X64" i="2"/>
  <c r="V64" i="2"/>
  <c r="K64" i="2"/>
  <c r="P64" i="2" s="1"/>
  <c r="X63" i="2"/>
  <c r="T63" i="2"/>
  <c r="R63" i="2"/>
  <c r="P63" i="2"/>
  <c r="V63" i="2" s="1"/>
  <c r="V62" i="2"/>
  <c r="T62" i="2"/>
  <c r="R62" i="2"/>
  <c r="P62" i="2"/>
  <c r="X62" i="2" s="1"/>
  <c r="U58" i="2"/>
  <c r="M58" i="2"/>
  <c r="J58" i="2"/>
  <c r="Y57" i="2"/>
  <c r="W57" i="2"/>
  <c r="U57" i="2"/>
  <c r="S57" i="2"/>
  <c r="Q57" i="2"/>
  <c r="O57" i="2"/>
  <c r="N57" i="2"/>
  <c r="M57" i="2"/>
  <c r="M33" i="2" s="1"/>
  <c r="L57" i="2"/>
  <c r="K57" i="2"/>
  <c r="J57" i="2"/>
  <c r="I57" i="2"/>
  <c r="I33" i="2" s="1"/>
  <c r="I26" i="2" s="1"/>
  <c r="H57" i="2"/>
  <c r="G57" i="2"/>
  <c r="Y56" i="2"/>
  <c r="Z56" i="2" s="1"/>
  <c r="Z57" i="2" s="1"/>
  <c r="P56" i="2"/>
  <c r="W55" i="2"/>
  <c r="U55" i="2"/>
  <c r="S55" i="2"/>
  <c r="Q55" i="2"/>
  <c r="O55" i="2"/>
  <c r="N55" i="2"/>
  <c r="M55" i="2"/>
  <c r="L55" i="2"/>
  <c r="J55" i="2"/>
  <c r="I55" i="2"/>
  <c r="H55" i="2"/>
  <c r="H58" i="2" s="1"/>
  <c r="G55" i="2"/>
  <c r="V54" i="2"/>
  <c r="T54" i="2"/>
  <c r="R54" i="2"/>
  <c r="P54" i="2"/>
  <c r="X54" i="2" s="1"/>
  <c r="Z53" i="2"/>
  <c r="Y53" i="2"/>
  <c r="R53" i="2"/>
  <c r="P53" i="2"/>
  <c r="K53" i="2"/>
  <c r="X52" i="2"/>
  <c r="V52" i="2"/>
  <c r="P52" i="2"/>
  <c r="T52" i="2" s="1"/>
  <c r="W50" i="2"/>
  <c r="U50" i="2"/>
  <c r="S50" i="2"/>
  <c r="S58" i="2" s="1"/>
  <c r="Q50" i="2"/>
  <c r="Q31" i="2" s="1"/>
  <c r="O50" i="2"/>
  <c r="N50" i="2"/>
  <c r="M50" i="2"/>
  <c r="L50" i="2"/>
  <c r="J50" i="2"/>
  <c r="I50" i="2"/>
  <c r="I31" i="2" s="1"/>
  <c r="H50" i="2"/>
  <c r="G50" i="2"/>
  <c r="K49" i="2"/>
  <c r="U45" i="2"/>
  <c r="S45" i="2"/>
  <c r="M45" i="2"/>
  <c r="Y44" i="2"/>
  <c r="Y33" i="2" s="1"/>
  <c r="Y26" i="2" s="1"/>
  <c r="W44" i="2"/>
  <c r="V44" i="2"/>
  <c r="U44" i="2"/>
  <c r="S44" i="2"/>
  <c r="T44" i="2" s="1"/>
  <c r="Q44" i="2"/>
  <c r="R44" i="2" s="1"/>
  <c r="O44" i="2"/>
  <c r="N44" i="2"/>
  <c r="M44" i="2"/>
  <c r="L44" i="2"/>
  <c r="K44" i="2"/>
  <c r="J44" i="2"/>
  <c r="J33" i="2" s="1"/>
  <c r="J26" i="2" s="1"/>
  <c r="I44" i="2"/>
  <c r="H44" i="2"/>
  <c r="G44" i="2"/>
  <c r="Z43" i="2"/>
  <c r="Z44" i="2" s="1"/>
  <c r="Z33" i="2" s="1"/>
  <c r="Z26" i="2" s="1"/>
  <c r="Y43" i="2"/>
  <c r="V43" i="2"/>
  <c r="T43" i="2"/>
  <c r="R43" i="2"/>
  <c r="P43" i="2"/>
  <c r="P44" i="2" s="1"/>
  <c r="Y42" i="2"/>
  <c r="W42" i="2"/>
  <c r="U42" i="2"/>
  <c r="S42" i="2"/>
  <c r="Q42" i="2"/>
  <c r="O42" i="2"/>
  <c r="N42" i="2"/>
  <c r="N32" i="2" s="1"/>
  <c r="N25" i="2" s="1"/>
  <c r="M42" i="2"/>
  <c r="L42" i="2"/>
  <c r="L45" i="2" s="1"/>
  <c r="J42" i="2"/>
  <c r="J32" i="2" s="1"/>
  <c r="J25" i="2" s="1"/>
  <c r="J4" i="2" s="1"/>
  <c r="I42" i="2"/>
  <c r="H42" i="2"/>
  <c r="H45" i="2" s="1"/>
  <c r="G42" i="2"/>
  <c r="P41" i="2"/>
  <c r="Z40" i="2"/>
  <c r="Z42" i="2" s="1"/>
  <c r="Y40" i="2"/>
  <c r="K40" i="2"/>
  <c r="P39" i="2"/>
  <c r="X38" i="2"/>
  <c r="T38" i="2"/>
  <c r="R38" i="2"/>
  <c r="P38" i="2"/>
  <c r="V38" i="2" s="1"/>
  <c r="S33" i="2"/>
  <c r="S26" i="2" s="1"/>
  <c r="Q33" i="2"/>
  <c r="Q26" i="2" s="1"/>
  <c r="L33" i="2"/>
  <c r="L26" i="2" s="1"/>
  <c r="H33" i="2"/>
  <c r="W32" i="2"/>
  <c r="U32" i="2"/>
  <c r="H32" i="2"/>
  <c r="H34" i="2" s="1"/>
  <c r="S31" i="2"/>
  <c r="L31" i="2"/>
  <c r="H31" i="2"/>
  <c r="H24" i="2" s="1"/>
  <c r="M26" i="2"/>
  <c r="M6" i="2" s="1"/>
  <c r="M19" i="2" s="1"/>
  <c r="H26" i="2"/>
  <c r="W25" i="2"/>
  <c r="U25" i="2"/>
  <c r="S24" i="2"/>
  <c r="M24" i="2"/>
  <c r="G18" i="2"/>
  <c r="Y17" i="2"/>
  <c r="W17" i="2"/>
  <c r="X17" i="2" s="1"/>
  <c r="O17" i="2"/>
  <c r="M17" i="2"/>
  <c r="W14" i="2"/>
  <c r="W13" i="2"/>
  <c r="U13" i="2"/>
  <c r="S13" i="2"/>
  <c r="O13" i="2"/>
  <c r="O18" i="2" s="1"/>
  <c r="N13" i="2"/>
  <c r="M13" i="2"/>
  <c r="M14" i="2" s="1"/>
  <c r="L13" i="2"/>
  <c r="L14" i="2" s="1"/>
  <c r="K13" i="2"/>
  <c r="K18" i="2" s="1"/>
  <c r="G13" i="2"/>
  <c r="G14" i="2" s="1"/>
  <c r="Z12" i="2"/>
  <c r="Y12" i="2"/>
  <c r="W12" i="2"/>
  <c r="X12" i="2" s="1"/>
  <c r="V12" i="2"/>
  <c r="U12" i="2"/>
  <c r="S12" i="2"/>
  <c r="S14" i="2" s="1"/>
  <c r="R12" i="2"/>
  <c r="Q12" i="2"/>
  <c r="P12" i="2"/>
  <c r="O12" i="2"/>
  <c r="O14" i="2" s="1"/>
  <c r="N12" i="2"/>
  <c r="N14" i="2" s="1"/>
  <c r="M12" i="2"/>
  <c r="L12" i="2"/>
  <c r="K12" i="2"/>
  <c r="J12" i="2"/>
  <c r="J14" i="2" s="1"/>
  <c r="I12" i="2"/>
  <c r="H12" i="2"/>
  <c r="G12" i="2"/>
  <c r="S11" i="2"/>
  <c r="O11" i="2"/>
  <c r="N11" i="2"/>
  <c r="Y10" i="2"/>
  <c r="X10" i="2"/>
  <c r="W10" i="2"/>
  <c r="V10" i="2"/>
  <c r="U10" i="2"/>
  <c r="U17" i="2" s="1"/>
  <c r="V17" i="2" s="1"/>
  <c r="T10" i="2"/>
  <c r="S10" i="2"/>
  <c r="S17" i="2" s="1"/>
  <c r="T17" i="2" s="1"/>
  <c r="Q10" i="2"/>
  <c r="P10" i="2"/>
  <c r="P17" i="2" s="1"/>
  <c r="O10" i="2"/>
  <c r="N10" i="2"/>
  <c r="N17" i="2" s="1"/>
  <c r="M10" i="2"/>
  <c r="L10" i="2"/>
  <c r="L17" i="2" s="1"/>
  <c r="K10" i="2"/>
  <c r="K17" i="2" s="1"/>
  <c r="J10" i="2"/>
  <c r="J17" i="2" s="1"/>
  <c r="I10" i="2"/>
  <c r="I17" i="2" s="1"/>
  <c r="H10" i="2"/>
  <c r="H17" i="2" s="1"/>
  <c r="G10" i="2"/>
  <c r="G17" i="2" s="1"/>
  <c r="U9" i="2"/>
  <c r="S9" i="2"/>
  <c r="Q9" i="2"/>
  <c r="O9" i="2"/>
  <c r="N9" i="2"/>
  <c r="M9" i="2"/>
  <c r="J9" i="2"/>
  <c r="J11" i="2" s="1"/>
  <c r="H9" i="2"/>
  <c r="H11" i="2" s="1"/>
  <c r="W8" i="2"/>
  <c r="U8" i="2"/>
  <c r="S8" i="2"/>
  <c r="Q8" i="2"/>
  <c r="O8" i="2"/>
  <c r="N8" i="2"/>
  <c r="M8" i="2"/>
  <c r="L8" i="2"/>
  <c r="K8" i="2"/>
  <c r="J8" i="2"/>
  <c r="H8" i="2"/>
  <c r="L6" i="2"/>
  <c r="L19" i="2" s="1"/>
  <c r="I6" i="2"/>
  <c r="I19" i="2" s="1"/>
  <c r="H6" i="2"/>
  <c r="H19" i="2" s="1"/>
  <c r="W5" i="2"/>
  <c r="W18" i="2" s="1"/>
  <c r="U5" i="2"/>
  <c r="U18" i="2" s="1"/>
  <c r="Q5" i="2"/>
  <c r="O5" i="2"/>
  <c r="N5" i="2"/>
  <c r="N18" i="2" s="1"/>
  <c r="M5" i="2"/>
  <c r="M18" i="2" s="1"/>
  <c r="L5" i="2"/>
  <c r="K5" i="2"/>
  <c r="J5" i="2"/>
  <c r="J18" i="2" s="1"/>
  <c r="I5" i="2"/>
  <c r="H5" i="2"/>
  <c r="G5" i="2"/>
  <c r="U143" i="1"/>
  <c r="T143" i="1"/>
  <c r="S143" i="1"/>
  <c r="R143" i="1"/>
  <c r="M143" i="1"/>
  <c r="U142" i="1"/>
  <c r="S142" i="1"/>
  <c r="Q142" i="1"/>
  <c r="O142" i="1"/>
  <c r="M142" i="1"/>
  <c r="S141" i="1"/>
  <c r="M141" i="1"/>
  <c r="M140" i="1"/>
  <c r="M139" i="1"/>
  <c r="U139" i="1" s="1"/>
  <c r="Q138" i="1"/>
  <c r="H138" i="1"/>
  <c r="M138" i="1" s="1"/>
  <c r="M137" i="1"/>
  <c r="E135" i="1"/>
  <c r="W134" i="1"/>
  <c r="W15" i="1" s="1"/>
  <c r="V134" i="1"/>
  <c r="T134" i="1"/>
  <c r="R134" i="1"/>
  <c r="P134" i="1"/>
  <c r="N134" i="1"/>
  <c r="L134" i="1"/>
  <c r="K134" i="1"/>
  <c r="J134" i="1"/>
  <c r="I134" i="1"/>
  <c r="H134" i="1"/>
  <c r="G134" i="1"/>
  <c r="F134" i="1"/>
  <c r="E134" i="1"/>
  <c r="D134" i="1"/>
  <c r="W133" i="1"/>
  <c r="V133" i="1"/>
  <c r="T133" i="1"/>
  <c r="R133" i="1"/>
  <c r="P133" i="1"/>
  <c r="P14" i="1" s="1"/>
  <c r="N133" i="1"/>
  <c r="L133" i="1"/>
  <c r="K133" i="1"/>
  <c r="J133" i="1"/>
  <c r="I133" i="1"/>
  <c r="H133" i="1"/>
  <c r="H14" i="1" s="1"/>
  <c r="G133" i="1"/>
  <c r="F133" i="1"/>
  <c r="E133" i="1"/>
  <c r="D133" i="1"/>
  <c r="U132" i="1"/>
  <c r="S132" i="1"/>
  <c r="Q132" i="1"/>
  <c r="O132" i="1"/>
  <c r="W131" i="1"/>
  <c r="V131" i="1"/>
  <c r="V135" i="1" s="1"/>
  <c r="T131" i="1"/>
  <c r="R131" i="1"/>
  <c r="P131" i="1"/>
  <c r="P135" i="1" s="1"/>
  <c r="N131" i="1"/>
  <c r="N135" i="1" s="1"/>
  <c r="L131" i="1"/>
  <c r="K131" i="1"/>
  <c r="J131" i="1"/>
  <c r="I131" i="1"/>
  <c r="H131" i="1"/>
  <c r="H135" i="1" s="1"/>
  <c r="G131" i="1"/>
  <c r="G135" i="1" s="1"/>
  <c r="F131" i="1"/>
  <c r="F135" i="1" s="1"/>
  <c r="E131" i="1"/>
  <c r="D131" i="1"/>
  <c r="W130" i="1"/>
  <c r="V130" i="1"/>
  <c r="T130" i="1"/>
  <c r="R130" i="1"/>
  <c r="R135" i="1" s="1"/>
  <c r="P130" i="1"/>
  <c r="N130" i="1"/>
  <c r="L130" i="1"/>
  <c r="L135" i="1" s="1"/>
  <c r="K130" i="1"/>
  <c r="K135" i="1" s="1"/>
  <c r="J130" i="1"/>
  <c r="J135" i="1" s="1"/>
  <c r="I130" i="1"/>
  <c r="I135" i="1" s="1"/>
  <c r="H130" i="1"/>
  <c r="G130" i="1"/>
  <c r="F130" i="1"/>
  <c r="E130" i="1"/>
  <c r="D130" i="1"/>
  <c r="D135" i="1" s="1"/>
  <c r="V126" i="1"/>
  <c r="R126" i="1"/>
  <c r="P126" i="1"/>
  <c r="N126" i="1"/>
  <c r="M126" i="1"/>
  <c r="O126" i="1" s="1"/>
  <c r="L126" i="1"/>
  <c r="K126" i="1"/>
  <c r="K82" i="1" s="1"/>
  <c r="K6" i="1" s="1"/>
  <c r="K21" i="1" s="1"/>
  <c r="J126" i="1"/>
  <c r="I126" i="1"/>
  <c r="H126" i="1"/>
  <c r="G126" i="1"/>
  <c r="F126" i="1"/>
  <c r="E126" i="1"/>
  <c r="D126" i="1"/>
  <c r="W125" i="1"/>
  <c r="V125" i="1"/>
  <c r="T125" i="1"/>
  <c r="S125" i="1"/>
  <c r="Q125" i="1"/>
  <c r="O125" i="1"/>
  <c r="M125" i="1"/>
  <c r="W124" i="1"/>
  <c r="W126" i="1" s="1"/>
  <c r="W82" i="1" s="1"/>
  <c r="V124" i="1"/>
  <c r="S124" i="1"/>
  <c r="M124" i="1"/>
  <c r="T123" i="1"/>
  <c r="U123" i="1" s="1"/>
  <c r="R123" i="1"/>
  <c r="S123" i="1" s="1"/>
  <c r="P123" i="1"/>
  <c r="Q123" i="1" s="1"/>
  <c r="N123" i="1"/>
  <c r="L123" i="1"/>
  <c r="K123" i="1"/>
  <c r="J123" i="1"/>
  <c r="I123" i="1"/>
  <c r="H123" i="1"/>
  <c r="G123" i="1"/>
  <c r="F123" i="1"/>
  <c r="F81" i="1" s="1"/>
  <c r="F5" i="1" s="1"/>
  <c r="F20" i="1" s="1"/>
  <c r="E123" i="1"/>
  <c r="D123" i="1"/>
  <c r="W122" i="1"/>
  <c r="V122" i="1"/>
  <c r="Y299" i="2" s="1"/>
  <c r="Y300" i="2" s="1"/>
  <c r="Y291" i="2" s="1"/>
  <c r="Y283" i="2" s="1"/>
  <c r="Y5" i="2" s="1"/>
  <c r="U122" i="1"/>
  <c r="S122" i="1"/>
  <c r="Q122" i="1"/>
  <c r="O122" i="1"/>
  <c r="M122" i="1"/>
  <c r="M123" i="1" s="1"/>
  <c r="R121" i="1"/>
  <c r="P121" i="1"/>
  <c r="N121" i="1"/>
  <c r="L121" i="1"/>
  <c r="I121" i="1"/>
  <c r="G121" i="1"/>
  <c r="F121" i="1"/>
  <c r="E121" i="1"/>
  <c r="D121" i="1"/>
  <c r="W120" i="1"/>
  <c r="M120" i="1"/>
  <c r="M119" i="1"/>
  <c r="Q118" i="1"/>
  <c r="O118" i="1"/>
  <c r="M118" i="1"/>
  <c r="U118" i="1" s="1"/>
  <c r="U117" i="1"/>
  <c r="S117" i="1"/>
  <c r="Q117" i="1"/>
  <c r="M117" i="1"/>
  <c r="O117" i="1" s="1"/>
  <c r="V116" i="1"/>
  <c r="W116" i="1" s="1"/>
  <c r="W8" i="1" s="1"/>
  <c r="U116" i="1"/>
  <c r="S116" i="1"/>
  <c r="Q116" i="1"/>
  <c r="O116" i="1"/>
  <c r="M116" i="1"/>
  <c r="V115" i="1"/>
  <c r="W115" i="1" s="1"/>
  <c r="M115" i="1"/>
  <c r="V114" i="1"/>
  <c r="W114" i="1" s="1"/>
  <c r="U114" i="1"/>
  <c r="S114" i="1"/>
  <c r="Q114" i="1"/>
  <c r="O114" i="1"/>
  <c r="M114" i="1"/>
  <c r="W113" i="1"/>
  <c r="V113" i="1"/>
  <c r="S113" i="1"/>
  <c r="M113" i="1"/>
  <c r="V112" i="1"/>
  <c r="W112" i="1" s="1"/>
  <c r="M112" i="1"/>
  <c r="W111" i="1"/>
  <c r="J111" i="1"/>
  <c r="J121" i="1" s="1"/>
  <c r="H111" i="1"/>
  <c r="W110" i="1"/>
  <c r="V110" i="1"/>
  <c r="U110" i="1"/>
  <c r="O110" i="1"/>
  <c r="M110" i="1"/>
  <c r="V109" i="1"/>
  <c r="W109" i="1" s="1"/>
  <c r="M109" i="1"/>
  <c r="V108" i="1"/>
  <c r="Y49" i="2" s="1"/>
  <c r="U108" i="1"/>
  <c r="S108" i="1"/>
  <c r="Q108" i="1"/>
  <c r="M108" i="1"/>
  <c r="O108" i="1" s="1"/>
  <c r="V107" i="1"/>
  <c r="W107" i="1" s="1"/>
  <c r="U107" i="1"/>
  <c r="S107" i="1"/>
  <c r="Q107" i="1"/>
  <c r="O107" i="1"/>
  <c r="M107" i="1"/>
  <c r="V106" i="1"/>
  <c r="M106" i="1"/>
  <c r="O106" i="1" s="1"/>
  <c r="V105" i="1"/>
  <c r="W105" i="1" s="1"/>
  <c r="U105" i="1"/>
  <c r="S105" i="1"/>
  <c r="Q105" i="1"/>
  <c r="O105" i="1"/>
  <c r="M105" i="1"/>
  <c r="W104" i="1"/>
  <c r="V104" i="1"/>
  <c r="S104" i="1"/>
  <c r="Q104" i="1"/>
  <c r="M104" i="1"/>
  <c r="U104" i="1" s="1"/>
  <c r="V103" i="1"/>
  <c r="W103" i="1" s="1"/>
  <c r="M103" i="1"/>
  <c r="W102" i="1"/>
  <c r="V102" i="1"/>
  <c r="O102" i="1"/>
  <c r="M102" i="1"/>
  <c r="V101" i="1"/>
  <c r="W101" i="1" s="1"/>
  <c r="U101" i="1"/>
  <c r="S101" i="1"/>
  <c r="M101" i="1"/>
  <c r="V100" i="1"/>
  <c r="W100" i="1" s="1"/>
  <c r="U100" i="1"/>
  <c r="S100" i="1"/>
  <c r="Q100" i="1"/>
  <c r="M100" i="1"/>
  <c r="O100" i="1" s="1"/>
  <c r="W99" i="1"/>
  <c r="V99" i="1"/>
  <c r="U99" i="1"/>
  <c r="S99" i="1"/>
  <c r="Q99" i="1"/>
  <c r="O99" i="1"/>
  <c r="M99" i="1"/>
  <c r="S98" i="1"/>
  <c r="Q98" i="1"/>
  <c r="O98" i="1"/>
  <c r="M98" i="1"/>
  <c r="U98" i="1" s="1"/>
  <c r="M97" i="1"/>
  <c r="V96" i="1"/>
  <c r="W96" i="1" s="1"/>
  <c r="U96" i="1"/>
  <c r="S96" i="1"/>
  <c r="K96" i="1"/>
  <c r="M96" i="1" s="1"/>
  <c r="O96" i="1" s="1"/>
  <c r="V95" i="1"/>
  <c r="W95" i="1" s="1"/>
  <c r="U95" i="1"/>
  <c r="S95" i="1"/>
  <c r="Q95" i="1"/>
  <c r="M95" i="1"/>
  <c r="O95" i="1" s="1"/>
  <c r="V94" i="1"/>
  <c r="Y163" i="2" s="1"/>
  <c r="U94" i="1"/>
  <c r="S94" i="1"/>
  <c r="Q94" i="1"/>
  <c r="O94" i="1"/>
  <c r="M94" i="1"/>
  <c r="V93" i="1"/>
  <c r="W93" i="1" s="1"/>
  <c r="T93" i="1"/>
  <c r="T121" i="1" s="1"/>
  <c r="S93" i="1"/>
  <c r="Q93" i="1"/>
  <c r="O93" i="1"/>
  <c r="M93" i="1"/>
  <c r="V92" i="1"/>
  <c r="W92" i="1" s="1"/>
  <c r="Q92" i="1"/>
  <c r="M92" i="1"/>
  <c r="S92" i="1" s="1"/>
  <c r="V91" i="1"/>
  <c r="W91" i="1" s="1"/>
  <c r="U91" i="1"/>
  <c r="S91" i="1"/>
  <c r="O91" i="1"/>
  <c r="M91" i="1"/>
  <c r="Q91" i="1" s="1"/>
  <c r="V90" i="1"/>
  <c r="W90" i="1" s="1"/>
  <c r="U90" i="1"/>
  <c r="S90" i="1"/>
  <c r="M90" i="1"/>
  <c r="O90" i="1" s="1"/>
  <c r="V89" i="1"/>
  <c r="W89" i="1" s="1"/>
  <c r="U89" i="1"/>
  <c r="S89" i="1"/>
  <c r="Q89" i="1"/>
  <c r="O89" i="1"/>
  <c r="M89" i="1"/>
  <c r="W88" i="1"/>
  <c r="V88" i="1"/>
  <c r="U88" i="1"/>
  <c r="S88" i="1"/>
  <c r="Q88" i="1"/>
  <c r="O88" i="1"/>
  <c r="M88" i="1"/>
  <c r="V87" i="1"/>
  <c r="V121" i="1" s="1"/>
  <c r="V80" i="1" s="1"/>
  <c r="M87" i="1"/>
  <c r="U87" i="1" s="1"/>
  <c r="V82" i="1"/>
  <c r="R82" i="1"/>
  <c r="P82" i="1"/>
  <c r="N82" i="1"/>
  <c r="O82" i="1" s="1"/>
  <c r="M82" i="1"/>
  <c r="Q82" i="1" s="1"/>
  <c r="L82" i="1"/>
  <c r="L6" i="1" s="1"/>
  <c r="L21" i="1" s="1"/>
  <c r="J82" i="1"/>
  <c r="I82" i="1"/>
  <c r="H82" i="1"/>
  <c r="G82" i="1"/>
  <c r="F82" i="1"/>
  <c r="E82" i="1"/>
  <c r="D82" i="1"/>
  <c r="D6" i="1" s="1"/>
  <c r="D21" i="1" s="1"/>
  <c r="T81" i="1"/>
  <c r="R81" i="1"/>
  <c r="S81" i="1" s="1"/>
  <c r="P81" i="1"/>
  <c r="P5" i="1" s="1"/>
  <c r="N81" i="1"/>
  <c r="M81" i="1"/>
  <c r="U81" i="1" s="1"/>
  <c r="L81" i="1"/>
  <c r="K81" i="1"/>
  <c r="J81" i="1"/>
  <c r="J83" i="1" s="1"/>
  <c r="I81" i="1"/>
  <c r="I83" i="1" s="1"/>
  <c r="H81" i="1"/>
  <c r="H5" i="1" s="1"/>
  <c r="G81" i="1"/>
  <c r="E81" i="1"/>
  <c r="D81" i="1"/>
  <c r="T80" i="1"/>
  <c r="R80" i="1"/>
  <c r="P80" i="1"/>
  <c r="L80" i="1"/>
  <c r="L83" i="1" s="1"/>
  <c r="J80" i="1"/>
  <c r="I80" i="1"/>
  <c r="G80" i="1"/>
  <c r="G83" i="1" s="1"/>
  <c r="F80" i="1"/>
  <c r="F83" i="1" s="1"/>
  <c r="E80" i="1"/>
  <c r="E83" i="1" s="1"/>
  <c r="D80" i="1"/>
  <c r="D83" i="1" s="1"/>
  <c r="W76" i="1"/>
  <c r="V76" i="1"/>
  <c r="M76" i="1"/>
  <c r="U76" i="1" s="1"/>
  <c r="W75" i="1"/>
  <c r="M75" i="1"/>
  <c r="S75" i="1" s="1"/>
  <c r="K75" i="1"/>
  <c r="U74" i="1"/>
  <c r="S74" i="1"/>
  <c r="M74" i="1"/>
  <c r="O74" i="1" s="1"/>
  <c r="V73" i="1"/>
  <c r="W73" i="1" s="1"/>
  <c r="U73" i="1"/>
  <c r="S73" i="1"/>
  <c r="Q73" i="1"/>
  <c r="O73" i="1"/>
  <c r="M73" i="1"/>
  <c r="W72" i="1"/>
  <c r="V72" i="1"/>
  <c r="U72" i="1"/>
  <c r="S72" i="1"/>
  <c r="Q72" i="1"/>
  <c r="O72" i="1"/>
  <c r="M72" i="1"/>
  <c r="W71" i="1"/>
  <c r="M71" i="1"/>
  <c r="U71" i="1" s="1"/>
  <c r="W70" i="1"/>
  <c r="M70" i="1"/>
  <c r="S70" i="1" s="1"/>
  <c r="V69" i="1"/>
  <c r="W69" i="1" s="1"/>
  <c r="U69" i="1"/>
  <c r="S69" i="1"/>
  <c r="O69" i="1"/>
  <c r="M69" i="1"/>
  <c r="Q69" i="1" s="1"/>
  <c r="W68" i="1"/>
  <c r="V68" i="1"/>
  <c r="U68" i="1"/>
  <c r="S68" i="1"/>
  <c r="M68" i="1"/>
  <c r="O68" i="1" s="1"/>
  <c r="V67" i="1"/>
  <c r="W67" i="1" s="1"/>
  <c r="U67" i="1"/>
  <c r="S67" i="1"/>
  <c r="Q67" i="1"/>
  <c r="O67" i="1"/>
  <c r="M67" i="1"/>
  <c r="W66" i="1"/>
  <c r="V66" i="1"/>
  <c r="U66" i="1"/>
  <c r="S66" i="1"/>
  <c r="Q66" i="1"/>
  <c r="O66" i="1"/>
  <c r="M66" i="1"/>
  <c r="V65" i="1"/>
  <c r="W65" i="1" s="1"/>
  <c r="M65" i="1"/>
  <c r="U65" i="1" s="1"/>
  <c r="R63" i="1"/>
  <c r="P63" i="1"/>
  <c r="Q63" i="1" s="1"/>
  <c r="N63" i="1"/>
  <c r="L63" i="1"/>
  <c r="K63" i="1"/>
  <c r="J63" i="1"/>
  <c r="I63" i="1"/>
  <c r="H63" i="1"/>
  <c r="H46" i="1" s="1"/>
  <c r="H6" i="1" s="1"/>
  <c r="H21" i="1" s="1"/>
  <c r="G63" i="1"/>
  <c r="F63" i="1"/>
  <c r="E63" i="1"/>
  <c r="E46" i="1" s="1"/>
  <c r="E6" i="1" s="1"/>
  <c r="E21" i="1" s="1"/>
  <c r="D63" i="1"/>
  <c r="V62" i="1"/>
  <c r="W62" i="1" s="1"/>
  <c r="T62" i="1"/>
  <c r="T63" i="1" s="1"/>
  <c r="R62" i="1"/>
  <c r="M62" i="1"/>
  <c r="M63" i="1" s="1"/>
  <c r="V61" i="1"/>
  <c r="V63" i="1" s="1"/>
  <c r="V46" i="1" s="1"/>
  <c r="V6" i="1" s="1"/>
  <c r="V21" i="1" s="1"/>
  <c r="U61" i="1"/>
  <c r="S61" i="1"/>
  <c r="O61" i="1"/>
  <c r="M61" i="1"/>
  <c r="Q61" i="1" s="1"/>
  <c r="T60" i="1"/>
  <c r="R60" i="1"/>
  <c r="P60" i="1"/>
  <c r="N60" i="1"/>
  <c r="L60" i="1"/>
  <c r="L45" i="1" s="1"/>
  <c r="J60" i="1"/>
  <c r="I60" i="1"/>
  <c r="I45" i="1" s="1"/>
  <c r="H60" i="1"/>
  <c r="G60" i="1"/>
  <c r="F60" i="1"/>
  <c r="E60" i="1"/>
  <c r="D60" i="1"/>
  <c r="D45" i="1" s="1"/>
  <c r="W59" i="1"/>
  <c r="V59" i="1"/>
  <c r="M59" i="1"/>
  <c r="U59" i="1" s="1"/>
  <c r="W58" i="1"/>
  <c r="M58" i="1"/>
  <c r="S58" i="1" s="1"/>
  <c r="K58" i="1"/>
  <c r="K60" i="1" s="1"/>
  <c r="K45" i="1" s="1"/>
  <c r="K47" i="1" s="1"/>
  <c r="V57" i="1"/>
  <c r="W57" i="1" s="1"/>
  <c r="M57" i="1"/>
  <c r="S57" i="1" s="1"/>
  <c r="V56" i="1"/>
  <c r="W56" i="1" s="1"/>
  <c r="W9" i="1" s="1"/>
  <c r="U56" i="1"/>
  <c r="S56" i="1"/>
  <c r="O56" i="1"/>
  <c r="M56" i="1"/>
  <c r="Q56" i="1" s="1"/>
  <c r="W55" i="1"/>
  <c r="V55" i="1"/>
  <c r="U55" i="1"/>
  <c r="S55" i="1"/>
  <c r="M55" i="1"/>
  <c r="O55" i="1" s="1"/>
  <c r="K55" i="1"/>
  <c r="W54" i="1"/>
  <c r="V54" i="1"/>
  <c r="V60" i="1" s="1"/>
  <c r="V45" i="1" s="1"/>
  <c r="V47" i="1" s="1"/>
  <c r="U54" i="1"/>
  <c r="S54" i="1"/>
  <c r="M54" i="1"/>
  <c r="O54" i="1" s="1"/>
  <c r="T53" i="1"/>
  <c r="T44" i="1" s="1"/>
  <c r="R53" i="1"/>
  <c r="P53" i="1"/>
  <c r="N53" i="1"/>
  <c r="L53" i="1"/>
  <c r="L44" i="1" s="1"/>
  <c r="L3" i="1" s="1"/>
  <c r="K53" i="1"/>
  <c r="K44" i="1" s="1"/>
  <c r="J53" i="1"/>
  <c r="I53" i="1"/>
  <c r="H53" i="1"/>
  <c r="G53" i="1"/>
  <c r="F53" i="1"/>
  <c r="E53" i="1"/>
  <c r="E44" i="1" s="1"/>
  <c r="E3" i="1" s="1"/>
  <c r="D53" i="1"/>
  <c r="D44" i="1" s="1"/>
  <c r="D3" i="1" s="1"/>
  <c r="W52" i="1"/>
  <c r="V52" i="1"/>
  <c r="S52" i="1"/>
  <c r="O52" i="1"/>
  <c r="M52" i="1"/>
  <c r="U52" i="1" s="1"/>
  <c r="V51" i="1"/>
  <c r="V53" i="1" s="1"/>
  <c r="V44" i="1" s="1"/>
  <c r="V3" i="1" s="1"/>
  <c r="M51" i="1"/>
  <c r="S51" i="1" s="1"/>
  <c r="R46" i="1"/>
  <c r="N46" i="1"/>
  <c r="L46" i="1"/>
  <c r="K46" i="1"/>
  <c r="J46" i="1"/>
  <c r="I46" i="1"/>
  <c r="I6" i="1" s="1"/>
  <c r="I21" i="1" s="1"/>
  <c r="G46" i="1"/>
  <c r="F46" i="1"/>
  <c r="D46" i="1"/>
  <c r="R45" i="1"/>
  <c r="P45" i="1"/>
  <c r="N45" i="1"/>
  <c r="J45" i="1"/>
  <c r="J47" i="1" s="1"/>
  <c r="H45" i="1"/>
  <c r="H47" i="1" s="1"/>
  <c r="G45" i="1"/>
  <c r="G47" i="1" s="1"/>
  <c r="F45" i="1"/>
  <c r="F47" i="1" s="1"/>
  <c r="E45" i="1"/>
  <c r="R44" i="1"/>
  <c r="P44" i="1"/>
  <c r="N44" i="1"/>
  <c r="J44" i="1"/>
  <c r="I44" i="1"/>
  <c r="I3" i="1" s="1"/>
  <c r="H44" i="1"/>
  <c r="G44" i="1"/>
  <c r="F44" i="1"/>
  <c r="T40" i="1"/>
  <c r="R40" i="1"/>
  <c r="P40" i="1"/>
  <c r="N40" i="1"/>
  <c r="N26" i="1" s="1"/>
  <c r="L40" i="1"/>
  <c r="K40" i="1"/>
  <c r="J40" i="1"/>
  <c r="I40" i="1"/>
  <c r="G40" i="1"/>
  <c r="G26" i="1" s="1"/>
  <c r="F40" i="1"/>
  <c r="F26" i="1" s="1"/>
  <c r="E40" i="1"/>
  <c r="E26" i="1" s="1"/>
  <c r="D40" i="1"/>
  <c r="M39" i="1"/>
  <c r="U39" i="1" s="1"/>
  <c r="H39" i="1"/>
  <c r="V39" i="1" s="1"/>
  <c r="W39" i="1" s="1"/>
  <c r="V38" i="1"/>
  <c r="W38" i="1" s="1"/>
  <c r="M38" i="1"/>
  <c r="U38" i="1" s="1"/>
  <c r="W37" i="1"/>
  <c r="V37" i="1"/>
  <c r="M37" i="1"/>
  <c r="U37" i="1" s="1"/>
  <c r="W36" i="1"/>
  <c r="V36" i="1"/>
  <c r="S36" i="1"/>
  <c r="O36" i="1"/>
  <c r="M36" i="1"/>
  <c r="U36" i="1" s="1"/>
  <c r="V35" i="1"/>
  <c r="W35" i="1" s="1"/>
  <c r="M35" i="1"/>
  <c r="S35" i="1" s="1"/>
  <c r="V34" i="1"/>
  <c r="W34" i="1" s="1"/>
  <c r="U34" i="1"/>
  <c r="S34" i="1"/>
  <c r="O34" i="1"/>
  <c r="M34" i="1"/>
  <c r="Q34" i="1" s="1"/>
  <c r="W33" i="1"/>
  <c r="V33" i="1"/>
  <c r="U33" i="1"/>
  <c r="S33" i="1"/>
  <c r="M33" i="1"/>
  <c r="O33" i="1" s="1"/>
  <c r="V32" i="1"/>
  <c r="W32" i="1" s="1"/>
  <c r="W40" i="1" s="1"/>
  <c r="W26" i="1" s="1"/>
  <c r="U32" i="1"/>
  <c r="S32" i="1"/>
  <c r="Q32" i="1"/>
  <c r="O32" i="1"/>
  <c r="M32" i="1"/>
  <c r="M31" i="1"/>
  <c r="U31" i="1" s="1"/>
  <c r="P27" i="1"/>
  <c r="I27" i="1"/>
  <c r="T26" i="1"/>
  <c r="T27" i="1" s="1"/>
  <c r="R26" i="1"/>
  <c r="R27" i="1" s="1"/>
  <c r="P26" i="1"/>
  <c r="L26" i="1"/>
  <c r="L27" i="1" s="1"/>
  <c r="K26" i="1"/>
  <c r="K27" i="1" s="1"/>
  <c r="J26" i="1"/>
  <c r="J27" i="1" s="1"/>
  <c r="I26" i="1"/>
  <c r="D26" i="1"/>
  <c r="D27" i="1" s="1"/>
  <c r="V15" i="1"/>
  <c r="T15" i="1"/>
  <c r="R15" i="1"/>
  <c r="P15" i="1"/>
  <c r="N15" i="1"/>
  <c r="L15" i="1"/>
  <c r="K15" i="1"/>
  <c r="J15" i="1"/>
  <c r="I15" i="1"/>
  <c r="H15" i="1"/>
  <c r="G15" i="1"/>
  <c r="F15" i="1"/>
  <c r="E15" i="1"/>
  <c r="D15" i="1"/>
  <c r="W14" i="1"/>
  <c r="V14" i="1"/>
  <c r="T14" i="1"/>
  <c r="R14" i="1"/>
  <c r="N14" i="1"/>
  <c r="L14" i="1"/>
  <c r="K14" i="1"/>
  <c r="J14" i="1"/>
  <c r="I14" i="1"/>
  <c r="G14" i="1"/>
  <c r="G20" i="1" s="1"/>
  <c r="F14" i="1"/>
  <c r="E14" i="1"/>
  <c r="D14" i="1"/>
  <c r="W13" i="1"/>
  <c r="W19" i="1" s="1"/>
  <c r="V13" i="1"/>
  <c r="V19" i="1" s="1"/>
  <c r="T13" i="1"/>
  <c r="U13" i="1" s="1"/>
  <c r="S13" i="1"/>
  <c r="R13" i="1"/>
  <c r="R19" i="1" s="1"/>
  <c r="S19" i="1" s="1"/>
  <c r="P13" i="1"/>
  <c r="Q13" i="1" s="1"/>
  <c r="N13" i="1"/>
  <c r="O13" i="1" s="1"/>
  <c r="M13" i="1"/>
  <c r="M19" i="1" s="1"/>
  <c r="L13" i="1"/>
  <c r="L19" i="1" s="1"/>
  <c r="K13" i="1"/>
  <c r="K19" i="1" s="1"/>
  <c r="J13" i="1"/>
  <c r="J19" i="1" s="1"/>
  <c r="I13" i="1"/>
  <c r="I19" i="1" s="1"/>
  <c r="H13" i="1"/>
  <c r="H19" i="1" s="1"/>
  <c r="G13" i="1"/>
  <c r="G19" i="1" s="1"/>
  <c r="F13" i="1"/>
  <c r="F19" i="1" s="1"/>
  <c r="E13" i="1"/>
  <c r="E19" i="1" s="1"/>
  <c r="D13" i="1"/>
  <c r="D19" i="1" s="1"/>
  <c r="W12" i="1"/>
  <c r="W16" i="1" s="1"/>
  <c r="V12" i="1"/>
  <c r="T12" i="1"/>
  <c r="R12" i="1"/>
  <c r="P12" i="1"/>
  <c r="N12" i="1"/>
  <c r="L12" i="1"/>
  <c r="K12" i="1"/>
  <c r="J12" i="1"/>
  <c r="I12" i="1"/>
  <c r="H12" i="1"/>
  <c r="H16" i="1" s="1"/>
  <c r="G12" i="1"/>
  <c r="G16" i="1" s="1"/>
  <c r="F12" i="1"/>
  <c r="E12" i="1"/>
  <c r="D12" i="1"/>
  <c r="W11" i="1"/>
  <c r="V11" i="1"/>
  <c r="V16" i="1" s="1"/>
  <c r="T11" i="1"/>
  <c r="T16" i="1" s="1"/>
  <c r="R11" i="1"/>
  <c r="R16" i="1" s="1"/>
  <c r="P11" i="1"/>
  <c r="N11" i="1"/>
  <c r="L11" i="1"/>
  <c r="L16" i="1" s="1"/>
  <c r="K11" i="1"/>
  <c r="K16" i="1" s="1"/>
  <c r="J11" i="1"/>
  <c r="J16" i="1" s="1"/>
  <c r="H11" i="1"/>
  <c r="G11" i="1"/>
  <c r="F11" i="1"/>
  <c r="F16" i="1" s="1"/>
  <c r="E11" i="1"/>
  <c r="E16" i="1" s="1"/>
  <c r="D11" i="1"/>
  <c r="D16" i="1" s="1"/>
  <c r="V9" i="1"/>
  <c r="T9" i="1"/>
  <c r="U9" i="1" s="1"/>
  <c r="S9" i="1"/>
  <c r="R9" i="1"/>
  <c r="P9" i="1"/>
  <c r="Q9" i="1" s="1"/>
  <c r="N9" i="1"/>
  <c r="O9" i="1" s="1"/>
  <c r="M9" i="1"/>
  <c r="L9" i="1"/>
  <c r="K9" i="1"/>
  <c r="J9" i="1"/>
  <c r="I9" i="1"/>
  <c r="H9" i="1"/>
  <c r="G9" i="1"/>
  <c r="F9" i="1"/>
  <c r="E9" i="1"/>
  <c r="D9" i="1"/>
  <c r="V8" i="1"/>
  <c r="V10" i="1" s="1"/>
  <c r="T8" i="1"/>
  <c r="R8" i="1"/>
  <c r="P8" i="1"/>
  <c r="P3" i="1" s="1"/>
  <c r="N8" i="1"/>
  <c r="N10" i="1" s="1"/>
  <c r="L8" i="1"/>
  <c r="L10" i="1" s="1"/>
  <c r="K8" i="1"/>
  <c r="K10" i="1" s="1"/>
  <c r="J8" i="1"/>
  <c r="J10" i="1" s="1"/>
  <c r="I8" i="1"/>
  <c r="I10" i="1" s="1"/>
  <c r="H8" i="1"/>
  <c r="H10" i="1" s="1"/>
  <c r="G8" i="1"/>
  <c r="G10" i="1" s="1"/>
  <c r="F8" i="1"/>
  <c r="F10" i="1" s="1"/>
  <c r="E8" i="1"/>
  <c r="E10" i="1" s="1"/>
  <c r="D8" i="1"/>
  <c r="D10" i="1" s="1"/>
  <c r="R6" i="1"/>
  <c r="N6" i="1"/>
  <c r="N21" i="1" s="1"/>
  <c r="J6" i="1"/>
  <c r="J21" i="1" s="1"/>
  <c r="G6" i="1"/>
  <c r="G21" i="1" s="1"/>
  <c r="F6" i="1"/>
  <c r="F21" i="1" s="1"/>
  <c r="T5" i="1"/>
  <c r="T20" i="1" s="1"/>
  <c r="S5" i="1"/>
  <c r="R5" i="1"/>
  <c r="R20" i="1" s="1"/>
  <c r="N5" i="1"/>
  <c r="O5" i="1" s="1"/>
  <c r="M5" i="1"/>
  <c r="L5" i="1"/>
  <c r="L20" i="1" s="1"/>
  <c r="K5" i="1"/>
  <c r="K20" i="1" s="1"/>
  <c r="J5" i="1"/>
  <c r="J20" i="1" s="1"/>
  <c r="I5" i="1"/>
  <c r="I20" i="1" s="1"/>
  <c r="G5" i="1"/>
  <c r="E5" i="1"/>
  <c r="E20" i="1" s="1"/>
  <c r="D5" i="1"/>
  <c r="D20" i="1" s="1"/>
  <c r="R4" i="1"/>
  <c r="P4" i="1"/>
  <c r="J4" i="1"/>
  <c r="J18" i="1" s="1"/>
  <c r="R3" i="1"/>
  <c r="R17" i="1" s="1"/>
  <c r="J3" i="1"/>
  <c r="J17" i="1" s="1"/>
  <c r="F3" i="1"/>
  <c r="V17" i="1" l="1"/>
  <c r="I47" i="1"/>
  <c r="I4" i="1"/>
  <c r="I18" i="1" s="1"/>
  <c r="T3" i="1"/>
  <c r="L4" i="1"/>
  <c r="L18" i="1" s="1"/>
  <c r="L47" i="1"/>
  <c r="E27" i="1"/>
  <c r="E4" i="1"/>
  <c r="E18" i="1" s="1"/>
  <c r="D4" i="1"/>
  <c r="D18" i="1" s="1"/>
  <c r="D47" i="1"/>
  <c r="S63" i="1"/>
  <c r="Q5" i="1"/>
  <c r="P20" i="1"/>
  <c r="W10" i="1"/>
  <c r="P17" i="1"/>
  <c r="F27" i="1"/>
  <c r="F4" i="1"/>
  <c r="F18" i="1" s="1"/>
  <c r="M46" i="1"/>
  <c r="M6" i="1" s="1"/>
  <c r="O63" i="1"/>
  <c r="H20" i="1"/>
  <c r="W27" i="1"/>
  <c r="N27" i="1"/>
  <c r="N4" i="1"/>
  <c r="J22" i="1"/>
  <c r="G27" i="1"/>
  <c r="G4" i="1"/>
  <c r="G18" i="1" s="1"/>
  <c r="E47" i="1"/>
  <c r="D17" i="1"/>
  <c r="D22" i="1" s="1"/>
  <c r="L7" i="1"/>
  <c r="L17" i="1"/>
  <c r="L22" i="1" s="1"/>
  <c r="U63" i="1"/>
  <c r="T46" i="1"/>
  <c r="E17" i="1"/>
  <c r="E22" i="1" s="1"/>
  <c r="E7" i="1"/>
  <c r="W60" i="1"/>
  <c r="W45" i="1" s="1"/>
  <c r="J7" i="1"/>
  <c r="R7" i="1"/>
  <c r="N16" i="1"/>
  <c r="N20" i="1"/>
  <c r="R21" i="1"/>
  <c r="Q33" i="1"/>
  <c r="U35" i="1"/>
  <c r="T45" i="1"/>
  <c r="P46" i="1"/>
  <c r="U51" i="1"/>
  <c r="Q54" i="1"/>
  <c r="Q55" i="1"/>
  <c r="U57" i="1"/>
  <c r="U58" i="1"/>
  <c r="S62" i="1"/>
  <c r="Q68" i="1"/>
  <c r="U70" i="1"/>
  <c r="Q74" i="1"/>
  <c r="U75" i="1"/>
  <c r="O81" i="1"/>
  <c r="S82" i="1"/>
  <c r="Q90" i="1"/>
  <c r="U92" i="1"/>
  <c r="Q101" i="1"/>
  <c r="O101" i="1"/>
  <c r="S110" i="1"/>
  <c r="Q110" i="1"/>
  <c r="O123" i="1"/>
  <c r="S126" i="1"/>
  <c r="Q11" i="2"/>
  <c r="Q17" i="2"/>
  <c r="R17" i="2" s="1"/>
  <c r="R10" i="2"/>
  <c r="Q24" i="2"/>
  <c r="X89" i="2"/>
  <c r="V89" i="2"/>
  <c r="T89" i="2"/>
  <c r="P91" i="2"/>
  <c r="R89" i="2"/>
  <c r="P83" i="1"/>
  <c r="O115" i="1"/>
  <c r="S115" i="1"/>
  <c r="P16" i="1"/>
  <c r="P18" i="1"/>
  <c r="T19" i="1"/>
  <c r="U19" i="1" s="1"/>
  <c r="O38" i="1"/>
  <c r="O39" i="1"/>
  <c r="V40" i="1"/>
  <c r="V26" i="1" s="1"/>
  <c r="N47" i="1"/>
  <c r="W51" i="1"/>
  <c r="W53" i="1" s="1"/>
  <c r="W44" i="1" s="1"/>
  <c r="M60" i="1"/>
  <c r="U60" i="1" s="1"/>
  <c r="U62" i="1"/>
  <c r="O65" i="1"/>
  <c r="Q81" i="1"/>
  <c r="O87" i="1"/>
  <c r="U103" i="1"/>
  <c r="S103" i="1"/>
  <c r="Y50" i="2"/>
  <c r="Y51" i="2"/>
  <c r="Y55" i="2" s="1"/>
  <c r="U112" i="1"/>
  <c r="S112" i="1"/>
  <c r="Q115" i="1"/>
  <c r="Q139" i="1"/>
  <c r="H25" i="2"/>
  <c r="R81" i="2"/>
  <c r="X81" i="2"/>
  <c r="V81" i="2"/>
  <c r="T81" i="2"/>
  <c r="Y137" i="2"/>
  <c r="Z136" i="2"/>
  <c r="Z137" i="2" s="1"/>
  <c r="M40" i="1"/>
  <c r="O40" i="1" s="1"/>
  <c r="U5" i="1"/>
  <c r="O31" i="1"/>
  <c r="O37" i="1"/>
  <c r="Q38" i="1"/>
  <c r="Q39" i="1"/>
  <c r="M53" i="1"/>
  <c r="Q53" i="1" s="1"/>
  <c r="U53" i="1"/>
  <c r="O59" i="1"/>
  <c r="W61" i="1"/>
  <c r="W63" i="1" s="1"/>
  <c r="W46" i="1" s="1"/>
  <c r="W6" i="1" s="1"/>
  <c r="W21" i="1" s="1"/>
  <c r="Q65" i="1"/>
  <c r="O71" i="1"/>
  <c r="O76" i="1"/>
  <c r="N80" i="1"/>
  <c r="R83" i="1"/>
  <c r="Q87" i="1"/>
  <c r="O103" i="1"/>
  <c r="Q106" i="1"/>
  <c r="W108" i="1"/>
  <c r="Z49" i="2" s="1"/>
  <c r="O112" i="1"/>
  <c r="U115" i="1"/>
  <c r="O119" i="1"/>
  <c r="S119" i="1"/>
  <c r="T135" i="1"/>
  <c r="W135" i="1"/>
  <c r="K14" i="2"/>
  <c r="J16" i="2"/>
  <c r="N33" i="2"/>
  <c r="N26" i="2" s="1"/>
  <c r="N6" i="2" s="1"/>
  <c r="N19" i="2" s="1"/>
  <c r="N45" i="2"/>
  <c r="R10" i="1"/>
  <c r="F17" i="1"/>
  <c r="F22" i="1" s="1"/>
  <c r="R18" i="1"/>
  <c r="R22" i="1" s="1"/>
  <c r="N19" i="1"/>
  <c r="O19" i="1" s="1"/>
  <c r="Q31" i="1"/>
  <c r="Q37" i="1"/>
  <c r="S38" i="1"/>
  <c r="S39" i="1"/>
  <c r="H40" i="1"/>
  <c r="H26" i="1" s="1"/>
  <c r="P47" i="1"/>
  <c r="Q59" i="1"/>
  <c r="S65" i="1"/>
  <c r="Q71" i="1"/>
  <c r="Q76" i="1"/>
  <c r="S87" i="1"/>
  <c r="Q97" i="1"/>
  <c r="O97" i="1"/>
  <c r="Q103" i="1"/>
  <c r="S106" i="1"/>
  <c r="U109" i="1"/>
  <c r="Q109" i="1"/>
  <c r="O109" i="1"/>
  <c r="Q112" i="1"/>
  <c r="Q119" i="1"/>
  <c r="U137" i="1"/>
  <c r="Q137" i="1"/>
  <c r="O137" i="1"/>
  <c r="M130" i="1"/>
  <c r="U130" i="1" s="1"/>
  <c r="U140" i="1"/>
  <c r="Q140" i="1"/>
  <c r="O140" i="1"/>
  <c r="W31" i="2"/>
  <c r="W58" i="2"/>
  <c r="U33" i="2"/>
  <c r="X111" i="2"/>
  <c r="V111" i="2"/>
  <c r="T111" i="2"/>
  <c r="R111" i="2"/>
  <c r="O139" i="1"/>
  <c r="S139" i="1"/>
  <c r="T91" i="2"/>
  <c r="P10" i="1"/>
  <c r="G3" i="1"/>
  <c r="K4" i="1"/>
  <c r="K18" i="1" s="1"/>
  <c r="S31" i="1"/>
  <c r="O35" i="1"/>
  <c r="Q36" i="1"/>
  <c r="S37" i="1"/>
  <c r="O51" i="1"/>
  <c r="Q52" i="1"/>
  <c r="O57" i="1"/>
  <c r="O58" i="1"/>
  <c r="S59" i="1"/>
  <c r="O62" i="1"/>
  <c r="O70" i="1"/>
  <c r="S71" i="1"/>
  <c r="O75" i="1"/>
  <c r="S76" i="1"/>
  <c r="O92" i="1"/>
  <c r="S97" i="1"/>
  <c r="S102" i="1"/>
  <c r="Q102" i="1"/>
  <c r="U106" i="1"/>
  <c r="S109" i="1"/>
  <c r="K309" i="2"/>
  <c r="H121" i="1"/>
  <c r="H80" i="1" s="1"/>
  <c r="U119" i="1"/>
  <c r="V123" i="1"/>
  <c r="V81" i="1" s="1"/>
  <c r="V5" i="1" s="1"/>
  <c r="V20" i="1" s="1"/>
  <c r="S137" i="1"/>
  <c r="S140" i="1"/>
  <c r="I24" i="2"/>
  <c r="H27" i="2"/>
  <c r="M32" i="2"/>
  <c r="Y76" i="2"/>
  <c r="Z75" i="2"/>
  <c r="X199" i="2"/>
  <c r="R199" i="2"/>
  <c r="P200" i="2"/>
  <c r="V199" i="2"/>
  <c r="T199" i="2"/>
  <c r="P19" i="1"/>
  <c r="Q19" i="1" s="1"/>
  <c r="Q35" i="1"/>
  <c r="R47" i="1"/>
  <c r="Q51" i="1"/>
  <c r="Q57" i="1"/>
  <c r="Q58" i="1"/>
  <c r="Q62" i="1"/>
  <c r="Q70" i="1"/>
  <c r="Q75" i="1"/>
  <c r="U97" i="1"/>
  <c r="Y124" i="2"/>
  <c r="Y125" i="2" s="1"/>
  <c r="Y129" i="2" s="1"/>
  <c r="W106" i="1"/>
  <c r="Z124" i="2" s="1"/>
  <c r="Z125" i="2" s="1"/>
  <c r="Z129" i="2" s="1"/>
  <c r="U113" i="1"/>
  <c r="O113" i="1"/>
  <c r="U120" i="1"/>
  <c r="Q120" i="1"/>
  <c r="O120" i="1"/>
  <c r="K121" i="1"/>
  <c r="K80" i="1" s="1"/>
  <c r="K83" i="1" s="1"/>
  <c r="Z299" i="2"/>
  <c r="Z300" i="2" s="1"/>
  <c r="Z291" i="2" s="1"/>
  <c r="Z283" i="2" s="1"/>
  <c r="Z5" i="2" s="1"/>
  <c r="W123" i="1"/>
  <c r="W81" i="1" s="1"/>
  <c r="W5" i="1" s="1"/>
  <c r="W20" i="1" s="1"/>
  <c r="U124" i="1"/>
  <c r="O124" i="1"/>
  <c r="Q126" i="1"/>
  <c r="M133" i="1"/>
  <c r="U138" i="1"/>
  <c r="S138" i="1"/>
  <c r="U141" i="1"/>
  <c r="O141" i="1"/>
  <c r="Q143" i="1"/>
  <c r="M134" i="1"/>
  <c r="U14" i="2"/>
  <c r="L24" i="2"/>
  <c r="Z45" i="2"/>
  <c r="L32" i="2"/>
  <c r="L25" i="2" s="1"/>
  <c r="L58" i="2"/>
  <c r="T10" i="1"/>
  <c r="M8" i="1"/>
  <c r="U8" i="1" s="1"/>
  <c r="I11" i="1"/>
  <c r="I16" i="1" s="1"/>
  <c r="W87" i="1"/>
  <c r="U93" i="1"/>
  <c r="W94" i="1"/>
  <c r="Z163" i="2" s="1"/>
  <c r="Q96" i="1"/>
  <c r="U102" i="1"/>
  <c r="O104" i="1"/>
  <c r="M111" i="1"/>
  <c r="M121" i="1" s="1"/>
  <c r="Q113" i="1"/>
  <c r="S120" i="1"/>
  <c r="Q124" i="1"/>
  <c r="T126" i="1"/>
  <c r="U125" i="1"/>
  <c r="M131" i="1"/>
  <c r="Q131" i="1" s="1"/>
  <c r="U134" i="1"/>
  <c r="O138" i="1"/>
  <c r="Q141" i="1"/>
  <c r="O143" i="1"/>
  <c r="L18" i="2"/>
  <c r="R41" i="2"/>
  <c r="X41" i="2"/>
  <c r="V41" i="2"/>
  <c r="T41" i="2"/>
  <c r="X56" i="2"/>
  <c r="V56" i="2"/>
  <c r="T56" i="2"/>
  <c r="P57" i="2"/>
  <c r="V57" i="2" s="1"/>
  <c r="R56" i="2"/>
  <c r="G68" i="2"/>
  <c r="G32" i="2"/>
  <c r="G25" i="2" s="1"/>
  <c r="O68" i="2"/>
  <c r="O32" i="2"/>
  <c r="O25" i="2" s="1"/>
  <c r="T12" i="2"/>
  <c r="X44" i="2"/>
  <c r="W33" i="2"/>
  <c r="W45" i="2"/>
  <c r="G31" i="2"/>
  <c r="G58" i="2"/>
  <c r="X53" i="2"/>
  <c r="V53" i="2"/>
  <c r="T53" i="2"/>
  <c r="T64" i="2"/>
  <c r="R64" i="2"/>
  <c r="P65" i="2"/>
  <c r="T65" i="2"/>
  <c r="N77" i="2"/>
  <c r="Y73" i="2"/>
  <c r="Y77" i="2" s="1"/>
  <c r="K112" i="2"/>
  <c r="Y111" i="2"/>
  <c r="H157" i="2"/>
  <c r="O155" i="2"/>
  <c r="U281" i="2"/>
  <c r="V39" i="2"/>
  <c r="T39" i="2"/>
  <c r="R39" i="2"/>
  <c r="Y45" i="2"/>
  <c r="G33" i="2"/>
  <c r="G26" i="2" s="1"/>
  <c r="G6" i="2" s="1"/>
  <c r="G19" i="2" s="1"/>
  <c r="G45" i="2"/>
  <c r="O33" i="2"/>
  <c r="O26" i="2" s="1"/>
  <c r="O6" i="2" s="1"/>
  <c r="O19" i="2" s="1"/>
  <c r="O45" i="2"/>
  <c r="Q58" i="2"/>
  <c r="Q120" i="2"/>
  <c r="X134" i="2"/>
  <c r="R134" i="2"/>
  <c r="T134" i="2"/>
  <c r="T154" i="2"/>
  <c r="Z162" i="2"/>
  <c r="Y164" i="2"/>
  <c r="Q173" i="2"/>
  <c r="R164" i="2"/>
  <c r="Q154" i="2"/>
  <c r="Y189" i="2"/>
  <c r="Y155" i="2" s="1"/>
  <c r="K192" i="2"/>
  <c r="R191" i="2"/>
  <c r="Q156" i="2"/>
  <c r="O228" i="2"/>
  <c r="O215" i="2"/>
  <c r="O217" i="2" s="1"/>
  <c r="S118" i="1"/>
  <c r="X39" i="2"/>
  <c r="J45" i="2"/>
  <c r="J31" i="2"/>
  <c r="S32" i="2"/>
  <c r="Y68" i="2"/>
  <c r="X65" i="2"/>
  <c r="R67" i="2"/>
  <c r="Q68" i="2"/>
  <c r="X92" i="2"/>
  <c r="P93" i="2"/>
  <c r="V92" i="2"/>
  <c r="T92" i="2"/>
  <c r="S94" i="2"/>
  <c r="Y117" i="2"/>
  <c r="Y32" i="2" s="1"/>
  <c r="Y25" i="2" s="1"/>
  <c r="Z116" i="2"/>
  <c r="Z117" i="2" s="1"/>
  <c r="V128" i="2"/>
  <c r="V134" i="2"/>
  <c r="S173" i="2"/>
  <c r="T164" i="2"/>
  <c r="P154" i="2"/>
  <c r="R190" i="2"/>
  <c r="T190" i="2"/>
  <c r="Q215" i="2"/>
  <c r="Q228" i="2"/>
  <c r="S34" i="2"/>
  <c r="K42" i="2"/>
  <c r="P40" i="2"/>
  <c r="Q45" i="2"/>
  <c r="Q32" i="2"/>
  <c r="P49" i="2"/>
  <c r="K51" i="2"/>
  <c r="K50" i="2"/>
  <c r="Z68" i="2"/>
  <c r="P74" i="2"/>
  <c r="X80" i="2"/>
  <c r="V80" i="2"/>
  <c r="X88" i="2"/>
  <c r="V88" i="2"/>
  <c r="T88" i="2"/>
  <c r="Q94" i="2"/>
  <c r="R91" i="2"/>
  <c r="R92" i="2"/>
  <c r="U120" i="2"/>
  <c r="H129" i="2"/>
  <c r="X128" i="2"/>
  <c r="J156" i="2"/>
  <c r="J6" i="2" s="1"/>
  <c r="J19" i="2" s="1"/>
  <c r="J120" i="2"/>
  <c r="M173" i="2"/>
  <c r="M155" i="2"/>
  <c r="Z189" i="2"/>
  <c r="Z155" i="2" s="1"/>
  <c r="M11" i="2"/>
  <c r="U11" i="2"/>
  <c r="Z14" i="2"/>
  <c r="I45" i="2"/>
  <c r="I32" i="2"/>
  <c r="I25" i="2" s="1"/>
  <c r="N31" i="2"/>
  <c r="N58" i="2"/>
  <c r="I58" i="2"/>
  <c r="V67" i="2"/>
  <c r="U31" i="2"/>
  <c r="Z76" i="2"/>
  <c r="Z77" i="2" s="1"/>
  <c r="M77" i="2"/>
  <c r="X100" i="2"/>
  <c r="V100" i="2"/>
  <c r="T100" i="2"/>
  <c r="R100" i="2"/>
  <c r="V165" i="2"/>
  <c r="T165" i="2"/>
  <c r="P169" i="2"/>
  <c r="R165" i="2"/>
  <c r="X167" i="2"/>
  <c r="R167" i="2"/>
  <c r="T167" i="2"/>
  <c r="U154" i="2"/>
  <c r="V184" i="2"/>
  <c r="U192" i="2"/>
  <c r="V192" i="2" s="1"/>
  <c r="J157" i="2"/>
  <c r="O31" i="2"/>
  <c r="O58" i="2"/>
  <c r="R57" i="2"/>
  <c r="X75" i="2"/>
  <c r="V75" i="2"/>
  <c r="T75" i="2"/>
  <c r="Z91" i="2"/>
  <c r="Z94" i="2" s="1"/>
  <c r="M120" i="2"/>
  <c r="N313" i="2"/>
  <c r="N289" i="2"/>
  <c r="T93" i="2"/>
  <c r="X114" i="2"/>
  <c r="V114" i="2"/>
  <c r="U129" i="2"/>
  <c r="Z164" i="2"/>
  <c r="I173" i="2"/>
  <c r="I154" i="2"/>
  <c r="I157" i="2" s="1"/>
  <c r="S155" i="2"/>
  <c r="S157" i="2" s="1"/>
  <c r="X171" i="2"/>
  <c r="R171" i="2"/>
  <c r="Z184" i="2"/>
  <c r="Z192" i="2" s="1"/>
  <c r="W154" i="2"/>
  <c r="W192" i="2"/>
  <c r="T191" i="2"/>
  <c r="W292" i="2"/>
  <c r="P388" i="2"/>
  <c r="X385" i="2"/>
  <c r="V385" i="2"/>
  <c r="T385" i="2"/>
  <c r="R385" i="2"/>
  <c r="X43" i="2"/>
  <c r="R52" i="2"/>
  <c r="V91" i="2"/>
  <c r="R114" i="2"/>
  <c r="W129" i="2"/>
  <c r="X127" i="2"/>
  <c r="V127" i="2"/>
  <c r="T127" i="2"/>
  <c r="R127" i="2"/>
  <c r="P137" i="2"/>
  <c r="X133" i="2"/>
  <c r="V133" i="2"/>
  <c r="T133" i="2"/>
  <c r="X143" i="2"/>
  <c r="V143" i="2"/>
  <c r="T143" i="2"/>
  <c r="R143" i="2"/>
  <c r="K157" i="2"/>
  <c r="J173" i="2"/>
  <c r="U173" i="2"/>
  <c r="U155" i="2"/>
  <c r="T171" i="2"/>
  <c r="X182" i="2"/>
  <c r="V182" i="2"/>
  <c r="T182" i="2"/>
  <c r="M157" i="2"/>
  <c r="X184" i="2"/>
  <c r="U191" i="2"/>
  <c r="V190" i="2"/>
  <c r="X195" i="2"/>
  <c r="R195" i="2"/>
  <c r="K225" i="2"/>
  <c r="P223" i="2"/>
  <c r="H215" i="2"/>
  <c r="H217" i="2" s="1"/>
  <c r="H228" i="2"/>
  <c r="S243" i="2"/>
  <c r="S241" i="2"/>
  <c r="X263" i="2"/>
  <c r="V263" i="2"/>
  <c r="T263" i="2"/>
  <c r="R263" i="2"/>
  <c r="Q241" i="2"/>
  <c r="Q270" i="2"/>
  <c r="I282" i="2"/>
  <c r="I285" i="2" s="1"/>
  <c r="I292" i="2"/>
  <c r="O282" i="2"/>
  <c r="O301" i="2"/>
  <c r="G313" i="2"/>
  <c r="G289" i="2"/>
  <c r="P73" i="2"/>
  <c r="V73" i="2" s="1"/>
  <c r="G94" i="2"/>
  <c r="O94" i="2"/>
  <c r="W94" i="2"/>
  <c r="X110" i="2"/>
  <c r="V110" i="2"/>
  <c r="O120" i="2"/>
  <c r="T114" i="2"/>
  <c r="K125" i="2"/>
  <c r="K129" i="2" s="1"/>
  <c r="P124" i="2"/>
  <c r="R133" i="2"/>
  <c r="V137" i="2"/>
  <c r="X140" i="2"/>
  <c r="R140" i="2"/>
  <c r="K173" i="2"/>
  <c r="K155" i="2"/>
  <c r="V169" i="2"/>
  <c r="V171" i="2"/>
  <c r="R182" i="2"/>
  <c r="N192" i="2"/>
  <c r="X190" i="2"/>
  <c r="T195" i="2"/>
  <c r="X201" i="2"/>
  <c r="V201" i="2"/>
  <c r="T201" i="2"/>
  <c r="R201" i="2"/>
  <c r="Y207" i="2"/>
  <c r="Z206" i="2"/>
  <c r="Z207" i="2" s="1"/>
  <c r="I215" i="2"/>
  <c r="I217" i="2" s="1"/>
  <c r="I228" i="2"/>
  <c r="J240" i="2"/>
  <c r="J243" i="2" s="1"/>
  <c r="J257" i="2"/>
  <c r="R110" i="2"/>
  <c r="G120" i="2"/>
  <c r="P112" i="2"/>
  <c r="R112" i="2" s="1"/>
  <c r="P115" i="2"/>
  <c r="K117" i="2"/>
  <c r="T116" i="2"/>
  <c r="X137" i="2"/>
  <c r="T140" i="2"/>
  <c r="X164" i="2"/>
  <c r="X169" i="2"/>
  <c r="Y184" i="2"/>
  <c r="Y192" i="2" s="1"/>
  <c r="G154" i="2"/>
  <c r="G157" i="2" s="1"/>
  <c r="G192" i="2"/>
  <c r="O154" i="2"/>
  <c r="O157" i="2" s="1"/>
  <c r="O192" i="2"/>
  <c r="V195" i="2"/>
  <c r="X202" i="2"/>
  <c r="R202" i="2"/>
  <c r="J228" i="2"/>
  <c r="T232" i="2"/>
  <c r="R232" i="2"/>
  <c r="V232" i="2"/>
  <c r="H192" i="2"/>
  <c r="T184" i="2"/>
  <c r="P192" i="2"/>
  <c r="S192" i="2"/>
  <c r="T192" i="2" s="1"/>
  <c r="T189" i="2"/>
  <c r="J208" i="2"/>
  <c r="Y215" i="2"/>
  <c r="Y217" i="2" s="1"/>
  <c r="Y228" i="2"/>
  <c r="X277" i="2"/>
  <c r="V277" i="2"/>
  <c r="T277" i="2"/>
  <c r="R277" i="2"/>
  <c r="V321" i="2"/>
  <c r="U290" i="2"/>
  <c r="Q378" i="2"/>
  <c r="R388" i="2"/>
  <c r="V99" i="2"/>
  <c r="V109" i="2"/>
  <c r="T109" i="2"/>
  <c r="I120" i="2"/>
  <c r="X116" i="2"/>
  <c r="G129" i="2"/>
  <c r="R128" i="2"/>
  <c r="Y170" i="2"/>
  <c r="P170" i="2"/>
  <c r="I192" i="2"/>
  <c r="Q192" i="2"/>
  <c r="Z199" i="2"/>
  <c r="Z200" i="2" s="1"/>
  <c r="Z208" i="2" s="1"/>
  <c r="Y200" i="2"/>
  <c r="K208" i="2"/>
  <c r="S208" i="2"/>
  <c r="T200" i="2"/>
  <c r="V202" i="2"/>
  <c r="V226" i="2"/>
  <c r="X226" i="2"/>
  <c r="T226" i="2"/>
  <c r="P227" i="2"/>
  <c r="P119" i="2"/>
  <c r="R119" i="2" s="1"/>
  <c r="P225" i="2"/>
  <c r="X234" i="2"/>
  <c r="V234" i="2"/>
  <c r="S257" i="2"/>
  <c r="T253" i="2"/>
  <c r="H270" i="2"/>
  <c r="R262" i="2"/>
  <c r="Y270" i="2"/>
  <c r="O313" i="2"/>
  <c r="O289" i="2"/>
  <c r="V341" i="2"/>
  <c r="H367" i="2"/>
  <c r="H333" i="2"/>
  <c r="H336" i="2" s="1"/>
  <c r="P333" i="2"/>
  <c r="V359" i="2"/>
  <c r="T364" i="2"/>
  <c r="I372" i="2"/>
  <c r="I373" i="2" s="1"/>
  <c r="S406" i="2"/>
  <c r="V118" i="2"/>
  <c r="V139" i="2"/>
  <c r="V147" i="2"/>
  <c r="P150" i="2"/>
  <c r="V166" i="2"/>
  <c r="V194" i="2"/>
  <c r="V221" i="2"/>
  <c r="X231" i="2"/>
  <c r="U270" i="2"/>
  <c r="V262" i="2"/>
  <c r="M292" i="2"/>
  <c r="M281" i="2"/>
  <c r="S291" i="2"/>
  <c r="T320" i="2"/>
  <c r="R320" i="2"/>
  <c r="P321" i="2"/>
  <c r="X320" i="2"/>
  <c r="L282" i="2"/>
  <c r="L292" i="2"/>
  <c r="Z336" i="2"/>
  <c r="P350" i="2"/>
  <c r="N351" i="2"/>
  <c r="N334" i="2" s="1"/>
  <c r="N282" i="2" s="1"/>
  <c r="N4" i="2" s="1"/>
  <c r="N16" i="2" s="1"/>
  <c r="U371" i="2"/>
  <c r="V486" i="2"/>
  <c r="T486" i="2"/>
  <c r="R486" i="2"/>
  <c r="P490" i="2"/>
  <c r="R126" i="2"/>
  <c r="R149" i="2"/>
  <c r="R181" i="2"/>
  <c r="R184" i="2"/>
  <c r="R187" i="2"/>
  <c r="G215" i="2"/>
  <c r="G217" i="2" s="1"/>
  <c r="W215" i="2"/>
  <c r="R224" i="2"/>
  <c r="T225" i="2"/>
  <c r="V233" i="2"/>
  <c r="T233" i="2"/>
  <c r="K240" i="2"/>
  <c r="K243" i="2" s="1"/>
  <c r="U240" i="2"/>
  <c r="V248" i="2"/>
  <c r="Z240" i="2"/>
  <c r="Z257" i="2"/>
  <c r="Z268" i="2"/>
  <c r="Z269" i="2" s="1"/>
  <c r="W290" i="2"/>
  <c r="V300" i="2"/>
  <c r="V320" i="2"/>
  <c r="Y351" i="2"/>
  <c r="Y334" i="2" s="1"/>
  <c r="Y336" i="2" s="1"/>
  <c r="Z350" i="2"/>
  <c r="Z351" i="2" s="1"/>
  <c r="Z334" i="2" s="1"/>
  <c r="J373" i="2"/>
  <c r="G371" i="2"/>
  <c r="G373" i="2" s="1"/>
  <c r="G379" i="2"/>
  <c r="V377" i="2"/>
  <c r="I389" i="2"/>
  <c r="Q389" i="2"/>
  <c r="Z388" i="2"/>
  <c r="H494" i="2"/>
  <c r="H475" i="2"/>
  <c r="P494" i="2"/>
  <c r="T494" i="2" s="1"/>
  <c r="P475" i="2"/>
  <c r="X485" i="2"/>
  <c r="R485" i="2"/>
  <c r="X486" i="2"/>
  <c r="T181" i="2"/>
  <c r="V200" i="2"/>
  <c r="P203" i="2"/>
  <c r="T224" i="2"/>
  <c r="V225" i="2"/>
  <c r="U228" i="2"/>
  <c r="R233" i="2"/>
  <c r="L243" i="2"/>
  <c r="P256" i="2"/>
  <c r="T256" i="2" s="1"/>
  <c r="X254" i="2"/>
  <c r="V254" i="2"/>
  <c r="T254" i="2"/>
  <c r="R254" i="2"/>
  <c r="M270" i="2"/>
  <c r="X273" i="2"/>
  <c r="V273" i="2"/>
  <c r="T273" i="2"/>
  <c r="R273" i="2"/>
  <c r="L285" i="2"/>
  <c r="J292" i="2"/>
  <c r="R299" i="2"/>
  <c r="P300" i="2"/>
  <c r="T300" i="2" s="1"/>
  <c r="X299" i="2"/>
  <c r="Y310" i="2"/>
  <c r="M336" i="2"/>
  <c r="V345" i="2"/>
  <c r="T345" i="2"/>
  <c r="R345" i="2"/>
  <c r="P366" i="2"/>
  <c r="X365" i="2"/>
  <c r="V365" i="2"/>
  <c r="T365" i="2"/>
  <c r="R365" i="2"/>
  <c r="V401" i="2"/>
  <c r="X401" i="2"/>
  <c r="T401" i="2"/>
  <c r="M243" i="2"/>
  <c r="Z241" i="2"/>
  <c r="Y297" i="2"/>
  <c r="K298" i="2"/>
  <c r="P297" i="2"/>
  <c r="X362" i="2"/>
  <c r="V362" i="2"/>
  <c r="T362" i="2"/>
  <c r="R401" i="2"/>
  <c r="X482" i="2"/>
  <c r="V482" i="2"/>
  <c r="R482" i="2"/>
  <c r="T482" i="2"/>
  <c r="R412" i="2"/>
  <c r="Q405" i="2"/>
  <c r="S292" i="2"/>
  <c r="P298" i="2"/>
  <c r="T298" i="2" s="1"/>
  <c r="H301" i="2"/>
  <c r="X311" i="2"/>
  <c r="T311" i="2"/>
  <c r="R311" i="2"/>
  <c r="V312" i="2"/>
  <c r="T341" i="2"/>
  <c r="Z367" i="2"/>
  <c r="I379" i="2"/>
  <c r="W371" i="2"/>
  <c r="X377" i="2"/>
  <c r="S389" i="2"/>
  <c r="T389" i="2" s="1"/>
  <c r="S377" i="2"/>
  <c r="T388" i="2"/>
  <c r="M405" i="2"/>
  <c r="M406" i="2" s="1"/>
  <c r="M372" i="2" s="1"/>
  <c r="X427" i="2"/>
  <c r="V427" i="2"/>
  <c r="T427" i="2"/>
  <c r="R450" i="2"/>
  <c r="X450" i="2"/>
  <c r="J475" i="2"/>
  <c r="J494" i="2"/>
  <c r="L527" i="2"/>
  <c r="L9" i="2" s="1"/>
  <c r="L11" i="2" s="1"/>
  <c r="L535" i="2"/>
  <c r="N240" i="2"/>
  <c r="N243" i="2" s="1"/>
  <c r="P265" i="2"/>
  <c r="P267" i="2" s="1"/>
  <c r="R266" i="2"/>
  <c r="P269" i="2"/>
  <c r="T269" i="2" s="1"/>
  <c r="R272" i="2"/>
  <c r="R296" i="2"/>
  <c r="Q301" i="2"/>
  <c r="V311" i="2"/>
  <c r="J379" i="2"/>
  <c r="K389" i="2"/>
  <c r="K377" i="2"/>
  <c r="T384" i="2"/>
  <c r="K406" i="2"/>
  <c r="K372" i="2" s="1"/>
  <c r="R427" i="2"/>
  <c r="T450" i="2"/>
  <c r="S469" i="2"/>
  <c r="X628" i="2"/>
  <c r="V628" i="2"/>
  <c r="T628" i="2"/>
  <c r="R628" i="2"/>
  <c r="P624" i="2"/>
  <c r="P248" i="2"/>
  <c r="P262" i="2"/>
  <c r="T266" i="2"/>
  <c r="T272" i="2"/>
  <c r="T296" i="2"/>
  <c r="R308" i="2"/>
  <c r="X323" i="2"/>
  <c r="V323" i="2"/>
  <c r="X340" i="2"/>
  <c r="V340" i="2"/>
  <c r="T340" i="2"/>
  <c r="R340" i="2"/>
  <c r="M373" i="2"/>
  <c r="N379" i="2"/>
  <c r="L389" i="2"/>
  <c r="L377" i="2"/>
  <c r="V417" i="2"/>
  <c r="T417" i="2"/>
  <c r="W441" i="2"/>
  <c r="V450" i="2"/>
  <c r="W471" i="2"/>
  <c r="W478" i="2"/>
  <c r="Y493" i="2"/>
  <c r="Y477" i="2" s="1"/>
  <c r="Y470" i="2" s="1"/>
  <c r="Z491" i="2"/>
  <c r="Z493" i="2" s="1"/>
  <c r="Z477" i="2" s="1"/>
  <c r="Z470" i="2" s="1"/>
  <c r="L529" i="2"/>
  <c r="V266" i="2"/>
  <c r="V272" i="2"/>
  <c r="S301" i="2"/>
  <c r="R307" i="2"/>
  <c r="T308" i="2"/>
  <c r="R323" i="2"/>
  <c r="U336" i="2"/>
  <c r="W334" i="2"/>
  <c r="W336" i="2" s="1"/>
  <c r="R366" i="2"/>
  <c r="N373" i="2"/>
  <c r="X386" i="2"/>
  <c r="V386" i="2"/>
  <c r="X389" i="2"/>
  <c r="U378" i="2"/>
  <c r="V396" i="2"/>
  <c r="V411" i="2"/>
  <c r="T411" i="2"/>
  <c r="P412" i="2"/>
  <c r="X411" i="2"/>
  <c r="R411" i="2"/>
  <c r="R417" i="2"/>
  <c r="Z490" i="2"/>
  <c r="T490" i="2"/>
  <c r="X492" i="2"/>
  <c r="V492" i="2"/>
  <c r="T492" i="2"/>
  <c r="R492" i="2"/>
  <c r="P493" i="2"/>
  <c r="T493" i="2" s="1"/>
  <c r="R261" i="2"/>
  <c r="R264" i="2"/>
  <c r="R275" i="2"/>
  <c r="T276" i="2"/>
  <c r="W281" i="2"/>
  <c r="V308" i="2"/>
  <c r="P312" i="2"/>
  <c r="T312" i="2" s="1"/>
  <c r="X341" i="2"/>
  <c r="X359" i="2"/>
  <c r="X364" i="2"/>
  <c r="S335" i="2"/>
  <c r="T366" i="2"/>
  <c r="O373" i="2"/>
  <c r="S378" i="2"/>
  <c r="Y389" i="2"/>
  <c r="R386" i="2"/>
  <c r="X417" i="2"/>
  <c r="X436" i="2"/>
  <c r="I468" i="2"/>
  <c r="I471" i="2" s="1"/>
  <c r="V490" i="2"/>
  <c r="H281" i="2"/>
  <c r="V307" i="2"/>
  <c r="R312" i="2"/>
  <c r="Y321" i="2"/>
  <c r="L336" i="2"/>
  <c r="G334" i="2"/>
  <c r="G282" i="2" s="1"/>
  <c r="O334" i="2"/>
  <c r="O336" i="2" s="1"/>
  <c r="Y367" i="2"/>
  <c r="Q379" i="2"/>
  <c r="T386" i="2"/>
  <c r="Z400" i="2"/>
  <c r="Z395" i="2" s="1"/>
  <c r="Z396" i="2" s="1"/>
  <c r="Y395" i="2"/>
  <c r="Y396" i="2" s="1"/>
  <c r="Y378" i="2" s="1"/>
  <c r="Z468" i="2"/>
  <c r="X488" i="2"/>
  <c r="V488" i="2"/>
  <c r="T488" i="2"/>
  <c r="R488" i="2"/>
  <c r="P505" i="2"/>
  <c r="X505" i="2" s="1"/>
  <c r="X504" i="2"/>
  <c r="V504" i="2"/>
  <c r="R504" i="2"/>
  <c r="X509" i="2"/>
  <c r="V509" i="2"/>
  <c r="T509" i="2"/>
  <c r="R509" i="2"/>
  <c r="X328" i="2"/>
  <c r="H377" i="2"/>
  <c r="P377" i="2"/>
  <c r="P389" i="2"/>
  <c r="V389" i="2" s="1"/>
  <c r="T416" i="2"/>
  <c r="R416" i="2"/>
  <c r="R425" i="2"/>
  <c r="Y436" i="2"/>
  <c r="T485" i="2"/>
  <c r="P515" i="2"/>
  <c r="R515" i="2" s="1"/>
  <c r="X513" i="2"/>
  <c r="V513" i="2"/>
  <c r="R513" i="2"/>
  <c r="X559" i="2"/>
  <c r="V559" i="2"/>
  <c r="T559" i="2"/>
  <c r="R559" i="2"/>
  <c r="Z581" i="2"/>
  <c r="Z527" i="2"/>
  <c r="Z9" i="2" s="1"/>
  <c r="W313" i="2"/>
  <c r="Z319" i="2"/>
  <c r="Z321" i="2" s="1"/>
  <c r="R346" i="2"/>
  <c r="R358" i="2"/>
  <c r="R359" i="2"/>
  <c r="R361" i="2"/>
  <c r="W405" i="2"/>
  <c r="V416" i="2"/>
  <c r="X418" i="2"/>
  <c r="V418" i="2"/>
  <c r="Z434" i="2"/>
  <c r="Z436" i="2" s="1"/>
  <c r="V485" i="2"/>
  <c r="X487" i="2"/>
  <c r="V487" i="2"/>
  <c r="T487" i="2"/>
  <c r="R487" i="2"/>
  <c r="X489" i="2"/>
  <c r="V489" i="2"/>
  <c r="T489" i="2"/>
  <c r="R489" i="2"/>
  <c r="Y469" i="2"/>
  <c r="Y471" i="2" s="1"/>
  <c r="T513" i="2"/>
  <c r="X517" i="2"/>
  <c r="V517" i="2"/>
  <c r="R517" i="2"/>
  <c r="R624" i="2"/>
  <c r="Q644" i="2"/>
  <c r="X384" i="2"/>
  <c r="X396" i="2"/>
  <c r="T436" i="2"/>
  <c r="R445" i="2"/>
  <c r="P447" i="2"/>
  <c r="L440" i="2"/>
  <c r="L441" i="2" s="1"/>
  <c r="L372" i="2" s="1"/>
  <c r="O471" i="2"/>
  <c r="O478" i="2"/>
  <c r="X515" i="2"/>
  <c r="G526" i="2"/>
  <c r="G553" i="2"/>
  <c r="G527" i="2" s="1"/>
  <c r="G9" i="2" s="1"/>
  <c r="K333" i="2"/>
  <c r="K336" i="2" s="1"/>
  <c r="S333" i="2"/>
  <c r="R343" i="2"/>
  <c r="T344" i="2"/>
  <c r="V346" i="2"/>
  <c r="R357" i="2"/>
  <c r="T359" i="2"/>
  <c r="R360" i="2"/>
  <c r="P364" i="2"/>
  <c r="R364" i="2" s="1"/>
  <c r="Y412" i="2"/>
  <c r="Z425" i="2"/>
  <c r="Z405" i="2" s="1"/>
  <c r="Z406" i="2" s="1"/>
  <c r="R424" i="2"/>
  <c r="T445" i="2"/>
  <c r="Q471" i="2"/>
  <c r="Q478" i="2"/>
  <c r="R475" i="2"/>
  <c r="X484" i="2"/>
  <c r="V484" i="2"/>
  <c r="T484" i="2"/>
  <c r="R484" i="2"/>
  <c r="Q469" i="2"/>
  <c r="V519" i="2"/>
  <c r="T568" i="2"/>
  <c r="K611" i="2"/>
  <c r="K612" i="2" s="1"/>
  <c r="P616" i="2"/>
  <c r="R423" i="2"/>
  <c r="P425" i="2"/>
  <c r="V425" i="2" s="1"/>
  <c r="V424" i="2"/>
  <c r="V445" i="2"/>
  <c r="X464" i="2"/>
  <c r="V464" i="2"/>
  <c r="T464" i="2"/>
  <c r="R464" i="2"/>
  <c r="I476" i="2"/>
  <c r="I469" i="2" s="1"/>
  <c r="R493" i="2"/>
  <c r="L520" i="2"/>
  <c r="L468" i="2"/>
  <c r="L471" i="2" s="1"/>
  <c r="Z520" i="2"/>
  <c r="X640" i="2"/>
  <c r="V640" i="2"/>
  <c r="T640" i="2"/>
  <c r="R640" i="2"/>
  <c r="P634" i="2"/>
  <c r="X507" i="2"/>
  <c r="V507" i="2"/>
  <c r="T507" i="2"/>
  <c r="K527" i="2"/>
  <c r="K9" i="2" s="1"/>
  <c r="K11" i="2" s="1"/>
  <c r="Z535" i="2"/>
  <c r="Z528" i="2"/>
  <c r="Z10" i="2" s="1"/>
  <c r="Z17" i="2" s="1"/>
  <c r="I526" i="2"/>
  <c r="X575" i="2"/>
  <c r="V575" i="2"/>
  <c r="T575" i="2"/>
  <c r="X619" i="2"/>
  <c r="V619" i="2"/>
  <c r="T619" i="2"/>
  <c r="H655" i="2"/>
  <c r="H645" i="2"/>
  <c r="H13" i="2" s="1"/>
  <c r="H14" i="2" s="1"/>
  <c r="P655" i="2"/>
  <c r="T655" i="2" s="1"/>
  <c r="P645" i="2"/>
  <c r="K554" i="2"/>
  <c r="K553" i="2"/>
  <c r="R575" i="2"/>
  <c r="R604" i="2"/>
  <c r="T604" i="2"/>
  <c r="U612" i="2"/>
  <c r="R619" i="2"/>
  <c r="H646" i="2"/>
  <c r="T652" i="2"/>
  <c r="I655" i="2"/>
  <c r="I645" i="2"/>
  <c r="I13" i="2" s="1"/>
  <c r="I14" i="2" s="1"/>
  <c r="Q655" i="2"/>
  <c r="Q645" i="2"/>
  <c r="R654" i="2"/>
  <c r="P436" i="2"/>
  <c r="K490" i="2"/>
  <c r="M494" i="2"/>
  <c r="U494" i="2"/>
  <c r="V494" i="2" s="1"/>
  <c r="T496" i="2"/>
  <c r="P519" i="2"/>
  <c r="X519" i="2" s="1"/>
  <c r="X516" i="2"/>
  <c r="V516" i="2"/>
  <c r="Q520" i="2"/>
  <c r="X533" i="2"/>
  <c r="P552" i="2"/>
  <c r="X562" i="2"/>
  <c r="V562" i="2"/>
  <c r="T562" i="2"/>
  <c r="V604" i="2"/>
  <c r="T654" i="2"/>
  <c r="P456" i="2"/>
  <c r="R463" i="2"/>
  <c r="S477" i="2"/>
  <c r="R491" i="2"/>
  <c r="V496" i="2"/>
  <c r="R516" i="2"/>
  <c r="W527" i="2"/>
  <c r="M535" i="2"/>
  <c r="X538" i="2"/>
  <c r="P533" i="2"/>
  <c r="V538" i="2"/>
  <c r="X540" i="2"/>
  <c r="V540" i="2"/>
  <c r="T540" i="2"/>
  <c r="R540" i="2"/>
  <c r="R560" i="2"/>
  <c r="R562" i="2"/>
  <c r="X585" i="2"/>
  <c r="V585" i="2"/>
  <c r="T585" i="2"/>
  <c r="X602" i="2"/>
  <c r="V602" i="2"/>
  <c r="T602" i="2"/>
  <c r="R602" i="2"/>
  <c r="X604" i="2"/>
  <c r="W625" i="2"/>
  <c r="X624" i="2"/>
  <c r="V634" i="2"/>
  <c r="V654" i="2"/>
  <c r="X508" i="2"/>
  <c r="V508" i="2"/>
  <c r="X543" i="2"/>
  <c r="V543" i="2"/>
  <c r="T543" i="2"/>
  <c r="U581" i="2"/>
  <c r="P593" i="2"/>
  <c r="X597" i="2"/>
  <c r="V597" i="2"/>
  <c r="T597" i="2"/>
  <c r="Y612" i="2"/>
  <c r="R461" i="2"/>
  <c r="U475" i="2"/>
  <c r="R483" i="2"/>
  <c r="X500" i="2"/>
  <c r="V500" i="2"/>
  <c r="T500" i="2"/>
  <c r="R508" i="2"/>
  <c r="R514" i="2"/>
  <c r="T515" i="2"/>
  <c r="R518" i="2"/>
  <c r="S535" i="2"/>
  <c r="T538" i="2"/>
  <c r="R541" i="2"/>
  <c r="R543" i="2"/>
  <c r="I553" i="2"/>
  <c r="I527" i="2" s="1"/>
  <c r="I9" i="2" s="1"/>
  <c r="V560" i="2"/>
  <c r="P568" i="2"/>
  <c r="X572" i="2"/>
  <c r="V572" i="2"/>
  <c r="T572" i="2"/>
  <c r="R597" i="2"/>
  <c r="X654" i="2"/>
  <c r="T508" i="2"/>
  <c r="V515" i="2"/>
  <c r="T541" i="2"/>
  <c r="X546" i="2"/>
  <c r="V546" i="2"/>
  <c r="X548" i="2"/>
  <c r="V548" i="2"/>
  <c r="T548" i="2"/>
  <c r="R548" i="2"/>
  <c r="Q569" i="2"/>
  <c r="R568" i="2"/>
  <c r="Y580" i="2"/>
  <c r="Y526" i="2"/>
  <c r="X606" i="2"/>
  <c r="V606" i="2"/>
  <c r="T606" i="2"/>
  <c r="M646" i="2"/>
  <c r="Y655" i="2"/>
  <c r="Y645" i="2"/>
  <c r="Y13" i="2" s="1"/>
  <c r="Y14" i="2" s="1"/>
  <c r="P652" i="2"/>
  <c r="R652" i="2" s="1"/>
  <c r="Z612" i="2"/>
  <c r="S646" i="2"/>
  <c r="W535" i="2"/>
  <c r="R587" i="2"/>
  <c r="R593" i="2"/>
  <c r="R599" i="2"/>
  <c r="R605" i="2"/>
  <c r="R650" i="2"/>
  <c r="R653" i="2"/>
  <c r="R545" i="2"/>
  <c r="R558" i="2"/>
  <c r="R564" i="2"/>
  <c r="R574" i="2"/>
  <c r="P580" i="2"/>
  <c r="R584" i="2"/>
  <c r="T587" i="2"/>
  <c r="T599" i="2"/>
  <c r="T605" i="2"/>
  <c r="P611" i="2"/>
  <c r="X611" i="2" s="1"/>
  <c r="R615" i="2"/>
  <c r="R618" i="2"/>
  <c r="U646" i="2"/>
  <c r="T650" i="2"/>
  <c r="T653" i="2"/>
  <c r="V587" i="2"/>
  <c r="V599" i="2"/>
  <c r="R601" i="2"/>
  <c r="V605" i="2"/>
  <c r="T615" i="2"/>
  <c r="T618" i="2"/>
  <c r="T630" i="2"/>
  <c r="R639" i="2"/>
  <c r="J645" i="2"/>
  <c r="J646" i="2" s="1"/>
  <c r="Z645" i="2"/>
  <c r="Z13" i="2" s="1"/>
  <c r="V650" i="2"/>
  <c r="V653" i="2"/>
  <c r="Z526" i="2"/>
  <c r="S121" i="1" l="1"/>
  <c r="Q121" i="1"/>
  <c r="M80" i="1"/>
  <c r="O121" i="1"/>
  <c r="U121" i="1"/>
  <c r="T267" i="2"/>
  <c r="X267" i="2"/>
  <c r="R267" i="2"/>
  <c r="V267" i="2"/>
  <c r="V655" i="2"/>
  <c r="Y8" i="2"/>
  <c r="P569" i="2"/>
  <c r="V568" i="2"/>
  <c r="V505" i="2"/>
  <c r="X552" i="2"/>
  <c r="V552" i="2"/>
  <c r="T552" i="2"/>
  <c r="P526" i="2"/>
  <c r="R552" i="2"/>
  <c r="P553" i="2"/>
  <c r="P635" i="2"/>
  <c r="T634" i="2"/>
  <c r="R634" i="2"/>
  <c r="X634" i="2"/>
  <c r="G529" i="2"/>
  <c r="G8" i="2"/>
  <c r="G11" i="2" s="1"/>
  <c r="P440" i="2"/>
  <c r="X447" i="2"/>
  <c r="T447" i="2"/>
  <c r="R447" i="2"/>
  <c r="H371" i="2"/>
  <c r="H373" i="2" s="1"/>
  <c r="H379" i="2"/>
  <c r="L379" i="2"/>
  <c r="L371" i="2"/>
  <c r="L373" i="2" s="1"/>
  <c r="K379" i="2"/>
  <c r="K371" i="2"/>
  <c r="K373" i="2" s="1"/>
  <c r="T377" i="2"/>
  <c r="S379" i="2"/>
  <c r="S371" i="2"/>
  <c r="K301" i="2"/>
  <c r="K290" i="2"/>
  <c r="K282" i="2" s="1"/>
  <c r="W217" i="2"/>
  <c r="V371" i="2"/>
  <c r="P215" i="2"/>
  <c r="X225" i="2"/>
  <c r="P228" i="2"/>
  <c r="X256" i="2"/>
  <c r="U156" i="2"/>
  <c r="V191" i="2"/>
  <c r="X154" i="2"/>
  <c r="W157" i="2"/>
  <c r="R169" i="2"/>
  <c r="Q25" i="2"/>
  <c r="Q217" i="2"/>
  <c r="R215" i="2"/>
  <c r="L4" i="2"/>
  <c r="L16" i="2" s="1"/>
  <c r="R200" i="2"/>
  <c r="X200" i="2"/>
  <c r="G17" i="1"/>
  <c r="G22" i="1" s="1"/>
  <c r="G7" i="1"/>
  <c r="N83" i="1"/>
  <c r="N3" i="1"/>
  <c r="Q34" i="2"/>
  <c r="O6" i="1"/>
  <c r="V150" i="2"/>
  <c r="T150" i="2"/>
  <c r="Z154" i="2"/>
  <c r="X150" i="2"/>
  <c r="R73" i="2"/>
  <c r="G24" i="2"/>
  <c r="G34" i="2"/>
  <c r="T82" i="1"/>
  <c r="U126" i="1"/>
  <c r="Z18" i="2"/>
  <c r="H3" i="1"/>
  <c r="H83" i="1"/>
  <c r="H4" i="1"/>
  <c r="H18" i="1" s="1"/>
  <c r="H27" i="1"/>
  <c r="V27" i="1"/>
  <c r="V4" i="1"/>
  <c r="W47" i="1"/>
  <c r="S8" i="1"/>
  <c r="S284" i="2"/>
  <c r="Y298" i="2"/>
  <c r="Z297" i="2"/>
  <c r="Z298" i="2" s="1"/>
  <c r="X170" i="2"/>
  <c r="V170" i="2"/>
  <c r="P172" i="2"/>
  <c r="T170" i="2"/>
  <c r="R170" i="2"/>
  <c r="Y379" i="2"/>
  <c r="U243" i="2"/>
  <c r="X350" i="2"/>
  <c r="V350" i="2"/>
  <c r="T350" i="2"/>
  <c r="R350" i="2"/>
  <c r="P351" i="2"/>
  <c r="V270" i="2"/>
  <c r="Z170" i="2"/>
  <c r="Z172" i="2" s="1"/>
  <c r="Z156" i="2" s="1"/>
  <c r="Y172" i="2"/>
  <c r="Y156" i="2" s="1"/>
  <c r="Y6" i="2" s="1"/>
  <c r="Y19" i="2" s="1"/>
  <c r="X269" i="2"/>
  <c r="V74" i="2"/>
  <c r="T74" i="2"/>
  <c r="R74" i="2"/>
  <c r="P76" i="2"/>
  <c r="X74" i="2"/>
  <c r="X40" i="2"/>
  <c r="V40" i="2"/>
  <c r="T40" i="2"/>
  <c r="R40" i="2"/>
  <c r="R68" i="2"/>
  <c r="R65" i="2"/>
  <c r="P68" i="2"/>
  <c r="V65" i="2"/>
  <c r="O4" i="2"/>
  <c r="O16" i="2" s="1"/>
  <c r="I3" i="2"/>
  <c r="I27" i="2"/>
  <c r="K310" i="2"/>
  <c r="P309" i="2"/>
  <c r="I18" i="2"/>
  <c r="U40" i="1"/>
  <c r="M26" i="1"/>
  <c r="O53" i="1"/>
  <c r="K3" i="1"/>
  <c r="S40" i="1"/>
  <c r="Y527" i="2"/>
  <c r="Y9" i="2" s="1"/>
  <c r="Y581" i="2"/>
  <c r="V475" i="2"/>
  <c r="U468" i="2"/>
  <c r="U478" i="2"/>
  <c r="U34" i="2"/>
  <c r="U24" i="2"/>
  <c r="Z529" i="2"/>
  <c r="Z8" i="2"/>
  <c r="Z11" i="2" s="1"/>
  <c r="K494" i="2"/>
  <c r="K476" i="2"/>
  <c r="X655" i="2"/>
  <c r="P594" i="2"/>
  <c r="V593" i="2"/>
  <c r="R533" i="2"/>
  <c r="P535" i="2"/>
  <c r="T533" i="2"/>
  <c r="V533" i="2"/>
  <c r="T477" i="2"/>
  <c r="S470" i="2"/>
  <c r="R436" i="2"/>
  <c r="V436" i="2"/>
  <c r="X593" i="2"/>
  <c r="K529" i="2"/>
  <c r="Y405" i="2"/>
  <c r="Y406" i="2" s="1"/>
  <c r="Y372" i="2" s="1"/>
  <c r="Y373" i="2" s="1"/>
  <c r="T333" i="2"/>
  <c r="S281" i="2"/>
  <c r="S336" i="2"/>
  <c r="T505" i="2"/>
  <c r="X412" i="2"/>
  <c r="T412" i="2"/>
  <c r="G336" i="2"/>
  <c r="R203" i="2"/>
  <c r="V203" i="2"/>
  <c r="X203" i="2"/>
  <c r="T203" i="2"/>
  <c r="P205" i="2"/>
  <c r="H478" i="2"/>
  <c r="H468" i="2"/>
  <c r="H471" i="2" s="1"/>
  <c r="X298" i="2"/>
  <c r="V333" i="2"/>
  <c r="R333" i="2"/>
  <c r="X124" i="2"/>
  <c r="V124" i="2"/>
  <c r="P125" i="2"/>
  <c r="R124" i="2"/>
  <c r="T124" i="2"/>
  <c r="T223" i="2"/>
  <c r="R223" i="2"/>
  <c r="X223" i="2"/>
  <c r="V223" i="2"/>
  <c r="X119" i="2"/>
  <c r="V154" i="2"/>
  <c r="U157" i="2"/>
  <c r="K45" i="2"/>
  <c r="T112" i="2"/>
  <c r="Q157" i="2"/>
  <c r="R154" i="2"/>
  <c r="W121" i="1"/>
  <c r="W80" i="1" s="1"/>
  <c r="W83" i="1" s="1"/>
  <c r="L34" i="2"/>
  <c r="H18" i="2"/>
  <c r="Z50" i="2"/>
  <c r="Z51" i="2"/>
  <c r="Z55" i="2" s="1"/>
  <c r="Z32" i="2" s="1"/>
  <c r="Z25" i="2" s="1"/>
  <c r="P94" i="2"/>
  <c r="V94" i="2" s="1"/>
  <c r="X91" i="2"/>
  <c r="O46" i="1"/>
  <c r="W4" i="1"/>
  <c r="W18" i="1" s="1"/>
  <c r="Q40" i="1"/>
  <c r="R580" i="2"/>
  <c r="P581" i="2"/>
  <c r="V581" i="2" s="1"/>
  <c r="T580" i="2"/>
  <c r="T475" i="2"/>
  <c r="P468" i="2"/>
  <c r="R569" i="2"/>
  <c r="X535" i="2"/>
  <c r="X568" i="2"/>
  <c r="I554" i="2"/>
  <c r="X425" i="2"/>
  <c r="T425" i="2"/>
  <c r="R379" i="2"/>
  <c r="Z476" i="2"/>
  <c r="Z494" i="2"/>
  <c r="P270" i="2"/>
  <c r="X262" i="2"/>
  <c r="P240" i="2"/>
  <c r="T262" i="2"/>
  <c r="Y313" i="2"/>
  <c r="Y289" i="2"/>
  <c r="W282" i="2"/>
  <c r="W285" i="2" s="1"/>
  <c r="S283" i="2"/>
  <c r="P367" i="2"/>
  <c r="O292" i="2"/>
  <c r="O281" i="2"/>
  <c r="O285" i="2" s="1"/>
  <c r="T257" i="2"/>
  <c r="P77" i="2"/>
  <c r="X73" i="2"/>
  <c r="T73" i="2"/>
  <c r="R270" i="2"/>
  <c r="K228" i="2"/>
  <c r="K215" i="2"/>
  <c r="K217" i="2" s="1"/>
  <c r="R150" i="2"/>
  <c r="T137" i="2"/>
  <c r="R137" i="2"/>
  <c r="N292" i="2"/>
  <c r="N281" i="2"/>
  <c r="N285" i="2" s="1"/>
  <c r="O24" i="2"/>
  <c r="O34" i="2"/>
  <c r="W26" i="2"/>
  <c r="G4" i="2"/>
  <c r="G16" i="2" s="1"/>
  <c r="L27" i="2"/>
  <c r="M14" i="1"/>
  <c r="U133" i="1"/>
  <c r="S133" i="1"/>
  <c r="O133" i="1"/>
  <c r="U26" i="2"/>
  <c r="T645" i="2"/>
  <c r="P13" i="2"/>
  <c r="R611" i="2"/>
  <c r="P612" i="2"/>
  <c r="T611" i="2"/>
  <c r="X580" i="2"/>
  <c r="V580" i="2"/>
  <c r="V456" i="2"/>
  <c r="R456" i="2"/>
  <c r="P457" i="2"/>
  <c r="X456" i="2"/>
  <c r="T456" i="2"/>
  <c r="R645" i="2"/>
  <c r="Q13" i="2"/>
  <c r="I529" i="2"/>
  <c r="I8" i="2"/>
  <c r="I11" i="2" s="1"/>
  <c r="Y494" i="2"/>
  <c r="V447" i="2"/>
  <c r="I646" i="2"/>
  <c r="R505" i="2"/>
  <c r="W406" i="2"/>
  <c r="P520" i="2"/>
  <c r="R520" i="2" s="1"/>
  <c r="V412" i="2"/>
  <c r="Y478" i="2"/>
  <c r="X475" i="2"/>
  <c r="X248" i="2"/>
  <c r="P241" i="2"/>
  <c r="T248" i="2"/>
  <c r="P405" i="2"/>
  <c r="R269" i="2"/>
  <c r="P242" i="2"/>
  <c r="V269" i="2"/>
  <c r="N336" i="2"/>
  <c r="V256" i="2"/>
  <c r="P257" i="2"/>
  <c r="R256" i="2"/>
  <c r="X333" i="2"/>
  <c r="Z242" i="2"/>
  <c r="Z243" i="2" s="1"/>
  <c r="Z270" i="2"/>
  <c r="Y646" i="2"/>
  <c r="R248" i="2"/>
  <c r="V227" i="2"/>
  <c r="T227" i="2"/>
  <c r="X227" i="2"/>
  <c r="R227" i="2"/>
  <c r="P216" i="2"/>
  <c r="Y208" i="2"/>
  <c r="U282" i="2"/>
  <c r="P42" i="2"/>
  <c r="R241" i="2"/>
  <c r="Q243" i="2"/>
  <c r="T241" i="2"/>
  <c r="X112" i="2"/>
  <c r="T169" i="2"/>
  <c r="V119" i="2"/>
  <c r="K58" i="2"/>
  <c r="K31" i="2"/>
  <c r="T119" i="2"/>
  <c r="Z111" i="2"/>
  <c r="Z112" i="2" s="1"/>
  <c r="Z120" i="2" s="1"/>
  <c r="Y112" i="2"/>
  <c r="Y120" i="2" s="1"/>
  <c r="U111" i="1"/>
  <c r="Q111" i="1"/>
  <c r="O111" i="1"/>
  <c r="S111" i="1"/>
  <c r="M10" i="1"/>
  <c r="O10" i="1" s="1"/>
  <c r="O8" i="1"/>
  <c r="Q133" i="1"/>
  <c r="I34" i="2"/>
  <c r="I7" i="1"/>
  <c r="D7" i="1"/>
  <c r="V83" i="1"/>
  <c r="T17" i="1"/>
  <c r="Q406" i="2"/>
  <c r="X94" i="2"/>
  <c r="W529" i="2"/>
  <c r="W9" i="2"/>
  <c r="T519" i="2"/>
  <c r="R519" i="2"/>
  <c r="R655" i="2"/>
  <c r="Q646" i="2"/>
  <c r="X494" i="2"/>
  <c r="S372" i="2"/>
  <c r="P477" i="2"/>
  <c r="X493" i="2"/>
  <c r="V493" i="2"/>
  <c r="I478" i="2"/>
  <c r="V364" i="2"/>
  <c r="Z646" i="2"/>
  <c r="S471" i="2"/>
  <c r="J478" i="2"/>
  <c r="J468" i="2"/>
  <c r="J471" i="2" s="1"/>
  <c r="X312" i="2"/>
  <c r="R494" i="2"/>
  <c r="X300" i="2"/>
  <c r="P291" i="2"/>
  <c r="T291" i="2" s="1"/>
  <c r="R300" i="2"/>
  <c r="Z389" i="2"/>
  <c r="Z378" i="2"/>
  <c r="M285" i="2"/>
  <c r="M3" i="2"/>
  <c r="R298" i="2"/>
  <c r="T115" i="2"/>
  <c r="X115" i="2"/>
  <c r="V115" i="2"/>
  <c r="P117" i="2"/>
  <c r="R115" i="2"/>
  <c r="G292" i="2"/>
  <c r="G281" i="2"/>
  <c r="G285" i="2" s="1"/>
  <c r="N34" i="2"/>
  <c r="N24" i="2"/>
  <c r="P51" i="2"/>
  <c r="K55" i="2"/>
  <c r="K32" i="2" s="1"/>
  <c r="K25" i="2" s="1"/>
  <c r="R225" i="2"/>
  <c r="S25" i="2"/>
  <c r="Y173" i="2"/>
  <c r="Y154" i="2"/>
  <c r="Y157" i="2" s="1"/>
  <c r="K120" i="2"/>
  <c r="U10" i="1"/>
  <c r="S134" i="1"/>
  <c r="Q134" i="1"/>
  <c r="M15" i="1"/>
  <c r="O134" i="1"/>
  <c r="W24" i="2"/>
  <c r="W34" i="2"/>
  <c r="M135" i="1"/>
  <c r="O130" i="1"/>
  <c r="M11" i="1"/>
  <c r="S130" i="1"/>
  <c r="Q130" i="1"/>
  <c r="H4" i="2"/>
  <c r="H16" i="2" s="1"/>
  <c r="Y31" i="2"/>
  <c r="Y58" i="2"/>
  <c r="Q60" i="1"/>
  <c r="O60" i="1"/>
  <c r="S60" i="1"/>
  <c r="M45" i="1"/>
  <c r="P6" i="1"/>
  <c r="Q46" i="1"/>
  <c r="I17" i="1"/>
  <c r="I22" i="1" s="1"/>
  <c r="S46" i="1"/>
  <c r="N18" i="1"/>
  <c r="X645" i="2"/>
  <c r="V645" i="2"/>
  <c r="X652" i="2"/>
  <c r="P644" i="2"/>
  <c r="T593" i="2"/>
  <c r="T535" i="2"/>
  <c r="V652" i="2"/>
  <c r="V611" i="2"/>
  <c r="X616" i="2"/>
  <c r="V616" i="2"/>
  <c r="T616" i="2"/>
  <c r="R616" i="2"/>
  <c r="G554" i="2"/>
  <c r="P371" i="2"/>
  <c r="X371" i="2" s="1"/>
  <c r="R377" i="2"/>
  <c r="P379" i="2"/>
  <c r="X379" i="2" s="1"/>
  <c r="H285" i="2"/>
  <c r="H3" i="2"/>
  <c r="V378" i="2"/>
  <c r="U372" i="2"/>
  <c r="P625" i="2"/>
  <c r="X625" i="2" s="1"/>
  <c r="T624" i="2"/>
  <c r="V624" i="2"/>
  <c r="S478" i="2"/>
  <c r="X265" i="2"/>
  <c r="V265" i="2"/>
  <c r="T265" i="2"/>
  <c r="R265" i="2"/>
  <c r="P290" i="2"/>
  <c r="V290" i="2" s="1"/>
  <c r="P301" i="2"/>
  <c r="R301" i="2" s="1"/>
  <c r="V298" i="2"/>
  <c r="X297" i="2"/>
  <c r="V297" i="2"/>
  <c r="T297" i="2"/>
  <c r="R297" i="2"/>
  <c r="X366" i="2"/>
  <c r="V366" i="2"/>
  <c r="P335" i="2"/>
  <c r="T335" i="2" s="1"/>
  <c r="R389" i="2"/>
  <c r="P476" i="2"/>
  <c r="R490" i="2"/>
  <c r="X490" i="2"/>
  <c r="U379" i="2"/>
  <c r="R321" i="2"/>
  <c r="X321" i="2"/>
  <c r="T321" i="2"/>
  <c r="R192" i="2"/>
  <c r="P120" i="2"/>
  <c r="X388" i="2"/>
  <c r="P378" i="2"/>
  <c r="V388" i="2"/>
  <c r="X192" i="2"/>
  <c r="I4" i="2"/>
  <c r="I16" i="2" s="1"/>
  <c r="V112" i="2"/>
  <c r="P50" i="2"/>
  <c r="X49" i="2"/>
  <c r="V49" i="2"/>
  <c r="T49" i="2"/>
  <c r="R49" i="2"/>
  <c r="R228" i="2"/>
  <c r="V93" i="2"/>
  <c r="X93" i="2"/>
  <c r="R93" i="2"/>
  <c r="J24" i="2"/>
  <c r="J34" i="2"/>
  <c r="Q6" i="2"/>
  <c r="R120" i="2"/>
  <c r="U292" i="2"/>
  <c r="T57" i="2"/>
  <c r="P33" i="2"/>
  <c r="X57" i="2"/>
  <c r="M12" i="1"/>
  <c r="U131" i="1"/>
  <c r="S131" i="1"/>
  <c r="O131" i="1"/>
  <c r="M34" i="2"/>
  <c r="M25" i="2"/>
  <c r="Y18" i="2"/>
  <c r="M44" i="1"/>
  <c r="S53" i="1"/>
  <c r="Q8" i="1"/>
  <c r="W3" i="1"/>
  <c r="Q3" i="2"/>
  <c r="Q27" i="2"/>
  <c r="T4" i="1"/>
  <c r="U45" i="1"/>
  <c r="T47" i="1"/>
  <c r="T6" i="1"/>
  <c r="U46" i="1"/>
  <c r="F7" i="1"/>
  <c r="S6" i="1"/>
  <c r="U6" i="1" l="1"/>
  <c r="T21" i="1"/>
  <c r="V372" i="2"/>
  <c r="X612" i="2"/>
  <c r="R612" i="2"/>
  <c r="T612" i="2"/>
  <c r="O14" i="1"/>
  <c r="S14" i="1"/>
  <c r="M20" i="1"/>
  <c r="U14" i="1"/>
  <c r="Q14" i="1"/>
  <c r="T468" i="2"/>
  <c r="X468" i="2"/>
  <c r="R468" i="2"/>
  <c r="R94" i="2"/>
  <c r="U27" i="2"/>
  <c r="U3" i="2"/>
  <c r="U82" i="1"/>
  <c r="T83" i="1"/>
  <c r="Q15" i="2"/>
  <c r="P26" i="2"/>
  <c r="T33" i="2"/>
  <c r="R33" i="2"/>
  <c r="P58" i="2"/>
  <c r="V50" i="2"/>
  <c r="P31" i="2"/>
  <c r="R50" i="2"/>
  <c r="X50" i="2"/>
  <c r="T50" i="2"/>
  <c r="T120" i="2"/>
  <c r="X120" i="2"/>
  <c r="P646" i="2"/>
  <c r="X644" i="2"/>
  <c r="T644" i="2"/>
  <c r="V644" i="2"/>
  <c r="M16" i="1"/>
  <c r="S11" i="1"/>
  <c r="Q11" i="1"/>
  <c r="U11" i="1"/>
  <c r="O11" i="1"/>
  <c r="R644" i="2"/>
  <c r="T301" i="2"/>
  <c r="R457" i="2"/>
  <c r="V457" i="2"/>
  <c r="T457" i="2"/>
  <c r="X457" i="2"/>
  <c r="L3" i="2"/>
  <c r="O27" i="2"/>
  <c r="O3" i="2"/>
  <c r="S285" i="2"/>
  <c r="S3" i="2"/>
  <c r="X309" i="2"/>
  <c r="V309" i="2"/>
  <c r="T309" i="2"/>
  <c r="R309" i="2"/>
  <c r="P310" i="2"/>
  <c r="T351" i="2"/>
  <c r="R351" i="2"/>
  <c r="X351" i="2"/>
  <c r="V351" i="2"/>
  <c r="P334" i="2"/>
  <c r="P282" i="2" s="1"/>
  <c r="P217" i="2"/>
  <c r="T215" i="2"/>
  <c r="V215" i="2"/>
  <c r="R635" i="2"/>
  <c r="T635" i="2"/>
  <c r="V635" i="2"/>
  <c r="X635" i="2"/>
  <c r="T478" i="2"/>
  <c r="X216" i="2"/>
  <c r="V216" i="2"/>
  <c r="T216" i="2"/>
  <c r="R216" i="2"/>
  <c r="J27" i="2"/>
  <c r="J3" i="2"/>
  <c r="S15" i="1"/>
  <c r="U15" i="1"/>
  <c r="O15" i="1"/>
  <c r="Q15" i="1"/>
  <c r="Z289" i="2"/>
  <c r="Y281" i="2"/>
  <c r="S6" i="2"/>
  <c r="M83" i="1"/>
  <c r="Q80" i="1"/>
  <c r="S80" i="1"/>
  <c r="U80" i="1"/>
  <c r="M4" i="2"/>
  <c r="M16" i="2" s="1"/>
  <c r="M27" i="2"/>
  <c r="X476" i="2"/>
  <c r="P469" i="2"/>
  <c r="V476" i="2"/>
  <c r="R476" i="2"/>
  <c r="T476" i="2"/>
  <c r="H15" i="2"/>
  <c r="H20" i="2" s="1"/>
  <c r="E147" i="1" s="1"/>
  <c r="H7" i="2"/>
  <c r="S4" i="2"/>
  <c r="S27" i="2"/>
  <c r="M15" i="2"/>
  <c r="M20" i="2" s="1"/>
  <c r="J147" i="1" s="1"/>
  <c r="M7" i="2"/>
  <c r="X242" i="2"/>
  <c r="T242" i="2"/>
  <c r="R242" i="2"/>
  <c r="V242" i="2"/>
  <c r="P478" i="2"/>
  <c r="P129" i="2"/>
  <c r="V125" i="2"/>
  <c r="R125" i="2"/>
  <c r="X125" i="2"/>
  <c r="T125" i="2"/>
  <c r="T594" i="2"/>
  <c r="V594" i="2"/>
  <c r="R594" i="2"/>
  <c r="X594" i="2"/>
  <c r="K7" i="1"/>
  <c r="K17" i="1"/>
  <c r="K22" i="1" s="1"/>
  <c r="K313" i="2"/>
  <c r="K315" i="2" s="1"/>
  <c r="P315" i="2" s="1"/>
  <c r="K289" i="2"/>
  <c r="Q10" i="1"/>
  <c r="G3" i="2"/>
  <c r="G27" i="2"/>
  <c r="U373" i="2"/>
  <c r="V612" i="2"/>
  <c r="V26" i="2"/>
  <c r="U6" i="2"/>
  <c r="V367" i="2"/>
  <c r="X367" i="2"/>
  <c r="T367" i="2"/>
  <c r="R367" i="2"/>
  <c r="U4" i="2"/>
  <c r="P441" i="2"/>
  <c r="R440" i="2"/>
  <c r="V440" i="2"/>
  <c r="T440" i="2"/>
  <c r="X440" i="2"/>
  <c r="Z372" i="2"/>
  <c r="Z373" i="2" s="1"/>
  <c r="Z379" i="2"/>
  <c r="P406" i="2"/>
  <c r="T405" i="2"/>
  <c r="V405" i="2"/>
  <c r="X520" i="2"/>
  <c r="V520" i="2"/>
  <c r="T520" i="2"/>
  <c r="T13" i="2"/>
  <c r="P14" i="2"/>
  <c r="V13" i="2"/>
  <c r="X13" i="2"/>
  <c r="V33" i="2"/>
  <c r="X33" i="2"/>
  <c r="S5" i="2"/>
  <c r="X581" i="2"/>
  <c r="R581" i="2"/>
  <c r="T581" i="2"/>
  <c r="T205" i="2"/>
  <c r="X205" i="2"/>
  <c r="R205" i="2"/>
  <c r="V205" i="2"/>
  <c r="K478" i="2"/>
  <c r="K469" i="2"/>
  <c r="K471" i="2" s="1"/>
  <c r="V478" i="2"/>
  <c r="I15" i="2"/>
  <c r="I20" i="2" s="1"/>
  <c r="F147" i="1" s="1"/>
  <c r="I7" i="2"/>
  <c r="H7" i="1"/>
  <c r="H17" i="1"/>
  <c r="H22" i="1" s="1"/>
  <c r="R217" i="2"/>
  <c r="X217" i="2"/>
  <c r="T379" i="2"/>
  <c r="T569" i="2"/>
  <c r="X569" i="2"/>
  <c r="V569" i="2"/>
  <c r="W17" i="1"/>
  <c r="W22" i="1" s="1"/>
  <c r="W7" i="1"/>
  <c r="O135" i="1"/>
  <c r="Q135" i="1"/>
  <c r="S135" i="1"/>
  <c r="X240" i="2"/>
  <c r="P243" i="2"/>
  <c r="T240" i="2"/>
  <c r="R240" i="2"/>
  <c r="X172" i="2"/>
  <c r="R172" i="2"/>
  <c r="P156" i="2"/>
  <c r="V172" i="2"/>
  <c r="T172" i="2"/>
  <c r="P173" i="2"/>
  <c r="M21" i="1"/>
  <c r="T371" i="2"/>
  <c r="S373" i="2"/>
  <c r="T373" i="2" s="1"/>
  <c r="V553" i="2"/>
  <c r="X553" i="2"/>
  <c r="R553" i="2"/>
  <c r="T553" i="2"/>
  <c r="U47" i="1"/>
  <c r="P284" i="2"/>
  <c r="R335" i="2"/>
  <c r="X335" i="2"/>
  <c r="V335" i="2"/>
  <c r="V301" i="2"/>
  <c r="X301" i="2"/>
  <c r="R406" i="2"/>
  <c r="Q19" i="2"/>
  <c r="P21" i="1"/>
  <c r="Q6" i="1"/>
  <c r="P7" i="1"/>
  <c r="U285" i="2"/>
  <c r="X51" i="2"/>
  <c r="R51" i="2"/>
  <c r="T51" i="2"/>
  <c r="V51" i="2"/>
  <c r="P55" i="2"/>
  <c r="T117" i="2"/>
  <c r="R117" i="2"/>
  <c r="X117" i="2"/>
  <c r="V117" i="2"/>
  <c r="V477" i="2"/>
  <c r="P470" i="2"/>
  <c r="P471" i="2" s="1"/>
  <c r="R477" i="2"/>
  <c r="X477" i="2"/>
  <c r="R405" i="2"/>
  <c r="X405" i="2"/>
  <c r="R13" i="2"/>
  <c r="Q14" i="2"/>
  <c r="R14" i="2" s="1"/>
  <c r="Q18" i="2"/>
  <c r="X26" i="2"/>
  <c r="W6" i="2"/>
  <c r="T77" i="2"/>
  <c r="R77" i="2"/>
  <c r="X77" i="2"/>
  <c r="V77" i="2"/>
  <c r="X270" i="2"/>
  <c r="T270" i="2"/>
  <c r="Z31" i="2"/>
  <c r="Z58" i="2"/>
  <c r="V468" i="2"/>
  <c r="U471" i="2"/>
  <c r="V18" i="1"/>
  <c r="V22" i="1" s="1"/>
  <c r="V7" i="1"/>
  <c r="V156" i="2"/>
  <c r="X215" i="2"/>
  <c r="P554" i="2"/>
  <c r="Y11" i="2"/>
  <c r="Y34" i="2"/>
  <c r="Y24" i="2"/>
  <c r="R290" i="2"/>
  <c r="T290" i="2"/>
  <c r="T18" i="1"/>
  <c r="Q44" i="1"/>
  <c r="M3" i="1"/>
  <c r="O3" i="1" s="1"/>
  <c r="S44" i="1"/>
  <c r="U44" i="1"/>
  <c r="O44" i="1"/>
  <c r="X378" i="2"/>
  <c r="P372" i="2"/>
  <c r="R625" i="2"/>
  <c r="T625" i="2"/>
  <c r="V625" i="2"/>
  <c r="U135" i="1"/>
  <c r="W3" i="2"/>
  <c r="W27" i="2"/>
  <c r="V120" i="2"/>
  <c r="T378" i="2"/>
  <c r="W11" i="2"/>
  <c r="R257" i="2"/>
  <c r="X257" i="2"/>
  <c r="V257" i="2"/>
  <c r="X241" i="2"/>
  <c r="V241" i="2"/>
  <c r="X406" i="2"/>
  <c r="W372" i="2"/>
  <c r="W4" i="2" s="1"/>
  <c r="T94" i="2"/>
  <c r="R378" i="2"/>
  <c r="P527" i="2"/>
  <c r="M27" i="1"/>
  <c r="M4" i="1"/>
  <c r="S26" i="1"/>
  <c r="U26" i="1"/>
  <c r="Q26" i="1"/>
  <c r="O26" i="1"/>
  <c r="V240" i="2"/>
  <c r="Z301" i="2"/>
  <c r="Z290" i="2"/>
  <c r="Z282" i="2" s="1"/>
  <c r="Z4" i="2" s="1"/>
  <c r="Z16" i="2" s="1"/>
  <c r="Z157" i="2"/>
  <c r="O80" i="1"/>
  <c r="P208" i="2"/>
  <c r="R526" i="2"/>
  <c r="T526" i="2"/>
  <c r="V526" i="2"/>
  <c r="P8" i="2"/>
  <c r="X526" i="2"/>
  <c r="Y529" i="2"/>
  <c r="O12" i="1"/>
  <c r="S12" i="1"/>
  <c r="Q12" i="1"/>
  <c r="U12" i="1"/>
  <c r="V379" i="2"/>
  <c r="P373" i="2"/>
  <c r="R371" i="2"/>
  <c r="M47" i="1"/>
  <c r="S45" i="1"/>
  <c r="O45" i="1"/>
  <c r="Q45" i="1"/>
  <c r="N27" i="2"/>
  <c r="N3" i="2"/>
  <c r="P283" i="2"/>
  <c r="T283" i="2" s="1"/>
  <c r="R291" i="2"/>
  <c r="V291" i="2"/>
  <c r="X291" i="2"/>
  <c r="T372" i="2"/>
  <c r="T7" i="1"/>
  <c r="K34" i="2"/>
  <c r="K24" i="2"/>
  <c r="X42" i="2"/>
  <c r="P45" i="2"/>
  <c r="T42" i="2"/>
  <c r="P32" i="2"/>
  <c r="R42" i="2"/>
  <c r="V42" i="2"/>
  <c r="Q372" i="2"/>
  <c r="X290" i="2"/>
  <c r="Z469" i="2"/>
  <c r="Z471" i="2" s="1"/>
  <c r="Z478" i="2"/>
  <c r="V535" i="2"/>
  <c r="R535" i="2"/>
  <c r="V68" i="2"/>
  <c r="T68" i="2"/>
  <c r="X68" i="2"/>
  <c r="T76" i="2"/>
  <c r="V76" i="2"/>
  <c r="X76" i="2"/>
  <c r="R76" i="2"/>
  <c r="Z6" i="2"/>
  <c r="Z19" i="2" s="1"/>
  <c r="Y301" i="2"/>
  <c r="Y290" i="2"/>
  <c r="Y282" i="2" s="1"/>
  <c r="Y4" i="2" s="1"/>
  <c r="Y16" i="2" s="1"/>
  <c r="S10" i="1"/>
  <c r="Z173" i="2"/>
  <c r="N17" i="1"/>
  <c r="N7" i="1"/>
  <c r="P155" i="2"/>
  <c r="X228" i="2"/>
  <c r="T228" i="2"/>
  <c r="V228" i="2"/>
  <c r="X471" i="2" l="1"/>
  <c r="R471" i="2"/>
  <c r="T471" i="2"/>
  <c r="T282" i="2"/>
  <c r="R282" i="2"/>
  <c r="V282" i="2"/>
  <c r="X282" i="2"/>
  <c r="W16" i="2"/>
  <c r="W19" i="2"/>
  <c r="P25" i="2"/>
  <c r="X32" i="2"/>
  <c r="V32" i="2"/>
  <c r="R32" i="2"/>
  <c r="T32" i="2"/>
  <c r="O21" i="1"/>
  <c r="S21" i="1"/>
  <c r="X243" i="2"/>
  <c r="T243" i="2"/>
  <c r="R372" i="2"/>
  <c r="Q373" i="2"/>
  <c r="R373" i="2" s="1"/>
  <c r="N15" i="2"/>
  <c r="N20" i="2" s="1"/>
  <c r="K147" i="1" s="1"/>
  <c r="N7" i="2"/>
  <c r="X8" i="2"/>
  <c r="V8" i="2"/>
  <c r="T8" i="2"/>
  <c r="R8" i="2"/>
  <c r="U27" i="1"/>
  <c r="S27" i="1"/>
  <c r="Q27" i="1"/>
  <c r="O27" i="1"/>
  <c r="Z292" i="2"/>
  <c r="Z281" i="2"/>
  <c r="Z285" i="2" s="1"/>
  <c r="U16" i="1"/>
  <c r="S16" i="1"/>
  <c r="Q16" i="1"/>
  <c r="O16" i="1"/>
  <c r="P9" i="2"/>
  <c r="T527" i="2"/>
  <c r="R527" i="2"/>
  <c r="V527" i="2"/>
  <c r="X527" i="2"/>
  <c r="S83" i="1"/>
  <c r="Q83" i="1"/>
  <c r="V310" i="2"/>
  <c r="P289" i="2"/>
  <c r="P313" i="2"/>
  <c r="R310" i="2"/>
  <c r="T310" i="2"/>
  <c r="X310" i="2"/>
  <c r="X155" i="2"/>
  <c r="R155" i="2"/>
  <c r="P157" i="2"/>
  <c r="V155" i="2"/>
  <c r="T155" i="2"/>
  <c r="V243" i="2"/>
  <c r="Q4" i="2"/>
  <c r="Z24" i="2"/>
  <c r="Z34" i="2"/>
  <c r="X55" i="2"/>
  <c r="V55" i="2"/>
  <c r="T55" i="2"/>
  <c r="R55" i="2"/>
  <c r="Q21" i="1"/>
  <c r="P22" i="1"/>
  <c r="G7" i="2"/>
  <c r="G15" i="2"/>
  <c r="G20" i="2" s="1"/>
  <c r="D147" i="1" s="1"/>
  <c r="R478" i="2"/>
  <c r="X478" i="2"/>
  <c r="X469" i="2"/>
  <c r="V469" i="2"/>
  <c r="T469" i="2"/>
  <c r="R469" i="2"/>
  <c r="O83" i="1"/>
  <c r="V217" i="2"/>
  <c r="T217" i="2"/>
  <c r="P24" i="2"/>
  <c r="P34" i="2"/>
  <c r="T31" i="2"/>
  <c r="R31" i="2"/>
  <c r="X31" i="2"/>
  <c r="V31" i="2"/>
  <c r="T129" i="2"/>
  <c r="R129" i="2"/>
  <c r="X129" i="2"/>
  <c r="V129" i="2"/>
  <c r="R284" i="2"/>
  <c r="V284" i="2"/>
  <c r="X284" i="2"/>
  <c r="S19" i="2"/>
  <c r="T6" i="2"/>
  <c r="O7" i="2"/>
  <c r="O15" i="2"/>
  <c r="O20" i="2" s="1"/>
  <c r="L147" i="1" s="1"/>
  <c r="U83" i="1"/>
  <c r="W7" i="2"/>
  <c r="W15" i="2"/>
  <c r="S18" i="2"/>
  <c r="T5" i="2"/>
  <c r="T470" i="2"/>
  <c r="T284" i="2"/>
  <c r="V334" i="2"/>
  <c r="T334" i="2"/>
  <c r="R334" i="2"/>
  <c r="X334" i="2"/>
  <c r="P336" i="2"/>
  <c r="X646" i="2"/>
  <c r="V646" i="2"/>
  <c r="T646" i="2"/>
  <c r="T58" i="2"/>
  <c r="V58" i="2"/>
  <c r="R58" i="2"/>
  <c r="X58" i="2"/>
  <c r="U21" i="1"/>
  <c r="X173" i="2"/>
  <c r="T173" i="2"/>
  <c r="R173" i="2"/>
  <c r="V173" i="2"/>
  <c r="S16" i="2"/>
  <c r="V45" i="2"/>
  <c r="T45" i="2"/>
  <c r="X45" i="2"/>
  <c r="R45" i="2"/>
  <c r="O47" i="1"/>
  <c r="S47" i="1"/>
  <c r="Q47" i="1"/>
  <c r="V208" i="2"/>
  <c r="R208" i="2"/>
  <c r="X208" i="2"/>
  <c r="T208" i="2"/>
  <c r="X372" i="2"/>
  <c r="W373" i="2"/>
  <c r="X373" i="2" s="1"/>
  <c r="R441" i="2"/>
  <c r="T441" i="2"/>
  <c r="V441" i="2"/>
  <c r="X441" i="2"/>
  <c r="V315" i="2"/>
  <c r="T315" i="2"/>
  <c r="X315" i="2"/>
  <c r="R315" i="2"/>
  <c r="J15" i="2"/>
  <c r="J20" i="2" s="1"/>
  <c r="G147" i="1" s="1"/>
  <c r="J7" i="2"/>
  <c r="L7" i="2"/>
  <c r="L15" i="2"/>
  <c r="L20" i="2" s="1"/>
  <c r="I147" i="1" s="1"/>
  <c r="U15" i="2"/>
  <c r="U7" i="2"/>
  <c r="P529" i="2"/>
  <c r="Y3" i="2"/>
  <c r="Y27" i="2"/>
  <c r="V470" i="2"/>
  <c r="R470" i="2"/>
  <c r="X470" i="2"/>
  <c r="M17" i="1"/>
  <c r="M7" i="1"/>
  <c r="S7" i="1" s="1"/>
  <c r="S3" i="1"/>
  <c r="Q3" i="1"/>
  <c r="U3" i="1"/>
  <c r="U19" i="2"/>
  <c r="U18" i="1"/>
  <c r="V406" i="2"/>
  <c r="T406" i="2"/>
  <c r="U16" i="2"/>
  <c r="Y285" i="2"/>
  <c r="O7" i="1"/>
  <c r="N22" i="1"/>
  <c r="K292" i="2"/>
  <c r="K281" i="2"/>
  <c r="K285" i="2" s="1"/>
  <c r="K27" i="2"/>
  <c r="K3" i="2"/>
  <c r="R283" i="2"/>
  <c r="P5" i="2"/>
  <c r="V283" i="2"/>
  <c r="X283" i="2"/>
  <c r="M18" i="1"/>
  <c r="S4" i="1"/>
  <c r="Q4" i="1"/>
  <c r="O4" i="1"/>
  <c r="U4" i="1"/>
  <c r="T554" i="2"/>
  <c r="R554" i="2"/>
  <c r="X554" i="2"/>
  <c r="V554" i="2"/>
  <c r="V471" i="2"/>
  <c r="R243" i="2"/>
  <c r="X156" i="2"/>
  <c r="T156" i="2"/>
  <c r="R156" i="2"/>
  <c r="T14" i="2"/>
  <c r="X14" i="2"/>
  <c r="V14" i="2"/>
  <c r="V373" i="2"/>
  <c r="R646" i="2"/>
  <c r="Y292" i="2"/>
  <c r="S15" i="2"/>
  <c r="S7" i="2"/>
  <c r="P6" i="2"/>
  <c r="X6" i="2" s="1"/>
  <c r="R26" i="2"/>
  <c r="T26" i="2"/>
  <c r="U20" i="1"/>
  <c r="S20" i="1"/>
  <c r="Q20" i="1"/>
  <c r="O20" i="1"/>
  <c r="T22" i="1"/>
  <c r="K4" i="2"/>
  <c r="K16" i="2" s="1"/>
  <c r="T34" i="2" l="1"/>
  <c r="V34" i="2"/>
  <c r="X34" i="2"/>
  <c r="R34" i="2"/>
  <c r="V6" i="2"/>
  <c r="R336" i="2"/>
  <c r="V336" i="2"/>
  <c r="X336" i="2"/>
  <c r="T336" i="2"/>
  <c r="Q16" i="2"/>
  <c r="R4" i="2"/>
  <c r="Q7" i="2"/>
  <c r="P27" i="2"/>
  <c r="T24" i="2"/>
  <c r="R24" i="2"/>
  <c r="V24" i="2"/>
  <c r="X24" i="2"/>
  <c r="V19" i="2"/>
  <c r="W20" i="2"/>
  <c r="U7" i="1"/>
  <c r="M22" i="1"/>
  <c r="S17" i="1"/>
  <c r="Q17" i="1"/>
  <c r="U17" i="1"/>
  <c r="Q18" i="1"/>
  <c r="S18" i="1"/>
  <c r="O18" i="1"/>
  <c r="T157" i="2"/>
  <c r="R157" i="2"/>
  <c r="X157" i="2"/>
  <c r="V157" i="2"/>
  <c r="R313" i="2"/>
  <c r="V313" i="2"/>
  <c r="T313" i="2"/>
  <c r="X313" i="2"/>
  <c r="P4" i="2"/>
  <c r="V25" i="2"/>
  <c r="X25" i="2"/>
  <c r="T25" i="2"/>
  <c r="R25" i="2"/>
  <c r="Q22" i="1"/>
  <c r="Y7" i="2"/>
  <c r="Y15" i="2"/>
  <c r="Y20" i="2" s="1"/>
  <c r="V147" i="1" s="1"/>
  <c r="P292" i="2"/>
  <c r="P281" i="2"/>
  <c r="R289" i="2"/>
  <c r="V289" i="2"/>
  <c r="X289" i="2"/>
  <c r="T289" i="2"/>
  <c r="T9" i="2"/>
  <c r="R9" i="2"/>
  <c r="V9" i="2"/>
  <c r="X9" i="2"/>
  <c r="Q7" i="1"/>
  <c r="K15" i="2"/>
  <c r="K20" i="2" s="1"/>
  <c r="H147" i="1" s="1"/>
  <c r="K7" i="2"/>
  <c r="P19" i="2"/>
  <c r="R19" i="2" s="1"/>
  <c r="R6" i="2"/>
  <c r="T147" i="1"/>
  <c r="U22" i="1"/>
  <c r="R529" i="2"/>
  <c r="T529" i="2"/>
  <c r="V529" i="2"/>
  <c r="X529" i="2"/>
  <c r="U20" i="2"/>
  <c r="O22" i="1"/>
  <c r="S20" i="2"/>
  <c r="R5" i="2"/>
  <c r="P18" i="2"/>
  <c r="T18" i="2" s="1"/>
  <c r="X5" i="2"/>
  <c r="V5" i="2"/>
  <c r="O17" i="1"/>
  <c r="Z27" i="2"/>
  <c r="Z3" i="2"/>
  <c r="P11" i="2"/>
  <c r="R292" i="2" l="1"/>
  <c r="X292" i="2"/>
  <c r="T292" i="2"/>
  <c r="V292" i="2"/>
  <c r="R16" i="2"/>
  <c r="Q20" i="2"/>
  <c r="P147" i="1"/>
  <c r="R147" i="1"/>
  <c r="T19" i="2"/>
  <c r="S22" i="1"/>
  <c r="P285" i="2"/>
  <c r="R281" i="2"/>
  <c r="V281" i="2"/>
  <c r="X281" i="2"/>
  <c r="T281" i="2"/>
  <c r="P16" i="2"/>
  <c r="X4" i="2"/>
  <c r="T4" i="2"/>
  <c r="V4" i="2"/>
  <c r="R27" i="2"/>
  <c r="T27" i="2"/>
  <c r="X27" i="2"/>
  <c r="V27" i="2"/>
  <c r="V18" i="2"/>
  <c r="X18" i="2"/>
  <c r="R18" i="2"/>
  <c r="T11" i="2"/>
  <c r="R11" i="2"/>
  <c r="V11" i="2"/>
  <c r="X11" i="2"/>
  <c r="X19" i="2"/>
  <c r="Z15" i="2"/>
  <c r="Z20" i="2" s="1"/>
  <c r="W147" i="1" s="1"/>
  <c r="Z7" i="2"/>
  <c r="P3" i="2"/>
  <c r="V16" i="2" l="1"/>
  <c r="T16" i="2"/>
  <c r="X16" i="2"/>
  <c r="R285" i="2"/>
  <c r="X285" i="2"/>
  <c r="V285" i="2"/>
  <c r="T285" i="2"/>
  <c r="P15" i="2"/>
  <c r="P7" i="2"/>
  <c r="R3" i="2"/>
  <c r="T3" i="2"/>
  <c r="X3" i="2"/>
  <c r="V3" i="2"/>
  <c r="N147" i="1"/>
  <c r="V7" i="2" l="1"/>
  <c r="X7" i="2"/>
  <c r="T7" i="2"/>
  <c r="R7" i="2"/>
  <c r="P20" i="2"/>
  <c r="R15" i="2"/>
  <c r="T15" i="2"/>
  <c r="V15" i="2"/>
  <c r="X15" i="2"/>
  <c r="T20" i="2" l="1"/>
  <c r="V20" i="2"/>
  <c r="X20" i="2"/>
  <c r="M147" i="1"/>
  <c r="R20" i="2"/>
  <c r="U147" i="1" l="1"/>
  <c r="Q147" i="1"/>
  <c r="S147" i="1"/>
  <c r="O147" i="1"/>
</calcChain>
</file>

<file path=xl/sharedStrings.xml><?xml version="1.0" encoding="utf-8"?>
<sst xmlns="http://schemas.openxmlformats.org/spreadsheetml/2006/main" count="2468" uniqueCount="400">
  <si>
    <t>SUMÁR PRÍJMOV</t>
  </si>
  <si>
    <t>2018 S</t>
  </si>
  <si>
    <t>2019 S</t>
  </si>
  <si>
    <t>2020 R</t>
  </si>
  <si>
    <t>2020 S</t>
  </si>
  <si>
    <t>2021 R</t>
  </si>
  <si>
    <t>U1</t>
  </si>
  <si>
    <t>U2</t>
  </si>
  <si>
    <t>U3</t>
  </si>
  <si>
    <t>U4</t>
  </si>
  <si>
    <t>2021 U</t>
  </si>
  <si>
    <t>Č1</t>
  </si>
  <si>
    <t>P1</t>
  </si>
  <si>
    <t>Č2</t>
  </si>
  <si>
    <t>P2</t>
  </si>
  <si>
    <t>Č3</t>
  </si>
  <si>
    <t>P3</t>
  </si>
  <si>
    <t>Č4</t>
  </si>
  <si>
    <t>P4</t>
  </si>
  <si>
    <t>2022 R</t>
  </si>
  <si>
    <t>2023 R</t>
  </si>
  <si>
    <t>Zdroj krytia</t>
  </si>
  <si>
    <t>Dotácie</t>
  </si>
  <si>
    <t>Vlastné zdroje</t>
  </si>
  <si>
    <t>Iné zdroje</t>
  </si>
  <si>
    <t>Ostatné príjmy</t>
  </si>
  <si>
    <t>Bežné príjmy</t>
  </si>
  <si>
    <t>Kapitálové príjmy</t>
  </si>
  <si>
    <t>Úvery</t>
  </si>
  <si>
    <t>Finančné operácie</t>
  </si>
  <si>
    <t>Celkové príjmy</t>
  </si>
  <si>
    <t>DAŇOVÉ PRÍJMY</t>
  </si>
  <si>
    <t>Daňové príjmy - rozpis</t>
  </si>
  <si>
    <t>FK</t>
  </si>
  <si>
    <t>EK</t>
  </si>
  <si>
    <t>Názov</t>
  </si>
  <si>
    <t>PrD</t>
  </si>
  <si>
    <t>Výnos dane z príjmov</t>
  </si>
  <si>
    <t>Daň z pozemkov</t>
  </si>
  <si>
    <t>Daň zo stavieb</t>
  </si>
  <si>
    <t>Daň z bytov</t>
  </si>
  <si>
    <t>Daň za psa</t>
  </si>
  <si>
    <t>Daň za nevýherné hracie prístroje</t>
  </si>
  <si>
    <t>Daň za ubytovanie</t>
  </si>
  <si>
    <t>Daň za užívanie verejného priestranstva</t>
  </si>
  <si>
    <t>Daň za komunálne odpady a drobné stavebné odpady</t>
  </si>
  <si>
    <t>NEDAŇOVÉ PRÍJMY</t>
  </si>
  <si>
    <t>Štátne dotácie</t>
  </si>
  <si>
    <t>Nedaňové príjmy - rozpis</t>
  </si>
  <si>
    <t>PrN</t>
  </si>
  <si>
    <t>Iné nedaňové príjmy</t>
  </si>
  <si>
    <t>RO</t>
  </si>
  <si>
    <t>Príjmy ZŠ</t>
  </si>
  <si>
    <t>Príjmy z majetku</t>
  </si>
  <si>
    <t>Administratívne poplatky a iné platby</t>
  </si>
  <si>
    <t>Predaj majetku</t>
  </si>
  <si>
    <t>Úroky z vkladov</t>
  </si>
  <si>
    <t>V tom:</t>
  </si>
  <si>
    <t>Prenájom majetku</t>
  </si>
  <si>
    <t>Správne poplatky</t>
  </si>
  <si>
    <t>Úrok z omeškania kompostéry</t>
  </si>
  <si>
    <t>Vodné</t>
  </si>
  <si>
    <t>Poplatky DOS</t>
  </si>
  <si>
    <t>Predaj dreva</t>
  </si>
  <si>
    <t>Prenájom hrobových miest</t>
  </si>
  <si>
    <t>Príspevok rodičov MŠ</t>
  </si>
  <si>
    <t>Príspevok CVČ</t>
  </si>
  <si>
    <t>Refundácia výdavkov na doplnok územného plánu</t>
  </si>
  <si>
    <t>Dobropisy</t>
  </si>
  <si>
    <t>Stravné zamestnanci</t>
  </si>
  <si>
    <t>GRANTY A TRANSFERY</t>
  </si>
  <si>
    <t>Granty a transfery - rozpis</t>
  </si>
  <si>
    <t>ZŠ normatívne</t>
  </si>
  <si>
    <t>ZŠ žiaci zo SZP</t>
  </si>
  <si>
    <t>ZŠ asistent učiteľa</t>
  </si>
  <si>
    <t>ZŠ vzdelávacie poukazy</t>
  </si>
  <si>
    <t>ZŠ stravné ŠJ</t>
  </si>
  <si>
    <t>ZŠ školské potreby</t>
  </si>
  <si>
    <t>Iné ZŠ</t>
  </si>
  <si>
    <t>MŠ predškoláci</t>
  </si>
  <si>
    <t>CVČ vzdelávacie</t>
  </si>
  <si>
    <t>Prídavky na deti</t>
  </si>
  <si>
    <t>Sčítanie 2021</t>
  </si>
  <si>
    <t>Voľby</t>
  </si>
  <si>
    <t>DOS</t>
  </si>
  <si>
    <t>Rozvoj športu</t>
  </si>
  <si>
    <t>Regionálny rozvoj ESF</t>
  </si>
  <si>
    <t>Podpora zamestnanosti MŠ ESF</t>
  </si>
  <si>
    <t>Zberný dvor – externý manažment</t>
  </si>
  <si>
    <t>Zateplenie škôlky – externý manažment</t>
  </si>
  <si>
    <t>Kompostéry – externý manažment</t>
  </si>
  <si>
    <t>Stavebný úrad</t>
  </si>
  <si>
    <t>Cestná doprava</t>
  </si>
  <si>
    <t>Životné prostredie</t>
  </si>
  <si>
    <t>Matrika</t>
  </si>
  <si>
    <t>Register obyvateľstva</t>
  </si>
  <si>
    <t>Civilná obrana</t>
  </si>
  <si>
    <t>Zberný dvor</t>
  </si>
  <si>
    <t>Zateplenie škôlky</t>
  </si>
  <si>
    <t>Rozšírenie škôlky</t>
  </si>
  <si>
    <t>Kompostéry</t>
  </si>
  <si>
    <t>Požiarna zbrojnica</t>
  </si>
  <si>
    <t>ZŠ vodozádržné opatrenia</t>
  </si>
  <si>
    <t>ZŠ strecha/kotolňa</t>
  </si>
  <si>
    <t>Vodozádržné obecný úrad</t>
  </si>
  <si>
    <t>Erasmus (RO)</t>
  </si>
  <si>
    <t>Zdroj kytia</t>
  </si>
  <si>
    <t>Granty</t>
  </si>
  <si>
    <t>Granty (RO)</t>
  </si>
  <si>
    <t>PRÍJMOVÉ FINANČNÉ OPERÁCIE</t>
  </si>
  <si>
    <t>Nevyčerpané dotácie</t>
  </si>
  <si>
    <t>Zostatky</t>
  </si>
  <si>
    <t>Rezervný fond</t>
  </si>
  <si>
    <t>Prijaté zábezpeky</t>
  </si>
  <si>
    <t>Dotácie (RO)</t>
  </si>
  <si>
    <t>Iné zdroje (RO)</t>
  </si>
  <si>
    <t>Stravné (RO)</t>
  </si>
  <si>
    <t>ROZDIEL PRÍJMOV A VÝDAJOV</t>
  </si>
  <si>
    <t>Pr</t>
  </si>
  <si>
    <t>Po</t>
  </si>
  <si>
    <t>Pv</t>
  </si>
  <si>
    <t>SUMÁR VÝDAVKOV</t>
  </si>
  <si>
    <t>Bežné výdavky</t>
  </si>
  <si>
    <t>Kapitálové výdavky</t>
  </si>
  <si>
    <t>Celkové výdavky</t>
  </si>
  <si>
    <t>PROGRAM 1 - SAMOSPRÁVA</t>
  </si>
  <si>
    <t>Podprogram 1.1 Obecný úrad</t>
  </si>
  <si>
    <t>Prvok 1.1.1 Vedenie obce</t>
  </si>
  <si>
    <t>01.1.1</t>
  </si>
  <si>
    <t>Mzdy</t>
  </si>
  <si>
    <t>Odvody</t>
  </si>
  <si>
    <t>Tovary a služby</t>
  </si>
  <si>
    <t>Transfery</t>
  </si>
  <si>
    <t>Prvok 1.1.2 Personál</t>
  </si>
  <si>
    <t>Štátna dotácia</t>
  </si>
  <si>
    <t>Prvok 1.1.3 Vnútorná kontrola</t>
  </si>
  <si>
    <t>01.1.2</t>
  </si>
  <si>
    <t>Prvok 1.1.4 Služby a kancelárske vybavenie</t>
  </si>
  <si>
    <t>1AC</t>
  </si>
  <si>
    <t>Bankové poplatky</t>
  </si>
  <si>
    <t>Poštovné</t>
  </si>
  <si>
    <t>Právne služby</t>
  </si>
  <si>
    <t>Softvér (URBIS)</t>
  </si>
  <si>
    <t>Služby ESMAO</t>
  </si>
  <si>
    <t>Nábytok OcÚ</t>
  </si>
  <si>
    <t>Prvok 1.1.5 Prevádzka</t>
  </si>
  <si>
    <t>01.1.3</t>
  </si>
  <si>
    <t>01.1.4</t>
  </si>
  <si>
    <t>01.1.5</t>
  </si>
  <si>
    <t>Elektrina</t>
  </si>
  <si>
    <t>Plyn</t>
  </si>
  <si>
    <t>Poistenie automobilov</t>
  </si>
  <si>
    <t>Servis automobilov a strojov</t>
  </si>
  <si>
    <t>Pohonné hmoty</t>
  </si>
  <si>
    <t>Prvok 1.1.6 Informačný systém (web a rozhlas)</t>
  </si>
  <si>
    <t>08.3.0</t>
  </si>
  <si>
    <t>Prvok 1.1.7 Matrika a evidencia obyvateľstva</t>
  </si>
  <si>
    <t>01.3.3</t>
  </si>
  <si>
    <t>Podprogram 1.2 Spoločný obecný úrad</t>
  </si>
  <si>
    <t>09.1.1.1</t>
  </si>
  <si>
    <t>Školský metodik</t>
  </si>
  <si>
    <t>Podprogram 1.3 Správa a údržba majetku</t>
  </si>
  <si>
    <t>04.2.2</t>
  </si>
  <si>
    <t>Lesy</t>
  </si>
  <si>
    <t>06.1.0</t>
  </si>
  <si>
    <t>Byty</t>
  </si>
  <si>
    <t>Ťažba, výsadba</t>
  </si>
  <si>
    <t>Geomterické plány</t>
  </si>
  <si>
    <t>Revízie zariadení</t>
  </si>
  <si>
    <t>Podprogram 1.4 Voľby/SODB 2021</t>
  </si>
  <si>
    <t>01.6.0</t>
  </si>
  <si>
    <t>PROGRAM 2 - ŠKOLSTVO</t>
  </si>
  <si>
    <t>Podprogram 2.1 Materská škola</t>
  </si>
  <si>
    <t>111/1AC</t>
  </si>
  <si>
    <t>Štátna dotácia/ESF</t>
  </si>
  <si>
    <t>Zateplenie – externý manažment</t>
  </si>
  <si>
    <t>Podprogram 2.2 Základná škola</t>
  </si>
  <si>
    <t>09.2.1.1</t>
  </si>
  <si>
    <t>Originálne kompetencie</t>
  </si>
  <si>
    <t>09.6.0.1</t>
  </si>
  <si>
    <t>Elektrina ŠJ</t>
  </si>
  <si>
    <t>Plyn ŠJ</t>
  </si>
  <si>
    <t>Podprogram 2.3 Centrum voľného času</t>
  </si>
  <si>
    <t>09.5.0</t>
  </si>
  <si>
    <t>Dohody externí zamestnanci</t>
  </si>
  <si>
    <t>Dotácia cirkevné CVČ</t>
  </si>
  <si>
    <t>PROGRAM 3 - VODA</t>
  </si>
  <si>
    <t>Podprogram 3.1 Verejný vodovod</t>
  </si>
  <si>
    <t>06.3.0</t>
  </si>
  <si>
    <t>Údržba vodovodu</t>
  </si>
  <si>
    <t>Rozbor vody</t>
  </si>
  <si>
    <t>Prevádzkovanie vodovodu</t>
  </si>
  <si>
    <t>Odber podzemnej vody</t>
  </si>
  <si>
    <t>Monitoring potrubia</t>
  </si>
  <si>
    <t>PROGRAM 4 - ODPADOVÉ HOSPODÁRSTVO A ŽIVOTNÉ PROSTREDIE</t>
  </si>
  <si>
    <t>Podprogram 4.1 Komunálny odpad</t>
  </si>
  <si>
    <t>05.1.0</t>
  </si>
  <si>
    <t>Podprogram 4.2 Separovaný zber</t>
  </si>
  <si>
    <t>Podprogram 4.3 Zberný dvor</t>
  </si>
  <si>
    <t>Poistenie budovy a techniky</t>
  </si>
  <si>
    <t>Údržba dopravných prostriedkov a strojov</t>
  </si>
  <si>
    <t>Vrátenie dotácie – porušenie zmluvy</t>
  </si>
  <si>
    <t>Externý manažment výstavby</t>
  </si>
  <si>
    <t>PROGRAM 5 - PROSTREDIE PRE ŽIVOT</t>
  </si>
  <si>
    <t>Podprogram 5.1 Bezpečnosť</t>
  </si>
  <si>
    <t>Prvok 5.1.1 Protipožiarna ochrana</t>
  </si>
  <si>
    <t>03.2.0</t>
  </si>
  <si>
    <t>Prvok 5.1.2 Civilná obrana</t>
  </si>
  <si>
    <t>02.2.0</t>
  </si>
  <si>
    <t>Snehová kalamita/COVID-19</t>
  </si>
  <si>
    <t>Prvok 5.1.3 Verejné osvetlenie</t>
  </si>
  <si>
    <t>06.4.0</t>
  </si>
  <si>
    <t>Dohoda údržbár</t>
  </si>
  <si>
    <t>Prvok 5.1.4 Kamerový systém</t>
  </si>
  <si>
    <t>03.6.0</t>
  </si>
  <si>
    <t>Podprogram 5.2 Komunikácie a verejné priestranstvá</t>
  </si>
  <si>
    <t>Prvok 5.2.1 Miestne komunikácie</t>
  </si>
  <si>
    <t>04.5.1</t>
  </si>
  <si>
    <t>Zimná údržba</t>
  </si>
  <si>
    <t>Cesty a chodníky</t>
  </si>
  <si>
    <t>Dopravné značenie</t>
  </si>
  <si>
    <t>Kanály</t>
  </si>
  <si>
    <t>Prvok 5.2.2 Verejné priestranstvá</t>
  </si>
  <si>
    <t>06.2.0</t>
  </si>
  <si>
    <t>Elektrina centrum</t>
  </si>
  <si>
    <t>Prvok 5.2.3 Regionálny rozvoj</t>
  </si>
  <si>
    <t>Európsky sociálny fond</t>
  </si>
  <si>
    <t>PROGRAM 6 - ŠPORT, KULTÚRA A INÉ SPOLOČENSKÉ SLUŽBY</t>
  </si>
  <si>
    <t>Podprogram 6.1 Šport</t>
  </si>
  <si>
    <t>Prvok 6.1.1 Futbalový klub</t>
  </si>
  <si>
    <t>08.1.0</t>
  </si>
  <si>
    <t>131I</t>
  </si>
  <si>
    <t>Prvok 6.1.2 Ostatné športové kluby</t>
  </si>
  <si>
    <t>Šachový klub</t>
  </si>
  <si>
    <t>Stolný tenis</t>
  </si>
  <si>
    <t>OZ Bajk Relax Kysuce</t>
  </si>
  <si>
    <t>Škola vzpierania</t>
  </si>
  <si>
    <t>Podprogram 6.2 Kultúra</t>
  </si>
  <si>
    <t>Prvok 6.2.1 Kultúrny dom</t>
  </si>
  <si>
    <t>08.2.0</t>
  </si>
  <si>
    <t>Obnova stolov</t>
  </si>
  <si>
    <t>Stoličky</t>
  </si>
  <si>
    <t>Dohoda správca</t>
  </si>
  <si>
    <t>Prvok 6.2.2 Kultúrne akcie</t>
  </si>
  <si>
    <t>Rocknes</t>
  </si>
  <si>
    <t>Letné kino, vianočné trhy</t>
  </si>
  <si>
    <t>Deň obce</t>
  </si>
  <si>
    <t>Hody a iné podujatia</t>
  </si>
  <si>
    <t>Prvok 6.2.3 Knižnica</t>
  </si>
  <si>
    <t>Podprogram 6.3 Iné služby</t>
  </si>
  <si>
    <t>Prvok 6.3.1 Pohrebná služby</t>
  </si>
  <si>
    <t>08.4.0</t>
  </si>
  <si>
    <t>Pohrebná služba</t>
  </si>
  <si>
    <t>Údržba domu smútku a okolia</t>
  </si>
  <si>
    <t>Dohoda správca cintorína</t>
  </si>
  <si>
    <t>Prvok 6.3.2 Náboženské a spoločenské spolky a združenia</t>
  </si>
  <si>
    <t>SO SZTP a ZPCCH</t>
  </si>
  <si>
    <t>Červený kríž</t>
  </si>
  <si>
    <t>Priatelia Kysúc</t>
  </si>
  <si>
    <t>Jednota dôchodcov</t>
  </si>
  <si>
    <t>Zväz včelárov KNM</t>
  </si>
  <si>
    <t>Cyklotrasa KNM-Žilina</t>
  </si>
  <si>
    <t>PROGRAM 7 - SOLIDARITA</t>
  </si>
  <si>
    <t>Podprogram 7.1 Staroba</t>
  </si>
  <si>
    <t>Prvok 7.1.1 Dom opatrovateľskej služby</t>
  </si>
  <si>
    <t>10.2.0</t>
  </si>
  <si>
    <t>Stravné obyvatelia</t>
  </si>
  <si>
    <t>Odstupné, odchodné, náhrada mzdy</t>
  </si>
  <si>
    <t>Vratka dotácie – neobsadené miesta</t>
  </si>
  <si>
    <t>Prvok 7.1.2 Starostlivosť o starých občanov</t>
  </si>
  <si>
    <t>Stravovanie</t>
  </si>
  <si>
    <t>Jubilanti, úcta k starším</t>
  </si>
  <si>
    <t>Denný stacionár</t>
  </si>
  <si>
    <t>Podprogram 7.2 Rodina a hmotná núdza</t>
  </si>
  <si>
    <t>10.4.0</t>
  </si>
  <si>
    <t>10.7.0</t>
  </si>
  <si>
    <t>Príspevok pri narodení dieťaťa</t>
  </si>
  <si>
    <t>PROGRAM 8 - INVESTÍCIE</t>
  </si>
  <si>
    <t>Podprogram 8.1 Samospráva</t>
  </si>
  <si>
    <t>01.1.1-710</t>
  </si>
  <si>
    <t>Rekonštrukcia obecného úradu</t>
  </si>
  <si>
    <t>- schodisko a vonkajší sokel</t>
  </si>
  <si>
    <t>- výmena plynového kotla</t>
  </si>
  <si>
    <t>- 2. nadzemné podlažie</t>
  </si>
  <si>
    <r>
      <rPr>
        <sz val="10"/>
        <color rgb="FF000000"/>
        <rFont val="Arial"/>
        <family val="2"/>
        <charset val="238"/>
      </rPr>
      <t xml:space="preserve">- 1. nadzemné podlažie </t>
    </r>
    <r>
      <rPr>
        <b/>
        <sz val="10"/>
        <color rgb="FF000000"/>
        <rFont val="Arial"/>
        <family val="2"/>
        <charset val="238"/>
      </rPr>
      <t>(</t>
    </r>
    <r>
      <rPr>
        <sz val="10"/>
        <color rgb="FF000000"/>
        <rFont val="Arial"/>
        <family val="2"/>
        <charset val="238"/>
      </rPr>
      <t>kancelárie</t>
    </r>
    <r>
      <rPr>
        <b/>
        <sz val="10"/>
        <color rgb="FF000000"/>
        <rFont val="Arial"/>
        <family val="2"/>
        <charset val="238"/>
      </rPr>
      <t>)</t>
    </r>
  </si>
  <si>
    <r>
      <rPr>
        <sz val="10"/>
        <color rgb="FF000000"/>
        <rFont val="Arial"/>
        <family val="2"/>
        <charset val="238"/>
      </rPr>
      <t xml:space="preserve">- suterén </t>
    </r>
    <r>
      <rPr>
        <b/>
        <sz val="10"/>
        <color rgb="FF000000"/>
        <rFont val="Arial"/>
        <family val="2"/>
        <charset val="238"/>
      </rPr>
      <t>(</t>
    </r>
    <r>
      <rPr>
        <sz val="10"/>
        <color rgb="FF000000"/>
        <rFont val="Arial"/>
        <family val="2"/>
        <charset val="238"/>
      </rPr>
      <t>garáž/pivnica</t>
    </r>
    <r>
      <rPr>
        <b/>
        <sz val="10"/>
        <color rgb="FF000000"/>
        <rFont val="Arial"/>
        <family val="2"/>
        <charset val="238"/>
      </rPr>
      <t>)</t>
    </r>
  </si>
  <si>
    <t>- garáž (budova)</t>
  </si>
  <si>
    <t>Nákup strojov – radlica</t>
  </si>
  <si>
    <t>Kúpa pozemku</t>
  </si>
  <si>
    <t>08.3.0-710</t>
  </si>
  <si>
    <t>Vyrozumievacie zariadenie do rozhlasu</t>
  </si>
  <si>
    <t>Rekonštrukcia miestneho rozhlasu</t>
  </si>
  <si>
    <t>Podprogram 8.2 Školstvo</t>
  </si>
  <si>
    <t>09.1.1.1-710</t>
  </si>
  <si>
    <t>MŠ - zateplenie</t>
  </si>
  <si>
    <t>MŠ - rozšírenie kapacity</t>
  </si>
  <si>
    <t>ZŠ – vodozádržné opatrenia</t>
  </si>
  <si>
    <t>ZŠ – rekonštrukcia kotolne</t>
  </si>
  <si>
    <t>ZŠ – strecha školy a telocvične</t>
  </si>
  <si>
    <t>ZŠ – elektroinštalácia telocvičňa</t>
  </si>
  <si>
    <t>ZŠ – rekonštrukcia strechy a zateplenie obvodového plášťa</t>
  </si>
  <si>
    <t>ZŠ – vybavenie školskej jedálne</t>
  </si>
  <si>
    <t>Podprogram 8.3 Voda</t>
  </si>
  <si>
    <t>06.3.0-710</t>
  </si>
  <si>
    <t>Projekty úpravovní vody</t>
  </si>
  <si>
    <t>Projekt rekonštrukcie starej vodovodnej siete</t>
  </si>
  <si>
    <t>Rekonštrukcia vodovodu</t>
  </si>
  <si>
    <t>Rekonštrukcia vodojemov</t>
  </si>
  <si>
    <t>Podprogram 8.4 Odpadové hospodárstvo a životné prostredie</t>
  </si>
  <si>
    <t>05.1.0-710</t>
  </si>
  <si>
    <t>Zberný dvor – kamery, alarm</t>
  </si>
  <si>
    <t>Zberný dvor – zametacie zariadenie</t>
  </si>
  <si>
    <t>Náradie</t>
  </si>
  <si>
    <t>Kompostéry do domácností</t>
  </si>
  <si>
    <t>Podprogram 8.5 Prostredie pre život</t>
  </si>
  <si>
    <t>04.5.1-710</t>
  </si>
  <si>
    <t>Asfaltovanie miestnych komunikácií</t>
  </si>
  <si>
    <t>Výstavba parkovacích miest</t>
  </si>
  <si>
    <t>04.6.0-710</t>
  </si>
  <si>
    <t>Optická sieť</t>
  </si>
  <si>
    <t>06.2.0-710</t>
  </si>
  <si>
    <t>Centrum obce</t>
  </si>
  <si>
    <t>Regulácia potoka – projekt, obstarávanie</t>
  </si>
  <si>
    <t>Regulácia potoka – realizácia</t>
  </si>
  <si>
    <t>Vodozádržné opatrenia pri obecnom úrade</t>
  </si>
  <si>
    <t>06.4.0-710</t>
  </si>
  <si>
    <t>Verejné osvetlenie – projekt/realizácia</t>
  </si>
  <si>
    <t>03.2.0-710</t>
  </si>
  <si>
    <t>Rekonštrukcia požiarnej zbrojnice</t>
  </si>
  <si>
    <t>03.6.0-710</t>
  </si>
  <si>
    <t>Kamerový systém</t>
  </si>
  <si>
    <t>Podprogram 8.6 Šport, kultúra a iné spoločenské služby</t>
  </si>
  <si>
    <t>08.1.0-710</t>
  </si>
  <si>
    <t>Projektová dokumentácia</t>
  </si>
  <si>
    <t>Rekonštrukcia tribúny</t>
  </si>
  <si>
    <t>08.4.0-710</t>
  </si>
  <si>
    <t>Projekty – elektroinštalácia, urnový háj</t>
  </si>
  <si>
    <t>Oplotenie areálu cintorína</t>
  </si>
  <si>
    <t>Chladiarensky katafalk</t>
  </si>
  <si>
    <t>Podprogram 8.7 Solidarita</t>
  </si>
  <si>
    <t>10.2.0-710</t>
  </si>
  <si>
    <t>DOS – zateplenie</t>
  </si>
  <si>
    <t>Odvodnenie pozemku</t>
  </si>
  <si>
    <t>Oplotenie</t>
  </si>
  <si>
    <t>Podprogram 8.8 Plánovanie</t>
  </si>
  <si>
    <t>04.4.3-710</t>
  </si>
  <si>
    <t>Dodatok k územnému plánu</t>
  </si>
  <si>
    <t>Pasport miestnych komunikácií</t>
  </si>
  <si>
    <t>Minikomasácia Dúbravy</t>
  </si>
  <si>
    <t>PROGRAM 9 - VYROVNANIE DLHU</t>
  </si>
  <si>
    <t>Podprogram 9.1 Splácanie úverov a prijatých zábezpek</t>
  </si>
  <si>
    <t>Splácanie úrokov</t>
  </si>
  <si>
    <t>Splácanie istiny</t>
  </si>
  <si>
    <t>Iné výdavkové operácie</t>
  </si>
  <si>
    <t>#</t>
  </si>
  <si>
    <t>číslo štvrťroku</t>
  </si>
  <si>
    <t>Skutočnosť v roku 2018</t>
  </si>
  <si>
    <t>Skutočnosť v roku 2019</t>
  </si>
  <si>
    <t>Schválený rozpočet na rok 2020</t>
  </si>
  <si>
    <t>Skutočnosť v roku 2020</t>
  </si>
  <si>
    <t>Rozpočet na rok 2021</t>
  </si>
  <si>
    <t>Rozpočet na rok 2022</t>
  </si>
  <si>
    <t>Rozpočet na rok 2023</t>
  </si>
  <si>
    <t>CVČ</t>
  </si>
  <si>
    <t>centrum voľného času</t>
  </si>
  <si>
    <t>Č#</t>
  </si>
  <si>
    <t>čerpanie v kvartáli # v eurách</t>
  </si>
  <si>
    <t>DCOM</t>
  </si>
  <si>
    <t>Dátové centrum obcí a miest (e-gov)</t>
  </si>
  <si>
    <t>Dom opatrovateľskej služby</t>
  </si>
  <si>
    <t>ekonomická klasifikácia</t>
  </si>
  <si>
    <t>ESF</t>
  </si>
  <si>
    <t>funkčná klasifikácia</t>
  </si>
  <si>
    <t>HŠ</t>
  </si>
  <si>
    <t>bývalá horná škola</t>
  </si>
  <si>
    <t>KV</t>
  </si>
  <si>
    <t>kapitálové výdavky</t>
  </si>
  <si>
    <t>MŠ</t>
  </si>
  <si>
    <t>Materská škola Nesluša</t>
  </si>
  <si>
    <t>P#</t>
  </si>
  <si>
    <t>plnenie v kvartáli # v percentách</t>
  </si>
  <si>
    <t>program</t>
  </si>
  <si>
    <t>podprogram</t>
  </si>
  <si>
    <t>prvok</t>
  </si>
  <si>
    <t>účtované v účtovníctve rozpočtovej organizácie Základná škola Nesluša</t>
  </si>
  <si>
    <t>Spojená organizácia Slovenského zväzu telesne postihnutých a Zväzu postihnutých civilizačnými chorobami</t>
  </si>
  <si>
    <t>SODB</t>
  </si>
  <si>
    <t>sčítanie obyvateľov, domov a bytov</t>
  </si>
  <si>
    <t>SZP</t>
  </si>
  <si>
    <t>sociálne znevýhodnené prostredie</t>
  </si>
  <si>
    <t>ŠJ</t>
  </si>
  <si>
    <t>školská jedáleň</t>
  </si>
  <si>
    <t>U#</t>
  </si>
  <si>
    <t>úpravy v kvartáli #</t>
  </si>
  <si>
    <t>ÚPSVaR</t>
  </si>
  <si>
    <t>Úrad práce, sociálnych vecí a rodiny Žilina</t>
  </si>
  <si>
    <t>URBIS</t>
  </si>
  <si>
    <t>informačný systém (účtovníctvo, administratíva, evidencie, dane...)</t>
  </si>
  <si>
    <t>ZŠ</t>
  </si>
  <si>
    <t>Základná škola Nesluša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</si>
</sst>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[$€-41B];[Red]\-#,##0.00\ [$€-41B]"/>
    <numFmt numFmtId="165" formatCode="0\ %"/>
    <numFmt numFmtId="166" formatCode="0.00\ %"/>
  </numFmts>
  <fonts count="6" x14ac:knownFonts="1">
    <font>
      <sz val="11"/>
      <color rgb="FF000000"/>
      <name val="Calibri"/>
      <charset val="238"/>
    </font>
    <font>
      <b/>
      <i/>
      <u/>
      <sz val="11"/>
      <color rgb="FF000000"/>
      <name val="Calibri"/>
      <charset val="238"/>
    </font>
    <font>
      <sz val="11"/>
      <color rgb="FF000000"/>
      <name val="Arial"/>
      <charset val="238"/>
    </font>
    <font>
      <sz val="10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i/>
      <sz val="10"/>
      <color rgb="FF000000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70AD47"/>
        <bgColor rgb="FF339966"/>
      </patternFill>
    </fill>
    <fill>
      <patternFill patternType="solid">
        <fgColor rgb="FFFFF2CC"/>
        <bgColor rgb="FFE2EFDA"/>
      </patternFill>
    </fill>
    <fill>
      <patternFill patternType="solid">
        <fgColor rgb="FFA9D08E"/>
        <bgColor rgb="FFC6E0B4"/>
      </patternFill>
    </fill>
    <fill>
      <patternFill patternType="solid">
        <fgColor rgb="FFFFFF00"/>
        <bgColor rgb="FFFFFF00"/>
      </patternFill>
    </fill>
    <fill>
      <patternFill patternType="solid">
        <fgColor rgb="FFC6E0B4"/>
        <bgColor rgb="FFCCCCCC"/>
      </patternFill>
    </fill>
    <fill>
      <patternFill patternType="solid">
        <fgColor rgb="FFE2EFDA"/>
        <bgColor rgb="FFFFF2CC"/>
      </patternFill>
    </fill>
  </fills>
  <borders count="18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3">
    <xf numFmtId="0" fontId="0" fillId="0" borderId="0"/>
    <xf numFmtId="164" fontId="1" fillId="0" borderId="0" applyBorder="0" applyProtection="0"/>
    <xf numFmtId="0" fontId="2" fillId="0" borderId="0" applyBorder="0" applyProtection="0"/>
  </cellStyleXfs>
  <cellXfs count="136">
    <xf numFmtId="0" fontId="0" fillId="0" borderId="0" xfId="0"/>
    <xf numFmtId="0" fontId="3" fillId="0" borderId="17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16" xfId="0" applyFont="1" applyBorder="1" applyAlignment="1">
      <alignment vertical="center"/>
    </xf>
    <xf numFmtId="14" fontId="3" fillId="0" borderId="1" xfId="0" applyNumberFormat="1" applyFont="1" applyBorder="1" applyAlignment="1">
      <alignment horizontal="left" vertical="center"/>
    </xf>
    <xf numFmtId="0" fontId="4" fillId="7" borderId="0" xfId="0" applyFont="1" applyFill="1" applyAlignment="1"/>
    <xf numFmtId="0" fontId="4" fillId="6" borderId="0" xfId="0" applyFont="1" applyFill="1" applyAlignment="1"/>
    <xf numFmtId="0" fontId="3" fillId="5" borderId="1" xfId="0" applyFont="1" applyFill="1" applyBorder="1" applyAlignment="1">
      <alignment horizontal="center" vertical="center"/>
    </xf>
    <xf numFmtId="0" fontId="4" fillId="4" borderId="0" xfId="0" applyFont="1" applyFill="1" applyAlignment="1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vertical="center"/>
    </xf>
    <xf numFmtId="0" fontId="3" fillId="5" borderId="1" xfId="0" applyFont="1" applyFill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0" xfId="0" applyFont="1"/>
    <xf numFmtId="165" fontId="3" fillId="0" borderId="0" xfId="0" applyNumberFormat="1" applyFont="1"/>
    <xf numFmtId="0" fontId="4" fillId="2" borderId="0" xfId="0" applyFont="1" applyFill="1"/>
    <xf numFmtId="0" fontId="3" fillId="2" borderId="0" xfId="0" applyFont="1" applyFill="1"/>
    <xf numFmtId="165" fontId="3" fillId="2" borderId="0" xfId="0" applyNumberFormat="1" applyFont="1" applyFill="1"/>
    <xf numFmtId="0" fontId="3" fillId="3" borderId="0" xfId="0" applyFont="1" applyFill="1" applyAlignment="1">
      <alignment horizontal="center"/>
    </xf>
    <xf numFmtId="0" fontId="3" fillId="3" borderId="0" xfId="0" applyFont="1" applyFill="1" applyAlignment="1">
      <alignment horizontal="center" wrapText="1"/>
    </xf>
    <xf numFmtId="165" fontId="3" fillId="3" borderId="0" xfId="0" applyNumberFormat="1" applyFont="1" applyFill="1" applyAlignment="1">
      <alignment horizontal="center" wrapText="1"/>
    </xf>
    <xf numFmtId="0" fontId="3" fillId="0" borderId="1" xfId="0" applyFont="1" applyBorder="1"/>
    <xf numFmtId="4" fontId="3" fillId="0" borderId="1" xfId="0" applyNumberFormat="1" applyFont="1" applyBorder="1"/>
    <xf numFmtId="165" fontId="3" fillId="0" borderId="1" xfId="0" applyNumberFormat="1" applyFont="1" applyBorder="1"/>
    <xf numFmtId="0" fontId="4" fillId="0" borderId="1" xfId="0" applyFont="1" applyBorder="1"/>
    <xf numFmtId="4" fontId="4" fillId="0" borderId="1" xfId="0" applyNumberFormat="1" applyFont="1" applyBorder="1"/>
    <xf numFmtId="165" fontId="4" fillId="0" borderId="1" xfId="0" applyNumberFormat="1" applyFont="1" applyBorder="1"/>
    <xf numFmtId="0" fontId="3" fillId="0" borderId="0" xfId="0" applyFont="1"/>
    <xf numFmtId="0" fontId="3" fillId="0" borderId="2" xfId="0" applyFont="1" applyBorder="1"/>
    <xf numFmtId="0" fontId="3" fillId="0" borderId="3" xfId="0" applyFont="1" applyBorder="1"/>
    <xf numFmtId="0" fontId="4" fillId="4" borderId="0" xfId="0" applyFont="1" applyFill="1" applyAlignment="1"/>
    <xf numFmtId="165" fontId="4" fillId="4" borderId="0" xfId="0" applyNumberFormat="1" applyFont="1" applyFill="1" applyAlignment="1"/>
    <xf numFmtId="0" fontId="3" fillId="5" borderId="1" xfId="0" applyFont="1" applyFill="1" applyBorder="1" applyAlignment="1">
      <alignment vertical="center"/>
    </xf>
    <xf numFmtId="0" fontId="3" fillId="5" borderId="1" xfId="0" applyFont="1" applyFill="1" applyBorder="1"/>
    <xf numFmtId="4" fontId="3" fillId="5" borderId="1" xfId="0" applyNumberFormat="1" applyFont="1" applyFill="1" applyBorder="1"/>
    <xf numFmtId="165" fontId="3" fillId="5" borderId="1" xfId="0" applyNumberFormat="1" applyFont="1" applyFill="1" applyBorder="1"/>
    <xf numFmtId="0" fontId="4" fillId="5" borderId="1" xfId="0" applyFont="1" applyFill="1" applyBorder="1"/>
    <xf numFmtId="4" fontId="4" fillId="5" borderId="1" xfId="0" applyNumberFormat="1" applyFont="1" applyFill="1" applyBorder="1"/>
    <xf numFmtId="165" fontId="4" fillId="5" borderId="1" xfId="0" applyNumberFormat="1" applyFont="1" applyFill="1" applyBorder="1"/>
    <xf numFmtId="0" fontId="4" fillId="6" borderId="0" xfId="0" applyFont="1" applyFill="1" applyAlignment="1"/>
    <xf numFmtId="165" fontId="4" fillId="6" borderId="0" xfId="0" applyNumberFormat="1" applyFont="1" applyFill="1" applyAlignment="1"/>
    <xf numFmtId="0" fontId="3" fillId="0" borderId="1" xfId="0" applyFont="1" applyBorder="1" applyAlignment="1">
      <alignment vertical="center"/>
    </xf>
    <xf numFmtId="0" fontId="4" fillId="0" borderId="0" xfId="0" applyFont="1"/>
    <xf numFmtId="0" fontId="3" fillId="0" borderId="4" xfId="0" applyFont="1" applyBorder="1" applyAlignment="1">
      <alignment horizontal="left" vertical="center"/>
    </xf>
    <xf numFmtId="4" fontId="3" fillId="0" borderId="1" xfId="0" applyNumberFormat="1" applyFont="1" applyBorder="1"/>
    <xf numFmtId="165" fontId="3" fillId="0" borderId="1" xfId="0" applyNumberFormat="1" applyFont="1" applyBorder="1"/>
    <xf numFmtId="0" fontId="5" fillId="0" borderId="1" xfId="0" applyFont="1" applyBorder="1"/>
    <xf numFmtId="4" fontId="5" fillId="0" borderId="1" xfId="0" applyNumberFormat="1" applyFont="1" applyBorder="1"/>
    <xf numFmtId="165" fontId="5" fillId="0" borderId="1" xfId="0" applyNumberFormat="1" applyFont="1" applyBorder="1"/>
    <xf numFmtId="14" fontId="3" fillId="0" borderId="1" xfId="0" applyNumberFormat="1" applyFont="1" applyBorder="1" applyAlignment="1">
      <alignment vertical="center"/>
    </xf>
    <xf numFmtId="0" fontId="3" fillId="0" borderId="5" xfId="0" applyFont="1" applyBorder="1"/>
    <xf numFmtId="4" fontId="3" fillId="0" borderId="2" xfId="0" applyNumberFormat="1" applyFont="1" applyBorder="1"/>
    <xf numFmtId="165" fontId="3" fillId="0" borderId="2" xfId="0" applyNumberFormat="1" applyFont="1" applyBorder="1"/>
    <xf numFmtId="165" fontId="3" fillId="0" borderId="3" xfId="0" applyNumberFormat="1" applyFont="1" applyBorder="1"/>
    <xf numFmtId="4" fontId="3" fillId="0" borderId="3" xfId="0" applyNumberFormat="1" applyFont="1" applyBorder="1"/>
    <xf numFmtId="0" fontId="3" fillId="0" borderId="6" xfId="0" applyFont="1" applyBorder="1"/>
    <xf numFmtId="0" fontId="3" fillId="0" borderId="0" xfId="0" applyFont="1"/>
    <xf numFmtId="4" fontId="3" fillId="0" borderId="0" xfId="0" applyNumberFormat="1" applyFont="1"/>
    <xf numFmtId="165" fontId="3" fillId="0" borderId="7" xfId="0" applyNumberFormat="1" applyFont="1" applyBorder="1"/>
    <xf numFmtId="4" fontId="3" fillId="0" borderId="7" xfId="0" applyNumberFormat="1" applyFont="1" applyBorder="1"/>
    <xf numFmtId="4" fontId="3" fillId="0" borderId="0" xfId="0" applyNumberFormat="1" applyFont="1"/>
    <xf numFmtId="165" fontId="3" fillId="0" borderId="0" xfId="0" applyNumberFormat="1" applyFont="1"/>
    <xf numFmtId="165" fontId="3" fillId="0" borderId="7" xfId="0" applyNumberFormat="1" applyFont="1" applyBorder="1"/>
    <xf numFmtId="0" fontId="3" fillId="0" borderId="8" xfId="0" applyFont="1" applyBorder="1"/>
    <xf numFmtId="0" fontId="3" fillId="0" borderId="9" xfId="0" applyFont="1" applyBorder="1"/>
    <xf numFmtId="4" fontId="3" fillId="0" borderId="9" xfId="0" applyNumberFormat="1" applyFont="1" applyBorder="1"/>
    <xf numFmtId="165" fontId="3" fillId="0" borderId="9" xfId="0" applyNumberFormat="1" applyFont="1" applyBorder="1"/>
    <xf numFmtId="165" fontId="3" fillId="0" borderId="10" xfId="0" applyNumberFormat="1" applyFont="1" applyBorder="1"/>
    <xf numFmtId="4" fontId="3" fillId="0" borderId="10" xfId="0" applyNumberFormat="1" applyFont="1" applyBorder="1"/>
    <xf numFmtId="4" fontId="3" fillId="5" borderId="1" xfId="0" applyNumberFormat="1" applyFont="1" applyFill="1" applyBorder="1" applyAlignment="1"/>
    <xf numFmtId="165" fontId="3" fillId="5" borderId="1" xfId="0" applyNumberFormat="1" applyFont="1" applyFill="1" applyBorder="1" applyAlignment="1"/>
    <xf numFmtId="0" fontId="4" fillId="7" borderId="0" xfId="0" applyFont="1" applyFill="1" applyAlignment="1"/>
    <xf numFmtId="165" fontId="4" fillId="7" borderId="0" xfId="0" applyNumberFormat="1" applyFont="1" applyFill="1" applyAlignment="1"/>
    <xf numFmtId="4" fontId="3" fillId="0" borderId="1" xfId="0" applyNumberFormat="1" applyFont="1" applyBorder="1" applyAlignment="1"/>
    <xf numFmtId="4" fontId="3" fillId="0" borderId="1" xfId="0" applyNumberFormat="1" applyFont="1" applyBorder="1" applyAlignment="1"/>
    <xf numFmtId="165" fontId="3" fillId="0" borderId="1" xfId="0" applyNumberFormat="1" applyFont="1" applyBorder="1" applyAlignment="1"/>
    <xf numFmtId="165" fontId="3" fillId="0" borderId="1" xfId="0" applyNumberFormat="1" applyFont="1" applyBorder="1" applyAlignment="1"/>
    <xf numFmtId="14" fontId="4" fillId="0" borderId="1" xfId="0" applyNumberFormat="1" applyFont="1" applyBorder="1"/>
    <xf numFmtId="14" fontId="3" fillId="0" borderId="1" xfId="0" applyNumberFormat="1" applyFont="1" applyBorder="1"/>
    <xf numFmtId="0" fontId="3" fillId="0" borderId="0" xfId="0" applyFont="1" applyBorder="1"/>
    <xf numFmtId="4" fontId="3" fillId="0" borderId="0" xfId="0" applyNumberFormat="1" applyFont="1" applyBorder="1"/>
    <xf numFmtId="165" fontId="3" fillId="0" borderId="0" xfId="0" applyNumberFormat="1" applyFont="1" applyBorder="1"/>
    <xf numFmtId="14" fontId="3" fillId="0" borderId="1" xfId="0" applyNumberFormat="1" applyFont="1" applyBorder="1" applyAlignment="1">
      <alignment horizontal="left" vertical="center"/>
    </xf>
    <xf numFmtId="14" fontId="5" fillId="0" borderId="1" xfId="0" applyNumberFormat="1" applyFont="1" applyBorder="1"/>
    <xf numFmtId="0" fontId="5" fillId="0" borderId="1" xfId="0" applyFont="1" applyBorder="1" applyAlignment="1">
      <alignment horizontal="right"/>
    </xf>
    <xf numFmtId="14" fontId="4" fillId="0" borderId="2" xfId="0" applyNumberFormat="1" applyFont="1" applyBorder="1"/>
    <xf numFmtId="0" fontId="4" fillId="0" borderId="3" xfId="0" applyFont="1" applyBorder="1"/>
    <xf numFmtId="14" fontId="4" fillId="0" borderId="0" xfId="0" applyNumberFormat="1" applyFont="1"/>
    <xf numFmtId="4" fontId="4" fillId="0" borderId="0" xfId="0" applyNumberFormat="1" applyFont="1"/>
    <xf numFmtId="165" fontId="4" fillId="0" borderId="0" xfId="0" applyNumberFormat="1" applyFont="1"/>
    <xf numFmtId="4" fontId="3" fillId="0" borderId="2" xfId="0" applyNumberFormat="1" applyFont="1" applyBorder="1"/>
    <xf numFmtId="0" fontId="3" fillId="0" borderId="0" xfId="0" applyFont="1" applyBorder="1"/>
    <xf numFmtId="4" fontId="3" fillId="0" borderId="0" xfId="0" applyNumberFormat="1" applyFont="1" applyBorder="1"/>
    <xf numFmtId="165" fontId="3" fillId="0" borderId="0" xfId="0" applyNumberFormat="1" applyFont="1" applyBorder="1"/>
    <xf numFmtId="0" fontId="3" fillId="0" borderId="9" xfId="0" applyFont="1" applyBorder="1"/>
    <xf numFmtId="4" fontId="3" fillId="0" borderId="9" xfId="0" applyNumberFormat="1" applyFont="1" applyBorder="1"/>
    <xf numFmtId="165" fontId="3" fillId="0" borderId="9" xfId="0" applyNumberFormat="1" applyFont="1" applyBorder="1"/>
    <xf numFmtId="165" fontId="3" fillId="0" borderId="10" xfId="0" applyNumberFormat="1" applyFont="1" applyBorder="1"/>
    <xf numFmtId="4" fontId="5" fillId="0" borderId="1" xfId="0" applyNumberFormat="1" applyFont="1" applyBorder="1"/>
    <xf numFmtId="165" fontId="5" fillId="0" borderId="1" xfId="0" applyNumberFormat="1" applyFont="1" applyBorder="1"/>
    <xf numFmtId="0" fontId="3" fillId="0" borderId="1" xfId="0" applyFont="1" applyBorder="1"/>
    <xf numFmtId="14" fontId="4" fillId="0" borderId="1" xfId="0" applyNumberFormat="1" applyFont="1" applyBorder="1"/>
    <xf numFmtId="0" fontId="4" fillId="0" borderId="1" xfId="0" applyFont="1" applyBorder="1"/>
    <xf numFmtId="4" fontId="4" fillId="0" borderId="1" xfId="0" applyNumberFormat="1" applyFont="1" applyBorder="1"/>
    <xf numFmtId="165" fontId="4" fillId="0" borderId="1" xfId="0" applyNumberFormat="1" applyFont="1" applyBorder="1"/>
    <xf numFmtId="14" fontId="3" fillId="0" borderId="2" xfId="0" applyNumberFormat="1" applyFont="1" applyBorder="1"/>
    <xf numFmtId="165" fontId="3" fillId="0" borderId="2" xfId="0" applyNumberFormat="1" applyFont="1" applyBorder="1"/>
    <xf numFmtId="165" fontId="3" fillId="0" borderId="3" xfId="0" applyNumberFormat="1" applyFont="1" applyBorder="1"/>
    <xf numFmtId="0" fontId="3" fillId="3" borderId="9" xfId="0" applyFont="1" applyFill="1" applyBorder="1" applyAlignment="1">
      <alignment horizontal="center"/>
    </xf>
    <xf numFmtId="0" fontId="3" fillId="0" borderId="11" xfId="0" applyFont="1" applyBorder="1"/>
    <xf numFmtId="0" fontId="3" fillId="0" borderId="12" xfId="0" applyFont="1" applyBorder="1"/>
    <xf numFmtId="4" fontId="3" fillId="0" borderId="12" xfId="0" applyNumberFormat="1" applyFont="1" applyBorder="1"/>
    <xf numFmtId="4" fontId="3" fillId="0" borderId="12" xfId="0" applyNumberFormat="1" applyFont="1" applyBorder="1"/>
    <xf numFmtId="165" fontId="3" fillId="0" borderId="12" xfId="0" applyNumberFormat="1" applyFont="1" applyBorder="1"/>
    <xf numFmtId="165" fontId="3" fillId="0" borderId="13" xfId="0" applyNumberFormat="1" applyFont="1" applyBorder="1"/>
    <xf numFmtId="4" fontId="3" fillId="0" borderId="13" xfId="0" applyNumberFormat="1" applyFont="1" applyBorder="1"/>
    <xf numFmtId="0" fontId="3" fillId="0" borderId="1" xfId="0" applyFont="1" applyBorder="1" applyAlignment="1">
      <alignment horizontal="right"/>
    </xf>
    <xf numFmtId="14" fontId="5" fillId="0" borderId="1" xfId="0" applyNumberFormat="1" applyFont="1" applyBorder="1"/>
    <xf numFmtId="14" fontId="3" fillId="0" borderId="1" xfId="0" applyNumberFormat="1" applyFont="1" applyBorder="1"/>
    <xf numFmtId="165" fontId="3" fillId="0" borderId="12" xfId="0" applyNumberFormat="1" applyFont="1" applyBorder="1"/>
    <xf numFmtId="165" fontId="3" fillId="0" borderId="13" xfId="0" applyNumberFormat="1" applyFont="1" applyBorder="1"/>
    <xf numFmtId="0" fontId="3" fillId="0" borderId="14" xfId="0" applyFont="1" applyBorder="1" applyAlignment="1">
      <alignment vertical="center"/>
    </xf>
    <xf numFmtId="0" fontId="3" fillId="0" borderId="14" xfId="0" applyFont="1" applyBorder="1"/>
    <xf numFmtId="14" fontId="3" fillId="0" borderId="15" xfId="0" applyNumberFormat="1" applyFont="1" applyBorder="1" applyAlignment="1">
      <alignment vertical="center"/>
    </xf>
    <xf numFmtId="14" fontId="3" fillId="0" borderId="14" xfId="0" applyNumberFormat="1" applyFont="1" applyBorder="1" applyAlignment="1">
      <alignment vertical="center"/>
    </xf>
    <xf numFmtId="0" fontId="3" fillId="3" borderId="9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left" vertical="center"/>
    </xf>
    <xf numFmtId="0" fontId="3" fillId="0" borderId="16" xfId="0" applyFont="1" applyBorder="1" applyAlignment="1">
      <alignment vertical="center"/>
    </xf>
    <xf numFmtId="0" fontId="3" fillId="0" borderId="11" xfId="0" applyFont="1" applyBorder="1"/>
    <xf numFmtId="4" fontId="3" fillId="0" borderId="10" xfId="0" applyNumberFormat="1" applyFont="1" applyBorder="1"/>
    <xf numFmtId="4" fontId="3" fillId="0" borderId="13" xfId="0" applyNumberFormat="1" applyFont="1" applyBorder="1"/>
    <xf numFmtId="0" fontId="3" fillId="0" borderId="1" xfId="0" applyFont="1" applyBorder="1" applyAlignment="1"/>
    <xf numFmtId="0" fontId="3" fillId="0" borderId="13" xfId="0" applyFont="1" applyBorder="1"/>
    <xf numFmtId="166" fontId="3" fillId="0" borderId="0" xfId="0" applyNumberFormat="1" applyFont="1"/>
    <xf numFmtId="0" fontId="3" fillId="0" borderId="0" xfId="2" applyFont="1" applyAlignment="1" applyProtection="1"/>
  </cellXfs>
  <cellStyles count="3">
    <cellStyle name="Normálna" xfId="0" builtinId="0"/>
    <cellStyle name="Normálne 2" xfId="2" xr:uid="{00000000-0005-0000-0000-000007000000}"/>
    <cellStyle name="Výsledok2" xfId="1" xr:uid="{00000000-0005-0000-0000-000006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CCCCC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6E0B4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EFDA"/>
      <rgbColor rgb="FFFFFF99"/>
      <rgbColor rgb="FFA9D08E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70AD47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L147"/>
  <sheetViews>
    <sheetView tabSelected="1" defaultGridColor="0" colorId="22" zoomScaleNormal="100" workbookViewId="0"/>
  </sheetViews>
  <sheetFormatPr defaultColWidth="11.5703125" defaultRowHeight="15" x14ac:dyDescent="0.25"/>
  <cols>
    <col min="1" max="1" width="11.5703125" style="14" customWidth="1"/>
    <col min="2" max="2" width="8.5703125" style="14" customWidth="1"/>
    <col min="3" max="3" width="18.140625" style="14" customWidth="1"/>
    <col min="4" max="5" width="11.28515625" style="14" hidden="1" customWidth="1"/>
    <col min="6" max="7" width="11" style="14" hidden="1" customWidth="1"/>
    <col min="8" max="8" width="11.7109375" style="14" customWidth="1"/>
    <col min="9" max="12" width="11" style="14" hidden="1" customWidth="1"/>
    <col min="13" max="14" width="11.7109375" style="14" customWidth="1"/>
    <col min="15" max="15" width="6.7109375" style="15" customWidth="1"/>
    <col min="16" max="16" width="11.7109375" style="14" customWidth="1"/>
    <col min="17" max="17" width="6.7109375" style="14" customWidth="1"/>
    <col min="18" max="18" width="11.7109375" style="14" customWidth="1"/>
    <col min="19" max="19" width="6.7109375" style="14" customWidth="1"/>
    <col min="20" max="20" width="11.7109375" style="14" customWidth="1"/>
    <col min="21" max="21" width="6.7109375" style="14" customWidth="1"/>
    <col min="22" max="23" width="11.28515625" style="14" hidden="1" customWidth="1"/>
    <col min="24" max="64" width="8.5703125" style="14" customWidth="1"/>
  </cols>
  <sheetData>
    <row r="1" spans="1:23" ht="12.75" customHeight="1" x14ac:dyDescent="0.25">
      <c r="A1" s="16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8"/>
      <c r="P1" s="17"/>
      <c r="Q1" s="17"/>
      <c r="R1" s="17"/>
      <c r="S1" s="17"/>
      <c r="T1" s="17"/>
      <c r="U1" s="17"/>
      <c r="V1" s="17"/>
      <c r="W1" s="17"/>
    </row>
    <row r="2" spans="1:23" ht="13.9" customHeight="1" x14ac:dyDescent="0.25">
      <c r="A2" s="19"/>
      <c r="B2" s="19"/>
      <c r="C2" s="19"/>
      <c r="D2" s="20" t="s">
        <v>1</v>
      </c>
      <c r="E2" s="20" t="s">
        <v>2</v>
      </c>
      <c r="F2" s="20" t="s">
        <v>3</v>
      </c>
      <c r="G2" s="20" t="s">
        <v>4</v>
      </c>
      <c r="H2" s="20" t="s">
        <v>5</v>
      </c>
      <c r="I2" s="20" t="s">
        <v>6</v>
      </c>
      <c r="J2" s="20" t="s">
        <v>7</v>
      </c>
      <c r="K2" s="20" t="s">
        <v>8</v>
      </c>
      <c r="L2" s="20" t="s">
        <v>9</v>
      </c>
      <c r="M2" s="20" t="s">
        <v>10</v>
      </c>
      <c r="N2" s="20" t="s">
        <v>11</v>
      </c>
      <c r="O2" s="21" t="s">
        <v>12</v>
      </c>
      <c r="P2" s="20" t="s">
        <v>13</v>
      </c>
      <c r="Q2" s="21" t="s">
        <v>14</v>
      </c>
      <c r="R2" s="20" t="s">
        <v>15</v>
      </c>
      <c r="S2" s="21" t="s">
        <v>16</v>
      </c>
      <c r="T2" s="20" t="s">
        <v>17</v>
      </c>
      <c r="U2" s="21" t="s">
        <v>18</v>
      </c>
      <c r="V2" s="20" t="s">
        <v>19</v>
      </c>
      <c r="W2" s="20" t="s">
        <v>20</v>
      </c>
    </row>
    <row r="3" spans="1:23" ht="13.9" customHeight="1" x14ac:dyDescent="0.25">
      <c r="A3" s="13" t="s">
        <v>21</v>
      </c>
      <c r="B3" s="22">
        <v>111</v>
      </c>
      <c r="C3" s="22" t="s">
        <v>22</v>
      </c>
      <c r="D3" s="23">
        <f t="shared" ref="D3:N3" si="0">D44+D80-D8</f>
        <v>519216.48</v>
      </c>
      <c r="E3" s="23">
        <f t="shared" si="0"/>
        <v>618124.85</v>
      </c>
      <c r="F3" s="23">
        <f t="shared" si="0"/>
        <v>650789</v>
      </c>
      <c r="G3" s="23">
        <f t="shared" si="0"/>
        <v>712932.70000000007</v>
      </c>
      <c r="H3" s="23">
        <f t="shared" si="0"/>
        <v>667258</v>
      </c>
      <c r="I3" s="23">
        <f t="shared" si="0"/>
        <v>2000</v>
      </c>
      <c r="J3" s="23">
        <f t="shared" si="0"/>
        <v>28440</v>
      </c>
      <c r="K3" s="23">
        <f t="shared" si="0"/>
        <v>2892</v>
      </c>
      <c r="L3" s="23">
        <f t="shared" si="0"/>
        <v>-167001</v>
      </c>
      <c r="M3" s="23">
        <f t="shared" si="0"/>
        <v>703589</v>
      </c>
      <c r="N3" s="23">
        <f t="shared" si="0"/>
        <v>235575.22999999998</v>
      </c>
      <c r="O3" s="24">
        <f t="shared" ref="O3:O8" si="1">N3/$M3</f>
        <v>0.33481937608461754</v>
      </c>
      <c r="P3" s="23">
        <f>P44+P80-P8</f>
        <v>407913.32999999996</v>
      </c>
      <c r="Q3" s="24">
        <f t="shared" ref="Q3:Q8" si="2">P3/$M3</f>
        <v>0.57976081206499808</v>
      </c>
      <c r="R3" s="23">
        <f>R44+R80-R8</f>
        <v>561433.88</v>
      </c>
      <c r="S3" s="24">
        <f t="shared" ref="S3:S8" si="3">R3/$M3</f>
        <v>0.7979571596486017</v>
      </c>
      <c r="T3" s="23">
        <f>T44+T80-T8</f>
        <v>763985.94</v>
      </c>
      <c r="U3" s="24">
        <f t="shared" ref="U3:U8" si="4">T3/$M3</f>
        <v>1.0858412226456069</v>
      </c>
      <c r="V3" s="23">
        <f>V44+V80-V8</f>
        <v>659218</v>
      </c>
      <c r="W3" s="23">
        <f>W44+W80-W8</f>
        <v>654818</v>
      </c>
    </row>
    <row r="4" spans="1:23" ht="13.9" customHeight="1" x14ac:dyDescent="0.25">
      <c r="A4" s="13"/>
      <c r="B4" s="22">
        <v>41</v>
      </c>
      <c r="C4" s="22" t="s">
        <v>23</v>
      </c>
      <c r="D4" s="23">
        <f t="shared" ref="D4:N4" si="5">D26+D45-D9</f>
        <v>1161876.7300000002</v>
      </c>
      <c r="E4" s="23">
        <f t="shared" si="5"/>
        <v>1320066.8399999999</v>
      </c>
      <c r="F4" s="23">
        <f t="shared" si="5"/>
        <v>1304409</v>
      </c>
      <c r="G4" s="23">
        <f t="shared" si="5"/>
        <v>1304362.7000000002</v>
      </c>
      <c r="H4" s="23">
        <f t="shared" si="5"/>
        <v>1298934</v>
      </c>
      <c r="I4" s="23">
        <f t="shared" si="5"/>
        <v>595</v>
      </c>
      <c r="J4" s="23">
        <f t="shared" si="5"/>
        <v>1508</v>
      </c>
      <c r="K4" s="23">
        <f t="shared" si="5"/>
        <v>757</v>
      </c>
      <c r="L4" s="23">
        <f t="shared" si="5"/>
        <v>-14930</v>
      </c>
      <c r="M4" s="23">
        <f t="shared" si="5"/>
        <v>1286864</v>
      </c>
      <c r="N4" s="23">
        <f t="shared" si="5"/>
        <v>365950.35000000003</v>
      </c>
      <c r="O4" s="24">
        <f t="shared" si="1"/>
        <v>0.28437375666737125</v>
      </c>
      <c r="P4" s="23">
        <f>P26+P45-P9</f>
        <v>629391.24</v>
      </c>
      <c r="Q4" s="24">
        <f t="shared" si="2"/>
        <v>0.4890891655994728</v>
      </c>
      <c r="R4" s="23">
        <f>R26+R45-R9</f>
        <v>1003960.7599999999</v>
      </c>
      <c r="S4" s="24">
        <f t="shared" si="3"/>
        <v>0.78016073182558521</v>
      </c>
      <c r="T4" s="23">
        <f>T26+T45-T9</f>
        <v>1361666.5299999998</v>
      </c>
      <c r="U4" s="24">
        <f t="shared" si="4"/>
        <v>1.058127766415099</v>
      </c>
      <c r="V4" s="23">
        <f>V26+V45-V9</f>
        <v>1361224</v>
      </c>
      <c r="W4" s="23">
        <f>W26+W45-W9</f>
        <v>1431247</v>
      </c>
    </row>
    <row r="5" spans="1:23" ht="13.9" customHeight="1" x14ac:dyDescent="0.25">
      <c r="A5" s="13"/>
      <c r="B5" s="22">
        <v>71</v>
      </c>
      <c r="C5" s="22" t="s">
        <v>24</v>
      </c>
      <c r="D5" s="23">
        <f t="shared" ref="D5:N5" si="6">D81</f>
        <v>1400</v>
      </c>
      <c r="E5" s="23">
        <f t="shared" si="6"/>
        <v>1400</v>
      </c>
      <c r="F5" s="23">
        <f t="shared" si="6"/>
        <v>1400</v>
      </c>
      <c r="G5" s="23">
        <f t="shared" si="6"/>
        <v>1400</v>
      </c>
      <c r="H5" s="23">
        <f t="shared" si="6"/>
        <v>3000</v>
      </c>
      <c r="I5" s="23">
        <f t="shared" si="6"/>
        <v>0</v>
      </c>
      <c r="J5" s="23">
        <f t="shared" si="6"/>
        <v>0</v>
      </c>
      <c r="K5" s="23">
        <f t="shared" si="6"/>
        <v>0</v>
      </c>
      <c r="L5" s="23">
        <f t="shared" si="6"/>
        <v>0</v>
      </c>
      <c r="M5" s="23">
        <f t="shared" si="6"/>
        <v>3000</v>
      </c>
      <c r="N5" s="23">
        <f t="shared" si="6"/>
        <v>0</v>
      </c>
      <c r="O5" s="24">
        <f t="shared" si="1"/>
        <v>0</v>
      </c>
      <c r="P5" s="23">
        <f>P81</f>
        <v>3000</v>
      </c>
      <c r="Q5" s="24">
        <f t="shared" si="2"/>
        <v>1</v>
      </c>
      <c r="R5" s="23">
        <f>R81</f>
        <v>3000</v>
      </c>
      <c r="S5" s="24">
        <f t="shared" si="3"/>
        <v>1</v>
      </c>
      <c r="T5" s="23">
        <f>T81</f>
        <v>3000</v>
      </c>
      <c r="U5" s="24">
        <f t="shared" si="4"/>
        <v>1</v>
      </c>
      <c r="V5" s="23">
        <f>V81</f>
        <v>3000</v>
      </c>
      <c r="W5" s="23">
        <f>W81</f>
        <v>3000</v>
      </c>
    </row>
    <row r="6" spans="1:23" ht="13.9" customHeight="1" x14ac:dyDescent="0.25">
      <c r="A6" s="13"/>
      <c r="B6" s="22">
        <v>72</v>
      </c>
      <c r="C6" s="22" t="s">
        <v>25</v>
      </c>
      <c r="D6" s="23">
        <f t="shared" ref="D6:N6" si="7">D46+D82</f>
        <v>57663.810000000005</v>
      </c>
      <c r="E6" s="23">
        <f t="shared" si="7"/>
        <v>58656.990000000005</v>
      </c>
      <c r="F6" s="23">
        <f t="shared" si="7"/>
        <v>50265</v>
      </c>
      <c r="G6" s="23">
        <f t="shared" si="7"/>
        <v>44096.480000000003</v>
      </c>
      <c r="H6" s="23">
        <f t="shared" si="7"/>
        <v>41921</v>
      </c>
      <c r="I6" s="23">
        <f t="shared" si="7"/>
        <v>0</v>
      </c>
      <c r="J6" s="23">
        <f t="shared" si="7"/>
        <v>15</v>
      </c>
      <c r="K6" s="23">
        <f t="shared" si="7"/>
        <v>2264</v>
      </c>
      <c r="L6" s="23">
        <f t="shared" si="7"/>
        <v>3</v>
      </c>
      <c r="M6" s="23">
        <f t="shared" si="7"/>
        <v>44203</v>
      </c>
      <c r="N6" s="23">
        <f t="shared" si="7"/>
        <v>6352.71</v>
      </c>
      <c r="O6" s="24">
        <f t="shared" si="1"/>
        <v>0.14371671605999592</v>
      </c>
      <c r="P6" s="23">
        <f>P46+P82</f>
        <v>19532.34</v>
      </c>
      <c r="Q6" s="24">
        <f t="shared" si="2"/>
        <v>0.44187815306653394</v>
      </c>
      <c r="R6" s="23">
        <f>R46+R82</f>
        <v>33743.72</v>
      </c>
      <c r="S6" s="24">
        <f t="shared" si="3"/>
        <v>0.76338076601135674</v>
      </c>
      <c r="T6" s="23">
        <f>T46+T82</f>
        <v>55845.61</v>
      </c>
      <c r="U6" s="24">
        <f t="shared" si="4"/>
        <v>1.2633895889419271</v>
      </c>
      <c r="V6" s="23">
        <f>V46+V82</f>
        <v>41921</v>
      </c>
      <c r="W6" s="23">
        <f>W46+W82</f>
        <v>41921</v>
      </c>
    </row>
    <row r="7" spans="1:23" ht="13.9" customHeight="1" x14ac:dyDescent="0.25">
      <c r="A7" s="13"/>
      <c r="B7" s="22"/>
      <c r="C7" s="25" t="s">
        <v>26</v>
      </c>
      <c r="D7" s="26">
        <f t="shared" ref="D7:N7" si="8">SUM(D3:D6)</f>
        <v>1740157.0200000003</v>
      </c>
      <c r="E7" s="26">
        <f t="shared" si="8"/>
        <v>1998248.68</v>
      </c>
      <c r="F7" s="26">
        <f t="shared" si="8"/>
        <v>2006863</v>
      </c>
      <c r="G7" s="26">
        <f t="shared" si="8"/>
        <v>2062791.8800000004</v>
      </c>
      <c r="H7" s="26">
        <f t="shared" si="8"/>
        <v>2011113</v>
      </c>
      <c r="I7" s="26">
        <f t="shared" si="8"/>
        <v>2595</v>
      </c>
      <c r="J7" s="26">
        <f t="shared" si="8"/>
        <v>29963</v>
      </c>
      <c r="K7" s="26">
        <f t="shared" si="8"/>
        <v>5913</v>
      </c>
      <c r="L7" s="26">
        <f t="shared" si="8"/>
        <v>-181928</v>
      </c>
      <c r="M7" s="26">
        <f t="shared" si="8"/>
        <v>2037656</v>
      </c>
      <c r="N7" s="26">
        <f t="shared" si="8"/>
        <v>607878.29</v>
      </c>
      <c r="O7" s="27">
        <f t="shared" si="1"/>
        <v>0.29832233213064424</v>
      </c>
      <c r="P7" s="26">
        <f>SUM(P3:P6)</f>
        <v>1059836.9099999999</v>
      </c>
      <c r="Q7" s="27">
        <f t="shared" si="2"/>
        <v>0.52012553149304885</v>
      </c>
      <c r="R7" s="26">
        <f>SUM(R3:R6)</f>
        <v>1602138.3599999999</v>
      </c>
      <c r="S7" s="27">
        <f t="shared" si="3"/>
        <v>0.7862653755098995</v>
      </c>
      <c r="T7" s="26">
        <f>SUM(T3:T6)</f>
        <v>2184498.0799999996</v>
      </c>
      <c r="U7" s="27">
        <f t="shared" si="4"/>
        <v>1.0720642149607194</v>
      </c>
      <c r="V7" s="26">
        <f>SUM(V3:V6)</f>
        <v>2065363</v>
      </c>
      <c r="W7" s="26">
        <f>SUM(W3:W6)</f>
        <v>2130986</v>
      </c>
    </row>
    <row r="8" spans="1:23" ht="13.9" customHeight="1" x14ac:dyDescent="0.25">
      <c r="A8" s="13"/>
      <c r="B8" s="22">
        <v>111</v>
      </c>
      <c r="C8" s="22" t="s">
        <v>22</v>
      </c>
      <c r="D8" s="23">
        <f>SUM(D112:D118)</f>
        <v>562503.78</v>
      </c>
      <c r="E8" s="23">
        <f>SUM(E112:E118)</f>
        <v>975398.04999999993</v>
      </c>
      <c r="F8" s="23">
        <f>SUM(F112:F118)</f>
        <v>330000</v>
      </c>
      <c r="G8" s="23">
        <f>SUM(G112:G118)</f>
        <v>0</v>
      </c>
      <c r="H8" s="23">
        <f>SUM(H112:H119)</f>
        <v>501000</v>
      </c>
      <c r="I8" s="23">
        <f>SUM(I112:I118)</f>
        <v>0</v>
      </c>
      <c r="J8" s="23">
        <f>SUM(J112:J118)</f>
        <v>0</v>
      </c>
      <c r="K8" s="23">
        <f>SUM(K112:K118)</f>
        <v>0</v>
      </c>
      <c r="L8" s="23">
        <f>SUM(L112:L118)</f>
        <v>-231000</v>
      </c>
      <c r="M8" s="23">
        <f>SUM(M112:M119)</f>
        <v>100000</v>
      </c>
      <c r="N8" s="23">
        <f>SUM(N112:N118)</f>
        <v>0</v>
      </c>
      <c r="O8" s="24">
        <f t="shared" si="1"/>
        <v>0</v>
      </c>
      <c r="P8" s="23">
        <f>SUM(P112:P118)</f>
        <v>0</v>
      </c>
      <c r="Q8" s="24">
        <f t="shared" si="2"/>
        <v>0</v>
      </c>
      <c r="R8" s="23">
        <f>SUM(R112:R118)</f>
        <v>0</v>
      </c>
      <c r="S8" s="24">
        <f t="shared" si="3"/>
        <v>0</v>
      </c>
      <c r="T8" s="23">
        <f>SUM(T112:T118)</f>
        <v>100000</v>
      </c>
      <c r="U8" s="24">
        <f t="shared" si="4"/>
        <v>1</v>
      </c>
      <c r="V8" s="23">
        <f>SUM(V112:V119)</f>
        <v>0</v>
      </c>
      <c r="W8" s="23">
        <f>SUM(W112:W119)</f>
        <v>0</v>
      </c>
    </row>
    <row r="9" spans="1:23" ht="13.9" customHeight="1" x14ac:dyDescent="0.25">
      <c r="A9" s="13"/>
      <c r="B9" s="22">
        <v>43</v>
      </c>
      <c r="C9" s="22" t="s">
        <v>23</v>
      </c>
      <c r="D9" s="23">
        <f t="shared" ref="D9:N9" si="9">D56</f>
        <v>0</v>
      </c>
      <c r="E9" s="23">
        <f t="shared" si="9"/>
        <v>1</v>
      </c>
      <c r="F9" s="23">
        <f t="shared" si="9"/>
        <v>0</v>
      </c>
      <c r="G9" s="23">
        <f t="shared" si="9"/>
        <v>0</v>
      </c>
      <c r="H9" s="23">
        <f t="shared" si="9"/>
        <v>0</v>
      </c>
      <c r="I9" s="23">
        <f t="shared" si="9"/>
        <v>0</v>
      </c>
      <c r="J9" s="23">
        <f t="shared" si="9"/>
        <v>0</v>
      </c>
      <c r="K9" s="23">
        <f t="shared" si="9"/>
        <v>0</v>
      </c>
      <c r="L9" s="23">
        <f t="shared" si="9"/>
        <v>0</v>
      </c>
      <c r="M9" s="23">
        <f t="shared" si="9"/>
        <v>0</v>
      </c>
      <c r="N9" s="23">
        <f t="shared" si="9"/>
        <v>0</v>
      </c>
      <c r="O9" s="24">
        <f>IFERROR(N9/$M9,0)</f>
        <v>0</v>
      </c>
      <c r="P9" s="23">
        <f>P56</f>
        <v>0</v>
      </c>
      <c r="Q9" s="24">
        <f>IFERROR(P9/$M9,0)</f>
        <v>0</v>
      </c>
      <c r="R9" s="23">
        <f>R56</f>
        <v>0</v>
      </c>
      <c r="S9" s="24">
        <f>IFERROR(R9/$M9,0)</f>
        <v>0</v>
      </c>
      <c r="T9" s="23">
        <f>T56</f>
        <v>87.5</v>
      </c>
      <c r="U9" s="24">
        <f>IFERROR(T9/$M9,0)</f>
        <v>0</v>
      </c>
      <c r="V9" s="23">
        <f>V56</f>
        <v>0</v>
      </c>
      <c r="W9" s="23">
        <f>W56</f>
        <v>0</v>
      </c>
    </row>
    <row r="10" spans="1:23" ht="13.9" customHeight="1" x14ac:dyDescent="0.25">
      <c r="A10" s="13"/>
      <c r="B10" s="22"/>
      <c r="C10" s="25" t="s">
        <v>27</v>
      </c>
      <c r="D10" s="26">
        <f t="shared" ref="D10:N10" si="10">SUM(D8:D9)</f>
        <v>562503.78</v>
      </c>
      <c r="E10" s="26">
        <f t="shared" si="10"/>
        <v>975399.04999999993</v>
      </c>
      <c r="F10" s="26">
        <f t="shared" si="10"/>
        <v>330000</v>
      </c>
      <c r="G10" s="26">
        <f t="shared" si="10"/>
        <v>0</v>
      </c>
      <c r="H10" s="26">
        <f t="shared" si="10"/>
        <v>501000</v>
      </c>
      <c r="I10" s="26">
        <f t="shared" si="10"/>
        <v>0</v>
      </c>
      <c r="J10" s="26">
        <f t="shared" si="10"/>
        <v>0</v>
      </c>
      <c r="K10" s="26">
        <f t="shared" si="10"/>
        <v>0</v>
      </c>
      <c r="L10" s="26">
        <f t="shared" si="10"/>
        <v>-231000</v>
      </c>
      <c r="M10" s="26">
        <f t="shared" si="10"/>
        <v>100000</v>
      </c>
      <c r="N10" s="26">
        <f t="shared" si="10"/>
        <v>0</v>
      </c>
      <c r="O10" s="27">
        <f>N10/$M10</f>
        <v>0</v>
      </c>
      <c r="P10" s="26">
        <f>SUM(P8:P9)</f>
        <v>0</v>
      </c>
      <c r="Q10" s="27">
        <f>P10/$M10</f>
        <v>0</v>
      </c>
      <c r="R10" s="26">
        <f>SUM(R8:R9)</f>
        <v>0</v>
      </c>
      <c r="S10" s="27">
        <f>R10/$M10</f>
        <v>0</v>
      </c>
      <c r="T10" s="26">
        <f>SUM(T8:T9)</f>
        <v>100087.5</v>
      </c>
      <c r="U10" s="27">
        <f>T10/$M10</f>
        <v>1.000875</v>
      </c>
      <c r="V10" s="26">
        <f>SUM(V8:V9)</f>
        <v>0</v>
      </c>
      <c r="W10" s="26">
        <f>SUM(W8:W9)</f>
        <v>0</v>
      </c>
    </row>
    <row r="11" spans="1:23" ht="13.9" customHeight="1" x14ac:dyDescent="0.25">
      <c r="A11" s="13"/>
      <c r="B11" s="22">
        <v>131</v>
      </c>
      <c r="C11" s="22" t="s">
        <v>22</v>
      </c>
      <c r="D11" s="23">
        <f t="shared" ref="D11:N11" si="11">D130</f>
        <v>116750.27</v>
      </c>
      <c r="E11" s="23">
        <f t="shared" si="11"/>
        <v>3137.87</v>
      </c>
      <c r="F11" s="23">
        <f t="shared" si="11"/>
        <v>0</v>
      </c>
      <c r="G11" s="23">
        <f t="shared" si="11"/>
        <v>14889.34</v>
      </c>
      <c r="H11" s="23">
        <f t="shared" si="11"/>
        <v>34161</v>
      </c>
      <c r="I11" s="23">
        <f t="shared" si="11"/>
        <v>0</v>
      </c>
      <c r="J11" s="23">
        <f t="shared" si="11"/>
        <v>0</v>
      </c>
      <c r="K11" s="23">
        <f t="shared" si="11"/>
        <v>0</v>
      </c>
      <c r="L11" s="23">
        <f t="shared" si="11"/>
        <v>0</v>
      </c>
      <c r="M11" s="23">
        <f t="shared" si="11"/>
        <v>34161</v>
      </c>
      <c r="N11" s="23">
        <f t="shared" si="11"/>
        <v>34161.160000000003</v>
      </c>
      <c r="O11" s="24">
        <f>N11/$M11</f>
        <v>1.0000046837036387</v>
      </c>
      <c r="P11" s="23">
        <f>P130</f>
        <v>34161.160000000003</v>
      </c>
      <c r="Q11" s="24">
        <f>P11/$M11</f>
        <v>1.0000046837036387</v>
      </c>
      <c r="R11" s="23">
        <f>R130</f>
        <v>34161.160000000003</v>
      </c>
      <c r="S11" s="24">
        <f>R11/$M11</f>
        <v>1.0000046837036387</v>
      </c>
      <c r="T11" s="23">
        <f>T130</f>
        <v>34161.160000000003</v>
      </c>
      <c r="U11" s="24">
        <f>T11/$M11</f>
        <v>1.0000046837036387</v>
      </c>
      <c r="V11" s="23">
        <f t="shared" ref="V11:W15" si="12">V130</f>
        <v>0</v>
      </c>
      <c r="W11" s="23">
        <f t="shared" si="12"/>
        <v>0</v>
      </c>
    </row>
    <row r="12" spans="1:23" ht="13.9" customHeight="1" x14ac:dyDescent="0.25">
      <c r="A12" s="13"/>
      <c r="B12" s="22">
        <v>41</v>
      </c>
      <c r="C12" s="22" t="s">
        <v>23</v>
      </c>
      <c r="D12" s="23">
        <f t="shared" ref="D12:N12" si="13">D131</f>
        <v>335003</v>
      </c>
      <c r="E12" s="23">
        <f t="shared" si="13"/>
        <v>170790.2</v>
      </c>
      <c r="F12" s="23">
        <f t="shared" si="13"/>
        <v>410336</v>
      </c>
      <c r="G12" s="23">
        <f t="shared" si="13"/>
        <v>361389.5</v>
      </c>
      <c r="H12" s="23">
        <f t="shared" si="13"/>
        <v>762580</v>
      </c>
      <c r="I12" s="23">
        <f t="shared" si="13"/>
        <v>0</v>
      </c>
      <c r="J12" s="23">
        <f t="shared" si="13"/>
        <v>-3760</v>
      </c>
      <c r="K12" s="23">
        <f t="shared" si="13"/>
        <v>1136</v>
      </c>
      <c r="L12" s="23">
        <f t="shared" si="13"/>
        <v>0</v>
      </c>
      <c r="M12" s="23">
        <f t="shared" si="13"/>
        <v>759956</v>
      </c>
      <c r="N12" s="23">
        <f t="shared" si="13"/>
        <v>762581.55</v>
      </c>
      <c r="O12" s="24">
        <f>N12/$M12</f>
        <v>1.0034548710714832</v>
      </c>
      <c r="P12" s="23">
        <f>P131</f>
        <v>759956.16999999993</v>
      </c>
      <c r="Q12" s="24">
        <f>P12/$M12</f>
        <v>1.0000002236971612</v>
      </c>
      <c r="R12" s="23">
        <f>R131</f>
        <v>759956.16999999993</v>
      </c>
      <c r="S12" s="24">
        <f>R12/$M12</f>
        <v>1.0000002236971612</v>
      </c>
      <c r="T12" s="23">
        <f>T131</f>
        <v>759956.16999999993</v>
      </c>
      <c r="U12" s="24">
        <f>T12/$M12</f>
        <v>1.0000002236971612</v>
      </c>
      <c r="V12" s="23">
        <f t="shared" si="12"/>
        <v>0</v>
      </c>
      <c r="W12" s="23">
        <f t="shared" si="12"/>
        <v>0</v>
      </c>
    </row>
    <row r="13" spans="1:23" ht="13.9" customHeight="1" x14ac:dyDescent="0.25">
      <c r="A13" s="13"/>
      <c r="B13" s="22">
        <v>52</v>
      </c>
      <c r="C13" s="22" t="s">
        <v>28</v>
      </c>
      <c r="D13" s="23">
        <f t="shared" ref="D13:N13" si="14">D132</f>
        <v>0</v>
      </c>
      <c r="E13" s="23">
        <f t="shared" si="14"/>
        <v>0</v>
      </c>
      <c r="F13" s="23">
        <f t="shared" si="14"/>
        <v>0</v>
      </c>
      <c r="G13" s="23">
        <f t="shared" si="14"/>
        <v>0</v>
      </c>
      <c r="H13" s="23">
        <f t="shared" si="14"/>
        <v>0</v>
      </c>
      <c r="I13" s="23">
        <f t="shared" si="14"/>
        <v>0</v>
      </c>
      <c r="J13" s="23">
        <f t="shared" si="14"/>
        <v>0</v>
      </c>
      <c r="K13" s="23">
        <f t="shared" si="14"/>
        <v>0</v>
      </c>
      <c r="L13" s="23">
        <f t="shared" si="14"/>
        <v>0</v>
      </c>
      <c r="M13" s="23">
        <f t="shared" si="14"/>
        <v>0</v>
      </c>
      <c r="N13" s="23">
        <f t="shared" si="14"/>
        <v>0</v>
      </c>
      <c r="O13" s="24">
        <f>IFERROR(N13/$M13,0)</f>
        <v>0</v>
      </c>
      <c r="P13" s="23">
        <f>P132</f>
        <v>0</v>
      </c>
      <c r="Q13" s="24">
        <f>IFERROR(P13/$M13,0)</f>
        <v>0</v>
      </c>
      <c r="R13" s="23">
        <f>R132</f>
        <v>0</v>
      </c>
      <c r="S13" s="24">
        <f>IFERROR(R13/$M13,0)</f>
        <v>0</v>
      </c>
      <c r="T13" s="23">
        <f>T132</f>
        <v>0</v>
      </c>
      <c r="U13" s="24">
        <f>IFERROR(T13/$M13,0)</f>
        <v>0</v>
      </c>
      <c r="V13" s="23">
        <f t="shared" si="12"/>
        <v>0</v>
      </c>
      <c r="W13" s="23">
        <f t="shared" si="12"/>
        <v>0</v>
      </c>
    </row>
    <row r="14" spans="1:23" ht="13.9" customHeight="1" x14ac:dyDescent="0.25">
      <c r="A14" s="13"/>
      <c r="B14" s="22">
        <v>71</v>
      </c>
      <c r="C14" s="22" t="s">
        <v>24</v>
      </c>
      <c r="D14" s="23">
        <f t="shared" ref="D14:N14" si="15">D133</f>
        <v>75210.5</v>
      </c>
      <c r="E14" s="23">
        <f t="shared" si="15"/>
        <v>5317.83</v>
      </c>
      <c r="F14" s="23">
        <f t="shared" si="15"/>
        <v>3000</v>
      </c>
      <c r="G14" s="23">
        <f t="shared" si="15"/>
        <v>6320.3</v>
      </c>
      <c r="H14" s="23">
        <f t="shared" si="15"/>
        <v>0</v>
      </c>
      <c r="I14" s="23">
        <f t="shared" si="15"/>
        <v>0</v>
      </c>
      <c r="J14" s="23">
        <f t="shared" si="15"/>
        <v>3760</v>
      </c>
      <c r="K14" s="23">
        <f t="shared" si="15"/>
        <v>0</v>
      </c>
      <c r="L14" s="23">
        <f t="shared" si="15"/>
        <v>0</v>
      </c>
      <c r="M14" s="23">
        <f t="shared" si="15"/>
        <v>3760</v>
      </c>
      <c r="N14" s="23">
        <f t="shared" si="15"/>
        <v>0</v>
      </c>
      <c r="O14" s="24">
        <f>N14/$M14</f>
        <v>0</v>
      </c>
      <c r="P14" s="23">
        <f>P133</f>
        <v>3760.3</v>
      </c>
      <c r="Q14" s="24">
        <f>P14/$M14</f>
        <v>1.0000797872340426</v>
      </c>
      <c r="R14" s="23">
        <f>R133</f>
        <v>3760.3</v>
      </c>
      <c r="S14" s="24">
        <f>R14/$M14</f>
        <v>1.0000797872340426</v>
      </c>
      <c r="T14" s="23">
        <f>T133</f>
        <v>3760.3</v>
      </c>
      <c r="U14" s="24">
        <f>T14/$M14</f>
        <v>1.0000797872340426</v>
      </c>
      <c r="V14" s="23">
        <f t="shared" si="12"/>
        <v>0</v>
      </c>
      <c r="W14" s="23">
        <f t="shared" si="12"/>
        <v>0</v>
      </c>
    </row>
    <row r="15" spans="1:23" ht="13.9" customHeight="1" x14ac:dyDescent="0.25">
      <c r="A15" s="13"/>
      <c r="B15" s="28">
        <v>72</v>
      </c>
      <c r="C15" s="28" t="s">
        <v>25</v>
      </c>
      <c r="D15" s="23">
        <f t="shared" ref="D15:N15" si="16">D134</f>
        <v>0</v>
      </c>
      <c r="E15" s="23">
        <f t="shared" si="16"/>
        <v>0</v>
      </c>
      <c r="F15" s="23">
        <f t="shared" si="16"/>
        <v>0</v>
      </c>
      <c r="G15" s="23">
        <f t="shared" si="16"/>
        <v>10178.58</v>
      </c>
      <c r="H15" s="23">
        <f t="shared" si="16"/>
        <v>9453</v>
      </c>
      <c r="I15" s="23">
        <f t="shared" si="16"/>
        <v>0</v>
      </c>
      <c r="J15" s="23">
        <f t="shared" si="16"/>
        <v>0</v>
      </c>
      <c r="K15" s="23">
        <f t="shared" si="16"/>
        <v>0</v>
      </c>
      <c r="L15" s="23">
        <f t="shared" si="16"/>
        <v>0</v>
      </c>
      <c r="M15" s="23">
        <f t="shared" si="16"/>
        <v>9453</v>
      </c>
      <c r="N15" s="23">
        <f t="shared" si="16"/>
        <v>9542.74</v>
      </c>
      <c r="O15" s="24">
        <f>N15/$M15</f>
        <v>1.0094932825558023</v>
      </c>
      <c r="P15" s="23">
        <f>P134</f>
        <v>9542.74</v>
      </c>
      <c r="Q15" s="24">
        <f>P15/$M15</f>
        <v>1.0094932825558023</v>
      </c>
      <c r="R15" s="23">
        <f>R134</f>
        <v>13138.14</v>
      </c>
      <c r="S15" s="24">
        <f>R15/$M15</f>
        <v>1.3898381466201206</v>
      </c>
      <c r="T15" s="23">
        <f>T134</f>
        <v>13138.14</v>
      </c>
      <c r="U15" s="24">
        <f>T15/$M15</f>
        <v>1.3898381466201206</v>
      </c>
      <c r="V15" s="23">
        <f t="shared" si="12"/>
        <v>0</v>
      </c>
      <c r="W15" s="23">
        <f t="shared" si="12"/>
        <v>0</v>
      </c>
    </row>
    <row r="16" spans="1:23" ht="13.9" customHeight="1" x14ac:dyDescent="0.25">
      <c r="A16" s="13"/>
      <c r="B16" s="22"/>
      <c r="C16" s="25" t="s">
        <v>29</v>
      </c>
      <c r="D16" s="26">
        <f t="shared" ref="D16:N16" si="17">SUM(D11:D15)</f>
        <v>526963.77</v>
      </c>
      <c r="E16" s="26">
        <f t="shared" si="17"/>
        <v>179245.9</v>
      </c>
      <c r="F16" s="26">
        <f t="shared" si="17"/>
        <v>413336</v>
      </c>
      <c r="G16" s="26">
        <f t="shared" si="17"/>
        <v>392777.72000000003</v>
      </c>
      <c r="H16" s="26">
        <f t="shared" si="17"/>
        <v>806194</v>
      </c>
      <c r="I16" s="26">
        <f t="shared" si="17"/>
        <v>0</v>
      </c>
      <c r="J16" s="26">
        <f t="shared" si="17"/>
        <v>0</v>
      </c>
      <c r="K16" s="26">
        <f t="shared" si="17"/>
        <v>1136</v>
      </c>
      <c r="L16" s="26">
        <f t="shared" si="17"/>
        <v>0</v>
      </c>
      <c r="M16" s="26">
        <f t="shared" si="17"/>
        <v>807330</v>
      </c>
      <c r="N16" s="26">
        <f t="shared" si="17"/>
        <v>806285.45000000007</v>
      </c>
      <c r="O16" s="27">
        <f>N16/$M16</f>
        <v>0.99870616724263939</v>
      </c>
      <c r="P16" s="26">
        <f>SUM(P11:P15)</f>
        <v>807420.37</v>
      </c>
      <c r="Q16" s="27">
        <f>P16/$M16</f>
        <v>1.0001119368783522</v>
      </c>
      <c r="R16" s="26">
        <f>SUM(R11:R15)</f>
        <v>811015.77</v>
      </c>
      <c r="S16" s="27">
        <f>R16/$M16</f>
        <v>1.0045653821857234</v>
      </c>
      <c r="T16" s="26">
        <f>SUM(T11:T15)</f>
        <v>811015.77</v>
      </c>
      <c r="U16" s="27">
        <f>T16/$M16</f>
        <v>1.0045653821857234</v>
      </c>
      <c r="V16" s="26">
        <f>SUM(V11:V15)</f>
        <v>0</v>
      </c>
      <c r="W16" s="26">
        <f>SUM(W11:W15)</f>
        <v>0</v>
      </c>
    </row>
    <row r="17" spans="1:23" ht="13.9" customHeight="1" x14ac:dyDescent="0.25">
      <c r="A17" s="13"/>
      <c r="B17" s="22">
        <v>111</v>
      </c>
      <c r="C17" s="22" t="s">
        <v>22</v>
      </c>
      <c r="D17" s="23">
        <f t="shared" ref="D17:N17" si="18">D3+D8+D11</f>
        <v>1198470.53</v>
      </c>
      <c r="E17" s="23">
        <f t="shared" si="18"/>
        <v>1596660.77</v>
      </c>
      <c r="F17" s="23">
        <f t="shared" si="18"/>
        <v>980789</v>
      </c>
      <c r="G17" s="23">
        <f t="shared" si="18"/>
        <v>727822.04</v>
      </c>
      <c r="H17" s="23">
        <f t="shared" si="18"/>
        <v>1202419</v>
      </c>
      <c r="I17" s="23">
        <f t="shared" si="18"/>
        <v>2000</v>
      </c>
      <c r="J17" s="23">
        <f t="shared" si="18"/>
        <v>28440</v>
      </c>
      <c r="K17" s="23">
        <f t="shared" si="18"/>
        <v>2892</v>
      </c>
      <c r="L17" s="23">
        <f t="shared" si="18"/>
        <v>-398001</v>
      </c>
      <c r="M17" s="23">
        <f t="shared" si="18"/>
        <v>837750</v>
      </c>
      <c r="N17" s="23">
        <f t="shared" si="18"/>
        <v>269736.39</v>
      </c>
      <c r="O17" s="24">
        <f>N17/$M17</f>
        <v>0.3219771888988362</v>
      </c>
      <c r="P17" s="23">
        <f>P3+P8+P11</f>
        <v>442074.49</v>
      </c>
      <c r="Q17" s="24">
        <f>P17/$M17</f>
        <v>0.52769261712921511</v>
      </c>
      <c r="R17" s="23">
        <f>R3+R8+R11</f>
        <v>595595.04</v>
      </c>
      <c r="S17" s="24">
        <f>R17/$M17</f>
        <v>0.71094603401969569</v>
      </c>
      <c r="T17" s="23">
        <f>T3+T8+T11</f>
        <v>898147.1</v>
      </c>
      <c r="U17" s="24">
        <f>T17/$M17</f>
        <v>1.0720944195762458</v>
      </c>
      <c r="V17" s="23">
        <f>V3+V8+V11</f>
        <v>659218</v>
      </c>
      <c r="W17" s="23">
        <f>W3+W8+W11</f>
        <v>654818</v>
      </c>
    </row>
    <row r="18" spans="1:23" ht="13.9" customHeight="1" x14ac:dyDescent="0.25">
      <c r="A18" s="13"/>
      <c r="B18" s="22">
        <v>41</v>
      </c>
      <c r="C18" s="22" t="s">
        <v>23</v>
      </c>
      <c r="D18" s="23">
        <f t="shared" ref="D18:N18" si="19">D4+D9+D12</f>
        <v>1496879.7300000002</v>
      </c>
      <c r="E18" s="23">
        <f t="shared" si="19"/>
        <v>1490858.0399999998</v>
      </c>
      <c r="F18" s="23">
        <f t="shared" si="19"/>
        <v>1714745</v>
      </c>
      <c r="G18" s="23">
        <f t="shared" si="19"/>
        <v>1665752.2000000002</v>
      </c>
      <c r="H18" s="23">
        <f t="shared" si="19"/>
        <v>2061514</v>
      </c>
      <c r="I18" s="23">
        <f t="shared" si="19"/>
        <v>595</v>
      </c>
      <c r="J18" s="23">
        <f t="shared" si="19"/>
        <v>-2252</v>
      </c>
      <c r="K18" s="23">
        <f t="shared" si="19"/>
        <v>1893</v>
      </c>
      <c r="L18" s="23">
        <f t="shared" si="19"/>
        <v>-14930</v>
      </c>
      <c r="M18" s="23">
        <f t="shared" si="19"/>
        <v>2046820</v>
      </c>
      <c r="N18" s="23">
        <f t="shared" si="19"/>
        <v>1128531.9000000001</v>
      </c>
      <c r="O18" s="24">
        <f>N18/$M18</f>
        <v>0.55135864414066704</v>
      </c>
      <c r="P18" s="23">
        <f>P4+P9+P12</f>
        <v>1389347.41</v>
      </c>
      <c r="Q18" s="24">
        <f>P18/$M18</f>
        <v>0.67878338593525567</v>
      </c>
      <c r="R18" s="23">
        <f>R4+R9+R12</f>
        <v>1763916.9299999997</v>
      </c>
      <c r="S18" s="24">
        <f>R18/$M18</f>
        <v>0.86178409923686483</v>
      </c>
      <c r="T18" s="23">
        <f>T4+T9+T12</f>
        <v>2121710.1999999997</v>
      </c>
      <c r="U18" s="24">
        <f>T18/$M18</f>
        <v>1.0365885617689878</v>
      </c>
      <c r="V18" s="23">
        <f>V4+V9+V12</f>
        <v>1361224</v>
      </c>
      <c r="W18" s="23">
        <f>W4+W9+W12</f>
        <v>1431247</v>
      </c>
    </row>
    <row r="19" spans="1:23" ht="13.9" customHeight="1" x14ac:dyDescent="0.25">
      <c r="A19" s="13"/>
      <c r="B19" s="22">
        <v>52</v>
      </c>
      <c r="C19" s="22" t="s">
        <v>28</v>
      </c>
      <c r="D19" s="23">
        <f t="shared" ref="D19:N19" si="20">D13</f>
        <v>0</v>
      </c>
      <c r="E19" s="23">
        <f t="shared" si="20"/>
        <v>0</v>
      </c>
      <c r="F19" s="23">
        <f t="shared" si="20"/>
        <v>0</v>
      </c>
      <c r="G19" s="23">
        <f t="shared" si="20"/>
        <v>0</v>
      </c>
      <c r="H19" s="23">
        <f t="shared" si="20"/>
        <v>0</v>
      </c>
      <c r="I19" s="23">
        <f t="shared" si="20"/>
        <v>0</v>
      </c>
      <c r="J19" s="23">
        <f t="shared" si="20"/>
        <v>0</v>
      </c>
      <c r="K19" s="23">
        <f t="shared" si="20"/>
        <v>0</v>
      </c>
      <c r="L19" s="23">
        <f t="shared" si="20"/>
        <v>0</v>
      </c>
      <c r="M19" s="23">
        <f t="shared" si="20"/>
        <v>0</v>
      </c>
      <c r="N19" s="23">
        <f t="shared" si="20"/>
        <v>0</v>
      </c>
      <c r="O19" s="24">
        <f>IFERROR(N19/$M19,0)</f>
        <v>0</v>
      </c>
      <c r="P19" s="23">
        <f>P13</f>
        <v>0</v>
      </c>
      <c r="Q19" s="24">
        <f>IFERROR(P19/$M19,0)</f>
        <v>0</v>
      </c>
      <c r="R19" s="23">
        <f>R13</f>
        <v>0</v>
      </c>
      <c r="S19" s="24">
        <f>IFERROR(R19/$M19,0)</f>
        <v>0</v>
      </c>
      <c r="T19" s="23">
        <f>T13</f>
        <v>0</v>
      </c>
      <c r="U19" s="24">
        <f>IFERROR(T19/$M19,0)</f>
        <v>0</v>
      </c>
      <c r="V19" s="23">
        <f>V13</f>
        <v>0</v>
      </c>
      <c r="W19" s="23">
        <f>W13</f>
        <v>0</v>
      </c>
    </row>
    <row r="20" spans="1:23" ht="13.9" customHeight="1" x14ac:dyDescent="0.25">
      <c r="A20" s="13"/>
      <c r="B20" s="22">
        <v>71</v>
      </c>
      <c r="C20" s="22" t="s">
        <v>24</v>
      </c>
      <c r="D20" s="23">
        <f t="shared" ref="D20:N20" si="21">D5+D14</f>
        <v>76610.5</v>
      </c>
      <c r="E20" s="23">
        <f t="shared" si="21"/>
        <v>6717.83</v>
      </c>
      <c r="F20" s="23">
        <f t="shared" si="21"/>
        <v>4400</v>
      </c>
      <c r="G20" s="23">
        <f t="shared" si="21"/>
        <v>7720.3</v>
      </c>
      <c r="H20" s="23">
        <f t="shared" si="21"/>
        <v>3000</v>
      </c>
      <c r="I20" s="23">
        <f t="shared" si="21"/>
        <v>0</v>
      </c>
      <c r="J20" s="23">
        <f t="shared" si="21"/>
        <v>3760</v>
      </c>
      <c r="K20" s="23">
        <f t="shared" si="21"/>
        <v>0</v>
      </c>
      <c r="L20" s="23">
        <f t="shared" si="21"/>
        <v>0</v>
      </c>
      <c r="M20" s="23">
        <f t="shared" si="21"/>
        <v>6760</v>
      </c>
      <c r="N20" s="23">
        <f t="shared" si="21"/>
        <v>0</v>
      </c>
      <c r="O20" s="24">
        <f>N20/$M20</f>
        <v>0</v>
      </c>
      <c r="P20" s="23">
        <f>P5+P14</f>
        <v>6760.3</v>
      </c>
      <c r="Q20" s="24">
        <f>P20/$M20</f>
        <v>1.0000443786982249</v>
      </c>
      <c r="R20" s="23">
        <f>R5+R14</f>
        <v>6760.3</v>
      </c>
      <c r="S20" s="24">
        <f>R20/$M20</f>
        <v>1.0000443786982249</v>
      </c>
      <c r="T20" s="23">
        <f>T5+T14</f>
        <v>6760.3</v>
      </c>
      <c r="U20" s="24">
        <f>T20/$M20</f>
        <v>1.0000443786982249</v>
      </c>
      <c r="V20" s="23">
        <f>V5+V14</f>
        <v>3000</v>
      </c>
      <c r="W20" s="23">
        <f>W5+W14</f>
        <v>3000</v>
      </c>
    </row>
    <row r="21" spans="1:23" ht="13.9" customHeight="1" x14ac:dyDescent="0.25">
      <c r="A21" s="13"/>
      <c r="B21" s="22">
        <v>72</v>
      </c>
      <c r="C21" s="22" t="s">
        <v>25</v>
      </c>
      <c r="D21" s="23">
        <f>D6</f>
        <v>57663.810000000005</v>
      </c>
      <c r="E21" s="23">
        <f>E6</f>
        <v>58656.990000000005</v>
      </c>
      <c r="F21" s="23">
        <f>F6</f>
        <v>50265</v>
      </c>
      <c r="G21" s="23">
        <f>G6+G15</f>
        <v>54275.060000000005</v>
      </c>
      <c r="H21" s="23">
        <f>H6+H15</f>
        <v>51374</v>
      </c>
      <c r="I21" s="23">
        <f>I6</f>
        <v>0</v>
      </c>
      <c r="J21" s="23">
        <f>J6</f>
        <v>15</v>
      </c>
      <c r="K21" s="23">
        <f>K6</f>
        <v>2264</v>
      </c>
      <c r="L21" s="23">
        <f>L6+L15</f>
        <v>3</v>
      </c>
      <c r="M21" s="23">
        <f>M6+M15</f>
        <v>53656</v>
      </c>
      <c r="N21" s="23">
        <f>N6+N15</f>
        <v>15895.45</v>
      </c>
      <c r="O21" s="24">
        <f>N21/$M21</f>
        <v>0.29624739078574625</v>
      </c>
      <c r="P21" s="23">
        <f>P6+P15</f>
        <v>29075.08</v>
      </c>
      <c r="Q21" s="24">
        <f>P21/$M21</f>
        <v>0.54187937975249745</v>
      </c>
      <c r="R21" s="23">
        <f>R6+R15</f>
        <v>46881.86</v>
      </c>
      <c r="S21" s="24">
        <f>R21/$M21</f>
        <v>0.87374869539287314</v>
      </c>
      <c r="T21" s="23">
        <f>T6+T15</f>
        <v>68983.75</v>
      </c>
      <c r="U21" s="24">
        <f>T21/$M21</f>
        <v>1.2856670269867303</v>
      </c>
      <c r="V21" s="23">
        <f>V6</f>
        <v>41921</v>
      </c>
      <c r="W21" s="23">
        <f>W6</f>
        <v>41921</v>
      </c>
    </row>
    <row r="22" spans="1:23" ht="13.9" customHeight="1" x14ac:dyDescent="0.25">
      <c r="A22" s="29"/>
      <c r="B22" s="30"/>
      <c r="C22" s="25" t="s">
        <v>30</v>
      </c>
      <c r="D22" s="26">
        <f t="shared" ref="D22:N22" si="22">SUM(D17:D21)</f>
        <v>2829624.5700000003</v>
      </c>
      <c r="E22" s="26">
        <f t="shared" si="22"/>
        <v>3152893.63</v>
      </c>
      <c r="F22" s="26">
        <f t="shared" si="22"/>
        <v>2750199</v>
      </c>
      <c r="G22" s="26">
        <f t="shared" si="22"/>
        <v>2455569.6</v>
      </c>
      <c r="H22" s="26">
        <f t="shared" si="22"/>
        <v>3318307</v>
      </c>
      <c r="I22" s="26">
        <f t="shared" si="22"/>
        <v>2595</v>
      </c>
      <c r="J22" s="26">
        <f t="shared" si="22"/>
        <v>29963</v>
      </c>
      <c r="K22" s="26">
        <f t="shared" si="22"/>
        <v>7049</v>
      </c>
      <c r="L22" s="26">
        <f t="shared" si="22"/>
        <v>-412928</v>
      </c>
      <c r="M22" s="26">
        <f t="shared" si="22"/>
        <v>2944986</v>
      </c>
      <c r="N22" s="26">
        <f t="shared" si="22"/>
        <v>1414163.74</v>
      </c>
      <c r="O22" s="27">
        <f>N22/$M22</f>
        <v>0.48019370550488183</v>
      </c>
      <c r="P22" s="26">
        <f>SUM(P17:P21)</f>
        <v>1867257.28</v>
      </c>
      <c r="Q22" s="27">
        <f>P22/$M22</f>
        <v>0.63404623315696573</v>
      </c>
      <c r="R22" s="26">
        <f>SUM(R17:R21)</f>
        <v>2413154.1299999994</v>
      </c>
      <c r="S22" s="27">
        <f>R22/$M22</f>
        <v>0.81941107020542692</v>
      </c>
      <c r="T22" s="26">
        <f>SUM(T17:T21)</f>
        <v>3095601.3499999996</v>
      </c>
      <c r="U22" s="27">
        <f>T22/$M22</f>
        <v>1.0511429765710261</v>
      </c>
      <c r="V22" s="26">
        <f>SUM(V17:V21)</f>
        <v>2065363</v>
      </c>
      <c r="W22" s="26">
        <f>SUM(W17:W21)</f>
        <v>2130986</v>
      </c>
    </row>
    <row r="24" spans="1:23" ht="13.9" customHeight="1" x14ac:dyDescent="0.25">
      <c r="A24" s="31" t="s">
        <v>31</v>
      </c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2"/>
      <c r="P24" s="31"/>
      <c r="Q24" s="31"/>
      <c r="R24" s="31"/>
      <c r="S24" s="31"/>
      <c r="T24" s="31"/>
      <c r="U24" s="31"/>
      <c r="V24" s="31"/>
      <c r="W24" s="31"/>
    </row>
    <row r="25" spans="1:23" ht="13.9" customHeight="1" x14ac:dyDescent="0.25">
      <c r="A25" s="19"/>
      <c r="B25" s="19"/>
      <c r="C25" s="19"/>
      <c r="D25" s="20" t="s">
        <v>1</v>
      </c>
      <c r="E25" s="20" t="s">
        <v>2</v>
      </c>
      <c r="F25" s="20" t="s">
        <v>3</v>
      </c>
      <c r="G25" s="20" t="s">
        <v>4</v>
      </c>
      <c r="H25" s="20" t="s">
        <v>5</v>
      </c>
      <c r="I25" s="20" t="s">
        <v>6</v>
      </c>
      <c r="J25" s="20" t="s">
        <v>7</v>
      </c>
      <c r="K25" s="20" t="s">
        <v>8</v>
      </c>
      <c r="L25" s="20" t="s">
        <v>9</v>
      </c>
      <c r="M25" s="20" t="s">
        <v>10</v>
      </c>
      <c r="N25" s="20" t="s">
        <v>11</v>
      </c>
      <c r="O25" s="21" t="s">
        <v>12</v>
      </c>
      <c r="P25" s="20" t="s">
        <v>13</v>
      </c>
      <c r="Q25" s="21" t="s">
        <v>14</v>
      </c>
      <c r="R25" s="20" t="s">
        <v>15</v>
      </c>
      <c r="S25" s="21" t="s">
        <v>16</v>
      </c>
      <c r="T25" s="20" t="s">
        <v>17</v>
      </c>
      <c r="U25" s="21" t="s">
        <v>18</v>
      </c>
      <c r="V25" s="20" t="s">
        <v>19</v>
      </c>
      <c r="W25" s="20" t="s">
        <v>20</v>
      </c>
    </row>
    <row r="26" spans="1:23" ht="13.9" customHeight="1" x14ac:dyDescent="0.25">
      <c r="A26" s="33" t="s">
        <v>21</v>
      </c>
      <c r="B26" s="34">
        <v>41</v>
      </c>
      <c r="C26" s="34" t="s">
        <v>23</v>
      </c>
      <c r="D26" s="35">
        <f t="shared" ref="D26:N26" si="23">D40</f>
        <v>1058767.4200000002</v>
      </c>
      <c r="E26" s="35">
        <f t="shared" si="23"/>
        <v>1197839.0799999998</v>
      </c>
      <c r="F26" s="35">
        <f t="shared" si="23"/>
        <v>1211834</v>
      </c>
      <c r="G26" s="35">
        <f t="shared" si="23"/>
        <v>1191500.5300000003</v>
      </c>
      <c r="H26" s="35">
        <f t="shared" si="23"/>
        <v>1190310</v>
      </c>
      <c r="I26" s="35">
        <f t="shared" si="23"/>
        <v>0</v>
      </c>
      <c r="J26" s="35">
        <f t="shared" si="23"/>
        <v>0</v>
      </c>
      <c r="K26" s="35">
        <f t="shared" si="23"/>
        <v>250</v>
      </c>
      <c r="L26" s="35">
        <f t="shared" si="23"/>
        <v>0</v>
      </c>
      <c r="M26" s="35">
        <f t="shared" si="23"/>
        <v>1190560</v>
      </c>
      <c r="N26" s="35">
        <f t="shared" si="23"/>
        <v>334308.34000000003</v>
      </c>
      <c r="O26" s="36">
        <f>N26/$M26</f>
        <v>0.28079923733369172</v>
      </c>
      <c r="P26" s="35">
        <f>P40</f>
        <v>576132.18999999994</v>
      </c>
      <c r="Q26" s="36">
        <f>P26/$M26</f>
        <v>0.48391697184518206</v>
      </c>
      <c r="R26" s="35">
        <f>R40</f>
        <v>933166.29999999993</v>
      </c>
      <c r="S26" s="36">
        <f>R26/$M26</f>
        <v>0.7838045121623437</v>
      </c>
      <c r="T26" s="35">
        <f>T40</f>
        <v>1262842.5799999998</v>
      </c>
      <c r="U26" s="36">
        <f>T26/$M26</f>
        <v>1.0607130929982529</v>
      </c>
      <c r="V26" s="35">
        <f>V40</f>
        <v>1258696</v>
      </c>
      <c r="W26" s="35">
        <f>W40</f>
        <v>1328719</v>
      </c>
    </row>
    <row r="27" spans="1:23" ht="13.9" customHeight="1" x14ac:dyDescent="0.25">
      <c r="A27" s="29"/>
      <c r="B27" s="30"/>
      <c r="C27" s="37" t="s">
        <v>30</v>
      </c>
      <c r="D27" s="38">
        <f t="shared" ref="D27:N27" si="24">SUM(D26:D26)</f>
        <v>1058767.4200000002</v>
      </c>
      <c r="E27" s="38">
        <f t="shared" si="24"/>
        <v>1197839.0799999998</v>
      </c>
      <c r="F27" s="38">
        <f t="shared" si="24"/>
        <v>1211834</v>
      </c>
      <c r="G27" s="38">
        <f t="shared" si="24"/>
        <v>1191500.5300000003</v>
      </c>
      <c r="H27" s="38">
        <f t="shared" si="24"/>
        <v>1190310</v>
      </c>
      <c r="I27" s="38">
        <f t="shared" si="24"/>
        <v>0</v>
      </c>
      <c r="J27" s="38">
        <f t="shared" si="24"/>
        <v>0</v>
      </c>
      <c r="K27" s="38">
        <f t="shared" si="24"/>
        <v>250</v>
      </c>
      <c r="L27" s="38">
        <f t="shared" si="24"/>
        <v>0</v>
      </c>
      <c r="M27" s="38">
        <f t="shared" si="24"/>
        <v>1190560</v>
      </c>
      <c r="N27" s="38">
        <f t="shared" si="24"/>
        <v>334308.34000000003</v>
      </c>
      <c r="O27" s="39">
        <f>N27/$M27</f>
        <v>0.28079923733369172</v>
      </c>
      <c r="P27" s="38">
        <f>SUM(P26:P26)</f>
        <v>576132.18999999994</v>
      </c>
      <c r="Q27" s="39">
        <f>P27/$M27</f>
        <v>0.48391697184518206</v>
      </c>
      <c r="R27" s="38">
        <f>SUM(R26:R26)</f>
        <v>933166.29999999993</v>
      </c>
      <c r="S27" s="39">
        <f>R27/$M27</f>
        <v>0.7838045121623437</v>
      </c>
      <c r="T27" s="38">
        <f>SUM(T26:T26)</f>
        <v>1262842.5799999998</v>
      </c>
      <c r="U27" s="39">
        <f>T27/$M27</f>
        <v>1.0607130929982529</v>
      </c>
      <c r="V27" s="38">
        <f>SUM(V26:V26)</f>
        <v>1258696</v>
      </c>
      <c r="W27" s="38">
        <f>SUM(W26:W26)</f>
        <v>1328719</v>
      </c>
    </row>
    <row r="29" spans="1:23" ht="13.9" customHeight="1" x14ac:dyDescent="0.25">
      <c r="A29" s="40" t="s">
        <v>32</v>
      </c>
      <c r="B29" s="40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1"/>
      <c r="P29" s="40"/>
      <c r="Q29" s="40"/>
      <c r="R29" s="40"/>
      <c r="S29" s="40"/>
      <c r="T29" s="40"/>
      <c r="U29" s="40"/>
      <c r="V29" s="40"/>
      <c r="W29" s="40"/>
    </row>
    <row r="30" spans="1:23" ht="13.9" customHeight="1" x14ac:dyDescent="0.25">
      <c r="A30" s="20" t="s">
        <v>33</v>
      </c>
      <c r="B30" s="20" t="s">
        <v>34</v>
      </c>
      <c r="C30" s="20" t="s">
        <v>35</v>
      </c>
      <c r="D30" s="20" t="s">
        <v>1</v>
      </c>
      <c r="E30" s="20" t="s">
        <v>2</v>
      </c>
      <c r="F30" s="20" t="s">
        <v>3</v>
      </c>
      <c r="G30" s="20" t="s">
        <v>4</v>
      </c>
      <c r="H30" s="20" t="s">
        <v>5</v>
      </c>
      <c r="I30" s="20" t="s">
        <v>6</v>
      </c>
      <c r="J30" s="20" t="s">
        <v>7</v>
      </c>
      <c r="K30" s="20" t="s">
        <v>8</v>
      </c>
      <c r="L30" s="20" t="s">
        <v>9</v>
      </c>
      <c r="M30" s="20" t="s">
        <v>10</v>
      </c>
      <c r="N30" s="20" t="s">
        <v>11</v>
      </c>
      <c r="O30" s="21" t="s">
        <v>12</v>
      </c>
      <c r="P30" s="20" t="s">
        <v>13</v>
      </c>
      <c r="Q30" s="21" t="s">
        <v>14</v>
      </c>
      <c r="R30" s="20" t="s">
        <v>15</v>
      </c>
      <c r="S30" s="21" t="s">
        <v>16</v>
      </c>
      <c r="T30" s="20" t="s">
        <v>17</v>
      </c>
      <c r="U30" s="21" t="s">
        <v>18</v>
      </c>
      <c r="V30" s="20" t="s">
        <v>19</v>
      </c>
      <c r="W30" s="20" t="s">
        <v>20</v>
      </c>
    </row>
    <row r="31" spans="1:23" ht="13.9" customHeight="1" x14ac:dyDescent="0.25">
      <c r="A31" s="12" t="s">
        <v>36</v>
      </c>
      <c r="B31" s="22">
        <v>111003</v>
      </c>
      <c r="C31" s="22" t="s">
        <v>37</v>
      </c>
      <c r="D31" s="23">
        <v>975606.76</v>
      </c>
      <c r="E31" s="23">
        <v>1090114.8600000001</v>
      </c>
      <c r="F31" s="23">
        <v>1112134</v>
      </c>
      <c r="G31" s="23">
        <v>1093700.52</v>
      </c>
      <c r="H31" s="23">
        <v>1079448</v>
      </c>
      <c r="I31" s="23"/>
      <c r="J31" s="23"/>
      <c r="K31" s="23"/>
      <c r="L31" s="23"/>
      <c r="M31" s="23">
        <f t="shared" ref="M31:M39" si="25">H31+SUM(I31:L31)</f>
        <v>1079448</v>
      </c>
      <c r="N31" s="23">
        <v>321865.09999999998</v>
      </c>
      <c r="O31" s="24">
        <f t="shared" ref="O31:O40" si="26">N31/$M31</f>
        <v>0.29817564162423754</v>
      </c>
      <c r="P31" s="23">
        <v>538799.1</v>
      </c>
      <c r="Q31" s="24">
        <f t="shared" ref="Q31:Q40" si="27">P31/$M31</f>
        <v>0.49914317317740176</v>
      </c>
      <c r="R31" s="23">
        <v>849631.1</v>
      </c>
      <c r="S31" s="24">
        <f t="shared" ref="S31:S40" si="28">R31/$M31</f>
        <v>0.7870977573722866</v>
      </c>
      <c r="T31" s="23">
        <v>1139485.1000000001</v>
      </c>
      <c r="U31" s="24">
        <f t="shared" ref="U31:U40" si="29">T31/$M31</f>
        <v>1.0556183345561807</v>
      </c>
      <c r="V31" s="23">
        <v>1147834</v>
      </c>
      <c r="W31" s="23">
        <v>1217857</v>
      </c>
    </row>
    <row r="32" spans="1:23" ht="13.9" customHeight="1" x14ac:dyDescent="0.25">
      <c r="A32" s="12"/>
      <c r="B32" s="22">
        <v>121001</v>
      </c>
      <c r="C32" s="22" t="s">
        <v>38</v>
      </c>
      <c r="D32" s="23">
        <v>7935.49</v>
      </c>
      <c r="E32" s="23">
        <v>26123.33</v>
      </c>
      <c r="F32" s="23">
        <v>19760</v>
      </c>
      <c r="G32" s="23">
        <v>13578.36</v>
      </c>
      <c r="H32" s="23">
        <v>13578</v>
      </c>
      <c r="I32" s="23"/>
      <c r="J32" s="23"/>
      <c r="K32" s="23"/>
      <c r="L32" s="23"/>
      <c r="M32" s="23">
        <f t="shared" si="25"/>
        <v>13578</v>
      </c>
      <c r="N32" s="23">
        <v>1168.51</v>
      </c>
      <c r="O32" s="24">
        <f t="shared" si="26"/>
        <v>8.6059066136397105E-2</v>
      </c>
      <c r="P32" s="23">
        <v>3151.9</v>
      </c>
      <c r="Q32" s="24">
        <f t="shared" si="27"/>
        <v>0.23213286198261895</v>
      </c>
      <c r="R32" s="23">
        <v>5847.85</v>
      </c>
      <c r="S32" s="24">
        <f t="shared" si="28"/>
        <v>0.43068566799234059</v>
      </c>
      <c r="T32" s="23">
        <v>23552.34</v>
      </c>
      <c r="U32" s="24">
        <f t="shared" si="29"/>
        <v>1.7345956694653115</v>
      </c>
      <c r="V32" s="23">
        <f t="shared" ref="V32:V39" si="30">H32</f>
        <v>13578</v>
      </c>
      <c r="W32" s="23">
        <f t="shared" ref="W32:W39" si="31">V32</f>
        <v>13578</v>
      </c>
    </row>
    <row r="33" spans="1:64" ht="13.9" customHeight="1" x14ac:dyDescent="0.25">
      <c r="A33" s="12"/>
      <c r="B33" s="22">
        <v>121002</v>
      </c>
      <c r="C33" s="22" t="s">
        <v>39</v>
      </c>
      <c r="D33" s="23">
        <v>20883.13</v>
      </c>
      <c r="E33" s="23">
        <v>23137.599999999999</v>
      </c>
      <c r="F33" s="23">
        <v>23060</v>
      </c>
      <c r="G33" s="23">
        <v>21816.37</v>
      </c>
      <c r="H33" s="23">
        <v>21816</v>
      </c>
      <c r="I33" s="23"/>
      <c r="J33" s="23"/>
      <c r="K33" s="23"/>
      <c r="L33" s="23"/>
      <c r="M33" s="23">
        <f t="shared" si="25"/>
        <v>21816</v>
      </c>
      <c r="N33" s="23">
        <v>2269.4</v>
      </c>
      <c r="O33" s="24">
        <f t="shared" si="26"/>
        <v>0.10402456912357903</v>
      </c>
      <c r="P33" s="23">
        <v>6856.22</v>
      </c>
      <c r="Q33" s="24">
        <f t="shared" si="27"/>
        <v>0.31427484415108181</v>
      </c>
      <c r="R33" s="23">
        <v>15350.74</v>
      </c>
      <c r="S33" s="24">
        <f t="shared" si="28"/>
        <v>0.70364594792812618</v>
      </c>
      <c r="T33" s="23">
        <v>22607.49</v>
      </c>
      <c r="U33" s="24">
        <f t="shared" si="29"/>
        <v>1.0362802530253026</v>
      </c>
      <c r="V33" s="23">
        <f t="shared" si="30"/>
        <v>21816</v>
      </c>
      <c r="W33" s="23">
        <f t="shared" si="31"/>
        <v>21816</v>
      </c>
    </row>
    <row r="34" spans="1:64" ht="13.9" customHeight="1" x14ac:dyDescent="0.25">
      <c r="A34" s="12"/>
      <c r="B34" s="22">
        <v>121003</v>
      </c>
      <c r="C34" s="22" t="s">
        <v>40</v>
      </c>
      <c r="D34" s="23">
        <v>140.65</v>
      </c>
      <c r="E34" s="23">
        <v>94.9</v>
      </c>
      <c r="F34" s="23">
        <v>90</v>
      </c>
      <c r="G34" s="23">
        <v>100.18</v>
      </c>
      <c r="H34" s="23">
        <v>100</v>
      </c>
      <c r="I34" s="23"/>
      <c r="J34" s="23"/>
      <c r="K34" s="23"/>
      <c r="L34" s="23"/>
      <c r="M34" s="23">
        <f t="shared" si="25"/>
        <v>100</v>
      </c>
      <c r="N34" s="23">
        <v>4.1500000000000004</v>
      </c>
      <c r="O34" s="24">
        <f t="shared" si="26"/>
        <v>4.1500000000000002E-2</v>
      </c>
      <c r="P34" s="23">
        <v>46.33</v>
      </c>
      <c r="Q34" s="24">
        <f t="shared" si="27"/>
        <v>0.46329999999999999</v>
      </c>
      <c r="R34" s="23">
        <v>91.34</v>
      </c>
      <c r="S34" s="24">
        <f t="shared" si="28"/>
        <v>0.91339999999999999</v>
      </c>
      <c r="T34" s="23">
        <v>95.03</v>
      </c>
      <c r="U34" s="24">
        <f t="shared" si="29"/>
        <v>0.95030000000000003</v>
      </c>
      <c r="V34" s="23">
        <f t="shared" si="30"/>
        <v>100</v>
      </c>
      <c r="W34" s="23">
        <f t="shared" si="31"/>
        <v>100</v>
      </c>
    </row>
    <row r="35" spans="1:64" ht="13.9" customHeight="1" x14ac:dyDescent="0.25">
      <c r="A35" s="12"/>
      <c r="B35" s="22">
        <v>133001</v>
      </c>
      <c r="C35" s="22" t="s">
        <v>41</v>
      </c>
      <c r="D35" s="23">
        <v>2601.41</v>
      </c>
      <c r="E35" s="23">
        <v>2423.13</v>
      </c>
      <c r="F35" s="23">
        <v>2610</v>
      </c>
      <c r="G35" s="23">
        <v>2324.5</v>
      </c>
      <c r="H35" s="23">
        <v>2325</v>
      </c>
      <c r="I35" s="23"/>
      <c r="J35" s="23"/>
      <c r="K35" s="23"/>
      <c r="L35" s="23"/>
      <c r="M35" s="23">
        <f t="shared" si="25"/>
        <v>2325</v>
      </c>
      <c r="N35" s="23">
        <v>171.5</v>
      </c>
      <c r="O35" s="24">
        <f t="shared" si="26"/>
        <v>7.3763440860215052E-2</v>
      </c>
      <c r="P35" s="23">
        <v>766.4</v>
      </c>
      <c r="Q35" s="24">
        <f t="shared" si="27"/>
        <v>0.32963440860215054</v>
      </c>
      <c r="R35" s="23">
        <v>1907.68</v>
      </c>
      <c r="S35" s="24">
        <f t="shared" si="28"/>
        <v>0.82050752688172046</v>
      </c>
      <c r="T35" s="23">
        <v>2400.1799999999998</v>
      </c>
      <c r="U35" s="24">
        <f t="shared" si="29"/>
        <v>1.0323354838709677</v>
      </c>
      <c r="V35" s="23">
        <f t="shared" si="30"/>
        <v>2325</v>
      </c>
      <c r="W35" s="23">
        <f t="shared" si="31"/>
        <v>2325</v>
      </c>
    </row>
    <row r="36" spans="1:64" ht="13.9" hidden="1" customHeight="1" x14ac:dyDescent="0.25">
      <c r="A36" s="12"/>
      <c r="B36" s="22">
        <v>133003</v>
      </c>
      <c r="C36" s="22" t="s">
        <v>42</v>
      </c>
      <c r="D36" s="23">
        <v>0</v>
      </c>
      <c r="E36" s="23">
        <v>0</v>
      </c>
      <c r="F36" s="23">
        <v>30</v>
      </c>
      <c r="G36" s="23">
        <v>0</v>
      </c>
      <c r="H36" s="23">
        <v>0</v>
      </c>
      <c r="I36" s="23"/>
      <c r="J36" s="23"/>
      <c r="K36" s="23"/>
      <c r="L36" s="23"/>
      <c r="M36" s="23">
        <f t="shared" si="25"/>
        <v>0</v>
      </c>
      <c r="N36" s="23">
        <v>0</v>
      </c>
      <c r="O36" s="24" t="e">
        <f t="shared" si="26"/>
        <v>#DIV/0!</v>
      </c>
      <c r="P36" s="23">
        <v>0</v>
      </c>
      <c r="Q36" s="24" t="e">
        <f t="shared" si="27"/>
        <v>#DIV/0!</v>
      </c>
      <c r="R36" s="23"/>
      <c r="S36" s="24" t="e">
        <f t="shared" si="28"/>
        <v>#DIV/0!</v>
      </c>
      <c r="T36" s="23"/>
      <c r="U36" s="24" t="e">
        <f t="shared" si="29"/>
        <v>#DIV/0!</v>
      </c>
      <c r="V36" s="23">
        <f t="shared" si="30"/>
        <v>0</v>
      </c>
      <c r="W36" s="23">
        <f t="shared" si="31"/>
        <v>0</v>
      </c>
    </row>
    <row r="37" spans="1:64" ht="13.9" customHeight="1" x14ac:dyDescent="0.25">
      <c r="A37" s="12"/>
      <c r="B37" s="22">
        <v>133006</v>
      </c>
      <c r="C37" s="22" t="s">
        <v>43</v>
      </c>
      <c r="D37" s="23">
        <v>614.4</v>
      </c>
      <c r="E37" s="23">
        <v>400.2</v>
      </c>
      <c r="F37" s="23">
        <v>530</v>
      </c>
      <c r="G37" s="23">
        <v>305.10000000000002</v>
      </c>
      <c r="H37" s="23">
        <v>305</v>
      </c>
      <c r="I37" s="23"/>
      <c r="J37" s="23"/>
      <c r="K37" s="23"/>
      <c r="L37" s="23"/>
      <c r="M37" s="23">
        <f t="shared" si="25"/>
        <v>305</v>
      </c>
      <c r="N37" s="23">
        <v>19.2</v>
      </c>
      <c r="O37" s="24">
        <f t="shared" si="26"/>
        <v>6.2950819672131147E-2</v>
      </c>
      <c r="P37" s="23">
        <v>26.7</v>
      </c>
      <c r="Q37" s="24">
        <f t="shared" si="27"/>
        <v>8.7540983606557377E-2</v>
      </c>
      <c r="R37" s="23">
        <v>183</v>
      </c>
      <c r="S37" s="24">
        <f t="shared" si="28"/>
        <v>0.6</v>
      </c>
      <c r="T37" s="23">
        <v>233.4</v>
      </c>
      <c r="U37" s="24">
        <f t="shared" si="29"/>
        <v>0.76524590163934425</v>
      </c>
      <c r="V37" s="23">
        <f t="shared" si="30"/>
        <v>305</v>
      </c>
      <c r="W37" s="23">
        <f t="shared" si="31"/>
        <v>305</v>
      </c>
    </row>
    <row r="38" spans="1:64" ht="13.9" customHeight="1" x14ac:dyDescent="0.25">
      <c r="A38" s="12"/>
      <c r="B38" s="22">
        <v>133012</v>
      </c>
      <c r="C38" s="22" t="s">
        <v>44</v>
      </c>
      <c r="D38" s="23">
        <v>2014.43</v>
      </c>
      <c r="E38" s="23">
        <v>2091.67</v>
      </c>
      <c r="F38" s="23">
        <v>2330</v>
      </c>
      <c r="G38" s="23">
        <v>852.1</v>
      </c>
      <c r="H38" s="23">
        <v>850</v>
      </c>
      <c r="I38" s="23"/>
      <c r="J38" s="23"/>
      <c r="K38" s="23">
        <v>250</v>
      </c>
      <c r="L38" s="23"/>
      <c r="M38" s="23">
        <f t="shared" si="25"/>
        <v>1100</v>
      </c>
      <c r="N38" s="23">
        <v>103.41</v>
      </c>
      <c r="O38" s="24">
        <f t="shared" si="26"/>
        <v>9.4009090909090903E-2</v>
      </c>
      <c r="P38" s="23">
        <v>445.56</v>
      </c>
      <c r="Q38" s="24">
        <f t="shared" si="27"/>
        <v>0.40505454545454544</v>
      </c>
      <c r="R38" s="23">
        <v>961.77</v>
      </c>
      <c r="S38" s="24">
        <f t="shared" si="28"/>
        <v>0.87433636363636358</v>
      </c>
      <c r="T38" s="23">
        <v>1217.4000000000001</v>
      </c>
      <c r="U38" s="24">
        <f t="shared" si="29"/>
        <v>1.1067272727272728</v>
      </c>
      <c r="V38" s="23">
        <f t="shared" si="30"/>
        <v>850</v>
      </c>
      <c r="W38" s="23">
        <f t="shared" si="31"/>
        <v>850</v>
      </c>
    </row>
    <row r="39" spans="1:64" ht="13.9" customHeight="1" x14ac:dyDescent="0.25">
      <c r="A39" s="12"/>
      <c r="B39" s="22">
        <v>133013</v>
      </c>
      <c r="C39" s="22" t="s">
        <v>45</v>
      </c>
      <c r="D39" s="23">
        <v>48971.15</v>
      </c>
      <c r="E39" s="23">
        <v>53453.39</v>
      </c>
      <c r="F39" s="23">
        <v>51290</v>
      </c>
      <c r="G39" s="23">
        <v>58823.4</v>
      </c>
      <c r="H39" s="23">
        <f>ROUND(G39/18.01*22.01,0)</f>
        <v>71888</v>
      </c>
      <c r="I39" s="23"/>
      <c r="J39" s="23"/>
      <c r="K39" s="23"/>
      <c r="L39" s="23"/>
      <c r="M39" s="23">
        <f t="shared" si="25"/>
        <v>71888</v>
      </c>
      <c r="N39" s="23">
        <v>8707.07</v>
      </c>
      <c r="O39" s="24">
        <f t="shared" si="26"/>
        <v>0.12111993656799465</v>
      </c>
      <c r="P39" s="23">
        <v>26039.98</v>
      </c>
      <c r="Q39" s="24">
        <f t="shared" si="27"/>
        <v>0.36222985755619852</v>
      </c>
      <c r="R39" s="23">
        <v>59192.82</v>
      </c>
      <c r="S39" s="24">
        <f t="shared" si="28"/>
        <v>0.82340334965501893</v>
      </c>
      <c r="T39" s="23">
        <v>73251.64</v>
      </c>
      <c r="U39" s="24">
        <f t="shared" si="29"/>
        <v>1.0189689517026486</v>
      </c>
      <c r="V39" s="23">
        <f t="shared" si="30"/>
        <v>71888</v>
      </c>
      <c r="W39" s="23">
        <f t="shared" si="31"/>
        <v>71888</v>
      </c>
    </row>
    <row r="40" spans="1:64" ht="13.9" customHeight="1" x14ac:dyDescent="0.25">
      <c r="A40" s="25" t="s">
        <v>21</v>
      </c>
      <c r="B40" s="25">
        <v>41</v>
      </c>
      <c r="C40" s="25" t="s">
        <v>23</v>
      </c>
      <c r="D40" s="26">
        <f t="shared" ref="D40:N40" si="32">SUM(D31:D39)</f>
        <v>1058767.4200000002</v>
      </c>
      <c r="E40" s="26">
        <f t="shared" si="32"/>
        <v>1197839.0799999998</v>
      </c>
      <c r="F40" s="26">
        <f t="shared" si="32"/>
        <v>1211834</v>
      </c>
      <c r="G40" s="26">
        <f t="shared" si="32"/>
        <v>1191500.5300000003</v>
      </c>
      <c r="H40" s="26">
        <f t="shared" si="32"/>
        <v>1190310</v>
      </c>
      <c r="I40" s="26">
        <f t="shared" si="32"/>
        <v>0</v>
      </c>
      <c r="J40" s="26">
        <f t="shared" si="32"/>
        <v>0</v>
      </c>
      <c r="K40" s="26">
        <f t="shared" si="32"/>
        <v>250</v>
      </c>
      <c r="L40" s="26">
        <f t="shared" si="32"/>
        <v>0</v>
      </c>
      <c r="M40" s="26">
        <f t="shared" si="32"/>
        <v>1190560</v>
      </c>
      <c r="N40" s="26">
        <f t="shared" si="32"/>
        <v>334308.34000000003</v>
      </c>
      <c r="O40" s="27">
        <f t="shared" si="26"/>
        <v>0.28079923733369172</v>
      </c>
      <c r="P40" s="26">
        <f>SUM(P31:P39)</f>
        <v>576132.18999999994</v>
      </c>
      <c r="Q40" s="27">
        <f t="shared" si="27"/>
        <v>0.48391697184518206</v>
      </c>
      <c r="R40" s="26">
        <f>SUM(R31:R39)</f>
        <v>933166.29999999993</v>
      </c>
      <c r="S40" s="27">
        <f t="shared" si="28"/>
        <v>0.7838045121623437</v>
      </c>
      <c r="T40" s="26">
        <f>SUM(T31:T39)</f>
        <v>1262842.5799999998</v>
      </c>
      <c r="U40" s="27">
        <f t="shared" si="29"/>
        <v>1.0607130929982529</v>
      </c>
      <c r="V40" s="26">
        <f>SUM(V31:V39)</f>
        <v>1258696</v>
      </c>
      <c r="W40" s="26">
        <f>SUM(W31:W39)</f>
        <v>1328719</v>
      </c>
      <c r="X40" s="43"/>
      <c r="Y40" s="43"/>
      <c r="Z40" s="43"/>
      <c r="AA40" s="43"/>
      <c r="AB40" s="43"/>
      <c r="AC40" s="43"/>
      <c r="AD40" s="43"/>
      <c r="AE40" s="43"/>
      <c r="AF40" s="43"/>
      <c r="AG40" s="43"/>
      <c r="AH40" s="43"/>
      <c r="AI40" s="43"/>
      <c r="AJ40" s="43"/>
      <c r="AK40" s="43"/>
      <c r="AL40" s="43"/>
      <c r="AM40" s="43"/>
      <c r="AN40" s="43"/>
      <c r="AO40" s="43"/>
      <c r="AP40" s="43"/>
      <c r="AQ40" s="43"/>
      <c r="AR40" s="43"/>
      <c r="AS40" s="43"/>
      <c r="AT40" s="43"/>
      <c r="AU40" s="43"/>
      <c r="AV40" s="43"/>
      <c r="AW40" s="43"/>
      <c r="AX40" s="43"/>
      <c r="AY40" s="43"/>
      <c r="AZ40" s="43"/>
      <c r="BA40" s="43"/>
      <c r="BB40" s="43"/>
      <c r="BC40" s="43"/>
      <c r="BD40" s="43"/>
      <c r="BE40" s="43"/>
      <c r="BF40" s="43"/>
      <c r="BG40" s="43"/>
      <c r="BH40" s="43"/>
      <c r="BI40" s="43"/>
      <c r="BJ40" s="43"/>
      <c r="BK40" s="43"/>
      <c r="BL40" s="43"/>
    </row>
    <row r="42" spans="1:64" ht="13.9" customHeight="1" x14ac:dyDescent="0.25">
      <c r="A42" s="31" t="s">
        <v>46</v>
      </c>
      <c r="B42" s="31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2"/>
      <c r="P42" s="31"/>
      <c r="Q42" s="31"/>
      <c r="R42" s="31"/>
      <c r="S42" s="31"/>
      <c r="T42" s="31"/>
      <c r="U42" s="31"/>
      <c r="V42" s="31"/>
      <c r="W42" s="31"/>
    </row>
    <row r="43" spans="1:64" ht="13.9" customHeight="1" x14ac:dyDescent="0.25">
      <c r="A43" s="19"/>
      <c r="B43" s="19"/>
      <c r="C43" s="19"/>
      <c r="D43" s="20" t="s">
        <v>1</v>
      </c>
      <c r="E43" s="20" t="s">
        <v>2</v>
      </c>
      <c r="F43" s="20" t="s">
        <v>3</v>
      </c>
      <c r="G43" s="20" t="s">
        <v>4</v>
      </c>
      <c r="H43" s="20" t="s">
        <v>5</v>
      </c>
      <c r="I43" s="20" t="s">
        <v>6</v>
      </c>
      <c r="J43" s="20" t="s">
        <v>7</v>
      </c>
      <c r="K43" s="20" t="s">
        <v>8</v>
      </c>
      <c r="L43" s="20" t="s">
        <v>9</v>
      </c>
      <c r="M43" s="20" t="s">
        <v>10</v>
      </c>
      <c r="N43" s="20" t="s">
        <v>11</v>
      </c>
      <c r="O43" s="21" t="s">
        <v>12</v>
      </c>
      <c r="P43" s="20" t="s">
        <v>13</v>
      </c>
      <c r="Q43" s="21" t="s">
        <v>14</v>
      </c>
      <c r="R43" s="20" t="s">
        <v>15</v>
      </c>
      <c r="S43" s="21" t="s">
        <v>16</v>
      </c>
      <c r="T43" s="20" t="s">
        <v>17</v>
      </c>
      <c r="U43" s="21" t="s">
        <v>18</v>
      </c>
      <c r="V43" s="20" t="s">
        <v>19</v>
      </c>
      <c r="W43" s="20" t="s">
        <v>20</v>
      </c>
    </row>
    <row r="44" spans="1:64" ht="13.9" customHeight="1" x14ac:dyDescent="0.25">
      <c r="A44" s="11" t="s">
        <v>21</v>
      </c>
      <c r="B44" s="34">
        <v>111</v>
      </c>
      <c r="C44" s="34" t="s">
        <v>47</v>
      </c>
      <c r="D44" s="35">
        <f t="shared" ref="D44:N44" si="33">D53</f>
        <v>574.64</v>
      </c>
      <c r="E44" s="35">
        <f t="shared" si="33"/>
        <v>0</v>
      </c>
      <c r="F44" s="35">
        <f t="shared" si="33"/>
        <v>0</v>
      </c>
      <c r="G44" s="35">
        <f t="shared" si="33"/>
        <v>687.56</v>
      </c>
      <c r="H44" s="35">
        <f t="shared" si="33"/>
        <v>4600</v>
      </c>
      <c r="I44" s="35">
        <f t="shared" si="33"/>
        <v>0</v>
      </c>
      <c r="J44" s="35">
        <f t="shared" si="33"/>
        <v>0</v>
      </c>
      <c r="K44" s="35">
        <f t="shared" si="33"/>
        <v>0</v>
      </c>
      <c r="L44" s="35">
        <f t="shared" si="33"/>
        <v>0</v>
      </c>
      <c r="M44" s="35">
        <f t="shared" si="33"/>
        <v>4600</v>
      </c>
      <c r="N44" s="35">
        <f t="shared" si="33"/>
        <v>4599.84</v>
      </c>
      <c r="O44" s="36">
        <f>N44/$M44</f>
        <v>0.9999652173913044</v>
      </c>
      <c r="P44" s="35">
        <f>P53</f>
        <v>5302.35</v>
      </c>
      <c r="Q44" s="36">
        <f>P44/$M44</f>
        <v>1.1526847826086957</v>
      </c>
      <c r="R44" s="35">
        <f>R53</f>
        <v>5302.35</v>
      </c>
      <c r="S44" s="36">
        <f>R44/$M44</f>
        <v>1.1526847826086957</v>
      </c>
      <c r="T44" s="35">
        <f>T53</f>
        <v>5302.35</v>
      </c>
      <c r="U44" s="36">
        <f>T44/$M44</f>
        <v>1.1526847826086957</v>
      </c>
      <c r="V44" s="35">
        <f>V53</f>
        <v>4600</v>
      </c>
      <c r="W44" s="35">
        <f>W53</f>
        <v>4600</v>
      </c>
    </row>
    <row r="45" spans="1:64" ht="13.9" customHeight="1" x14ac:dyDescent="0.25">
      <c r="A45" s="11" t="s">
        <v>21</v>
      </c>
      <c r="B45" s="34">
        <v>41</v>
      </c>
      <c r="C45" s="34" t="s">
        <v>23</v>
      </c>
      <c r="D45" s="35">
        <f t="shared" ref="D45:N45" si="34">D60</f>
        <v>103109.31</v>
      </c>
      <c r="E45" s="35">
        <f t="shared" si="34"/>
        <v>122228.76</v>
      </c>
      <c r="F45" s="35">
        <f t="shared" si="34"/>
        <v>92575</v>
      </c>
      <c r="G45" s="35">
        <f t="shared" si="34"/>
        <v>112862.17000000001</v>
      </c>
      <c r="H45" s="35">
        <f t="shared" si="34"/>
        <v>108624</v>
      </c>
      <c r="I45" s="35">
        <f t="shared" si="34"/>
        <v>595</v>
      </c>
      <c r="J45" s="35">
        <f t="shared" si="34"/>
        <v>1508</v>
      </c>
      <c r="K45" s="35">
        <f t="shared" si="34"/>
        <v>507</v>
      </c>
      <c r="L45" s="35">
        <f t="shared" si="34"/>
        <v>-14930</v>
      </c>
      <c r="M45" s="35">
        <f t="shared" si="34"/>
        <v>96304</v>
      </c>
      <c r="N45" s="35">
        <f t="shared" si="34"/>
        <v>31642.010000000002</v>
      </c>
      <c r="O45" s="36">
        <f>N45/$M45</f>
        <v>0.3285638187406546</v>
      </c>
      <c r="P45" s="35">
        <f>P60</f>
        <v>53259.05</v>
      </c>
      <c r="Q45" s="36">
        <f>P45/$M45</f>
        <v>0.55303050755939531</v>
      </c>
      <c r="R45" s="35">
        <f>R60</f>
        <v>70794.460000000006</v>
      </c>
      <c r="S45" s="36">
        <f>R45/$M45</f>
        <v>0.73511442930719395</v>
      </c>
      <c r="T45" s="35">
        <f>T60</f>
        <v>98911.45</v>
      </c>
      <c r="U45" s="36">
        <f>T45/$M45</f>
        <v>1.0270751993686658</v>
      </c>
      <c r="V45" s="35">
        <f>V60</f>
        <v>102528</v>
      </c>
      <c r="W45" s="35">
        <f>W60</f>
        <v>102528</v>
      </c>
    </row>
    <row r="46" spans="1:64" ht="13.9" customHeight="1" x14ac:dyDescent="0.25">
      <c r="A46" s="11"/>
      <c r="B46" s="34">
        <v>72</v>
      </c>
      <c r="C46" s="34" t="s">
        <v>25</v>
      </c>
      <c r="D46" s="35">
        <f t="shared" ref="D46:N46" si="35">D63</f>
        <v>51128.590000000004</v>
      </c>
      <c r="E46" s="35">
        <f t="shared" si="35"/>
        <v>52949.590000000004</v>
      </c>
      <c r="F46" s="35">
        <f t="shared" si="35"/>
        <v>42870</v>
      </c>
      <c r="G46" s="35">
        <f t="shared" si="35"/>
        <v>38665.82</v>
      </c>
      <c r="H46" s="35">
        <f t="shared" si="35"/>
        <v>36973</v>
      </c>
      <c r="I46" s="35">
        <f t="shared" si="35"/>
        <v>0</v>
      </c>
      <c r="J46" s="35">
        <f t="shared" si="35"/>
        <v>0</v>
      </c>
      <c r="K46" s="35">
        <f t="shared" si="35"/>
        <v>2264</v>
      </c>
      <c r="L46" s="35">
        <f t="shared" si="35"/>
        <v>3</v>
      </c>
      <c r="M46" s="35">
        <f t="shared" si="35"/>
        <v>39240</v>
      </c>
      <c r="N46" s="35">
        <f t="shared" si="35"/>
        <v>6325.14</v>
      </c>
      <c r="O46" s="36">
        <f>N46/$M46</f>
        <v>0.16119113149847095</v>
      </c>
      <c r="P46" s="35">
        <f>P63</f>
        <v>16930.05</v>
      </c>
      <c r="Q46" s="36">
        <f>P46/$M46</f>
        <v>0.43144877675840976</v>
      </c>
      <c r="R46" s="35">
        <f>R63</f>
        <v>31141.43</v>
      </c>
      <c r="S46" s="36">
        <f>R46/$M46</f>
        <v>0.7936144240570846</v>
      </c>
      <c r="T46" s="35">
        <f>T63</f>
        <v>50354.5</v>
      </c>
      <c r="U46" s="36">
        <f>T46/$M46</f>
        <v>1.283244138634047</v>
      </c>
      <c r="V46" s="35">
        <f>V63</f>
        <v>36973</v>
      </c>
      <c r="W46" s="35">
        <f>W63</f>
        <v>36973</v>
      </c>
    </row>
    <row r="47" spans="1:64" ht="13.9" customHeight="1" x14ac:dyDescent="0.25">
      <c r="A47" s="29"/>
      <c r="B47" s="30"/>
      <c r="C47" s="37" t="s">
        <v>30</v>
      </c>
      <c r="D47" s="38">
        <f t="shared" ref="D47:N47" si="36">SUM(D45:D46)</f>
        <v>154237.9</v>
      </c>
      <c r="E47" s="38">
        <f t="shared" si="36"/>
        <v>175178.35</v>
      </c>
      <c r="F47" s="38">
        <f t="shared" si="36"/>
        <v>135445</v>
      </c>
      <c r="G47" s="38">
        <f t="shared" si="36"/>
        <v>151527.99000000002</v>
      </c>
      <c r="H47" s="38">
        <f t="shared" si="36"/>
        <v>145597</v>
      </c>
      <c r="I47" s="38">
        <f t="shared" si="36"/>
        <v>595</v>
      </c>
      <c r="J47" s="38">
        <f t="shared" si="36"/>
        <v>1508</v>
      </c>
      <c r="K47" s="38">
        <f t="shared" si="36"/>
        <v>2771</v>
      </c>
      <c r="L47" s="38">
        <f t="shared" si="36"/>
        <v>-14927</v>
      </c>
      <c r="M47" s="38">
        <f t="shared" si="36"/>
        <v>135544</v>
      </c>
      <c r="N47" s="38">
        <f t="shared" si="36"/>
        <v>37967.15</v>
      </c>
      <c r="O47" s="39">
        <f>N47/$M47</f>
        <v>0.28010941096618075</v>
      </c>
      <c r="P47" s="38">
        <f>SUM(P45:P46)</f>
        <v>70189.100000000006</v>
      </c>
      <c r="Q47" s="39">
        <f>P47/$M47</f>
        <v>0.51783258572861957</v>
      </c>
      <c r="R47" s="38">
        <f>SUM(R45:R46)</f>
        <v>101935.89000000001</v>
      </c>
      <c r="S47" s="39">
        <f>R47/$M47</f>
        <v>0.7520501829664169</v>
      </c>
      <c r="T47" s="38">
        <f>SUM(T45:T46)</f>
        <v>149265.95000000001</v>
      </c>
      <c r="U47" s="39">
        <f>T47/$M47</f>
        <v>1.1012361299651774</v>
      </c>
      <c r="V47" s="38">
        <f>SUM(V45:V46)</f>
        <v>139501</v>
      </c>
      <c r="W47" s="38">
        <f>SUM(W45:W46)</f>
        <v>139501</v>
      </c>
    </row>
    <row r="49" spans="1:23" ht="13.9" customHeight="1" x14ac:dyDescent="0.25">
      <c r="A49" s="40" t="s">
        <v>48</v>
      </c>
      <c r="B49" s="40"/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1"/>
      <c r="P49" s="40"/>
      <c r="Q49" s="40"/>
      <c r="R49" s="40"/>
      <c r="S49" s="40"/>
      <c r="T49" s="40"/>
      <c r="U49" s="40"/>
      <c r="V49" s="40"/>
      <c r="W49" s="40"/>
    </row>
    <row r="50" spans="1:23" ht="13.9" customHeight="1" x14ac:dyDescent="0.25">
      <c r="A50" s="20" t="s">
        <v>33</v>
      </c>
      <c r="B50" s="20" t="s">
        <v>34</v>
      </c>
      <c r="C50" s="20" t="s">
        <v>35</v>
      </c>
      <c r="D50" s="20" t="s">
        <v>1</v>
      </c>
      <c r="E50" s="20" t="s">
        <v>2</v>
      </c>
      <c r="F50" s="20" t="s">
        <v>3</v>
      </c>
      <c r="G50" s="20" t="s">
        <v>4</v>
      </c>
      <c r="H50" s="20" t="s">
        <v>5</v>
      </c>
      <c r="I50" s="20" t="s">
        <v>6</v>
      </c>
      <c r="J50" s="20" t="s">
        <v>7</v>
      </c>
      <c r="K50" s="20" t="s">
        <v>8</v>
      </c>
      <c r="L50" s="20" t="s">
        <v>9</v>
      </c>
      <c r="M50" s="20" t="s">
        <v>10</v>
      </c>
      <c r="N50" s="20" t="s">
        <v>11</v>
      </c>
      <c r="O50" s="21" t="s">
        <v>12</v>
      </c>
      <c r="P50" s="20" t="s">
        <v>13</v>
      </c>
      <c r="Q50" s="21" t="s">
        <v>14</v>
      </c>
      <c r="R50" s="20" t="s">
        <v>15</v>
      </c>
      <c r="S50" s="21" t="s">
        <v>16</v>
      </c>
      <c r="T50" s="20" t="s">
        <v>17</v>
      </c>
      <c r="U50" s="21" t="s">
        <v>18</v>
      </c>
      <c r="V50" s="20" t="s">
        <v>19</v>
      </c>
      <c r="W50" s="20" t="s">
        <v>20</v>
      </c>
    </row>
    <row r="51" spans="1:23" ht="13.9" hidden="1" customHeight="1" x14ac:dyDescent="0.25">
      <c r="A51" s="44" t="s">
        <v>49</v>
      </c>
      <c r="B51" s="22">
        <v>290</v>
      </c>
      <c r="C51" s="22" t="s">
        <v>50</v>
      </c>
      <c r="D51" s="45">
        <v>574.64</v>
      </c>
      <c r="E51" s="45">
        <v>0</v>
      </c>
      <c r="F51" s="45">
        <v>0</v>
      </c>
      <c r="G51" s="45">
        <v>0</v>
      </c>
      <c r="H51" s="45">
        <v>0</v>
      </c>
      <c r="I51" s="45"/>
      <c r="J51" s="45"/>
      <c r="K51" s="45"/>
      <c r="L51" s="45"/>
      <c r="M51" s="45">
        <f>H51+SUM(I51:L51)</f>
        <v>0</v>
      </c>
      <c r="N51" s="45">
        <v>0</v>
      </c>
      <c r="O51" s="46" t="e">
        <f>N51/$M51</f>
        <v>#DIV/0!</v>
      </c>
      <c r="P51" s="45">
        <v>0</v>
      </c>
      <c r="Q51" s="46" t="e">
        <f>P51/$M51</f>
        <v>#DIV/0!</v>
      </c>
      <c r="R51" s="45"/>
      <c r="S51" s="46" t="e">
        <f>R51/$M51</f>
        <v>#DIV/0!</v>
      </c>
      <c r="T51" s="45"/>
      <c r="U51" s="46" t="e">
        <f>T51/$M51</f>
        <v>#DIV/0!</v>
      </c>
      <c r="V51" s="23">
        <f>H51</f>
        <v>0</v>
      </c>
      <c r="W51" s="23">
        <f>V51</f>
        <v>0</v>
      </c>
    </row>
    <row r="52" spans="1:23" ht="13.9" customHeight="1" x14ac:dyDescent="0.25">
      <c r="A52" s="44" t="s">
        <v>49</v>
      </c>
      <c r="B52" s="22" t="s">
        <v>51</v>
      </c>
      <c r="C52" s="22" t="s">
        <v>52</v>
      </c>
      <c r="D52" s="45">
        <v>0</v>
      </c>
      <c r="E52" s="45">
        <v>0</v>
      </c>
      <c r="F52" s="45">
        <v>0</v>
      </c>
      <c r="G52" s="45">
        <v>687.56</v>
      </c>
      <c r="H52" s="45">
        <v>4600</v>
      </c>
      <c r="I52" s="45"/>
      <c r="J52" s="45"/>
      <c r="K52" s="45"/>
      <c r="L52" s="45"/>
      <c r="M52" s="45">
        <f>H52+SUM(I52:L52)</f>
        <v>4600</v>
      </c>
      <c r="N52" s="45">
        <v>4599.84</v>
      </c>
      <c r="O52" s="46">
        <f>N52/$M52</f>
        <v>0.9999652173913044</v>
      </c>
      <c r="P52" s="45">
        <v>5302.35</v>
      </c>
      <c r="Q52" s="46">
        <f>P52/$M52</f>
        <v>1.1526847826086957</v>
      </c>
      <c r="R52" s="45">
        <v>5302.35</v>
      </c>
      <c r="S52" s="46">
        <f>R52/$M52</f>
        <v>1.1526847826086957</v>
      </c>
      <c r="T52" s="45">
        <v>5302.35</v>
      </c>
      <c r="U52" s="46">
        <f>T52/$M52</f>
        <v>1.1526847826086957</v>
      </c>
      <c r="V52" s="23">
        <f>H52</f>
        <v>4600</v>
      </c>
      <c r="W52" s="23">
        <f>V52</f>
        <v>4600</v>
      </c>
    </row>
    <row r="53" spans="1:23" ht="13.9" customHeight="1" x14ac:dyDescent="0.25">
      <c r="A53" s="47" t="s">
        <v>21</v>
      </c>
      <c r="B53" s="47">
        <v>111</v>
      </c>
      <c r="C53" s="47" t="s">
        <v>47</v>
      </c>
      <c r="D53" s="48">
        <f>SUM(D51)</f>
        <v>574.64</v>
      </c>
      <c r="E53" s="48">
        <f>SUM(E51)</f>
        <v>0</v>
      </c>
      <c r="F53" s="48">
        <f t="shared" ref="F53:N53" si="37">SUM(F51:F52)</f>
        <v>0</v>
      </c>
      <c r="G53" s="48">
        <f t="shared" si="37"/>
        <v>687.56</v>
      </c>
      <c r="H53" s="48">
        <f t="shared" si="37"/>
        <v>4600</v>
      </c>
      <c r="I53" s="48">
        <f t="shared" si="37"/>
        <v>0</v>
      </c>
      <c r="J53" s="48">
        <f t="shared" si="37"/>
        <v>0</v>
      </c>
      <c r="K53" s="48">
        <f t="shared" si="37"/>
        <v>0</v>
      </c>
      <c r="L53" s="48">
        <f t="shared" si="37"/>
        <v>0</v>
      </c>
      <c r="M53" s="48">
        <f t="shared" si="37"/>
        <v>4600</v>
      </c>
      <c r="N53" s="48">
        <f t="shared" si="37"/>
        <v>4599.84</v>
      </c>
      <c r="O53" s="49">
        <f>N53/$M53</f>
        <v>0.9999652173913044</v>
      </c>
      <c r="P53" s="48">
        <f>SUM(P51:P52)</f>
        <v>5302.35</v>
      </c>
      <c r="Q53" s="49">
        <f>P53/$M53</f>
        <v>1.1526847826086957</v>
      </c>
      <c r="R53" s="48">
        <f>SUM(R51:R52)</f>
        <v>5302.35</v>
      </c>
      <c r="S53" s="49">
        <f>R53/$M53</f>
        <v>1.1526847826086957</v>
      </c>
      <c r="T53" s="48">
        <f>SUM(T51:T52)</f>
        <v>5302.35</v>
      </c>
      <c r="U53" s="49">
        <f>T53/$M53</f>
        <v>1.1526847826086957</v>
      </c>
      <c r="V53" s="48">
        <f>SUM(V51:V52)</f>
        <v>4600</v>
      </c>
      <c r="W53" s="48">
        <f>SUM(W51:W52)</f>
        <v>4600</v>
      </c>
    </row>
    <row r="54" spans="1:23" ht="13.9" customHeight="1" x14ac:dyDescent="0.25">
      <c r="A54" s="10" t="s">
        <v>49</v>
      </c>
      <c r="B54" s="22">
        <v>210</v>
      </c>
      <c r="C54" s="22" t="s">
        <v>53</v>
      </c>
      <c r="D54" s="23">
        <v>4424.67</v>
      </c>
      <c r="E54" s="23">
        <v>3657.2</v>
      </c>
      <c r="F54" s="23">
        <v>4180</v>
      </c>
      <c r="G54" s="23">
        <v>1674.8</v>
      </c>
      <c r="H54" s="23">
        <v>1670</v>
      </c>
      <c r="I54" s="23"/>
      <c r="J54" s="23">
        <v>126</v>
      </c>
      <c r="K54" s="23">
        <v>316</v>
      </c>
      <c r="L54" s="23"/>
      <c r="M54" s="23">
        <f t="shared" ref="M54:M59" si="38">H54+SUM(I54:L54)</f>
        <v>2112</v>
      </c>
      <c r="N54" s="23">
        <v>843.88</v>
      </c>
      <c r="O54" s="24">
        <f>N54/$M54</f>
        <v>0.39956439393939391</v>
      </c>
      <c r="P54" s="23">
        <v>1307.93</v>
      </c>
      <c r="Q54" s="24">
        <f>P54/$M54</f>
        <v>0.61928503787878786</v>
      </c>
      <c r="R54" s="23">
        <v>1795.94</v>
      </c>
      <c r="S54" s="24">
        <f>R54/$M54</f>
        <v>0.85035037878787878</v>
      </c>
      <c r="T54" s="23">
        <v>2414.84</v>
      </c>
      <c r="U54" s="24">
        <f>T54/$M54</f>
        <v>1.1433901515151517</v>
      </c>
      <c r="V54" s="23">
        <f>H54</f>
        <v>1670</v>
      </c>
      <c r="W54" s="23">
        <f t="shared" ref="W54:W59" si="39">V54</f>
        <v>1670</v>
      </c>
    </row>
    <row r="55" spans="1:23" ht="13.9" customHeight="1" x14ac:dyDescent="0.25">
      <c r="A55" s="10"/>
      <c r="B55" s="22">
        <v>220</v>
      </c>
      <c r="C55" s="22" t="s">
        <v>54</v>
      </c>
      <c r="D55" s="23">
        <v>83794.12</v>
      </c>
      <c r="E55" s="23">
        <v>101306.3</v>
      </c>
      <c r="F55" s="23">
        <v>77110</v>
      </c>
      <c r="G55" s="23">
        <v>96167.28</v>
      </c>
      <c r="H55" s="23">
        <v>79925</v>
      </c>
      <c r="I55" s="23"/>
      <c r="J55" s="23">
        <v>75</v>
      </c>
      <c r="K55" s="23">
        <f>745-2264-720</f>
        <v>-2239</v>
      </c>
      <c r="L55" s="23">
        <v>-17500</v>
      </c>
      <c r="M55" s="23">
        <f t="shared" si="38"/>
        <v>60261</v>
      </c>
      <c r="N55" s="23">
        <v>16107.6</v>
      </c>
      <c r="O55" s="24">
        <f>N55/$M55</f>
        <v>0.2672972569323443</v>
      </c>
      <c r="P55" s="23">
        <v>30001.47</v>
      </c>
      <c r="Q55" s="24">
        <f>P55/$M55</f>
        <v>0.49785881415841093</v>
      </c>
      <c r="R55" s="23">
        <v>43911.53</v>
      </c>
      <c r="S55" s="24">
        <f>R55/$M55</f>
        <v>0.7286890360266175</v>
      </c>
      <c r="T55" s="23">
        <v>64485.95</v>
      </c>
      <c r="U55" s="24">
        <f>T55/$M55</f>
        <v>1.0701108511309139</v>
      </c>
      <c r="V55" s="23">
        <f>H55</f>
        <v>79925</v>
      </c>
      <c r="W55" s="23">
        <f t="shared" si="39"/>
        <v>79925</v>
      </c>
    </row>
    <row r="56" spans="1:23" ht="13.9" customHeight="1" x14ac:dyDescent="0.25">
      <c r="A56" s="10"/>
      <c r="B56" s="22">
        <v>230</v>
      </c>
      <c r="C56" s="22" t="s">
        <v>55</v>
      </c>
      <c r="D56" s="23">
        <v>0</v>
      </c>
      <c r="E56" s="23">
        <v>1</v>
      </c>
      <c r="F56" s="23">
        <v>0</v>
      </c>
      <c r="G56" s="23">
        <v>0</v>
      </c>
      <c r="H56" s="23">
        <v>0</v>
      </c>
      <c r="I56" s="23"/>
      <c r="J56" s="23"/>
      <c r="K56" s="23"/>
      <c r="L56" s="23"/>
      <c r="M56" s="23">
        <f t="shared" si="38"/>
        <v>0</v>
      </c>
      <c r="N56" s="23">
        <v>0</v>
      </c>
      <c r="O56" s="24">
        <f>IFERROR(N56/$M56,0)</f>
        <v>0</v>
      </c>
      <c r="P56" s="23">
        <v>0</v>
      </c>
      <c r="Q56" s="24">
        <f>IFERROR(P56/$M56,0)</f>
        <v>0</v>
      </c>
      <c r="R56" s="23"/>
      <c r="S56" s="24">
        <f>IFERROR(R56/$M56,0)</f>
        <v>0</v>
      </c>
      <c r="T56" s="23">
        <v>87.5</v>
      </c>
      <c r="U56" s="24">
        <f>IFERROR(T56/$M56,0)</f>
        <v>0</v>
      </c>
      <c r="V56" s="23">
        <f>H56</f>
        <v>0</v>
      </c>
      <c r="W56" s="23">
        <f t="shared" si="39"/>
        <v>0</v>
      </c>
    </row>
    <row r="57" spans="1:23" ht="13.9" hidden="1" customHeight="1" x14ac:dyDescent="0.25">
      <c r="A57" s="10"/>
      <c r="B57" s="22">
        <v>240</v>
      </c>
      <c r="C57" s="22" t="s">
        <v>56</v>
      </c>
      <c r="D57" s="23">
        <v>1088.77</v>
      </c>
      <c r="E57" s="23">
        <v>687</v>
      </c>
      <c r="F57" s="23">
        <v>705</v>
      </c>
      <c r="G57" s="23">
        <v>124.55</v>
      </c>
      <c r="H57" s="23">
        <v>0</v>
      </c>
      <c r="I57" s="23"/>
      <c r="J57" s="23"/>
      <c r="K57" s="23"/>
      <c r="L57" s="23"/>
      <c r="M57" s="23">
        <f t="shared" si="38"/>
        <v>0</v>
      </c>
      <c r="N57" s="23">
        <v>0</v>
      </c>
      <c r="O57" s="24" t="e">
        <f t="shared" ref="O57:O63" si="40">N57/$M57</f>
        <v>#DIV/0!</v>
      </c>
      <c r="P57" s="23">
        <v>0</v>
      </c>
      <c r="Q57" s="24" t="e">
        <f t="shared" ref="Q57:Q63" si="41">P57/$M57</f>
        <v>#DIV/0!</v>
      </c>
      <c r="R57" s="23"/>
      <c r="S57" s="24" t="e">
        <f t="shared" ref="S57:S63" si="42">R57/$M57</f>
        <v>#DIV/0!</v>
      </c>
      <c r="T57" s="23"/>
      <c r="U57" s="24" t="e">
        <f t="shared" ref="U57:U63" si="43">T57/$M57</f>
        <v>#DIV/0!</v>
      </c>
      <c r="V57" s="23">
        <f>H57</f>
        <v>0</v>
      </c>
      <c r="W57" s="23">
        <f t="shared" si="39"/>
        <v>0</v>
      </c>
    </row>
    <row r="58" spans="1:23" ht="13.9" customHeight="1" x14ac:dyDescent="0.25">
      <c r="A58" s="10"/>
      <c r="B58" s="22">
        <v>290</v>
      </c>
      <c r="C58" s="22" t="s">
        <v>50</v>
      </c>
      <c r="D58" s="23">
        <v>13774.56</v>
      </c>
      <c r="E58" s="23">
        <v>16538.86</v>
      </c>
      <c r="F58" s="23">
        <v>10580</v>
      </c>
      <c r="G58" s="23">
        <v>14895.54</v>
      </c>
      <c r="H58" s="23">
        <v>27029</v>
      </c>
      <c r="I58" s="23">
        <v>595</v>
      </c>
      <c r="J58" s="23">
        <v>1307</v>
      </c>
      <c r="K58" s="23">
        <f>547+1883</f>
        <v>2430</v>
      </c>
      <c r="L58" s="23">
        <v>2570</v>
      </c>
      <c r="M58" s="23">
        <f t="shared" si="38"/>
        <v>33931</v>
      </c>
      <c r="N58" s="23">
        <v>14690.53</v>
      </c>
      <c r="O58" s="24">
        <f t="shared" si="40"/>
        <v>0.43295305178155669</v>
      </c>
      <c r="P58" s="23">
        <v>21949.65</v>
      </c>
      <c r="Q58" s="24">
        <f t="shared" si="41"/>
        <v>0.64689074887271236</v>
      </c>
      <c r="R58" s="23">
        <v>25086.99</v>
      </c>
      <c r="S58" s="24">
        <f t="shared" si="42"/>
        <v>0.73935309893607615</v>
      </c>
      <c r="T58" s="23">
        <v>31923.16</v>
      </c>
      <c r="U58" s="24">
        <f t="shared" si="43"/>
        <v>0.9408257935221479</v>
      </c>
      <c r="V58" s="23">
        <v>20933</v>
      </c>
      <c r="W58" s="23">
        <f t="shared" si="39"/>
        <v>20933</v>
      </c>
    </row>
    <row r="59" spans="1:23" ht="13.9" hidden="1" customHeight="1" x14ac:dyDescent="0.25">
      <c r="A59" s="10"/>
      <c r="B59" s="22" t="s">
        <v>51</v>
      </c>
      <c r="C59" s="22" t="s">
        <v>52</v>
      </c>
      <c r="D59" s="45">
        <v>27.19</v>
      </c>
      <c r="E59" s="45">
        <v>38.4</v>
      </c>
      <c r="F59" s="45">
        <v>0</v>
      </c>
      <c r="G59" s="45">
        <v>0</v>
      </c>
      <c r="H59" s="45">
        <v>0</v>
      </c>
      <c r="I59" s="45"/>
      <c r="J59" s="45"/>
      <c r="K59" s="45"/>
      <c r="L59" s="45"/>
      <c r="M59" s="45">
        <f t="shared" si="38"/>
        <v>0</v>
      </c>
      <c r="N59" s="45">
        <v>0</v>
      </c>
      <c r="O59" s="46" t="e">
        <f t="shared" si="40"/>
        <v>#DIV/0!</v>
      </c>
      <c r="P59" s="45"/>
      <c r="Q59" s="46" t="e">
        <f t="shared" si="41"/>
        <v>#DIV/0!</v>
      </c>
      <c r="R59" s="45"/>
      <c r="S59" s="46" t="e">
        <f t="shared" si="42"/>
        <v>#DIV/0!</v>
      </c>
      <c r="T59" s="45"/>
      <c r="U59" s="46" t="e">
        <f t="shared" si="43"/>
        <v>#DIV/0!</v>
      </c>
      <c r="V59" s="23">
        <f>H59</f>
        <v>0</v>
      </c>
      <c r="W59" s="23">
        <f t="shared" si="39"/>
        <v>0</v>
      </c>
    </row>
    <row r="60" spans="1:23" ht="13.9" customHeight="1" x14ac:dyDescent="0.25">
      <c r="A60" s="47" t="s">
        <v>21</v>
      </c>
      <c r="B60" s="47">
        <v>41</v>
      </c>
      <c r="C60" s="47" t="s">
        <v>23</v>
      </c>
      <c r="D60" s="48">
        <f t="shared" ref="D60:N60" si="44">SUM(D54:D59)</f>
        <v>103109.31</v>
      </c>
      <c r="E60" s="48">
        <f t="shared" si="44"/>
        <v>122228.76</v>
      </c>
      <c r="F60" s="48">
        <f t="shared" si="44"/>
        <v>92575</v>
      </c>
      <c r="G60" s="48">
        <f t="shared" si="44"/>
        <v>112862.17000000001</v>
      </c>
      <c r="H60" s="48">
        <f t="shared" si="44"/>
        <v>108624</v>
      </c>
      <c r="I60" s="48">
        <f t="shared" si="44"/>
        <v>595</v>
      </c>
      <c r="J60" s="48">
        <f t="shared" si="44"/>
        <v>1508</v>
      </c>
      <c r="K60" s="48">
        <f t="shared" si="44"/>
        <v>507</v>
      </c>
      <c r="L60" s="48">
        <f t="shared" si="44"/>
        <v>-14930</v>
      </c>
      <c r="M60" s="48">
        <f t="shared" si="44"/>
        <v>96304</v>
      </c>
      <c r="N60" s="48">
        <f t="shared" si="44"/>
        <v>31642.010000000002</v>
      </c>
      <c r="O60" s="49">
        <f t="shared" si="40"/>
        <v>0.3285638187406546</v>
      </c>
      <c r="P60" s="48">
        <f>SUM(P54:P59)</f>
        <v>53259.05</v>
      </c>
      <c r="Q60" s="49">
        <f t="shared" si="41"/>
        <v>0.55303050755939531</v>
      </c>
      <c r="R60" s="48">
        <f>SUM(R54:R59)</f>
        <v>70794.460000000006</v>
      </c>
      <c r="S60" s="49">
        <f t="shared" si="42"/>
        <v>0.73511442930719395</v>
      </c>
      <c r="T60" s="48">
        <f>SUM(T54:T59)</f>
        <v>98911.45</v>
      </c>
      <c r="U60" s="49">
        <f t="shared" si="43"/>
        <v>1.0270751993686658</v>
      </c>
      <c r="V60" s="48">
        <f>SUM(V54:V59)</f>
        <v>102528</v>
      </c>
      <c r="W60" s="48">
        <f>SUM(W54:W59)</f>
        <v>102528</v>
      </c>
    </row>
    <row r="61" spans="1:23" ht="13.9" customHeight="1" x14ac:dyDescent="0.25">
      <c r="A61" s="12" t="s">
        <v>49</v>
      </c>
      <c r="B61" s="22">
        <v>290</v>
      </c>
      <c r="C61" s="22" t="s">
        <v>50</v>
      </c>
      <c r="D61" s="23">
        <v>3348.12</v>
      </c>
      <c r="E61" s="23">
        <v>3931.55</v>
      </c>
      <c r="F61" s="23">
        <v>3370</v>
      </c>
      <c r="G61" s="23">
        <v>3485.89</v>
      </c>
      <c r="H61" s="23">
        <v>3486</v>
      </c>
      <c r="I61" s="23"/>
      <c r="J61" s="23"/>
      <c r="K61" s="23"/>
      <c r="L61" s="23">
        <v>3</v>
      </c>
      <c r="M61" s="23">
        <f>H61+SUM(I61:L61)</f>
        <v>3489</v>
      </c>
      <c r="N61" s="23">
        <v>849.93</v>
      </c>
      <c r="O61" s="24">
        <f t="shared" si="40"/>
        <v>0.24360275150472913</v>
      </c>
      <c r="P61" s="23">
        <v>1674.83</v>
      </c>
      <c r="Q61" s="24">
        <f t="shared" si="41"/>
        <v>0.48003152765835483</v>
      </c>
      <c r="R61" s="23">
        <v>2554.91</v>
      </c>
      <c r="S61" s="24">
        <f t="shared" si="42"/>
        <v>0.73227572370306671</v>
      </c>
      <c r="T61" s="23">
        <v>2779.45</v>
      </c>
      <c r="U61" s="24">
        <f t="shared" si="43"/>
        <v>0.79663227285755223</v>
      </c>
      <c r="V61" s="23">
        <f>H61</f>
        <v>3486</v>
      </c>
      <c r="W61" s="23">
        <f>V61</f>
        <v>3486</v>
      </c>
    </row>
    <row r="62" spans="1:23" ht="13.9" customHeight="1" x14ac:dyDescent="0.25">
      <c r="A62" s="12"/>
      <c r="B62" s="22" t="s">
        <v>51</v>
      </c>
      <c r="C62" s="22" t="s">
        <v>52</v>
      </c>
      <c r="D62" s="23">
        <v>47780.47</v>
      </c>
      <c r="E62" s="23">
        <v>49018.04</v>
      </c>
      <c r="F62" s="45">
        <v>39500</v>
      </c>
      <c r="G62" s="45">
        <v>35179.93</v>
      </c>
      <c r="H62" s="45">
        <v>33487</v>
      </c>
      <c r="I62" s="45"/>
      <c r="J62" s="45"/>
      <c r="K62" s="45">
        <v>2264</v>
      </c>
      <c r="L62" s="45"/>
      <c r="M62" s="45">
        <f>H62+SUM(I62:L62)</f>
        <v>35751</v>
      </c>
      <c r="N62" s="45">
        <v>5475.21</v>
      </c>
      <c r="O62" s="46">
        <f t="shared" si="40"/>
        <v>0.1531484434001846</v>
      </c>
      <c r="P62" s="45">
        <v>15255.22</v>
      </c>
      <c r="Q62" s="46">
        <f t="shared" si="41"/>
        <v>0.42670750468518359</v>
      </c>
      <c r="R62" s="45">
        <f>18288.59+10297.93</f>
        <v>28586.52</v>
      </c>
      <c r="S62" s="46">
        <f t="shared" si="42"/>
        <v>0.79960057061340939</v>
      </c>
      <c r="T62" s="45">
        <f>18288.59+29286.46</f>
        <v>47575.05</v>
      </c>
      <c r="U62" s="46">
        <f t="shared" si="43"/>
        <v>1.3307334060585718</v>
      </c>
      <c r="V62" s="23">
        <f>H62</f>
        <v>33487</v>
      </c>
      <c r="W62" s="23">
        <f>V62</f>
        <v>33487</v>
      </c>
    </row>
    <row r="63" spans="1:23" ht="13.9" customHeight="1" x14ac:dyDescent="0.25">
      <c r="A63" s="47" t="s">
        <v>21</v>
      </c>
      <c r="B63" s="47">
        <v>72</v>
      </c>
      <c r="C63" s="47" t="s">
        <v>25</v>
      </c>
      <c r="D63" s="48">
        <f t="shared" ref="D63:N63" si="45">SUM(D61:D62)</f>
        <v>51128.590000000004</v>
      </c>
      <c r="E63" s="48">
        <f t="shared" si="45"/>
        <v>52949.590000000004</v>
      </c>
      <c r="F63" s="48">
        <f t="shared" si="45"/>
        <v>42870</v>
      </c>
      <c r="G63" s="48">
        <f t="shared" si="45"/>
        <v>38665.82</v>
      </c>
      <c r="H63" s="48">
        <f t="shared" si="45"/>
        <v>36973</v>
      </c>
      <c r="I63" s="48">
        <f t="shared" si="45"/>
        <v>0</v>
      </c>
      <c r="J63" s="48">
        <f t="shared" si="45"/>
        <v>0</v>
      </c>
      <c r="K63" s="48">
        <f t="shared" si="45"/>
        <v>2264</v>
      </c>
      <c r="L63" s="48">
        <f t="shared" si="45"/>
        <v>3</v>
      </c>
      <c r="M63" s="48">
        <f t="shared" si="45"/>
        <v>39240</v>
      </c>
      <c r="N63" s="48">
        <f t="shared" si="45"/>
        <v>6325.14</v>
      </c>
      <c r="O63" s="49">
        <f t="shared" si="40"/>
        <v>0.16119113149847095</v>
      </c>
      <c r="P63" s="48">
        <f>SUM(P61:P62)</f>
        <v>16930.05</v>
      </c>
      <c r="Q63" s="49">
        <f t="shared" si="41"/>
        <v>0.43144877675840976</v>
      </c>
      <c r="R63" s="48">
        <f>SUM(R61:R62)</f>
        <v>31141.43</v>
      </c>
      <c r="S63" s="49">
        <f t="shared" si="42"/>
        <v>0.7936144240570846</v>
      </c>
      <c r="T63" s="48">
        <f>SUM(T61:T62)</f>
        <v>50354.5</v>
      </c>
      <c r="U63" s="49">
        <f t="shared" si="43"/>
        <v>1.283244138634047</v>
      </c>
      <c r="V63" s="48">
        <f>SUM(V61:V62)</f>
        <v>36973</v>
      </c>
      <c r="W63" s="48">
        <f>SUM(W61:W62)</f>
        <v>36973</v>
      </c>
    </row>
    <row r="65" spans="1:23" ht="13.9" customHeight="1" x14ac:dyDescent="0.25">
      <c r="B65" s="51" t="s">
        <v>57</v>
      </c>
      <c r="C65" s="29" t="s">
        <v>58</v>
      </c>
      <c r="D65" s="52">
        <v>4092.33</v>
      </c>
      <c r="E65" s="52">
        <v>3657.2</v>
      </c>
      <c r="F65" s="52">
        <v>4180</v>
      </c>
      <c r="G65" s="52">
        <v>1674.8</v>
      </c>
      <c r="H65" s="52">
        <v>1670</v>
      </c>
      <c r="I65" s="52"/>
      <c r="J65" s="52">
        <v>126</v>
      </c>
      <c r="K65" s="52">
        <v>300</v>
      </c>
      <c r="L65" s="52"/>
      <c r="M65" s="52">
        <f t="shared" ref="M65:M76" si="46">H65+SUM(I65:L65)</f>
        <v>2096</v>
      </c>
      <c r="N65" s="52">
        <v>843.88</v>
      </c>
      <c r="O65" s="53">
        <f t="shared" ref="O65:O72" si="47">N65/$M65</f>
        <v>0.40261450381679387</v>
      </c>
      <c r="P65" s="52">
        <v>1307.93</v>
      </c>
      <c r="Q65" s="53">
        <f t="shared" ref="Q65:Q72" si="48">P65/$M65</f>
        <v>0.62401240458015272</v>
      </c>
      <c r="R65" s="52">
        <v>1779.91</v>
      </c>
      <c r="S65" s="53">
        <f t="shared" ref="S65:S72" si="49">R65/$M65</f>
        <v>0.8491937022900764</v>
      </c>
      <c r="T65" s="52">
        <v>2398.81</v>
      </c>
      <c r="U65" s="54">
        <f t="shared" ref="U65:U72" si="50">T65/$M65</f>
        <v>1.1444704198473281</v>
      </c>
      <c r="V65" s="52">
        <f>H65</f>
        <v>1670</v>
      </c>
      <c r="W65" s="55">
        <f t="shared" ref="W65:W73" si="51">V65</f>
        <v>1670</v>
      </c>
    </row>
    <row r="66" spans="1:23" ht="13.9" customHeight="1" x14ac:dyDescent="0.25">
      <c r="B66" s="56"/>
      <c r="C66" s="57" t="s">
        <v>59</v>
      </c>
      <c r="D66" s="58">
        <v>7541</v>
      </c>
      <c r="E66" s="58">
        <v>8286.58</v>
      </c>
      <c r="F66" s="58">
        <v>8740</v>
      </c>
      <c r="G66" s="58">
        <v>7603</v>
      </c>
      <c r="H66" s="58">
        <v>7600</v>
      </c>
      <c r="I66" s="58"/>
      <c r="J66" s="58"/>
      <c r="K66" s="58"/>
      <c r="L66" s="58"/>
      <c r="M66" s="58">
        <f t="shared" si="46"/>
        <v>7600</v>
      </c>
      <c r="N66" s="58">
        <v>1585.5</v>
      </c>
      <c r="O66" s="15">
        <f t="shared" si="47"/>
        <v>0.20861842105263159</v>
      </c>
      <c r="P66" s="58">
        <v>3813.5</v>
      </c>
      <c r="Q66" s="15">
        <f t="shared" si="48"/>
        <v>0.50177631578947368</v>
      </c>
      <c r="R66" s="58">
        <v>5567.5</v>
      </c>
      <c r="S66" s="15">
        <f t="shared" si="49"/>
        <v>0.73256578947368423</v>
      </c>
      <c r="T66" s="58">
        <v>6673</v>
      </c>
      <c r="U66" s="59">
        <f t="shared" si="50"/>
        <v>0.87802631578947365</v>
      </c>
      <c r="V66" s="58">
        <f>H66</f>
        <v>7600</v>
      </c>
      <c r="W66" s="60">
        <f t="shared" si="51"/>
        <v>7600</v>
      </c>
    </row>
    <row r="67" spans="1:23" ht="13.9" hidden="1" customHeight="1" x14ac:dyDescent="0.25">
      <c r="B67" s="56"/>
      <c r="C67" s="57" t="s">
        <v>60</v>
      </c>
      <c r="D67" s="58">
        <v>0</v>
      </c>
      <c r="E67" s="58">
        <v>6665.4</v>
      </c>
      <c r="F67" s="58">
        <v>0</v>
      </c>
      <c r="G67" s="58">
        <v>0</v>
      </c>
      <c r="H67" s="58">
        <v>0</v>
      </c>
      <c r="I67" s="58"/>
      <c r="J67" s="58"/>
      <c r="K67" s="58"/>
      <c r="L67" s="58"/>
      <c r="M67" s="58">
        <f t="shared" si="46"/>
        <v>0</v>
      </c>
      <c r="N67" s="58">
        <v>0</v>
      </c>
      <c r="O67" s="15" t="e">
        <f t="shared" si="47"/>
        <v>#DIV/0!</v>
      </c>
      <c r="P67" s="58">
        <v>0</v>
      </c>
      <c r="Q67" s="15" t="e">
        <f t="shared" si="48"/>
        <v>#DIV/0!</v>
      </c>
      <c r="R67" s="58"/>
      <c r="S67" s="15" t="e">
        <f t="shared" si="49"/>
        <v>#DIV/0!</v>
      </c>
      <c r="T67" s="58"/>
      <c r="U67" s="59" t="e">
        <f t="shared" si="50"/>
        <v>#DIV/0!</v>
      </c>
      <c r="V67" s="58">
        <f>H67</f>
        <v>0</v>
      </c>
      <c r="W67" s="60">
        <f t="shared" si="51"/>
        <v>0</v>
      </c>
    </row>
    <row r="68" spans="1:23" ht="13.9" customHeight="1" x14ac:dyDescent="0.25">
      <c r="B68" s="56"/>
      <c r="C68" s="57" t="s">
        <v>61</v>
      </c>
      <c r="D68" s="58">
        <v>27465.81</v>
      </c>
      <c r="E68" s="58">
        <v>23556.21</v>
      </c>
      <c r="F68" s="58">
        <v>16805</v>
      </c>
      <c r="G68" s="58">
        <v>23890.61</v>
      </c>
      <c r="H68" s="58">
        <v>23890</v>
      </c>
      <c r="I68" s="58"/>
      <c r="J68" s="58"/>
      <c r="K68" s="58"/>
      <c r="L68" s="58">
        <v>-15000</v>
      </c>
      <c r="M68" s="58">
        <f t="shared" si="46"/>
        <v>8890</v>
      </c>
      <c r="N68" s="58">
        <v>3794.17</v>
      </c>
      <c r="O68" s="15">
        <f t="shared" si="47"/>
        <v>0.42679077615298089</v>
      </c>
      <c r="P68" s="58">
        <v>4424.74</v>
      </c>
      <c r="Q68" s="15">
        <f t="shared" si="48"/>
        <v>0.49772103487064112</v>
      </c>
      <c r="R68" s="58">
        <v>5935.56</v>
      </c>
      <c r="S68" s="15">
        <f t="shared" si="49"/>
        <v>0.66766704161979762</v>
      </c>
      <c r="T68" s="58">
        <v>15872.26</v>
      </c>
      <c r="U68" s="59">
        <f t="shared" si="50"/>
        <v>1.7854060742407198</v>
      </c>
      <c r="V68" s="58">
        <f>H68</f>
        <v>23890</v>
      </c>
      <c r="W68" s="60">
        <f t="shared" si="51"/>
        <v>23890</v>
      </c>
    </row>
    <row r="69" spans="1:23" ht="13.9" customHeight="1" x14ac:dyDescent="0.25">
      <c r="B69" s="56"/>
      <c r="C69" s="57" t="s">
        <v>62</v>
      </c>
      <c r="D69" s="61">
        <v>18265.32</v>
      </c>
      <c r="E69" s="61">
        <v>31962.73</v>
      </c>
      <c r="F69" s="61">
        <v>31365</v>
      </c>
      <c r="G69" s="61">
        <v>36930.67</v>
      </c>
      <c r="H69" s="61">
        <v>36930</v>
      </c>
      <c r="I69" s="61"/>
      <c r="J69" s="61"/>
      <c r="K69" s="61"/>
      <c r="L69" s="61">
        <v>-2500</v>
      </c>
      <c r="M69" s="61">
        <f t="shared" si="46"/>
        <v>34430</v>
      </c>
      <c r="N69" s="61">
        <v>9170.81</v>
      </c>
      <c r="O69" s="62">
        <f t="shared" si="47"/>
        <v>0.26636102236421721</v>
      </c>
      <c r="P69" s="61">
        <v>17786.509999999998</v>
      </c>
      <c r="Q69" s="62">
        <f t="shared" si="48"/>
        <v>0.51659918675573624</v>
      </c>
      <c r="R69" s="61">
        <v>26159.98</v>
      </c>
      <c r="S69" s="62">
        <f t="shared" si="49"/>
        <v>0.75980191693290733</v>
      </c>
      <c r="T69" s="61">
        <v>34315.06</v>
      </c>
      <c r="U69" s="63">
        <f t="shared" si="50"/>
        <v>0.996661632297415</v>
      </c>
      <c r="V69" s="58">
        <f>H69</f>
        <v>36930</v>
      </c>
      <c r="W69" s="60">
        <f t="shared" si="51"/>
        <v>36930</v>
      </c>
    </row>
    <row r="70" spans="1:23" ht="13.9" hidden="1" customHeight="1" x14ac:dyDescent="0.25">
      <c r="B70" s="56"/>
      <c r="C70" s="57" t="s">
        <v>63</v>
      </c>
      <c r="D70" s="61">
        <v>19051.03</v>
      </c>
      <c r="E70" s="61">
        <v>0</v>
      </c>
      <c r="F70" s="61">
        <v>4000</v>
      </c>
      <c r="G70" s="61">
        <v>15519.94</v>
      </c>
      <c r="H70" s="61">
        <v>0</v>
      </c>
      <c r="I70" s="61"/>
      <c r="J70" s="61"/>
      <c r="K70" s="61"/>
      <c r="L70" s="61"/>
      <c r="M70" s="61">
        <f t="shared" si="46"/>
        <v>0</v>
      </c>
      <c r="N70" s="61">
        <v>0</v>
      </c>
      <c r="O70" s="62" t="e">
        <f t="shared" si="47"/>
        <v>#DIV/0!</v>
      </c>
      <c r="P70" s="61">
        <v>0</v>
      </c>
      <c r="Q70" s="62" t="e">
        <f t="shared" si="48"/>
        <v>#DIV/0!</v>
      </c>
      <c r="R70" s="61"/>
      <c r="S70" s="62" t="e">
        <f t="shared" si="49"/>
        <v>#DIV/0!</v>
      </c>
      <c r="T70" s="61"/>
      <c r="U70" s="63" t="e">
        <f t="shared" si="50"/>
        <v>#DIV/0!</v>
      </c>
      <c r="V70" s="58">
        <v>0</v>
      </c>
      <c r="W70" s="60">
        <f t="shared" si="51"/>
        <v>0</v>
      </c>
    </row>
    <row r="71" spans="1:23" ht="13.9" customHeight="1" x14ac:dyDescent="0.25">
      <c r="B71" s="56"/>
      <c r="C71" s="57" t="s">
        <v>64</v>
      </c>
      <c r="D71" s="61">
        <v>0</v>
      </c>
      <c r="E71" s="61">
        <v>15828.47</v>
      </c>
      <c r="F71" s="61">
        <v>500</v>
      </c>
      <c r="G71" s="61">
        <v>1385</v>
      </c>
      <c r="H71" s="61">
        <v>500</v>
      </c>
      <c r="I71" s="61"/>
      <c r="J71" s="61"/>
      <c r="K71" s="61">
        <v>200</v>
      </c>
      <c r="L71" s="61"/>
      <c r="M71" s="61">
        <f t="shared" si="46"/>
        <v>700</v>
      </c>
      <c r="N71" s="61">
        <v>150</v>
      </c>
      <c r="O71" s="62">
        <f t="shared" si="47"/>
        <v>0.21428571428571427</v>
      </c>
      <c r="P71" s="61">
        <v>405</v>
      </c>
      <c r="Q71" s="62">
        <f t="shared" si="48"/>
        <v>0.57857142857142863</v>
      </c>
      <c r="R71" s="61">
        <v>655</v>
      </c>
      <c r="S71" s="62">
        <f t="shared" si="49"/>
        <v>0.93571428571428572</v>
      </c>
      <c r="T71" s="61">
        <v>1250</v>
      </c>
      <c r="U71" s="63">
        <f t="shared" si="50"/>
        <v>1.7857142857142858</v>
      </c>
      <c r="V71" s="58">
        <v>0</v>
      </c>
      <c r="W71" s="60">
        <f t="shared" si="51"/>
        <v>0</v>
      </c>
    </row>
    <row r="72" spans="1:23" ht="13.9" customHeight="1" x14ac:dyDescent="0.25">
      <c r="B72" s="56"/>
      <c r="C72" s="57" t="s">
        <v>65</v>
      </c>
      <c r="D72" s="61">
        <v>3249</v>
      </c>
      <c r="E72" s="61">
        <v>5720</v>
      </c>
      <c r="F72" s="61">
        <v>5745</v>
      </c>
      <c r="G72" s="61">
        <v>4520</v>
      </c>
      <c r="H72" s="61">
        <v>4520</v>
      </c>
      <c r="I72" s="61"/>
      <c r="J72" s="61"/>
      <c r="K72" s="61">
        <v>-2009</v>
      </c>
      <c r="L72" s="61"/>
      <c r="M72" s="61">
        <f t="shared" si="46"/>
        <v>2511</v>
      </c>
      <c r="N72" s="61">
        <v>871</v>
      </c>
      <c r="O72" s="62">
        <f t="shared" si="47"/>
        <v>0.34687375547590599</v>
      </c>
      <c r="P72" s="61">
        <v>2141</v>
      </c>
      <c r="Q72" s="62">
        <f t="shared" si="48"/>
        <v>0.85264834727200323</v>
      </c>
      <c r="R72" s="61">
        <v>2481</v>
      </c>
      <c r="S72" s="62">
        <f t="shared" si="49"/>
        <v>0.98805256869772995</v>
      </c>
      <c r="T72" s="61">
        <v>2461</v>
      </c>
      <c r="U72" s="63">
        <f t="shared" si="50"/>
        <v>0.98008761449621662</v>
      </c>
      <c r="V72" s="58">
        <f>H72</f>
        <v>4520</v>
      </c>
      <c r="W72" s="60">
        <f t="shared" si="51"/>
        <v>4520</v>
      </c>
    </row>
    <row r="73" spans="1:23" ht="13.9" customHeight="1" x14ac:dyDescent="0.25">
      <c r="B73" s="56"/>
      <c r="C73" s="57" t="s">
        <v>66</v>
      </c>
      <c r="D73" s="61">
        <v>536</v>
      </c>
      <c r="E73" s="61">
        <v>662</v>
      </c>
      <c r="F73" s="61">
        <v>660</v>
      </c>
      <c r="G73" s="61">
        <v>255</v>
      </c>
      <c r="H73" s="61">
        <v>255</v>
      </c>
      <c r="I73" s="61"/>
      <c r="J73" s="61"/>
      <c r="K73" s="61">
        <v>-255</v>
      </c>
      <c r="L73" s="61"/>
      <c r="M73" s="61">
        <f t="shared" si="46"/>
        <v>0</v>
      </c>
      <c r="N73" s="61">
        <v>0</v>
      </c>
      <c r="O73" s="62">
        <f>IFERROR(N73/$M73,0)</f>
        <v>0</v>
      </c>
      <c r="P73" s="61">
        <v>0</v>
      </c>
      <c r="Q73" s="62">
        <f>IFERROR(P73/$M73,0)</f>
        <v>0</v>
      </c>
      <c r="R73" s="61">
        <v>0</v>
      </c>
      <c r="S73" s="62">
        <f>IFERROR(R73/$M73,0)</f>
        <v>0</v>
      </c>
      <c r="T73" s="61">
        <v>0</v>
      </c>
      <c r="U73" s="63">
        <f>IFERROR(T73/$M73,0)</f>
        <v>0</v>
      </c>
      <c r="V73" s="58">
        <f>H73</f>
        <v>255</v>
      </c>
      <c r="W73" s="60">
        <f t="shared" si="51"/>
        <v>255</v>
      </c>
    </row>
    <row r="74" spans="1:23" ht="13.9" customHeight="1" x14ac:dyDescent="0.25">
      <c r="B74" s="56"/>
      <c r="C74" s="57" t="s">
        <v>67</v>
      </c>
      <c r="D74" s="61"/>
      <c r="E74" s="61"/>
      <c r="F74" s="61"/>
      <c r="G74" s="61"/>
      <c r="H74" s="61">
        <v>4596</v>
      </c>
      <c r="I74" s="61"/>
      <c r="J74" s="61"/>
      <c r="K74" s="61"/>
      <c r="L74" s="61"/>
      <c r="M74" s="61">
        <f t="shared" si="46"/>
        <v>4596</v>
      </c>
      <c r="N74" s="61">
        <v>0</v>
      </c>
      <c r="O74" s="62">
        <f>N74/$M74</f>
        <v>0</v>
      </c>
      <c r="P74" s="61">
        <v>4410.84</v>
      </c>
      <c r="Q74" s="62">
        <f>P74/$M74</f>
        <v>0.95971279373368146</v>
      </c>
      <c r="R74" s="61">
        <v>5259.89</v>
      </c>
      <c r="S74" s="62">
        <f>R74/$M74</f>
        <v>1.1444495213228896</v>
      </c>
      <c r="T74" s="61">
        <v>5379.89</v>
      </c>
      <c r="U74" s="63">
        <f>T74/$M74</f>
        <v>1.170559181897302</v>
      </c>
      <c r="V74" s="58">
        <v>0</v>
      </c>
      <c r="W74" s="60">
        <v>0</v>
      </c>
    </row>
    <row r="75" spans="1:23" ht="13.9" customHeight="1" x14ac:dyDescent="0.25">
      <c r="B75" s="56"/>
      <c r="C75" s="57" t="s">
        <v>68</v>
      </c>
      <c r="D75" s="58">
        <v>2110.3200000000002</v>
      </c>
      <c r="E75" s="58">
        <v>5363.85</v>
      </c>
      <c r="F75" s="58">
        <v>0</v>
      </c>
      <c r="G75" s="58">
        <v>5993.29</v>
      </c>
      <c r="H75" s="58">
        <v>11127</v>
      </c>
      <c r="I75" s="58">
        <v>595</v>
      </c>
      <c r="J75" s="58">
        <v>150</v>
      </c>
      <c r="K75" s="58">
        <f>352+363</f>
        <v>715</v>
      </c>
      <c r="L75" s="58"/>
      <c r="M75" s="58">
        <f t="shared" si="46"/>
        <v>12587</v>
      </c>
      <c r="N75" s="58">
        <v>11722.27</v>
      </c>
      <c r="O75" s="15">
        <f>N75/$M75</f>
        <v>0.93129975371414953</v>
      </c>
      <c r="P75" s="58">
        <v>11843.56</v>
      </c>
      <c r="Q75" s="15">
        <f>P75/$M75</f>
        <v>0.94093588623182645</v>
      </c>
      <c r="R75" s="58">
        <v>12224.07</v>
      </c>
      <c r="S75" s="15">
        <f>R75/$M75</f>
        <v>0.97116628267259864</v>
      </c>
      <c r="T75" s="58">
        <v>12597.46</v>
      </c>
      <c r="U75" s="59">
        <f>T75/$M75</f>
        <v>1.0008310161277507</v>
      </c>
      <c r="V75" s="58">
        <v>0</v>
      </c>
      <c r="W75" s="60">
        <f>V75</f>
        <v>0</v>
      </c>
    </row>
    <row r="76" spans="1:23" ht="13.9" customHeight="1" x14ac:dyDescent="0.25">
      <c r="B76" s="64"/>
      <c r="C76" s="65" t="s">
        <v>69</v>
      </c>
      <c r="D76" s="66">
        <v>9519.4</v>
      </c>
      <c r="E76" s="66">
        <v>10619.08</v>
      </c>
      <c r="F76" s="66">
        <v>10315</v>
      </c>
      <c r="G76" s="66">
        <v>8182.35</v>
      </c>
      <c r="H76" s="66">
        <v>8492</v>
      </c>
      <c r="I76" s="66"/>
      <c r="J76" s="66"/>
      <c r="K76" s="66"/>
      <c r="L76" s="66"/>
      <c r="M76" s="66">
        <f t="shared" si="46"/>
        <v>8492</v>
      </c>
      <c r="N76" s="66">
        <v>852.3</v>
      </c>
      <c r="O76" s="67">
        <f>N76/$M76</f>
        <v>0.1003650494583137</v>
      </c>
      <c r="P76" s="66">
        <v>1738.3</v>
      </c>
      <c r="Q76" s="67">
        <f>P76/$M76</f>
        <v>0.20469853980216673</v>
      </c>
      <c r="R76" s="66">
        <v>2689.3</v>
      </c>
      <c r="S76" s="67">
        <f>R76/$M76</f>
        <v>0.31668629298162981</v>
      </c>
      <c r="T76" s="66">
        <v>6521.55</v>
      </c>
      <c r="U76" s="68">
        <f>T76/$M76</f>
        <v>0.76796396608572781</v>
      </c>
      <c r="V76" s="66">
        <f>H76</f>
        <v>8492</v>
      </c>
      <c r="W76" s="69">
        <f>V76</f>
        <v>8492</v>
      </c>
    </row>
    <row r="78" spans="1:23" ht="13.9" customHeight="1" x14ac:dyDescent="0.25">
      <c r="A78" s="31" t="s">
        <v>70</v>
      </c>
      <c r="B78" s="31"/>
      <c r="C78" s="31"/>
      <c r="D78" s="31"/>
      <c r="E78" s="31"/>
      <c r="F78" s="31"/>
      <c r="G78" s="31"/>
      <c r="H78" s="31"/>
      <c r="I78" s="31"/>
      <c r="J78" s="31"/>
      <c r="K78" s="31"/>
      <c r="L78" s="31"/>
      <c r="M78" s="31"/>
      <c r="N78" s="31"/>
      <c r="O78" s="32"/>
      <c r="P78" s="31"/>
      <c r="Q78" s="31"/>
      <c r="R78" s="31"/>
      <c r="S78" s="31"/>
      <c r="T78" s="31"/>
      <c r="U78" s="31"/>
      <c r="V78" s="31"/>
      <c r="W78" s="31"/>
    </row>
    <row r="79" spans="1:23" ht="13.9" customHeight="1" x14ac:dyDescent="0.25">
      <c r="A79" s="19"/>
      <c r="B79" s="19"/>
      <c r="C79" s="19"/>
      <c r="D79" s="20" t="s">
        <v>1</v>
      </c>
      <c r="E79" s="20" t="s">
        <v>2</v>
      </c>
      <c r="F79" s="20" t="s">
        <v>3</v>
      </c>
      <c r="G79" s="20" t="s">
        <v>4</v>
      </c>
      <c r="H79" s="20" t="s">
        <v>5</v>
      </c>
      <c r="I79" s="20" t="s">
        <v>6</v>
      </c>
      <c r="J79" s="20" t="s">
        <v>7</v>
      </c>
      <c r="K79" s="20" t="s">
        <v>8</v>
      </c>
      <c r="L79" s="20" t="s">
        <v>9</v>
      </c>
      <c r="M79" s="20" t="s">
        <v>10</v>
      </c>
      <c r="N79" s="20" t="s">
        <v>11</v>
      </c>
      <c r="O79" s="21" t="s">
        <v>12</v>
      </c>
      <c r="P79" s="20" t="s">
        <v>13</v>
      </c>
      <c r="Q79" s="21" t="s">
        <v>14</v>
      </c>
      <c r="R79" s="20" t="s">
        <v>15</v>
      </c>
      <c r="S79" s="21" t="s">
        <v>16</v>
      </c>
      <c r="T79" s="20" t="s">
        <v>17</v>
      </c>
      <c r="U79" s="21" t="s">
        <v>18</v>
      </c>
      <c r="V79" s="20" t="s">
        <v>19</v>
      </c>
      <c r="W79" s="20" t="s">
        <v>20</v>
      </c>
    </row>
    <row r="80" spans="1:23" ht="13.9" customHeight="1" x14ac:dyDescent="0.25">
      <c r="A80" s="11" t="s">
        <v>21</v>
      </c>
      <c r="B80" s="34">
        <v>111</v>
      </c>
      <c r="C80" s="34" t="s">
        <v>22</v>
      </c>
      <c r="D80" s="70">
        <f t="shared" ref="D80:N80" si="52">D121</f>
        <v>1081145.6200000001</v>
      </c>
      <c r="E80" s="70">
        <f t="shared" si="52"/>
        <v>1593522.9</v>
      </c>
      <c r="F80" s="70">
        <f t="shared" si="52"/>
        <v>980789</v>
      </c>
      <c r="G80" s="70">
        <f t="shared" si="52"/>
        <v>712245.14</v>
      </c>
      <c r="H80" s="70">
        <f t="shared" si="52"/>
        <v>1163658</v>
      </c>
      <c r="I80" s="70">
        <f t="shared" si="52"/>
        <v>2000</v>
      </c>
      <c r="J80" s="70">
        <f t="shared" si="52"/>
        <v>28440</v>
      </c>
      <c r="K80" s="70">
        <f t="shared" si="52"/>
        <v>2892</v>
      </c>
      <c r="L80" s="70">
        <f t="shared" si="52"/>
        <v>-398001</v>
      </c>
      <c r="M80" s="70">
        <f t="shared" si="52"/>
        <v>798989</v>
      </c>
      <c r="N80" s="70">
        <f t="shared" si="52"/>
        <v>230975.38999999998</v>
      </c>
      <c r="O80" s="71">
        <f>N80/$M80</f>
        <v>0.2890845681229654</v>
      </c>
      <c r="P80" s="70">
        <f>P121</f>
        <v>402610.98</v>
      </c>
      <c r="Q80" s="71">
        <f>P80/$M80</f>
        <v>0.50390052929389517</v>
      </c>
      <c r="R80" s="70">
        <f>R121</f>
        <v>556131.53</v>
      </c>
      <c r="S80" s="71">
        <f>R80/$M80</f>
        <v>0.69604403815321614</v>
      </c>
      <c r="T80" s="70">
        <f>T121</f>
        <v>858683.59</v>
      </c>
      <c r="U80" s="71">
        <f>T80/$M80</f>
        <v>1.0747126556185378</v>
      </c>
      <c r="V80" s="70">
        <f>V121</f>
        <v>654618</v>
      </c>
      <c r="W80" s="70">
        <f>W121</f>
        <v>650218</v>
      </c>
    </row>
    <row r="81" spans="1:23" ht="13.9" customHeight="1" x14ac:dyDescent="0.25">
      <c r="A81" s="11" t="s">
        <v>21</v>
      </c>
      <c r="B81" s="34">
        <v>71</v>
      </c>
      <c r="C81" s="34" t="s">
        <v>24</v>
      </c>
      <c r="D81" s="35">
        <f t="shared" ref="D81:N81" si="53">D123</f>
        <v>1400</v>
      </c>
      <c r="E81" s="35">
        <f t="shared" si="53"/>
        <v>1400</v>
      </c>
      <c r="F81" s="35">
        <f t="shared" si="53"/>
        <v>1400</v>
      </c>
      <c r="G81" s="35">
        <f t="shared" si="53"/>
        <v>1400</v>
      </c>
      <c r="H81" s="35">
        <f t="shared" si="53"/>
        <v>3000</v>
      </c>
      <c r="I81" s="35">
        <f t="shared" si="53"/>
        <v>0</v>
      </c>
      <c r="J81" s="35">
        <f t="shared" si="53"/>
        <v>0</v>
      </c>
      <c r="K81" s="35">
        <f t="shared" si="53"/>
        <v>0</v>
      </c>
      <c r="L81" s="35">
        <f t="shared" si="53"/>
        <v>0</v>
      </c>
      <c r="M81" s="35">
        <f t="shared" si="53"/>
        <v>3000</v>
      </c>
      <c r="N81" s="35">
        <f t="shared" si="53"/>
        <v>0</v>
      </c>
      <c r="O81" s="36">
        <f>N81/$M81</f>
        <v>0</v>
      </c>
      <c r="P81" s="35">
        <f>P123</f>
        <v>3000</v>
      </c>
      <c r="Q81" s="36">
        <f>P81/$M81</f>
        <v>1</v>
      </c>
      <c r="R81" s="35">
        <f>R123</f>
        <v>3000</v>
      </c>
      <c r="S81" s="36">
        <f>R81/$M81</f>
        <v>1</v>
      </c>
      <c r="T81" s="35">
        <f>T123</f>
        <v>3000</v>
      </c>
      <c r="U81" s="36">
        <f>T81/$M81</f>
        <v>1</v>
      </c>
      <c r="V81" s="35">
        <f>V123</f>
        <v>3000</v>
      </c>
      <c r="W81" s="35">
        <f>W123</f>
        <v>3000</v>
      </c>
    </row>
    <row r="82" spans="1:23" ht="13.9" customHeight="1" x14ac:dyDescent="0.25">
      <c r="A82" s="11" t="s">
        <v>21</v>
      </c>
      <c r="B82" s="34">
        <v>72</v>
      </c>
      <c r="C82" s="34" t="s">
        <v>25</v>
      </c>
      <c r="D82" s="35">
        <f t="shared" ref="D82:N82" si="54">D126</f>
        <v>6535.22</v>
      </c>
      <c r="E82" s="35">
        <f t="shared" si="54"/>
        <v>5707.4</v>
      </c>
      <c r="F82" s="35">
        <f t="shared" si="54"/>
        <v>7395</v>
      </c>
      <c r="G82" s="35">
        <f t="shared" si="54"/>
        <v>5430.6600000000008</v>
      </c>
      <c r="H82" s="35">
        <f t="shared" si="54"/>
        <v>4948</v>
      </c>
      <c r="I82" s="35">
        <f t="shared" si="54"/>
        <v>0</v>
      </c>
      <c r="J82" s="35">
        <f t="shared" si="54"/>
        <v>15</v>
      </c>
      <c r="K82" s="35">
        <f t="shared" si="54"/>
        <v>0</v>
      </c>
      <c r="L82" s="35">
        <f t="shared" si="54"/>
        <v>0</v>
      </c>
      <c r="M82" s="35">
        <f t="shared" si="54"/>
        <v>4963</v>
      </c>
      <c r="N82" s="35">
        <f t="shared" si="54"/>
        <v>27.57</v>
      </c>
      <c r="O82" s="36">
        <f>N82/$M82</f>
        <v>5.5551077977030018E-3</v>
      </c>
      <c r="P82" s="35">
        <f>P126</f>
        <v>2602.29</v>
      </c>
      <c r="Q82" s="36">
        <f>P82/$M82</f>
        <v>0.52433810195446307</v>
      </c>
      <c r="R82" s="35">
        <f>R126</f>
        <v>2602.29</v>
      </c>
      <c r="S82" s="36">
        <f>R82/$M82</f>
        <v>0.52433810195446307</v>
      </c>
      <c r="T82" s="35">
        <f>T126</f>
        <v>5491.1100000000006</v>
      </c>
      <c r="U82" s="36">
        <f>T82/$M82</f>
        <v>1.1064094297803748</v>
      </c>
      <c r="V82" s="35">
        <f>V126</f>
        <v>4948</v>
      </c>
      <c r="W82" s="35">
        <f>W126</f>
        <v>4948</v>
      </c>
    </row>
    <row r="83" spans="1:23" ht="13.9" customHeight="1" x14ac:dyDescent="0.25">
      <c r="A83" s="29"/>
      <c r="B83" s="30"/>
      <c r="C83" s="37" t="s">
        <v>30</v>
      </c>
      <c r="D83" s="38">
        <f t="shared" ref="D83:N83" si="55">SUM(D80:D82)</f>
        <v>1089080.8400000001</v>
      </c>
      <c r="E83" s="38">
        <f t="shared" si="55"/>
        <v>1600630.2999999998</v>
      </c>
      <c r="F83" s="38">
        <f t="shared" si="55"/>
        <v>989584</v>
      </c>
      <c r="G83" s="38">
        <f t="shared" si="55"/>
        <v>719075.8</v>
      </c>
      <c r="H83" s="38">
        <f t="shared" si="55"/>
        <v>1171606</v>
      </c>
      <c r="I83" s="38">
        <f t="shared" si="55"/>
        <v>2000</v>
      </c>
      <c r="J83" s="38">
        <f t="shared" si="55"/>
        <v>28455</v>
      </c>
      <c r="K83" s="38">
        <f t="shared" si="55"/>
        <v>2892</v>
      </c>
      <c r="L83" s="38">
        <f t="shared" si="55"/>
        <v>-398001</v>
      </c>
      <c r="M83" s="38">
        <f t="shared" si="55"/>
        <v>806952</v>
      </c>
      <c r="N83" s="38">
        <f t="shared" si="55"/>
        <v>231002.96</v>
      </c>
      <c r="O83" s="39">
        <f>N83/$M83</f>
        <v>0.28626604804251055</v>
      </c>
      <c r="P83" s="38">
        <f>SUM(P80:P82)</f>
        <v>408213.26999999996</v>
      </c>
      <c r="Q83" s="39">
        <f>P83/$M83</f>
        <v>0.50587057222734433</v>
      </c>
      <c r="R83" s="38">
        <f>SUM(R80:R82)</f>
        <v>561733.82000000007</v>
      </c>
      <c r="S83" s="39">
        <f>R83/$M83</f>
        <v>0.69611800949746705</v>
      </c>
      <c r="T83" s="38">
        <f>SUM(T80:T82)</f>
        <v>867174.7</v>
      </c>
      <c r="U83" s="39">
        <f>T83/$M83</f>
        <v>1.0746298416758369</v>
      </c>
      <c r="V83" s="38">
        <f>SUM(V80:V82)</f>
        <v>662566</v>
      </c>
      <c r="W83" s="38">
        <f>SUM(W80:W82)</f>
        <v>658166</v>
      </c>
    </row>
    <row r="85" spans="1:23" ht="13.9" customHeight="1" x14ac:dyDescent="0.25">
      <c r="A85" s="72" t="s">
        <v>71</v>
      </c>
      <c r="B85" s="72"/>
      <c r="C85" s="72"/>
      <c r="D85" s="72"/>
      <c r="E85" s="72"/>
      <c r="F85" s="72"/>
      <c r="G85" s="72"/>
      <c r="H85" s="72"/>
      <c r="I85" s="72"/>
      <c r="J85" s="72"/>
      <c r="K85" s="72"/>
      <c r="L85" s="72"/>
      <c r="M85" s="72"/>
      <c r="N85" s="72"/>
      <c r="O85" s="73"/>
      <c r="P85" s="72"/>
      <c r="Q85" s="72"/>
      <c r="R85" s="72"/>
      <c r="S85" s="72"/>
      <c r="T85" s="72"/>
      <c r="U85" s="72"/>
      <c r="V85" s="72"/>
      <c r="W85" s="72"/>
    </row>
    <row r="86" spans="1:23" ht="13.9" customHeight="1" x14ac:dyDescent="0.25">
      <c r="A86" s="20" t="s">
        <v>33</v>
      </c>
      <c r="B86" s="20" t="s">
        <v>34</v>
      </c>
      <c r="C86" s="20" t="s">
        <v>35</v>
      </c>
      <c r="D86" s="20" t="s">
        <v>1</v>
      </c>
      <c r="E86" s="20" t="s">
        <v>2</v>
      </c>
      <c r="F86" s="20" t="s">
        <v>3</v>
      </c>
      <c r="G86" s="20" t="s">
        <v>4</v>
      </c>
      <c r="H86" s="20" t="s">
        <v>5</v>
      </c>
      <c r="I86" s="20" t="s">
        <v>6</v>
      </c>
      <c r="J86" s="20" t="s">
        <v>7</v>
      </c>
      <c r="K86" s="20" t="s">
        <v>8</v>
      </c>
      <c r="L86" s="20" t="s">
        <v>9</v>
      </c>
      <c r="M86" s="20" t="s">
        <v>10</v>
      </c>
      <c r="N86" s="20" t="s">
        <v>11</v>
      </c>
      <c r="O86" s="21" t="s">
        <v>12</v>
      </c>
      <c r="P86" s="20" t="s">
        <v>13</v>
      </c>
      <c r="Q86" s="21" t="s">
        <v>14</v>
      </c>
      <c r="R86" s="20" t="s">
        <v>15</v>
      </c>
      <c r="S86" s="21" t="s">
        <v>16</v>
      </c>
      <c r="T86" s="20" t="s">
        <v>17</v>
      </c>
      <c r="U86" s="21" t="s">
        <v>18</v>
      </c>
      <c r="V86" s="20" t="s">
        <v>19</v>
      </c>
      <c r="W86" s="20" t="s">
        <v>20</v>
      </c>
    </row>
    <row r="87" spans="1:23" ht="13.9" customHeight="1" x14ac:dyDescent="0.25">
      <c r="A87" s="10" t="s">
        <v>49</v>
      </c>
      <c r="B87" s="22">
        <v>312001</v>
      </c>
      <c r="C87" s="22" t="s">
        <v>72</v>
      </c>
      <c r="D87" s="74">
        <v>421262</v>
      </c>
      <c r="E87" s="74">
        <v>465138</v>
      </c>
      <c r="F87" s="75">
        <v>525190</v>
      </c>
      <c r="G87" s="75">
        <v>519878</v>
      </c>
      <c r="H87" s="75">
        <v>507277</v>
      </c>
      <c r="I87" s="75"/>
      <c r="J87" s="75"/>
      <c r="K87" s="75"/>
      <c r="L87" s="75"/>
      <c r="M87" s="75">
        <f t="shared" ref="M87:M120" si="56">H87+SUM(I87:L87)</f>
        <v>507277</v>
      </c>
      <c r="N87" s="75">
        <v>126819</v>
      </c>
      <c r="O87" s="76">
        <f t="shared" ref="O87:O116" si="57">N87/$M87</f>
        <v>0.24999950717260983</v>
      </c>
      <c r="P87" s="75">
        <v>253638</v>
      </c>
      <c r="Q87" s="76">
        <f t="shared" ref="Q87:Q116" si="58">P87/$M87</f>
        <v>0.49999901434521965</v>
      </c>
      <c r="R87" s="75">
        <v>380458</v>
      </c>
      <c r="S87" s="76">
        <f t="shared" ref="S87:S116" si="59">R87/$M87</f>
        <v>0.75000049282739012</v>
      </c>
      <c r="T87" s="75">
        <v>550791</v>
      </c>
      <c r="U87" s="76">
        <f t="shared" ref="U87:U116" si="60">T87/$M87</f>
        <v>1.0857795642223085</v>
      </c>
      <c r="V87" s="74">
        <f t="shared" ref="V87:V96" si="61">H87</f>
        <v>507277</v>
      </c>
      <c r="W87" s="74">
        <f t="shared" ref="W87:W96" si="62">V87</f>
        <v>507277</v>
      </c>
    </row>
    <row r="88" spans="1:23" ht="13.9" customHeight="1" x14ac:dyDescent="0.25">
      <c r="A88" s="10"/>
      <c r="B88" s="22">
        <v>312001</v>
      </c>
      <c r="C88" s="22" t="s">
        <v>73</v>
      </c>
      <c r="D88" s="74">
        <v>1900</v>
      </c>
      <c r="E88" s="74">
        <v>1800</v>
      </c>
      <c r="F88" s="75">
        <v>1800</v>
      </c>
      <c r="G88" s="75">
        <v>1850</v>
      </c>
      <c r="H88" s="75">
        <v>1950</v>
      </c>
      <c r="I88" s="75"/>
      <c r="J88" s="75"/>
      <c r="K88" s="75"/>
      <c r="L88" s="75"/>
      <c r="M88" s="75">
        <f t="shared" si="56"/>
        <v>1950</v>
      </c>
      <c r="N88" s="75">
        <v>1300</v>
      </c>
      <c r="O88" s="76">
        <f t="shared" si="57"/>
        <v>0.66666666666666663</v>
      </c>
      <c r="P88" s="75">
        <v>1300</v>
      </c>
      <c r="Q88" s="76">
        <f t="shared" si="58"/>
        <v>0.66666666666666663</v>
      </c>
      <c r="R88" s="75">
        <v>1300</v>
      </c>
      <c r="S88" s="76">
        <f t="shared" si="59"/>
        <v>0.66666666666666663</v>
      </c>
      <c r="T88" s="75">
        <v>1800</v>
      </c>
      <c r="U88" s="76">
        <f t="shared" si="60"/>
        <v>0.92307692307692313</v>
      </c>
      <c r="V88" s="74">
        <f t="shared" si="61"/>
        <v>1950</v>
      </c>
      <c r="W88" s="74">
        <f t="shared" si="62"/>
        <v>1950</v>
      </c>
    </row>
    <row r="89" spans="1:23" ht="13.9" customHeight="1" x14ac:dyDescent="0.25">
      <c r="A89" s="10"/>
      <c r="B89" s="22">
        <v>312001</v>
      </c>
      <c r="C89" s="22" t="s">
        <v>74</v>
      </c>
      <c r="D89" s="74">
        <v>5040</v>
      </c>
      <c r="E89" s="74">
        <v>9610</v>
      </c>
      <c r="F89" s="75">
        <v>6098</v>
      </c>
      <c r="G89" s="75">
        <v>19507</v>
      </c>
      <c r="H89" s="75">
        <v>19507</v>
      </c>
      <c r="I89" s="75"/>
      <c r="J89" s="75"/>
      <c r="K89" s="75"/>
      <c r="L89" s="75"/>
      <c r="M89" s="75">
        <f t="shared" si="56"/>
        <v>19507</v>
      </c>
      <c r="N89" s="75">
        <v>6502</v>
      </c>
      <c r="O89" s="76">
        <f t="shared" si="57"/>
        <v>0.33331624545035116</v>
      </c>
      <c r="P89" s="75">
        <v>13004</v>
      </c>
      <c r="Q89" s="76">
        <f t="shared" si="58"/>
        <v>0.66663249090070231</v>
      </c>
      <c r="R89" s="75">
        <v>19507</v>
      </c>
      <c r="S89" s="76">
        <f t="shared" si="59"/>
        <v>1</v>
      </c>
      <c r="T89" s="75">
        <v>19507</v>
      </c>
      <c r="U89" s="76">
        <f t="shared" si="60"/>
        <v>1</v>
      </c>
      <c r="V89" s="74">
        <f t="shared" si="61"/>
        <v>19507</v>
      </c>
      <c r="W89" s="74">
        <f t="shared" si="62"/>
        <v>19507</v>
      </c>
    </row>
    <row r="90" spans="1:23" ht="13.9" customHeight="1" x14ac:dyDescent="0.25">
      <c r="A90" s="10"/>
      <c r="B90" s="22">
        <v>312001</v>
      </c>
      <c r="C90" s="22" t="s">
        <v>75</v>
      </c>
      <c r="D90" s="74">
        <v>5818</v>
      </c>
      <c r="E90" s="74">
        <v>5875</v>
      </c>
      <c r="F90" s="75">
        <v>6615</v>
      </c>
      <c r="G90" s="75">
        <v>5741</v>
      </c>
      <c r="H90" s="75">
        <v>5280</v>
      </c>
      <c r="I90" s="75"/>
      <c r="J90" s="75"/>
      <c r="K90" s="75"/>
      <c r="L90" s="75"/>
      <c r="M90" s="75">
        <f t="shared" si="56"/>
        <v>5280</v>
      </c>
      <c r="N90" s="75">
        <v>3168</v>
      </c>
      <c r="O90" s="76">
        <f t="shared" si="57"/>
        <v>0.6</v>
      </c>
      <c r="P90" s="75">
        <v>3168</v>
      </c>
      <c r="Q90" s="76">
        <f t="shared" si="58"/>
        <v>0.6</v>
      </c>
      <c r="R90" s="75">
        <v>3168</v>
      </c>
      <c r="S90" s="76">
        <f t="shared" si="59"/>
        <v>0.6</v>
      </c>
      <c r="T90" s="75">
        <v>5958</v>
      </c>
      <c r="U90" s="76">
        <f t="shared" si="60"/>
        <v>1.1284090909090909</v>
      </c>
      <c r="V90" s="74">
        <f t="shared" si="61"/>
        <v>5280</v>
      </c>
      <c r="W90" s="74">
        <f t="shared" si="62"/>
        <v>5280</v>
      </c>
    </row>
    <row r="91" spans="1:23" ht="13.9" customHeight="1" x14ac:dyDescent="0.25">
      <c r="A91" s="10"/>
      <c r="B91" s="22">
        <v>312001</v>
      </c>
      <c r="C91" s="22" t="s">
        <v>76</v>
      </c>
      <c r="D91" s="74">
        <v>2372</v>
      </c>
      <c r="E91" s="74">
        <v>31550.400000000001</v>
      </c>
      <c r="F91" s="75">
        <v>38050</v>
      </c>
      <c r="G91" s="75">
        <v>40885.199999999997</v>
      </c>
      <c r="H91" s="75">
        <v>41955</v>
      </c>
      <c r="I91" s="75"/>
      <c r="J91" s="75"/>
      <c r="K91" s="75"/>
      <c r="L91" s="75"/>
      <c r="M91" s="75">
        <f t="shared" si="56"/>
        <v>41955</v>
      </c>
      <c r="N91" s="75">
        <v>41954.400000000001</v>
      </c>
      <c r="O91" s="76">
        <f t="shared" si="57"/>
        <v>0.99998569896317491</v>
      </c>
      <c r="P91" s="75">
        <v>41954.400000000001</v>
      </c>
      <c r="Q91" s="76">
        <f t="shared" si="58"/>
        <v>0.99998569896317491</v>
      </c>
      <c r="R91" s="75">
        <v>42145</v>
      </c>
      <c r="S91" s="76">
        <f t="shared" si="59"/>
        <v>1.0045286616613038</v>
      </c>
      <c r="T91" s="75">
        <v>42145</v>
      </c>
      <c r="U91" s="76">
        <f t="shared" si="60"/>
        <v>1.0045286616613038</v>
      </c>
      <c r="V91" s="74">
        <f t="shared" si="61"/>
        <v>41955</v>
      </c>
      <c r="W91" s="74">
        <f t="shared" si="62"/>
        <v>41955</v>
      </c>
    </row>
    <row r="92" spans="1:23" ht="13.9" customHeight="1" x14ac:dyDescent="0.25">
      <c r="A92" s="10"/>
      <c r="B92" s="22">
        <v>312001</v>
      </c>
      <c r="C92" s="22" t="s">
        <v>77</v>
      </c>
      <c r="D92" s="74">
        <v>398.4</v>
      </c>
      <c r="E92" s="74">
        <v>464.8</v>
      </c>
      <c r="F92" s="75">
        <v>565</v>
      </c>
      <c r="G92" s="75">
        <v>514.6</v>
      </c>
      <c r="H92" s="75">
        <v>515</v>
      </c>
      <c r="I92" s="75"/>
      <c r="J92" s="75"/>
      <c r="K92" s="75"/>
      <c r="L92" s="75"/>
      <c r="M92" s="75">
        <f t="shared" si="56"/>
        <v>515</v>
      </c>
      <c r="N92" s="75">
        <v>166</v>
      </c>
      <c r="O92" s="76">
        <f t="shared" si="57"/>
        <v>0.32233009708737864</v>
      </c>
      <c r="P92" s="75">
        <v>166</v>
      </c>
      <c r="Q92" s="76">
        <f t="shared" si="58"/>
        <v>0.32233009708737864</v>
      </c>
      <c r="R92" s="75">
        <v>365.2</v>
      </c>
      <c r="S92" s="76">
        <f t="shared" si="59"/>
        <v>0.70912621359223293</v>
      </c>
      <c r="T92" s="75">
        <v>365.2</v>
      </c>
      <c r="U92" s="76">
        <f t="shared" si="60"/>
        <v>0.70912621359223293</v>
      </c>
      <c r="V92" s="74">
        <f t="shared" si="61"/>
        <v>515</v>
      </c>
      <c r="W92" s="74">
        <f t="shared" si="62"/>
        <v>515</v>
      </c>
    </row>
    <row r="93" spans="1:23" ht="13.9" customHeight="1" x14ac:dyDescent="0.25">
      <c r="A93" s="10"/>
      <c r="B93" s="22">
        <v>312001</v>
      </c>
      <c r="C93" s="22" t="s">
        <v>78</v>
      </c>
      <c r="D93" s="74">
        <v>7609</v>
      </c>
      <c r="E93" s="74">
        <v>10838</v>
      </c>
      <c r="F93" s="75">
        <v>8500</v>
      </c>
      <c r="G93" s="75">
        <v>15596</v>
      </c>
      <c r="H93" s="75">
        <v>7879</v>
      </c>
      <c r="I93" s="75"/>
      <c r="J93" s="75"/>
      <c r="K93" s="75"/>
      <c r="L93" s="75"/>
      <c r="M93" s="75">
        <f t="shared" si="56"/>
        <v>7879</v>
      </c>
      <c r="N93" s="75">
        <v>2000</v>
      </c>
      <c r="O93" s="76">
        <f t="shared" si="57"/>
        <v>0.25383931971062318</v>
      </c>
      <c r="P93" s="75">
        <v>7738</v>
      </c>
      <c r="Q93" s="76">
        <f t="shared" si="58"/>
        <v>0.98210432796040104</v>
      </c>
      <c r="R93" s="75">
        <v>13621</v>
      </c>
      <c r="S93" s="76">
        <f t="shared" si="59"/>
        <v>1.7287726868891991</v>
      </c>
      <c r="T93" s="75">
        <f>17006+3800</f>
        <v>20806</v>
      </c>
      <c r="U93" s="76">
        <f t="shared" si="60"/>
        <v>2.6406904429496127</v>
      </c>
      <c r="V93" s="74">
        <f t="shared" si="61"/>
        <v>7879</v>
      </c>
      <c r="W93" s="74">
        <f t="shared" si="62"/>
        <v>7879</v>
      </c>
    </row>
    <row r="94" spans="1:23" ht="13.9" customHeight="1" x14ac:dyDescent="0.25">
      <c r="A94" s="10"/>
      <c r="B94" s="22">
        <v>312001</v>
      </c>
      <c r="C94" s="22" t="s">
        <v>79</v>
      </c>
      <c r="D94" s="74">
        <v>4798</v>
      </c>
      <c r="E94" s="74">
        <v>4524</v>
      </c>
      <c r="F94" s="75">
        <v>4524</v>
      </c>
      <c r="G94" s="75">
        <v>4534</v>
      </c>
      <c r="H94" s="75">
        <v>6002</v>
      </c>
      <c r="I94" s="75"/>
      <c r="J94" s="75"/>
      <c r="K94" s="75">
        <v>157</v>
      </c>
      <c r="L94" s="75"/>
      <c r="M94" s="75">
        <f t="shared" si="56"/>
        <v>6159</v>
      </c>
      <c r="N94" s="75">
        <v>4001</v>
      </c>
      <c r="O94" s="76">
        <f t="shared" si="57"/>
        <v>0.64961844455268714</v>
      </c>
      <c r="P94" s="75">
        <v>4001</v>
      </c>
      <c r="Q94" s="76">
        <f t="shared" si="58"/>
        <v>0.64961844455268714</v>
      </c>
      <c r="R94" s="75">
        <v>4001</v>
      </c>
      <c r="S94" s="76">
        <f t="shared" si="59"/>
        <v>0.64961844455268714</v>
      </c>
      <c r="T94" s="75">
        <v>9055</v>
      </c>
      <c r="U94" s="76">
        <f t="shared" si="60"/>
        <v>1.4702062023055691</v>
      </c>
      <c r="V94" s="74">
        <f t="shared" si="61"/>
        <v>6002</v>
      </c>
      <c r="W94" s="74">
        <f t="shared" si="62"/>
        <v>6002</v>
      </c>
    </row>
    <row r="95" spans="1:23" ht="13.9" customHeight="1" x14ac:dyDescent="0.25">
      <c r="A95" s="10"/>
      <c r="B95" s="22">
        <v>312001</v>
      </c>
      <c r="C95" s="22" t="s">
        <v>80</v>
      </c>
      <c r="D95" s="74">
        <v>966</v>
      </c>
      <c r="E95" s="74">
        <v>973</v>
      </c>
      <c r="F95" s="75">
        <v>973</v>
      </c>
      <c r="G95" s="75">
        <v>998</v>
      </c>
      <c r="H95" s="75">
        <v>1152</v>
      </c>
      <c r="I95" s="75"/>
      <c r="J95" s="75"/>
      <c r="K95" s="75"/>
      <c r="L95" s="75"/>
      <c r="M95" s="75">
        <f t="shared" si="56"/>
        <v>1152</v>
      </c>
      <c r="N95" s="75">
        <v>691</v>
      </c>
      <c r="O95" s="76">
        <f t="shared" si="57"/>
        <v>0.59982638888888884</v>
      </c>
      <c r="P95" s="75">
        <v>691</v>
      </c>
      <c r="Q95" s="76">
        <f t="shared" si="58"/>
        <v>0.59982638888888884</v>
      </c>
      <c r="R95" s="75">
        <v>691</v>
      </c>
      <c r="S95" s="76">
        <f t="shared" si="59"/>
        <v>0.59982638888888884</v>
      </c>
      <c r="T95" s="75">
        <v>691</v>
      </c>
      <c r="U95" s="76">
        <f t="shared" si="60"/>
        <v>0.59982638888888884</v>
      </c>
      <c r="V95" s="74">
        <f t="shared" si="61"/>
        <v>1152</v>
      </c>
      <c r="W95" s="74">
        <f t="shared" si="62"/>
        <v>1152</v>
      </c>
    </row>
    <row r="96" spans="1:23" ht="13.9" customHeight="1" x14ac:dyDescent="0.25">
      <c r="A96" s="10"/>
      <c r="B96" s="22">
        <v>312001</v>
      </c>
      <c r="C96" s="22" t="s">
        <v>81</v>
      </c>
      <c r="D96" s="74">
        <v>1065.1199999999999</v>
      </c>
      <c r="E96" s="74">
        <v>1165.68</v>
      </c>
      <c r="F96" s="75">
        <v>900</v>
      </c>
      <c r="G96" s="75">
        <v>4487.71</v>
      </c>
      <c r="H96" s="75">
        <v>4488</v>
      </c>
      <c r="I96" s="75"/>
      <c r="J96" s="75"/>
      <c r="K96" s="75">
        <f>1000+1735</f>
        <v>2735</v>
      </c>
      <c r="L96" s="75"/>
      <c r="M96" s="75">
        <f t="shared" si="56"/>
        <v>7223</v>
      </c>
      <c r="N96" s="75">
        <v>1581.3</v>
      </c>
      <c r="O96" s="76">
        <f t="shared" si="57"/>
        <v>0.2189256541603212</v>
      </c>
      <c r="P96" s="75">
        <v>3148.5</v>
      </c>
      <c r="Q96" s="76">
        <f t="shared" si="58"/>
        <v>0.43589921085421568</v>
      </c>
      <c r="R96" s="75">
        <v>4834.2</v>
      </c>
      <c r="S96" s="76">
        <f t="shared" si="59"/>
        <v>0.66927869306382393</v>
      </c>
      <c r="T96" s="75">
        <v>7171.9</v>
      </c>
      <c r="U96" s="76">
        <f t="shared" si="60"/>
        <v>0.99292537726706354</v>
      </c>
      <c r="V96" s="74">
        <f t="shared" si="61"/>
        <v>4488</v>
      </c>
      <c r="W96" s="74">
        <f t="shared" si="62"/>
        <v>4488</v>
      </c>
    </row>
    <row r="97" spans="1:23" ht="13.9" customHeight="1" x14ac:dyDescent="0.25">
      <c r="A97" s="10"/>
      <c r="B97" s="22">
        <v>312001</v>
      </c>
      <c r="C97" s="22" t="s">
        <v>82</v>
      </c>
      <c r="D97" s="74">
        <v>0</v>
      </c>
      <c r="E97" s="74">
        <v>0</v>
      </c>
      <c r="F97" s="75">
        <v>0</v>
      </c>
      <c r="G97" s="75">
        <v>5700</v>
      </c>
      <c r="H97" s="75">
        <v>5765</v>
      </c>
      <c r="I97" s="75"/>
      <c r="J97" s="75"/>
      <c r="K97" s="75"/>
      <c r="L97" s="75"/>
      <c r="M97" s="75">
        <f t="shared" si="56"/>
        <v>5765</v>
      </c>
      <c r="N97" s="75">
        <v>5765.41</v>
      </c>
      <c r="O97" s="76">
        <f t="shared" si="57"/>
        <v>1.0000711188204683</v>
      </c>
      <c r="P97" s="75">
        <v>5765.41</v>
      </c>
      <c r="Q97" s="76">
        <f t="shared" si="58"/>
        <v>1.0000711188204683</v>
      </c>
      <c r="R97" s="75">
        <v>5765.41</v>
      </c>
      <c r="S97" s="76">
        <f t="shared" si="59"/>
        <v>1.0000711188204683</v>
      </c>
      <c r="T97" s="75">
        <v>5765.41</v>
      </c>
      <c r="U97" s="76">
        <f t="shared" si="60"/>
        <v>1.0000711188204683</v>
      </c>
      <c r="V97" s="74">
        <v>0</v>
      </c>
      <c r="W97" s="74">
        <v>0</v>
      </c>
    </row>
    <row r="98" spans="1:23" ht="13.9" hidden="1" customHeight="1" x14ac:dyDescent="0.25">
      <c r="A98" s="10"/>
      <c r="B98" s="22">
        <v>312001</v>
      </c>
      <c r="C98" s="22" t="s">
        <v>83</v>
      </c>
      <c r="D98" s="74">
        <v>1545.58</v>
      </c>
      <c r="E98" s="74">
        <v>4446.04</v>
      </c>
      <c r="F98" s="75">
        <v>1500</v>
      </c>
      <c r="G98" s="75">
        <v>2202.92</v>
      </c>
      <c r="H98" s="75">
        <v>0</v>
      </c>
      <c r="I98" s="75"/>
      <c r="J98" s="75"/>
      <c r="K98" s="75"/>
      <c r="L98" s="75"/>
      <c r="M98" s="75">
        <f t="shared" si="56"/>
        <v>0</v>
      </c>
      <c r="N98" s="75">
        <v>0</v>
      </c>
      <c r="O98" s="76" t="e">
        <f t="shared" si="57"/>
        <v>#DIV/0!</v>
      </c>
      <c r="P98" s="75">
        <v>0</v>
      </c>
      <c r="Q98" s="76" t="e">
        <f t="shared" si="58"/>
        <v>#DIV/0!</v>
      </c>
      <c r="R98" s="75"/>
      <c r="S98" s="76" t="e">
        <f t="shared" si="59"/>
        <v>#DIV/0!</v>
      </c>
      <c r="T98" s="75"/>
      <c r="U98" s="76" t="e">
        <f t="shared" si="60"/>
        <v>#DIV/0!</v>
      </c>
      <c r="V98" s="74">
        <v>4400</v>
      </c>
      <c r="W98" s="74">
        <v>0</v>
      </c>
    </row>
    <row r="99" spans="1:23" ht="13.9" customHeight="1" x14ac:dyDescent="0.25">
      <c r="A99" s="10"/>
      <c r="B99" s="22">
        <v>312001</v>
      </c>
      <c r="C99" s="22" t="s">
        <v>84</v>
      </c>
      <c r="D99" s="74">
        <v>32364</v>
      </c>
      <c r="E99" s="74">
        <v>35712</v>
      </c>
      <c r="F99" s="75">
        <v>38688</v>
      </c>
      <c r="G99" s="75">
        <v>44092</v>
      </c>
      <c r="H99" s="75">
        <v>43848</v>
      </c>
      <c r="I99" s="75"/>
      <c r="J99" s="75"/>
      <c r="K99" s="75"/>
      <c r="L99" s="75">
        <v>2835</v>
      </c>
      <c r="M99" s="75">
        <f t="shared" si="56"/>
        <v>46683</v>
      </c>
      <c r="N99" s="75">
        <v>10811.84</v>
      </c>
      <c r="O99" s="76">
        <f t="shared" si="57"/>
        <v>0.23160122528543581</v>
      </c>
      <c r="P99" s="75">
        <v>21743.81</v>
      </c>
      <c r="Q99" s="76">
        <f t="shared" si="58"/>
        <v>0.46577576419681688</v>
      </c>
      <c r="R99" s="75">
        <v>32795.910000000003</v>
      </c>
      <c r="S99" s="76">
        <f t="shared" si="59"/>
        <v>0.7025236167341431</v>
      </c>
      <c r="T99" s="75">
        <v>46683</v>
      </c>
      <c r="U99" s="76">
        <f t="shared" si="60"/>
        <v>1</v>
      </c>
      <c r="V99" s="74">
        <f>H99</f>
        <v>43848</v>
      </c>
      <c r="W99" s="74">
        <f t="shared" ref="W99:W116" si="63">V99</f>
        <v>43848</v>
      </c>
    </row>
    <row r="100" spans="1:23" ht="13.9" hidden="1" customHeight="1" x14ac:dyDescent="0.25">
      <c r="A100" s="10"/>
      <c r="B100" s="22">
        <v>312001</v>
      </c>
      <c r="C100" s="22" t="s">
        <v>85</v>
      </c>
      <c r="D100" s="74">
        <v>1625</v>
      </c>
      <c r="E100" s="74">
        <v>0</v>
      </c>
      <c r="F100" s="75">
        <v>0</v>
      </c>
      <c r="G100" s="75">
        <v>0</v>
      </c>
      <c r="H100" s="75">
        <v>0</v>
      </c>
      <c r="I100" s="75"/>
      <c r="J100" s="75"/>
      <c r="K100" s="75"/>
      <c r="L100" s="75"/>
      <c r="M100" s="75">
        <f t="shared" si="56"/>
        <v>0</v>
      </c>
      <c r="N100" s="75">
        <v>0</v>
      </c>
      <c r="O100" s="76" t="e">
        <f t="shared" si="57"/>
        <v>#DIV/0!</v>
      </c>
      <c r="P100" s="75">
        <v>0</v>
      </c>
      <c r="Q100" s="76" t="e">
        <f t="shared" si="58"/>
        <v>#DIV/0!</v>
      </c>
      <c r="R100" s="75"/>
      <c r="S100" s="76" t="e">
        <f t="shared" si="59"/>
        <v>#DIV/0!</v>
      </c>
      <c r="T100" s="75"/>
      <c r="U100" s="76" t="e">
        <f t="shared" si="60"/>
        <v>#DIV/0!</v>
      </c>
      <c r="V100" s="74">
        <f>H100</f>
        <v>0</v>
      </c>
      <c r="W100" s="74">
        <f t="shared" si="63"/>
        <v>0</v>
      </c>
    </row>
    <row r="101" spans="1:23" ht="13.9" hidden="1" customHeight="1" x14ac:dyDescent="0.25">
      <c r="A101" s="10"/>
      <c r="B101" s="22">
        <v>312001</v>
      </c>
      <c r="C101" s="22" t="s">
        <v>86</v>
      </c>
      <c r="D101" s="74">
        <v>17055.14</v>
      </c>
      <c r="E101" s="74">
        <v>21626.75</v>
      </c>
      <c r="F101" s="75">
        <v>7002</v>
      </c>
      <c r="G101" s="75">
        <v>1821.52</v>
      </c>
      <c r="H101" s="75">
        <v>0</v>
      </c>
      <c r="I101" s="75"/>
      <c r="J101" s="75"/>
      <c r="K101" s="75"/>
      <c r="L101" s="75"/>
      <c r="M101" s="75">
        <f t="shared" si="56"/>
        <v>0</v>
      </c>
      <c r="N101" s="75">
        <v>0</v>
      </c>
      <c r="O101" s="76" t="e">
        <f t="shared" si="57"/>
        <v>#DIV/0!</v>
      </c>
      <c r="P101" s="75">
        <v>0</v>
      </c>
      <c r="Q101" s="76" t="e">
        <f t="shared" si="58"/>
        <v>#DIV/0!</v>
      </c>
      <c r="R101" s="75"/>
      <c r="S101" s="76" t="e">
        <f t="shared" si="59"/>
        <v>#DIV/0!</v>
      </c>
      <c r="T101" s="75"/>
      <c r="U101" s="76" t="e">
        <f t="shared" si="60"/>
        <v>#DIV/0!</v>
      </c>
      <c r="V101" s="75">
        <f>výdaje!Y359</f>
        <v>0</v>
      </c>
      <c r="W101" s="74">
        <f t="shared" si="63"/>
        <v>0</v>
      </c>
    </row>
    <row r="102" spans="1:23" ht="13.9" hidden="1" customHeight="1" x14ac:dyDescent="0.25">
      <c r="A102" s="10"/>
      <c r="B102" s="22">
        <v>312001</v>
      </c>
      <c r="C102" s="22" t="s">
        <v>87</v>
      </c>
      <c r="D102" s="74"/>
      <c r="E102" s="74"/>
      <c r="F102" s="75">
        <v>0</v>
      </c>
      <c r="G102" s="75">
        <v>29644.43</v>
      </c>
      <c r="H102" s="75">
        <v>0</v>
      </c>
      <c r="I102" s="75"/>
      <c r="J102" s="75"/>
      <c r="K102" s="75"/>
      <c r="L102" s="75"/>
      <c r="M102" s="75">
        <f t="shared" si="56"/>
        <v>0</v>
      </c>
      <c r="N102" s="75">
        <v>0</v>
      </c>
      <c r="O102" s="76" t="e">
        <f t="shared" si="57"/>
        <v>#DIV/0!</v>
      </c>
      <c r="P102" s="75">
        <v>0</v>
      </c>
      <c r="Q102" s="76" t="e">
        <f t="shared" si="58"/>
        <v>#DIV/0!</v>
      </c>
      <c r="R102" s="75"/>
      <c r="S102" s="76" t="e">
        <f t="shared" si="59"/>
        <v>#DIV/0!</v>
      </c>
      <c r="T102" s="75"/>
      <c r="U102" s="76" t="e">
        <f t="shared" si="60"/>
        <v>#DIV/0!</v>
      </c>
      <c r="V102" s="75">
        <f>výdaje!Y360</f>
        <v>0</v>
      </c>
      <c r="W102" s="74">
        <f t="shared" si="63"/>
        <v>0</v>
      </c>
    </row>
    <row r="103" spans="1:23" ht="13.9" hidden="1" customHeight="1" x14ac:dyDescent="0.25">
      <c r="A103" s="10"/>
      <c r="B103" s="22">
        <v>312001</v>
      </c>
      <c r="C103" s="22" t="s">
        <v>88</v>
      </c>
      <c r="D103" s="74"/>
      <c r="E103" s="74">
        <v>3093.96</v>
      </c>
      <c r="F103" s="75">
        <v>0</v>
      </c>
      <c r="G103" s="75">
        <v>0</v>
      </c>
      <c r="H103" s="75">
        <v>0</v>
      </c>
      <c r="I103" s="75"/>
      <c r="J103" s="75"/>
      <c r="K103" s="75"/>
      <c r="L103" s="75"/>
      <c r="M103" s="75">
        <f t="shared" si="56"/>
        <v>0</v>
      </c>
      <c r="N103" s="75">
        <v>0</v>
      </c>
      <c r="O103" s="76" t="e">
        <f t="shared" si="57"/>
        <v>#DIV/0!</v>
      </c>
      <c r="P103" s="75">
        <v>0</v>
      </c>
      <c r="Q103" s="76" t="e">
        <f t="shared" si="58"/>
        <v>#DIV/0!</v>
      </c>
      <c r="R103" s="75"/>
      <c r="S103" s="76" t="e">
        <f t="shared" si="59"/>
        <v>#DIV/0!</v>
      </c>
      <c r="T103" s="75"/>
      <c r="U103" s="76" t="e">
        <f t="shared" si="60"/>
        <v>#DIV/0!</v>
      </c>
      <c r="V103" s="75">
        <f>výdaje!Y360</f>
        <v>0</v>
      </c>
      <c r="W103" s="74">
        <f t="shared" si="63"/>
        <v>0</v>
      </c>
    </row>
    <row r="104" spans="1:23" ht="13.9" hidden="1" customHeight="1" x14ac:dyDescent="0.25">
      <c r="A104" s="10"/>
      <c r="B104" s="22">
        <v>312001</v>
      </c>
      <c r="C104" s="22" t="s">
        <v>89</v>
      </c>
      <c r="D104" s="74"/>
      <c r="E104" s="74">
        <v>3380.21</v>
      </c>
      <c r="F104" s="75">
        <v>0</v>
      </c>
      <c r="G104" s="75">
        <v>0</v>
      </c>
      <c r="H104" s="75">
        <v>0</v>
      </c>
      <c r="I104" s="75"/>
      <c r="J104" s="75"/>
      <c r="K104" s="75"/>
      <c r="L104" s="75"/>
      <c r="M104" s="75">
        <f t="shared" si="56"/>
        <v>0</v>
      </c>
      <c r="N104" s="75">
        <v>0</v>
      </c>
      <c r="O104" s="76" t="e">
        <f t="shared" si="57"/>
        <v>#DIV/0!</v>
      </c>
      <c r="P104" s="75">
        <v>0</v>
      </c>
      <c r="Q104" s="76" t="e">
        <f t="shared" si="58"/>
        <v>#DIV/0!</v>
      </c>
      <c r="R104" s="75"/>
      <c r="S104" s="76" t="e">
        <f t="shared" si="59"/>
        <v>#DIV/0!</v>
      </c>
      <c r="T104" s="75"/>
      <c r="U104" s="76" t="e">
        <f t="shared" si="60"/>
        <v>#DIV/0!</v>
      </c>
      <c r="V104" s="75">
        <f>výdaje!Y361</f>
        <v>0</v>
      </c>
      <c r="W104" s="74">
        <f t="shared" si="63"/>
        <v>0</v>
      </c>
    </row>
    <row r="105" spans="1:23" ht="13.9" hidden="1" customHeight="1" x14ac:dyDescent="0.25">
      <c r="A105" s="10"/>
      <c r="B105" s="22">
        <v>312001</v>
      </c>
      <c r="C105" s="22" t="s">
        <v>90</v>
      </c>
      <c r="D105" s="74"/>
      <c r="E105" s="74">
        <v>2478.33</v>
      </c>
      <c r="F105" s="75">
        <v>0</v>
      </c>
      <c r="G105" s="75">
        <v>0</v>
      </c>
      <c r="H105" s="75">
        <v>0</v>
      </c>
      <c r="I105" s="75"/>
      <c r="J105" s="75"/>
      <c r="K105" s="75"/>
      <c r="L105" s="75"/>
      <c r="M105" s="75">
        <f t="shared" si="56"/>
        <v>0</v>
      </c>
      <c r="N105" s="75">
        <v>0</v>
      </c>
      <c r="O105" s="76" t="e">
        <f t="shared" si="57"/>
        <v>#DIV/0!</v>
      </c>
      <c r="P105" s="75">
        <v>0</v>
      </c>
      <c r="Q105" s="76" t="e">
        <f t="shared" si="58"/>
        <v>#DIV/0!</v>
      </c>
      <c r="R105" s="75"/>
      <c r="S105" s="76" t="e">
        <f t="shared" si="59"/>
        <v>#DIV/0!</v>
      </c>
      <c r="T105" s="75"/>
      <c r="U105" s="76" t="e">
        <f t="shared" si="60"/>
        <v>#DIV/0!</v>
      </c>
      <c r="V105" s="75">
        <f>výdaje!Y362</f>
        <v>0</v>
      </c>
      <c r="W105" s="74">
        <f t="shared" si="63"/>
        <v>0</v>
      </c>
    </row>
    <row r="106" spans="1:23" ht="13.9" customHeight="1" x14ac:dyDescent="0.25">
      <c r="A106" s="10"/>
      <c r="B106" s="22">
        <v>312012</v>
      </c>
      <c r="C106" s="22" t="s">
        <v>91</v>
      </c>
      <c r="D106" s="74">
        <v>3477.63</v>
      </c>
      <c r="E106" s="74">
        <v>4117.82</v>
      </c>
      <c r="F106" s="75">
        <v>3500</v>
      </c>
      <c r="G106" s="75">
        <v>4584.09</v>
      </c>
      <c r="H106" s="75">
        <v>4105</v>
      </c>
      <c r="I106" s="75"/>
      <c r="J106" s="75"/>
      <c r="K106" s="75"/>
      <c r="L106" s="75"/>
      <c r="M106" s="75">
        <f t="shared" si="56"/>
        <v>4105</v>
      </c>
      <c r="N106" s="75">
        <v>0</v>
      </c>
      <c r="O106" s="76">
        <f t="shared" si="57"/>
        <v>0</v>
      </c>
      <c r="P106" s="75">
        <v>4105.09</v>
      </c>
      <c r="Q106" s="76">
        <f t="shared" si="58"/>
        <v>1.0000219244823387</v>
      </c>
      <c r="R106" s="75">
        <v>4105.09</v>
      </c>
      <c r="S106" s="76">
        <f t="shared" si="59"/>
        <v>1.0000219244823387</v>
      </c>
      <c r="T106" s="75">
        <v>4105.09</v>
      </c>
      <c r="U106" s="76">
        <f t="shared" si="60"/>
        <v>1.0000219244823387</v>
      </c>
      <c r="V106" s="74">
        <f>H106</f>
        <v>4105</v>
      </c>
      <c r="W106" s="74">
        <f t="shared" si="63"/>
        <v>4105</v>
      </c>
    </row>
    <row r="107" spans="1:23" ht="13.9" customHeight="1" x14ac:dyDescent="0.25">
      <c r="A107" s="10"/>
      <c r="B107" s="22">
        <v>312012</v>
      </c>
      <c r="C107" s="22" t="s">
        <v>92</v>
      </c>
      <c r="D107" s="74">
        <v>135.35</v>
      </c>
      <c r="E107" s="74">
        <v>136.21</v>
      </c>
      <c r="F107" s="75">
        <v>136</v>
      </c>
      <c r="G107" s="75">
        <v>135.65</v>
      </c>
      <c r="H107" s="75">
        <v>137</v>
      </c>
      <c r="I107" s="75"/>
      <c r="J107" s="75"/>
      <c r="K107" s="75"/>
      <c r="L107" s="75"/>
      <c r="M107" s="75">
        <f t="shared" si="56"/>
        <v>137</v>
      </c>
      <c r="N107" s="75">
        <v>0</v>
      </c>
      <c r="O107" s="76">
        <f t="shared" si="57"/>
        <v>0</v>
      </c>
      <c r="P107" s="75">
        <v>136.86000000000001</v>
      </c>
      <c r="Q107" s="76">
        <f t="shared" si="58"/>
        <v>0.99897810218978111</v>
      </c>
      <c r="R107" s="75">
        <v>136.86000000000001</v>
      </c>
      <c r="S107" s="76">
        <f t="shared" si="59"/>
        <v>0.99897810218978111</v>
      </c>
      <c r="T107" s="75">
        <v>136.86000000000001</v>
      </c>
      <c r="U107" s="76">
        <f t="shared" si="60"/>
        <v>0.99897810218978111</v>
      </c>
      <c r="V107" s="74">
        <f>H107</f>
        <v>137</v>
      </c>
      <c r="W107" s="74">
        <f t="shared" si="63"/>
        <v>137</v>
      </c>
    </row>
    <row r="108" spans="1:23" ht="13.9" customHeight="1" x14ac:dyDescent="0.25">
      <c r="A108" s="10"/>
      <c r="B108" s="22">
        <v>312012</v>
      </c>
      <c r="C108" s="22" t="s">
        <v>93</v>
      </c>
      <c r="D108" s="74">
        <v>294.12</v>
      </c>
      <c r="E108" s="74">
        <v>294.74</v>
      </c>
      <c r="F108" s="75">
        <v>295</v>
      </c>
      <c r="G108" s="75">
        <v>298.29000000000002</v>
      </c>
      <c r="H108" s="75">
        <v>310</v>
      </c>
      <c r="I108" s="75"/>
      <c r="J108" s="75"/>
      <c r="K108" s="75"/>
      <c r="L108" s="75"/>
      <c r="M108" s="75">
        <f t="shared" si="56"/>
        <v>310</v>
      </c>
      <c r="N108" s="75">
        <v>0</v>
      </c>
      <c r="O108" s="76">
        <f t="shared" si="57"/>
        <v>0</v>
      </c>
      <c r="P108" s="75">
        <v>310.47000000000003</v>
      </c>
      <c r="Q108" s="76">
        <f t="shared" si="58"/>
        <v>1.0015161290322581</v>
      </c>
      <c r="R108" s="75">
        <v>310.47000000000003</v>
      </c>
      <c r="S108" s="76">
        <f t="shared" si="59"/>
        <v>1.0015161290322581</v>
      </c>
      <c r="T108" s="75">
        <v>310.47000000000003</v>
      </c>
      <c r="U108" s="76">
        <f t="shared" si="60"/>
        <v>1.0015161290322581</v>
      </c>
      <c r="V108" s="74">
        <f>H108</f>
        <v>310</v>
      </c>
      <c r="W108" s="74">
        <f t="shared" si="63"/>
        <v>310</v>
      </c>
    </row>
    <row r="109" spans="1:23" ht="13.9" customHeight="1" x14ac:dyDescent="0.25">
      <c r="A109" s="10"/>
      <c r="B109" s="22">
        <v>312012</v>
      </c>
      <c r="C109" s="22" t="s">
        <v>94</v>
      </c>
      <c r="D109" s="74">
        <v>4466.45</v>
      </c>
      <c r="E109" s="74">
        <v>5120.46</v>
      </c>
      <c r="F109" s="75">
        <v>5120</v>
      </c>
      <c r="G109" s="75">
        <v>5629.44</v>
      </c>
      <c r="H109" s="75">
        <v>4478</v>
      </c>
      <c r="I109" s="75"/>
      <c r="J109" s="75">
        <v>1187</v>
      </c>
      <c r="K109" s="75"/>
      <c r="L109" s="75">
        <v>164</v>
      </c>
      <c r="M109" s="75">
        <f t="shared" si="56"/>
        <v>5829</v>
      </c>
      <c r="N109" s="75">
        <v>4477.8</v>
      </c>
      <c r="O109" s="76">
        <f t="shared" si="57"/>
        <v>0.76819351518270718</v>
      </c>
      <c r="P109" s="75">
        <v>4477.8</v>
      </c>
      <c r="Q109" s="76">
        <f t="shared" si="58"/>
        <v>0.76819351518270718</v>
      </c>
      <c r="R109" s="75">
        <v>5664.75</v>
      </c>
      <c r="S109" s="76">
        <f t="shared" si="59"/>
        <v>0.9718219248584663</v>
      </c>
      <c r="T109" s="75">
        <v>5829.3</v>
      </c>
      <c r="U109" s="76">
        <f t="shared" si="60"/>
        <v>1.0000514668039115</v>
      </c>
      <c r="V109" s="74">
        <f>H109</f>
        <v>4478</v>
      </c>
      <c r="W109" s="74">
        <f t="shared" si="63"/>
        <v>4478</v>
      </c>
    </row>
    <row r="110" spans="1:23" ht="13.9" customHeight="1" x14ac:dyDescent="0.25">
      <c r="A110" s="10"/>
      <c r="B110" s="22">
        <v>312012</v>
      </c>
      <c r="C110" s="22" t="s">
        <v>95</v>
      </c>
      <c r="D110" s="74">
        <v>1074.29</v>
      </c>
      <c r="E110" s="74">
        <v>1080.8900000000001</v>
      </c>
      <c r="F110" s="75">
        <v>1081</v>
      </c>
      <c r="G110" s="75">
        <v>1071.8</v>
      </c>
      <c r="H110" s="75">
        <v>1083</v>
      </c>
      <c r="I110" s="75"/>
      <c r="J110" s="75"/>
      <c r="K110" s="75"/>
      <c r="L110" s="75"/>
      <c r="M110" s="75">
        <f t="shared" si="56"/>
        <v>1083</v>
      </c>
      <c r="N110" s="75">
        <v>1082.6400000000001</v>
      </c>
      <c r="O110" s="76">
        <f t="shared" si="57"/>
        <v>0.99966759002770089</v>
      </c>
      <c r="P110" s="75">
        <v>1082.6400000000001</v>
      </c>
      <c r="Q110" s="76">
        <f t="shared" si="58"/>
        <v>0.99966759002770089</v>
      </c>
      <c r="R110" s="75">
        <v>1082.6400000000001</v>
      </c>
      <c r="S110" s="76">
        <f t="shared" si="59"/>
        <v>0.99966759002770089</v>
      </c>
      <c r="T110" s="75">
        <v>1082.6400000000001</v>
      </c>
      <c r="U110" s="76">
        <f t="shared" si="60"/>
        <v>0.99966759002770089</v>
      </c>
      <c r="V110" s="74">
        <f>H110</f>
        <v>1083</v>
      </c>
      <c r="W110" s="74">
        <f t="shared" si="63"/>
        <v>1083</v>
      </c>
    </row>
    <row r="111" spans="1:23" ht="13.9" customHeight="1" x14ac:dyDescent="0.25">
      <c r="A111" s="10"/>
      <c r="B111" s="22">
        <v>312012</v>
      </c>
      <c r="C111" s="22" t="s">
        <v>96</v>
      </c>
      <c r="D111" s="74">
        <v>231.76</v>
      </c>
      <c r="E111" s="74">
        <v>3412.56</v>
      </c>
      <c r="F111" s="75">
        <v>252</v>
      </c>
      <c r="G111" s="75">
        <v>3073.49</v>
      </c>
      <c r="H111" s="75">
        <f>252+6675</f>
        <v>6927</v>
      </c>
      <c r="I111" s="75">
        <v>2000</v>
      </c>
      <c r="J111" s="75">
        <f>25318+1935</f>
        <v>27253</v>
      </c>
      <c r="K111" s="75"/>
      <c r="L111" s="75"/>
      <c r="M111" s="75">
        <f t="shared" si="56"/>
        <v>36180</v>
      </c>
      <c r="N111" s="75">
        <v>20655</v>
      </c>
      <c r="O111" s="76">
        <f t="shared" si="57"/>
        <v>0.57089552238805974</v>
      </c>
      <c r="P111" s="75">
        <v>36180</v>
      </c>
      <c r="Q111" s="76">
        <f t="shared" si="58"/>
        <v>1</v>
      </c>
      <c r="R111" s="75">
        <v>36180</v>
      </c>
      <c r="S111" s="76">
        <f t="shared" si="59"/>
        <v>1</v>
      </c>
      <c r="T111" s="75">
        <v>36480.720000000001</v>
      </c>
      <c r="U111" s="76">
        <f t="shared" si="60"/>
        <v>1.0083117744610282</v>
      </c>
      <c r="V111" s="74">
        <v>252</v>
      </c>
      <c r="W111" s="74">
        <f t="shared" si="63"/>
        <v>252</v>
      </c>
    </row>
    <row r="112" spans="1:23" ht="13.9" hidden="1" customHeight="1" x14ac:dyDescent="0.25">
      <c r="A112" s="10"/>
      <c r="B112" s="22">
        <v>322001</v>
      </c>
      <c r="C112" s="22" t="s">
        <v>97</v>
      </c>
      <c r="D112" s="74">
        <v>282834</v>
      </c>
      <c r="E112" s="74">
        <v>498788.85</v>
      </c>
      <c r="F112" s="75">
        <v>0</v>
      </c>
      <c r="G112" s="75">
        <v>0</v>
      </c>
      <c r="H112" s="75">
        <v>0</v>
      </c>
      <c r="I112" s="75"/>
      <c r="J112" s="75"/>
      <c r="K112" s="75"/>
      <c r="L112" s="75"/>
      <c r="M112" s="75">
        <f t="shared" si="56"/>
        <v>0</v>
      </c>
      <c r="N112" s="75">
        <v>0</v>
      </c>
      <c r="O112" s="76" t="e">
        <f t="shared" si="57"/>
        <v>#DIV/0!</v>
      </c>
      <c r="P112" s="75">
        <v>0</v>
      </c>
      <c r="Q112" s="76" t="e">
        <f t="shared" si="58"/>
        <v>#DIV/0!</v>
      </c>
      <c r="R112" s="75"/>
      <c r="S112" s="76" t="e">
        <f t="shared" si="59"/>
        <v>#DIV/0!</v>
      </c>
      <c r="T112" s="75"/>
      <c r="U112" s="76" t="e">
        <f t="shared" si="60"/>
        <v>#DIV/0!</v>
      </c>
      <c r="V112" s="74">
        <f>H112</f>
        <v>0</v>
      </c>
      <c r="W112" s="74">
        <f t="shared" si="63"/>
        <v>0</v>
      </c>
    </row>
    <row r="113" spans="1:23" ht="13.9" hidden="1" customHeight="1" x14ac:dyDescent="0.25">
      <c r="A113" s="10"/>
      <c r="B113" s="22">
        <v>322001</v>
      </c>
      <c r="C113" s="22" t="s">
        <v>98</v>
      </c>
      <c r="D113" s="74"/>
      <c r="E113" s="74">
        <v>338951.81</v>
      </c>
      <c r="F113" s="75">
        <v>0</v>
      </c>
      <c r="G113" s="75">
        <v>0</v>
      </c>
      <c r="H113" s="75">
        <v>0</v>
      </c>
      <c r="I113" s="75"/>
      <c r="J113" s="75"/>
      <c r="K113" s="75"/>
      <c r="L113" s="75"/>
      <c r="M113" s="75">
        <f t="shared" si="56"/>
        <v>0</v>
      </c>
      <c r="N113" s="75">
        <v>0</v>
      </c>
      <c r="O113" s="76" t="e">
        <f t="shared" si="57"/>
        <v>#DIV/0!</v>
      </c>
      <c r="P113" s="75">
        <v>0</v>
      </c>
      <c r="Q113" s="76" t="e">
        <f t="shared" si="58"/>
        <v>#DIV/0!</v>
      </c>
      <c r="R113" s="75"/>
      <c r="S113" s="76" t="e">
        <f t="shared" si="59"/>
        <v>#DIV/0!</v>
      </c>
      <c r="T113" s="75"/>
      <c r="U113" s="76" t="e">
        <f t="shared" si="60"/>
        <v>#DIV/0!</v>
      </c>
      <c r="V113" s="74">
        <f>H113</f>
        <v>0</v>
      </c>
      <c r="W113" s="74">
        <f t="shared" si="63"/>
        <v>0</v>
      </c>
    </row>
    <row r="114" spans="1:23" ht="13.9" hidden="1" customHeight="1" x14ac:dyDescent="0.25">
      <c r="A114" s="10"/>
      <c r="B114" s="22">
        <v>322001</v>
      </c>
      <c r="C114" s="22" t="s">
        <v>99</v>
      </c>
      <c r="D114" s="74">
        <v>249669.78</v>
      </c>
      <c r="E114" s="74"/>
      <c r="F114" s="75">
        <v>0</v>
      </c>
      <c r="G114" s="75">
        <v>0</v>
      </c>
      <c r="H114" s="75">
        <v>0</v>
      </c>
      <c r="I114" s="75"/>
      <c r="J114" s="75"/>
      <c r="K114" s="75"/>
      <c r="L114" s="75"/>
      <c r="M114" s="75">
        <f t="shared" si="56"/>
        <v>0</v>
      </c>
      <c r="N114" s="75">
        <v>0</v>
      </c>
      <c r="O114" s="76" t="e">
        <f t="shared" si="57"/>
        <v>#DIV/0!</v>
      </c>
      <c r="P114" s="75">
        <v>0</v>
      </c>
      <c r="Q114" s="76" t="e">
        <f t="shared" si="58"/>
        <v>#DIV/0!</v>
      </c>
      <c r="R114" s="75"/>
      <c r="S114" s="76" t="e">
        <f t="shared" si="59"/>
        <v>#DIV/0!</v>
      </c>
      <c r="T114" s="75"/>
      <c r="U114" s="76" t="e">
        <f t="shared" si="60"/>
        <v>#DIV/0!</v>
      </c>
      <c r="V114" s="74">
        <f>H114</f>
        <v>0</v>
      </c>
      <c r="W114" s="74">
        <f t="shared" si="63"/>
        <v>0</v>
      </c>
    </row>
    <row r="115" spans="1:23" ht="13.9" hidden="1" customHeight="1" x14ac:dyDescent="0.25">
      <c r="A115" s="10"/>
      <c r="B115" s="22">
        <v>322001</v>
      </c>
      <c r="C115" s="22" t="s">
        <v>100</v>
      </c>
      <c r="D115" s="74"/>
      <c r="E115" s="74">
        <v>137657.39000000001</v>
      </c>
      <c r="F115" s="75">
        <v>0</v>
      </c>
      <c r="G115" s="75">
        <v>0</v>
      </c>
      <c r="H115" s="75">
        <v>0</v>
      </c>
      <c r="I115" s="75"/>
      <c r="J115" s="75"/>
      <c r="K115" s="75"/>
      <c r="L115" s="75"/>
      <c r="M115" s="75">
        <f t="shared" si="56"/>
        <v>0</v>
      </c>
      <c r="N115" s="75">
        <v>0</v>
      </c>
      <c r="O115" s="76" t="e">
        <f t="shared" si="57"/>
        <v>#DIV/0!</v>
      </c>
      <c r="P115" s="75">
        <v>0</v>
      </c>
      <c r="Q115" s="76" t="e">
        <f t="shared" si="58"/>
        <v>#DIV/0!</v>
      </c>
      <c r="R115" s="75"/>
      <c r="S115" s="76" t="e">
        <f t="shared" si="59"/>
        <v>#DIV/0!</v>
      </c>
      <c r="T115" s="75"/>
      <c r="U115" s="76" t="e">
        <f t="shared" si="60"/>
        <v>#DIV/0!</v>
      </c>
      <c r="V115" s="74">
        <f>H115</f>
        <v>0</v>
      </c>
      <c r="W115" s="74">
        <f t="shared" si="63"/>
        <v>0</v>
      </c>
    </row>
    <row r="116" spans="1:23" ht="13.9" hidden="1" customHeight="1" x14ac:dyDescent="0.25">
      <c r="A116" s="10"/>
      <c r="B116" s="22">
        <v>322001</v>
      </c>
      <c r="C116" s="22" t="s">
        <v>101</v>
      </c>
      <c r="D116" s="74">
        <v>30000</v>
      </c>
      <c r="E116" s="74"/>
      <c r="F116" s="75">
        <v>0</v>
      </c>
      <c r="G116" s="75">
        <v>0</v>
      </c>
      <c r="H116" s="75">
        <v>0</v>
      </c>
      <c r="I116" s="75"/>
      <c r="J116" s="75"/>
      <c r="K116" s="75"/>
      <c r="L116" s="75"/>
      <c r="M116" s="75">
        <f t="shared" si="56"/>
        <v>0</v>
      </c>
      <c r="N116" s="75">
        <v>0</v>
      </c>
      <c r="O116" s="76" t="e">
        <f t="shared" si="57"/>
        <v>#DIV/0!</v>
      </c>
      <c r="P116" s="75">
        <v>0</v>
      </c>
      <c r="Q116" s="76" t="e">
        <f t="shared" si="58"/>
        <v>#DIV/0!</v>
      </c>
      <c r="R116" s="75"/>
      <c r="S116" s="76" t="e">
        <f t="shared" si="59"/>
        <v>#DIV/0!</v>
      </c>
      <c r="T116" s="75"/>
      <c r="U116" s="76" t="e">
        <f t="shared" si="60"/>
        <v>#DIV/0!</v>
      </c>
      <c r="V116" s="74">
        <f>H116</f>
        <v>0</v>
      </c>
      <c r="W116" s="74">
        <f t="shared" si="63"/>
        <v>0</v>
      </c>
    </row>
    <row r="117" spans="1:23" ht="13.9" customHeight="1" x14ac:dyDescent="0.25">
      <c r="A117" s="10"/>
      <c r="B117" s="22">
        <v>322001</v>
      </c>
      <c r="C117" s="22" t="s">
        <v>102</v>
      </c>
      <c r="D117" s="74"/>
      <c r="E117" s="74"/>
      <c r="F117" s="75">
        <v>200000</v>
      </c>
      <c r="G117" s="75">
        <v>0</v>
      </c>
      <c r="H117" s="75">
        <v>200000</v>
      </c>
      <c r="I117" s="75"/>
      <c r="J117" s="75"/>
      <c r="K117" s="75"/>
      <c r="L117" s="75">
        <v>-200000</v>
      </c>
      <c r="M117" s="75">
        <f t="shared" si="56"/>
        <v>0</v>
      </c>
      <c r="N117" s="75">
        <v>0</v>
      </c>
      <c r="O117" s="24">
        <f>IFERROR(N117/$M117,0)</f>
        <v>0</v>
      </c>
      <c r="P117" s="75">
        <v>0</v>
      </c>
      <c r="Q117" s="24">
        <f>IFERROR(P117/$M117,0)</f>
        <v>0</v>
      </c>
      <c r="R117" s="75">
        <v>0</v>
      </c>
      <c r="S117" s="24">
        <f>IFERROR(R117/$M117,0)</f>
        <v>0</v>
      </c>
      <c r="T117" s="75">
        <v>0</v>
      </c>
      <c r="U117" s="24">
        <f>IFERROR(T117/$M117,0)</f>
        <v>0</v>
      </c>
      <c r="V117" s="74">
        <v>0</v>
      </c>
      <c r="W117" s="74">
        <v>0</v>
      </c>
    </row>
    <row r="118" spans="1:23" ht="13.9" customHeight="1" x14ac:dyDescent="0.25">
      <c r="A118" s="10"/>
      <c r="B118" s="22">
        <v>322001</v>
      </c>
      <c r="C118" s="22" t="s">
        <v>103</v>
      </c>
      <c r="D118" s="74"/>
      <c r="E118" s="74"/>
      <c r="F118" s="74">
        <v>130000</v>
      </c>
      <c r="G118" s="74">
        <v>0</v>
      </c>
      <c r="H118" s="74">
        <v>131000</v>
      </c>
      <c r="I118" s="74"/>
      <c r="J118" s="74"/>
      <c r="K118" s="74"/>
      <c r="L118" s="74">
        <v>-31000</v>
      </c>
      <c r="M118" s="74">
        <f t="shared" si="56"/>
        <v>100000</v>
      </c>
      <c r="N118" s="74">
        <v>0</v>
      </c>
      <c r="O118" s="77">
        <f>N118/$M118</f>
        <v>0</v>
      </c>
      <c r="P118" s="74">
        <v>0</v>
      </c>
      <c r="Q118" s="77">
        <f>P118/$M118</f>
        <v>0</v>
      </c>
      <c r="R118" s="74">
        <v>0</v>
      </c>
      <c r="S118" s="77">
        <f>R118/$M118</f>
        <v>0</v>
      </c>
      <c r="T118" s="74">
        <v>100000</v>
      </c>
      <c r="U118" s="77">
        <f>T118/$M118</f>
        <v>1</v>
      </c>
      <c r="V118" s="74">
        <v>0</v>
      </c>
      <c r="W118" s="74">
        <v>0</v>
      </c>
    </row>
    <row r="119" spans="1:23" ht="13.9" customHeight="1" x14ac:dyDescent="0.25">
      <c r="A119" s="10"/>
      <c r="B119" s="22">
        <v>322001</v>
      </c>
      <c r="C119" s="22" t="s">
        <v>104</v>
      </c>
      <c r="D119" s="74"/>
      <c r="E119" s="74"/>
      <c r="F119" s="74">
        <v>0</v>
      </c>
      <c r="G119" s="74">
        <v>0</v>
      </c>
      <c r="H119" s="74">
        <v>170000</v>
      </c>
      <c r="I119" s="74"/>
      <c r="J119" s="74"/>
      <c r="K119" s="74"/>
      <c r="L119" s="74">
        <v>-170000</v>
      </c>
      <c r="M119" s="74">
        <f t="shared" si="56"/>
        <v>0</v>
      </c>
      <c r="N119" s="74">
        <v>0</v>
      </c>
      <c r="O119" s="24">
        <f>IFERROR(N119/$M119,0)</f>
        <v>0</v>
      </c>
      <c r="P119" s="74">
        <v>0</v>
      </c>
      <c r="Q119" s="24">
        <f>IFERROR(P119/$M119,0)</f>
        <v>0</v>
      </c>
      <c r="R119" s="74">
        <v>0</v>
      </c>
      <c r="S119" s="24">
        <f>IFERROR(R119/$M119,0)</f>
        <v>0</v>
      </c>
      <c r="T119" s="74">
        <v>0</v>
      </c>
      <c r="U119" s="24">
        <f>IFERROR(T119/$M119,0)</f>
        <v>0</v>
      </c>
      <c r="V119" s="74">
        <v>0</v>
      </c>
      <c r="W119" s="74">
        <v>0</v>
      </c>
    </row>
    <row r="120" spans="1:23" ht="13.9" hidden="1" customHeight="1" x14ac:dyDescent="0.25">
      <c r="A120" s="10"/>
      <c r="B120" s="22">
        <v>331001</v>
      </c>
      <c r="C120" s="22" t="s">
        <v>105</v>
      </c>
      <c r="D120" s="74">
        <v>5144</v>
      </c>
      <c r="E120" s="74">
        <v>1286</v>
      </c>
      <c r="F120" s="75">
        <v>0</v>
      </c>
      <c r="G120" s="75">
        <v>0</v>
      </c>
      <c r="H120" s="75">
        <v>0</v>
      </c>
      <c r="I120" s="75"/>
      <c r="J120" s="75"/>
      <c r="K120" s="75"/>
      <c r="L120" s="75"/>
      <c r="M120" s="75">
        <f t="shared" si="56"/>
        <v>0</v>
      </c>
      <c r="N120" s="75">
        <v>0</v>
      </c>
      <c r="O120" s="76" t="e">
        <f t="shared" ref="O120:O126" si="64">N120/$M120</f>
        <v>#DIV/0!</v>
      </c>
      <c r="P120" s="75">
        <v>0</v>
      </c>
      <c r="Q120" s="76" t="e">
        <f t="shared" ref="Q120:Q126" si="65">P120/$M120</f>
        <v>#DIV/0!</v>
      </c>
      <c r="R120" s="75"/>
      <c r="S120" s="76" t="e">
        <f t="shared" ref="S120:S126" si="66">R120/$M120</f>
        <v>#DIV/0!</v>
      </c>
      <c r="T120" s="75"/>
      <c r="U120" s="76" t="e">
        <f t="shared" ref="U120:U126" si="67">T120/$M120</f>
        <v>#DIV/0!</v>
      </c>
      <c r="V120" s="74">
        <v>0</v>
      </c>
      <c r="W120" s="74">
        <f>V120</f>
        <v>0</v>
      </c>
    </row>
    <row r="121" spans="1:23" ht="13.9" customHeight="1" x14ac:dyDescent="0.25">
      <c r="A121" s="78" t="s">
        <v>106</v>
      </c>
      <c r="B121" s="25">
        <v>111</v>
      </c>
      <c r="C121" s="25" t="s">
        <v>22</v>
      </c>
      <c r="D121" s="26">
        <f t="shared" ref="D121:N121" si="68">SUM(D87:D120)</f>
        <v>1081145.6200000001</v>
      </c>
      <c r="E121" s="26">
        <f t="shared" si="68"/>
        <v>1593522.9</v>
      </c>
      <c r="F121" s="26">
        <f t="shared" si="68"/>
        <v>980789</v>
      </c>
      <c r="G121" s="26">
        <f t="shared" si="68"/>
        <v>712245.14</v>
      </c>
      <c r="H121" s="26">
        <f t="shared" si="68"/>
        <v>1163658</v>
      </c>
      <c r="I121" s="26">
        <f t="shared" si="68"/>
        <v>2000</v>
      </c>
      <c r="J121" s="26">
        <f t="shared" si="68"/>
        <v>28440</v>
      </c>
      <c r="K121" s="26">
        <f t="shared" si="68"/>
        <v>2892</v>
      </c>
      <c r="L121" s="26">
        <f t="shared" si="68"/>
        <v>-398001</v>
      </c>
      <c r="M121" s="26">
        <f t="shared" si="68"/>
        <v>798989</v>
      </c>
      <c r="N121" s="26">
        <f t="shared" si="68"/>
        <v>230975.38999999998</v>
      </c>
      <c r="O121" s="27">
        <f t="shared" si="64"/>
        <v>0.2890845681229654</v>
      </c>
      <c r="P121" s="26">
        <f>SUM(P87:P120)</f>
        <v>402610.98</v>
      </c>
      <c r="Q121" s="27">
        <f t="shared" si="65"/>
        <v>0.50390052929389517</v>
      </c>
      <c r="R121" s="26">
        <f>SUM(R87:R120)</f>
        <v>556131.53</v>
      </c>
      <c r="S121" s="27">
        <f t="shared" si="66"/>
        <v>0.69604403815321614</v>
      </c>
      <c r="T121" s="26">
        <f>SUM(T87:T120)</f>
        <v>858683.59</v>
      </c>
      <c r="U121" s="27">
        <f t="shared" si="67"/>
        <v>1.0747126556185378</v>
      </c>
      <c r="V121" s="26">
        <f>SUM(V87:V120)</f>
        <v>654618</v>
      </c>
      <c r="W121" s="26">
        <f>SUM(W87:W120)</f>
        <v>650218</v>
      </c>
    </row>
    <row r="122" spans="1:23" ht="13.9" customHeight="1" x14ac:dyDescent="0.25">
      <c r="A122" s="79" t="s">
        <v>49</v>
      </c>
      <c r="B122" s="22">
        <v>311</v>
      </c>
      <c r="C122" s="22" t="s">
        <v>107</v>
      </c>
      <c r="D122" s="74">
        <v>1400</v>
      </c>
      <c r="E122" s="74">
        <v>1400</v>
      </c>
      <c r="F122" s="75">
        <v>1400</v>
      </c>
      <c r="G122" s="75">
        <v>1400</v>
      </c>
      <c r="H122" s="75">
        <v>3000</v>
      </c>
      <c r="I122" s="75"/>
      <c r="J122" s="75"/>
      <c r="K122" s="75"/>
      <c r="L122" s="75"/>
      <c r="M122" s="75">
        <f>H122+SUM(I122:L122)</f>
        <v>3000</v>
      </c>
      <c r="N122" s="75">
        <v>0</v>
      </c>
      <c r="O122" s="76">
        <f t="shared" si="64"/>
        <v>0</v>
      </c>
      <c r="P122" s="75">
        <v>3000</v>
      </c>
      <c r="Q122" s="76">
        <f t="shared" si="65"/>
        <v>1</v>
      </c>
      <c r="R122" s="75">
        <v>3000</v>
      </c>
      <c r="S122" s="76">
        <f t="shared" si="66"/>
        <v>1</v>
      </c>
      <c r="T122" s="75">
        <v>3000</v>
      </c>
      <c r="U122" s="76">
        <f t="shared" si="67"/>
        <v>1</v>
      </c>
      <c r="V122" s="74">
        <f>H122</f>
        <v>3000</v>
      </c>
      <c r="W122" s="74">
        <f>V122</f>
        <v>3000</v>
      </c>
    </row>
    <row r="123" spans="1:23" ht="13.9" customHeight="1" x14ac:dyDescent="0.25">
      <c r="A123" s="78" t="s">
        <v>106</v>
      </c>
      <c r="B123" s="25">
        <v>71</v>
      </c>
      <c r="C123" s="25" t="s">
        <v>24</v>
      </c>
      <c r="D123" s="26">
        <f t="shared" ref="D123:N123" si="69">SUM(D122:D122)</f>
        <v>1400</v>
      </c>
      <c r="E123" s="26">
        <f t="shared" si="69"/>
        <v>1400</v>
      </c>
      <c r="F123" s="26">
        <f t="shared" si="69"/>
        <v>1400</v>
      </c>
      <c r="G123" s="26">
        <f t="shared" si="69"/>
        <v>1400</v>
      </c>
      <c r="H123" s="26">
        <f t="shared" si="69"/>
        <v>3000</v>
      </c>
      <c r="I123" s="26">
        <f t="shared" si="69"/>
        <v>0</v>
      </c>
      <c r="J123" s="26">
        <f t="shared" si="69"/>
        <v>0</v>
      </c>
      <c r="K123" s="26">
        <f t="shared" si="69"/>
        <v>0</v>
      </c>
      <c r="L123" s="26">
        <f t="shared" si="69"/>
        <v>0</v>
      </c>
      <c r="M123" s="26">
        <f t="shared" si="69"/>
        <v>3000</v>
      </c>
      <c r="N123" s="26">
        <f t="shared" si="69"/>
        <v>0</v>
      </c>
      <c r="O123" s="27">
        <f t="shared" si="64"/>
        <v>0</v>
      </c>
      <c r="P123" s="26">
        <f>SUM(P122:P122)</f>
        <v>3000</v>
      </c>
      <c r="Q123" s="27">
        <f t="shared" si="65"/>
        <v>1</v>
      </c>
      <c r="R123" s="26">
        <f>SUM(R122:R122)</f>
        <v>3000</v>
      </c>
      <c r="S123" s="27">
        <f t="shared" si="66"/>
        <v>1</v>
      </c>
      <c r="T123" s="26">
        <f>SUM(T122:T122)</f>
        <v>3000</v>
      </c>
      <c r="U123" s="27">
        <f t="shared" si="67"/>
        <v>1</v>
      </c>
      <c r="V123" s="26">
        <f>SUM(V122:V122)</f>
        <v>3000</v>
      </c>
      <c r="W123" s="26">
        <f>SUM(W122:W122)</f>
        <v>3000</v>
      </c>
    </row>
    <row r="124" spans="1:23" ht="13.9" customHeight="1" x14ac:dyDescent="0.25">
      <c r="A124" s="10" t="s">
        <v>49</v>
      </c>
      <c r="B124" s="22">
        <v>311</v>
      </c>
      <c r="C124" s="22" t="s">
        <v>107</v>
      </c>
      <c r="D124" s="74">
        <v>652.21</v>
      </c>
      <c r="E124" s="74">
        <v>1797.91</v>
      </c>
      <c r="F124" s="75">
        <v>795</v>
      </c>
      <c r="G124" s="75">
        <v>62.6</v>
      </c>
      <c r="H124" s="75">
        <v>763</v>
      </c>
      <c r="I124" s="75"/>
      <c r="J124" s="75">
        <v>15</v>
      </c>
      <c r="K124" s="75"/>
      <c r="L124" s="75"/>
      <c r="M124" s="75">
        <f>H124+SUM(I124:L124)</f>
        <v>778</v>
      </c>
      <c r="N124" s="75">
        <v>10.58</v>
      </c>
      <c r="O124" s="76">
        <f t="shared" si="64"/>
        <v>1.3598971722365039E-2</v>
      </c>
      <c r="P124" s="75">
        <v>455.43</v>
      </c>
      <c r="Q124" s="76">
        <f t="shared" si="65"/>
        <v>0.58538560411311058</v>
      </c>
      <c r="R124" s="75">
        <v>455.43</v>
      </c>
      <c r="S124" s="76">
        <f t="shared" si="66"/>
        <v>0.58538560411311058</v>
      </c>
      <c r="T124" s="75">
        <v>455.43</v>
      </c>
      <c r="U124" s="76">
        <f t="shared" si="67"/>
        <v>0.58538560411311058</v>
      </c>
      <c r="V124" s="74">
        <f>H124</f>
        <v>763</v>
      </c>
      <c r="W124" s="74">
        <f>V124</f>
        <v>763</v>
      </c>
    </row>
    <row r="125" spans="1:23" ht="13.9" customHeight="1" x14ac:dyDescent="0.25">
      <c r="A125" s="10"/>
      <c r="B125" s="22">
        <v>311</v>
      </c>
      <c r="C125" s="22" t="s">
        <v>108</v>
      </c>
      <c r="D125" s="74">
        <v>5883.01</v>
      </c>
      <c r="E125" s="74">
        <v>3909.49</v>
      </c>
      <c r="F125" s="75">
        <v>6600</v>
      </c>
      <c r="G125" s="75">
        <v>5368.06</v>
      </c>
      <c r="H125" s="75">
        <v>4185</v>
      </c>
      <c r="I125" s="75"/>
      <c r="J125" s="75"/>
      <c r="K125" s="75"/>
      <c r="L125" s="75"/>
      <c r="M125" s="75">
        <f>H125+SUM(I125:L125)</f>
        <v>4185</v>
      </c>
      <c r="N125" s="75">
        <v>16.989999999999998</v>
      </c>
      <c r="O125" s="76">
        <f t="shared" si="64"/>
        <v>4.0597371565113498E-3</v>
      </c>
      <c r="P125" s="75">
        <v>2146.86</v>
      </c>
      <c r="Q125" s="76">
        <f t="shared" si="65"/>
        <v>0.51298924731182793</v>
      </c>
      <c r="R125" s="75">
        <v>2146.86</v>
      </c>
      <c r="S125" s="76">
        <f t="shared" si="66"/>
        <v>0.51298924731182793</v>
      </c>
      <c r="T125" s="75">
        <f>2146.86+2888.82</f>
        <v>5035.68</v>
      </c>
      <c r="U125" s="76">
        <f t="shared" si="67"/>
        <v>1.2032688172043011</v>
      </c>
      <c r="V125" s="74">
        <f>H125</f>
        <v>4185</v>
      </c>
      <c r="W125" s="74">
        <f>V125</f>
        <v>4185</v>
      </c>
    </row>
    <row r="126" spans="1:23" ht="13.9" customHeight="1" x14ac:dyDescent="0.25">
      <c r="A126" s="78" t="s">
        <v>106</v>
      </c>
      <c r="B126" s="25">
        <v>72</v>
      </c>
      <c r="C126" s="25" t="s">
        <v>25</v>
      </c>
      <c r="D126" s="26">
        <f t="shared" ref="D126:N126" si="70">SUM(D124:D125)</f>
        <v>6535.22</v>
      </c>
      <c r="E126" s="26">
        <f t="shared" si="70"/>
        <v>5707.4</v>
      </c>
      <c r="F126" s="26">
        <f t="shared" si="70"/>
        <v>7395</v>
      </c>
      <c r="G126" s="26">
        <f t="shared" si="70"/>
        <v>5430.6600000000008</v>
      </c>
      <c r="H126" s="26">
        <f t="shared" si="70"/>
        <v>4948</v>
      </c>
      <c r="I126" s="26">
        <f t="shared" si="70"/>
        <v>0</v>
      </c>
      <c r="J126" s="26">
        <f t="shared" si="70"/>
        <v>15</v>
      </c>
      <c r="K126" s="26">
        <f t="shared" si="70"/>
        <v>0</v>
      </c>
      <c r="L126" s="26">
        <f t="shared" si="70"/>
        <v>0</v>
      </c>
      <c r="M126" s="26">
        <f t="shared" si="70"/>
        <v>4963</v>
      </c>
      <c r="N126" s="26">
        <f t="shared" si="70"/>
        <v>27.57</v>
      </c>
      <c r="O126" s="27">
        <f t="shared" si="64"/>
        <v>5.5551077977030018E-3</v>
      </c>
      <c r="P126" s="26">
        <f>SUM(P124:P125)</f>
        <v>2602.29</v>
      </c>
      <c r="Q126" s="27">
        <f t="shared" si="65"/>
        <v>0.52433810195446307</v>
      </c>
      <c r="R126" s="26">
        <f>SUM(R124:R125)</f>
        <v>2602.29</v>
      </c>
      <c r="S126" s="27">
        <f t="shared" si="66"/>
        <v>0.52433810195446307</v>
      </c>
      <c r="T126" s="26">
        <f>SUM(T124:T125)</f>
        <v>5491.1100000000006</v>
      </c>
      <c r="U126" s="27">
        <f t="shared" si="67"/>
        <v>1.1064094297803748</v>
      </c>
      <c r="V126" s="26">
        <f>SUM(V124:V125)</f>
        <v>4948</v>
      </c>
      <c r="W126" s="26">
        <f>SUM(W124:W125)</f>
        <v>4948</v>
      </c>
    </row>
    <row r="128" spans="1:23" ht="13.9" customHeight="1" x14ac:dyDescent="0.25">
      <c r="A128" s="31" t="s">
        <v>109</v>
      </c>
      <c r="B128" s="31"/>
      <c r="C128" s="31"/>
      <c r="D128" s="31"/>
      <c r="E128" s="31"/>
      <c r="F128" s="31"/>
      <c r="G128" s="31"/>
      <c r="H128" s="31"/>
      <c r="I128" s="31"/>
      <c r="J128" s="31"/>
      <c r="K128" s="31"/>
      <c r="L128" s="31"/>
      <c r="M128" s="31"/>
      <c r="N128" s="31"/>
      <c r="O128" s="32"/>
      <c r="P128" s="31"/>
      <c r="Q128" s="31"/>
      <c r="R128" s="31"/>
      <c r="S128" s="31"/>
      <c r="T128" s="31"/>
      <c r="U128" s="31"/>
      <c r="V128" s="31"/>
      <c r="W128" s="31"/>
    </row>
    <row r="129" spans="1:23" ht="13.9" customHeight="1" x14ac:dyDescent="0.25">
      <c r="A129" s="19"/>
      <c r="B129" s="19"/>
      <c r="C129" s="19"/>
      <c r="D129" s="20" t="s">
        <v>1</v>
      </c>
      <c r="E129" s="20" t="s">
        <v>2</v>
      </c>
      <c r="F129" s="20" t="s">
        <v>3</v>
      </c>
      <c r="G129" s="20" t="s">
        <v>4</v>
      </c>
      <c r="H129" s="20" t="s">
        <v>5</v>
      </c>
      <c r="I129" s="20" t="s">
        <v>6</v>
      </c>
      <c r="J129" s="20" t="s">
        <v>7</v>
      </c>
      <c r="K129" s="20" t="s">
        <v>8</v>
      </c>
      <c r="L129" s="20" t="s">
        <v>9</v>
      </c>
      <c r="M129" s="20" t="s">
        <v>10</v>
      </c>
      <c r="N129" s="20" t="s">
        <v>11</v>
      </c>
      <c r="O129" s="21" t="s">
        <v>12</v>
      </c>
      <c r="P129" s="20" t="s">
        <v>13</v>
      </c>
      <c r="Q129" s="21" t="s">
        <v>14</v>
      </c>
      <c r="R129" s="20" t="s">
        <v>15</v>
      </c>
      <c r="S129" s="21" t="s">
        <v>16</v>
      </c>
      <c r="T129" s="20" t="s">
        <v>17</v>
      </c>
      <c r="U129" s="21" t="s">
        <v>18</v>
      </c>
      <c r="V129" s="20" t="s">
        <v>19</v>
      </c>
      <c r="W129" s="20" t="s">
        <v>20</v>
      </c>
    </row>
    <row r="130" spans="1:23" ht="13.9" customHeight="1" x14ac:dyDescent="0.25">
      <c r="A130" s="11" t="s">
        <v>21</v>
      </c>
      <c r="B130" s="34">
        <v>131</v>
      </c>
      <c r="C130" s="34" t="s">
        <v>47</v>
      </c>
      <c r="D130" s="35">
        <f t="shared" ref="D130:N130" si="71">D137+D141</f>
        <v>116750.27</v>
      </c>
      <c r="E130" s="35">
        <f t="shared" si="71"/>
        <v>3137.87</v>
      </c>
      <c r="F130" s="35">
        <f t="shared" si="71"/>
        <v>0</v>
      </c>
      <c r="G130" s="35">
        <f t="shared" si="71"/>
        <v>14889.34</v>
      </c>
      <c r="H130" s="35">
        <f t="shared" si="71"/>
        <v>34161</v>
      </c>
      <c r="I130" s="35">
        <f t="shared" si="71"/>
        <v>0</v>
      </c>
      <c r="J130" s="35">
        <f t="shared" si="71"/>
        <v>0</v>
      </c>
      <c r="K130" s="35">
        <f t="shared" si="71"/>
        <v>0</v>
      </c>
      <c r="L130" s="35">
        <f t="shared" si="71"/>
        <v>0</v>
      </c>
      <c r="M130" s="35">
        <f t="shared" si="71"/>
        <v>34161</v>
      </c>
      <c r="N130" s="35">
        <f t="shared" si="71"/>
        <v>34161.160000000003</v>
      </c>
      <c r="O130" s="36">
        <f>N130/$M130</f>
        <v>1.0000046837036387</v>
      </c>
      <c r="P130" s="35">
        <f>P137+P141</f>
        <v>34161.160000000003</v>
      </c>
      <c r="Q130" s="36">
        <f>P130/$M130</f>
        <v>1.0000046837036387</v>
      </c>
      <c r="R130" s="35">
        <f>R137+R141</f>
        <v>34161.160000000003</v>
      </c>
      <c r="S130" s="36">
        <f>R130/$M130</f>
        <v>1.0000046837036387</v>
      </c>
      <c r="T130" s="35">
        <f>T137+T141</f>
        <v>34161.160000000003</v>
      </c>
      <c r="U130" s="36">
        <f>T130/$M130</f>
        <v>1.0000046837036387</v>
      </c>
      <c r="V130" s="35">
        <f>V137+V141</f>
        <v>0</v>
      </c>
      <c r="W130" s="35">
        <f>W137+W141</f>
        <v>0</v>
      </c>
    </row>
    <row r="131" spans="1:23" ht="13.9" customHeight="1" x14ac:dyDescent="0.25">
      <c r="A131" s="11"/>
      <c r="B131" s="34">
        <v>41</v>
      </c>
      <c r="C131" s="34" t="s">
        <v>23</v>
      </c>
      <c r="D131" s="35">
        <f t="shared" ref="D131:N131" si="72">D138+D139</f>
        <v>335003</v>
      </c>
      <c r="E131" s="35">
        <f t="shared" si="72"/>
        <v>170790.2</v>
      </c>
      <c r="F131" s="35">
        <f t="shared" si="72"/>
        <v>410336</v>
      </c>
      <c r="G131" s="35">
        <f t="shared" si="72"/>
        <v>361389.5</v>
      </c>
      <c r="H131" s="35">
        <f t="shared" si="72"/>
        <v>762580</v>
      </c>
      <c r="I131" s="35">
        <f t="shared" si="72"/>
        <v>0</v>
      </c>
      <c r="J131" s="35">
        <f t="shared" si="72"/>
        <v>-3760</v>
      </c>
      <c r="K131" s="35">
        <f t="shared" si="72"/>
        <v>1136</v>
      </c>
      <c r="L131" s="35">
        <f t="shared" si="72"/>
        <v>0</v>
      </c>
      <c r="M131" s="35">
        <f t="shared" si="72"/>
        <v>759956</v>
      </c>
      <c r="N131" s="35">
        <f t="shared" si="72"/>
        <v>762581.55</v>
      </c>
      <c r="O131" s="36">
        <f>N131/$M131</f>
        <v>1.0034548710714832</v>
      </c>
      <c r="P131" s="35">
        <f>P138+P139</f>
        <v>759956.16999999993</v>
      </c>
      <c r="Q131" s="36">
        <f>P131/$M131</f>
        <v>1.0000002236971612</v>
      </c>
      <c r="R131" s="35">
        <f>R138+R139</f>
        <v>759956.16999999993</v>
      </c>
      <c r="S131" s="36">
        <f>R131/$M131</f>
        <v>1.0000002236971612</v>
      </c>
      <c r="T131" s="35">
        <f>T138+T139</f>
        <v>759956.16999999993</v>
      </c>
      <c r="U131" s="36">
        <f>T131/$M131</f>
        <v>1.0000002236971612</v>
      </c>
      <c r="V131" s="35">
        <f>V138+V139</f>
        <v>0</v>
      </c>
      <c r="W131" s="35">
        <f>W138+W139</f>
        <v>0</v>
      </c>
    </row>
    <row r="132" spans="1:23" ht="13.9" customHeight="1" x14ac:dyDescent="0.25">
      <c r="A132" s="11"/>
      <c r="B132" s="34">
        <v>52</v>
      </c>
      <c r="C132" s="34" t="s">
        <v>28</v>
      </c>
      <c r="D132" s="35">
        <v>0</v>
      </c>
      <c r="E132" s="35">
        <v>0</v>
      </c>
      <c r="F132" s="35">
        <v>0</v>
      </c>
      <c r="G132" s="35">
        <v>0</v>
      </c>
      <c r="H132" s="35">
        <v>0</v>
      </c>
      <c r="I132" s="35">
        <v>0</v>
      </c>
      <c r="J132" s="35">
        <v>0</v>
      </c>
      <c r="K132" s="35">
        <v>0</v>
      </c>
      <c r="L132" s="35">
        <v>0</v>
      </c>
      <c r="M132" s="35">
        <v>0</v>
      </c>
      <c r="N132" s="35">
        <v>0</v>
      </c>
      <c r="O132" s="36">
        <f>IFERROR(N132/$M132,0)</f>
        <v>0</v>
      </c>
      <c r="P132" s="35">
        <v>0</v>
      </c>
      <c r="Q132" s="36">
        <f>IFERROR(P132/$M132,0)</f>
        <v>0</v>
      </c>
      <c r="R132" s="35">
        <v>0</v>
      </c>
      <c r="S132" s="36">
        <f>IFERROR(R132/$M132,0)</f>
        <v>0</v>
      </c>
      <c r="T132" s="35">
        <v>0</v>
      </c>
      <c r="U132" s="36">
        <f>IFERROR(T132/$M132,0)</f>
        <v>0</v>
      </c>
      <c r="V132" s="35">
        <v>0</v>
      </c>
      <c r="W132" s="35">
        <v>0</v>
      </c>
    </row>
    <row r="133" spans="1:23" ht="13.9" customHeight="1" x14ac:dyDescent="0.25">
      <c r="A133" s="11"/>
      <c r="B133" s="34">
        <v>71</v>
      </c>
      <c r="C133" s="34" t="s">
        <v>24</v>
      </c>
      <c r="D133" s="35">
        <f t="shared" ref="D133:N133" si="73">D140+D142</f>
        <v>75210.5</v>
      </c>
      <c r="E133" s="35">
        <f t="shared" si="73"/>
        <v>5317.83</v>
      </c>
      <c r="F133" s="35">
        <f t="shared" si="73"/>
        <v>3000</v>
      </c>
      <c r="G133" s="35">
        <f t="shared" si="73"/>
        <v>6320.3</v>
      </c>
      <c r="H133" s="35">
        <f t="shared" si="73"/>
        <v>0</v>
      </c>
      <c r="I133" s="35">
        <f t="shared" si="73"/>
        <v>0</v>
      </c>
      <c r="J133" s="35">
        <f t="shared" si="73"/>
        <v>3760</v>
      </c>
      <c r="K133" s="35">
        <f t="shared" si="73"/>
        <v>0</v>
      </c>
      <c r="L133" s="35">
        <f t="shared" si="73"/>
        <v>0</v>
      </c>
      <c r="M133" s="35">
        <f t="shared" si="73"/>
        <v>3760</v>
      </c>
      <c r="N133" s="35">
        <f t="shared" si="73"/>
        <v>0</v>
      </c>
      <c r="O133" s="36">
        <f>N133/$M133</f>
        <v>0</v>
      </c>
      <c r="P133" s="35">
        <f>P140+P142</f>
        <v>3760.3</v>
      </c>
      <c r="Q133" s="36">
        <f>P133/$M133</f>
        <v>1.0000797872340426</v>
      </c>
      <c r="R133" s="35">
        <f>R140+R142</f>
        <v>3760.3</v>
      </c>
      <c r="S133" s="36">
        <f>R133/$M133</f>
        <v>1.0000797872340426</v>
      </c>
      <c r="T133" s="35">
        <f>T140+T142</f>
        <v>3760.3</v>
      </c>
      <c r="U133" s="36">
        <f>T133/$M133</f>
        <v>1.0000797872340426</v>
      </c>
      <c r="V133" s="35">
        <f>V140+V142</f>
        <v>0</v>
      </c>
      <c r="W133" s="35">
        <f>W140+W142</f>
        <v>0</v>
      </c>
    </row>
    <row r="134" spans="1:23" ht="13.9" customHeight="1" x14ac:dyDescent="0.25">
      <c r="A134" s="11"/>
      <c r="B134" s="34">
        <v>72</v>
      </c>
      <c r="C134" s="34" t="s">
        <v>25</v>
      </c>
      <c r="D134" s="35">
        <f t="shared" ref="D134:N134" si="74">D143</f>
        <v>0</v>
      </c>
      <c r="E134" s="35">
        <f t="shared" si="74"/>
        <v>0</v>
      </c>
      <c r="F134" s="35">
        <f t="shared" si="74"/>
        <v>0</v>
      </c>
      <c r="G134" s="35">
        <f t="shared" si="74"/>
        <v>10178.58</v>
      </c>
      <c r="H134" s="35">
        <f t="shared" si="74"/>
        <v>9453</v>
      </c>
      <c r="I134" s="35">
        <f t="shared" si="74"/>
        <v>0</v>
      </c>
      <c r="J134" s="35">
        <f t="shared" si="74"/>
        <v>0</v>
      </c>
      <c r="K134" s="35">
        <f t="shared" si="74"/>
        <v>0</v>
      </c>
      <c r="L134" s="35">
        <f t="shared" si="74"/>
        <v>0</v>
      </c>
      <c r="M134" s="35">
        <f t="shared" si="74"/>
        <v>9453</v>
      </c>
      <c r="N134" s="35">
        <f t="shared" si="74"/>
        <v>9542.74</v>
      </c>
      <c r="O134" s="36">
        <f>N134/$M134</f>
        <v>1.0094932825558023</v>
      </c>
      <c r="P134" s="35">
        <f>P143</f>
        <v>9542.74</v>
      </c>
      <c r="Q134" s="36">
        <f>P134/$M134</f>
        <v>1.0094932825558023</v>
      </c>
      <c r="R134" s="35">
        <f>R143</f>
        <v>13138.14</v>
      </c>
      <c r="S134" s="36">
        <f>R134/$M134</f>
        <v>1.3898381466201206</v>
      </c>
      <c r="T134" s="35">
        <f>T143</f>
        <v>13138.14</v>
      </c>
      <c r="U134" s="36">
        <f>T134/$M134</f>
        <v>1.3898381466201206</v>
      </c>
      <c r="V134" s="35">
        <f>V143</f>
        <v>0</v>
      </c>
      <c r="W134" s="35">
        <f>W143</f>
        <v>0</v>
      </c>
    </row>
    <row r="135" spans="1:23" ht="13.9" customHeight="1" x14ac:dyDescent="0.25">
      <c r="A135" s="29"/>
      <c r="B135" s="30"/>
      <c r="C135" s="37" t="s">
        <v>30</v>
      </c>
      <c r="D135" s="38">
        <f t="shared" ref="D135:N135" si="75">SUM(D130:D134)</f>
        <v>526963.77</v>
      </c>
      <c r="E135" s="38">
        <f t="shared" si="75"/>
        <v>179245.9</v>
      </c>
      <c r="F135" s="38">
        <f t="shared" si="75"/>
        <v>413336</v>
      </c>
      <c r="G135" s="38">
        <f t="shared" si="75"/>
        <v>392777.72000000003</v>
      </c>
      <c r="H135" s="38">
        <f t="shared" si="75"/>
        <v>806194</v>
      </c>
      <c r="I135" s="38">
        <f t="shared" si="75"/>
        <v>0</v>
      </c>
      <c r="J135" s="38">
        <f t="shared" si="75"/>
        <v>0</v>
      </c>
      <c r="K135" s="38">
        <f t="shared" si="75"/>
        <v>1136</v>
      </c>
      <c r="L135" s="38">
        <f t="shared" si="75"/>
        <v>0</v>
      </c>
      <c r="M135" s="38">
        <f t="shared" si="75"/>
        <v>807330</v>
      </c>
      <c r="N135" s="38">
        <f t="shared" si="75"/>
        <v>806285.45000000007</v>
      </c>
      <c r="O135" s="39">
        <f>N135/$M135</f>
        <v>0.99870616724263939</v>
      </c>
      <c r="P135" s="38">
        <f>SUM(P130:P134)</f>
        <v>807420.37</v>
      </c>
      <c r="Q135" s="39">
        <f>P135/$M135</f>
        <v>1.0001119368783522</v>
      </c>
      <c r="R135" s="38">
        <f>SUM(R130:R134)</f>
        <v>811015.77</v>
      </c>
      <c r="S135" s="39">
        <f>R135/$M135</f>
        <v>1.0045653821857234</v>
      </c>
      <c r="T135" s="38">
        <f>SUM(T130:T134)</f>
        <v>811015.77</v>
      </c>
      <c r="U135" s="39">
        <f>T135/$M135</f>
        <v>1.0045653821857234</v>
      </c>
      <c r="V135" s="38">
        <f>SUM(V130:V134)</f>
        <v>0</v>
      </c>
      <c r="W135" s="38">
        <f>SUM(W130:W134)</f>
        <v>0</v>
      </c>
    </row>
    <row r="137" spans="1:23" ht="13.9" customHeight="1" x14ac:dyDescent="0.25">
      <c r="B137" s="51" t="s">
        <v>57</v>
      </c>
      <c r="C137" s="29" t="s">
        <v>110</v>
      </c>
      <c r="D137" s="52">
        <v>116750.27</v>
      </c>
      <c r="E137" s="52">
        <v>3137.87</v>
      </c>
      <c r="F137" s="52"/>
      <c r="G137" s="52">
        <v>14603.93</v>
      </c>
      <c r="H137" s="52">
        <v>34161</v>
      </c>
      <c r="I137" s="52"/>
      <c r="J137" s="52"/>
      <c r="K137" s="52"/>
      <c r="L137" s="52"/>
      <c r="M137" s="52">
        <f t="shared" ref="M137:M143" si="76">H137+SUM(I137:L137)</f>
        <v>34161</v>
      </c>
      <c r="N137" s="52">
        <v>34161.160000000003</v>
      </c>
      <c r="O137" s="53">
        <f t="shared" ref="O137:O143" si="77">N137/$M137</f>
        <v>1.0000046837036387</v>
      </c>
      <c r="P137" s="52">
        <v>34161.160000000003</v>
      </c>
      <c r="Q137" s="53">
        <f t="shared" ref="Q137:Q143" si="78">P137/$M137</f>
        <v>1.0000046837036387</v>
      </c>
      <c r="R137" s="52">
        <v>34161.160000000003</v>
      </c>
      <c r="S137" s="53">
        <f t="shared" ref="S137:S143" si="79">R137/$M137</f>
        <v>1.0000046837036387</v>
      </c>
      <c r="T137" s="52">
        <v>34161.160000000003</v>
      </c>
      <c r="U137" s="54">
        <f t="shared" ref="U137:U143" si="80">T137/$M137</f>
        <v>1.0000046837036387</v>
      </c>
      <c r="V137" s="52"/>
      <c r="W137" s="55"/>
    </row>
    <row r="138" spans="1:23" ht="13.9" customHeight="1" x14ac:dyDescent="0.25">
      <c r="B138" s="56"/>
      <c r="C138" s="14" t="s">
        <v>111</v>
      </c>
      <c r="D138" s="58">
        <v>148582.56</v>
      </c>
      <c r="E138" s="58">
        <v>170790.2</v>
      </c>
      <c r="F138" s="58">
        <v>410336</v>
      </c>
      <c r="G138" s="58">
        <v>157822.74</v>
      </c>
      <c r="H138" s="58">
        <f>1328+795413-H137-H139</f>
        <v>559013</v>
      </c>
      <c r="I138" s="58"/>
      <c r="J138" s="58">
        <v>-372941</v>
      </c>
      <c r="K138" s="58">
        <v>1136</v>
      </c>
      <c r="L138" s="58"/>
      <c r="M138" s="58">
        <f t="shared" si="76"/>
        <v>187208</v>
      </c>
      <c r="N138" s="58">
        <v>559014.79</v>
      </c>
      <c r="O138" s="15">
        <f t="shared" si="77"/>
        <v>2.9860625080124783</v>
      </c>
      <c r="P138" s="58">
        <v>187207.85</v>
      </c>
      <c r="Q138" s="15">
        <f t="shared" si="78"/>
        <v>0.99999919875219012</v>
      </c>
      <c r="R138" s="58">
        <v>187207.85</v>
      </c>
      <c r="S138" s="15">
        <f t="shared" si="79"/>
        <v>0.99999919875219012</v>
      </c>
      <c r="T138" s="58">
        <v>187207.85</v>
      </c>
      <c r="U138" s="59">
        <f t="shared" si="80"/>
        <v>0.99999919875219012</v>
      </c>
      <c r="V138" s="58"/>
      <c r="W138" s="60"/>
    </row>
    <row r="139" spans="1:23" ht="13.9" customHeight="1" x14ac:dyDescent="0.25">
      <c r="B139" s="56"/>
      <c r="C139" s="57" t="s">
        <v>112</v>
      </c>
      <c r="D139" s="58">
        <v>186420.44</v>
      </c>
      <c r="E139" s="58"/>
      <c r="F139" s="58"/>
      <c r="G139" s="58">
        <v>203566.76</v>
      </c>
      <c r="H139" s="58">
        <v>203567</v>
      </c>
      <c r="I139" s="58"/>
      <c r="J139" s="58">
        <v>369181</v>
      </c>
      <c r="K139" s="58"/>
      <c r="L139" s="58"/>
      <c r="M139" s="58">
        <f t="shared" si="76"/>
        <v>572748</v>
      </c>
      <c r="N139" s="58">
        <v>203566.76</v>
      </c>
      <c r="O139" s="15">
        <f t="shared" si="77"/>
        <v>0.35542116253570505</v>
      </c>
      <c r="P139" s="58">
        <v>572748.31999999995</v>
      </c>
      <c r="Q139" s="15">
        <f t="shared" si="78"/>
        <v>1.0000005587099388</v>
      </c>
      <c r="R139" s="58">
        <v>572748.31999999995</v>
      </c>
      <c r="S139" s="15">
        <f t="shared" si="79"/>
        <v>1.0000005587099388</v>
      </c>
      <c r="T139" s="58">
        <v>572748.31999999995</v>
      </c>
      <c r="U139" s="59">
        <f t="shared" si="80"/>
        <v>1.0000005587099388</v>
      </c>
      <c r="V139" s="58"/>
      <c r="W139" s="60"/>
    </row>
    <row r="140" spans="1:23" ht="13.9" customHeight="1" x14ac:dyDescent="0.25">
      <c r="B140" s="56"/>
      <c r="C140" s="80" t="s">
        <v>113</v>
      </c>
      <c r="D140" s="81">
        <v>75210.5</v>
      </c>
      <c r="E140" s="81">
        <v>5317.83</v>
      </c>
      <c r="F140" s="81">
        <v>3000</v>
      </c>
      <c r="G140" s="81">
        <v>3760.3</v>
      </c>
      <c r="H140" s="81"/>
      <c r="I140" s="81"/>
      <c r="J140" s="81">
        <v>3760</v>
      </c>
      <c r="K140" s="81"/>
      <c r="L140" s="81"/>
      <c r="M140" s="81">
        <f t="shared" si="76"/>
        <v>3760</v>
      </c>
      <c r="N140" s="81">
        <v>0</v>
      </c>
      <c r="O140" s="82">
        <f t="shared" si="77"/>
        <v>0</v>
      </c>
      <c r="P140" s="81">
        <v>3760.3</v>
      </c>
      <c r="Q140" s="82">
        <f t="shared" si="78"/>
        <v>1.0000797872340426</v>
      </c>
      <c r="R140" s="81">
        <v>3760.3</v>
      </c>
      <c r="S140" s="82">
        <f t="shared" si="79"/>
        <v>1.0000797872340426</v>
      </c>
      <c r="T140" s="81">
        <v>3760.3</v>
      </c>
      <c r="U140" s="59">
        <f t="shared" si="80"/>
        <v>1.0000797872340426</v>
      </c>
      <c r="V140" s="81"/>
      <c r="W140" s="60"/>
    </row>
    <row r="141" spans="1:23" ht="13.9" hidden="1" customHeight="1" x14ac:dyDescent="0.25">
      <c r="B141" s="56"/>
      <c r="C141" s="57" t="s">
        <v>114</v>
      </c>
      <c r="D141" s="58"/>
      <c r="E141" s="58"/>
      <c r="F141" s="58"/>
      <c r="G141" s="58">
        <v>285.41000000000003</v>
      </c>
      <c r="H141" s="58"/>
      <c r="I141" s="58"/>
      <c r="J141" s="58"/>
      <c r="K141" s="58"/>
      <c r="L141" s="58"/>
      <c r="M141" s="81">
        <f t="shared" si="76"/>
        <v>0</v>
      </c>
      <c r="N141" s="58">
        <v>0</v>
      </c>
      <c r="O141" s="82" t="e">
        <f t="shared" si="77"/>
        <v>#DIV/0!</v>
      </c>
      <c r="P141" s="58"/>
      <c r="Q141" s="82" t="e">
        <f t="shared" si="78"/>
        <v>#DIV/0!</v>
      </c>
      <c r="R141" s="58"/>
      <c r="S141" s="82" t="e">
        <f t="shared" si="79"/>
        <v>#DIV/0!</v>
      </c>
      <c r="T141" s="58"/>
      <c r="U141" s="59" t="e">
        <f t="shared" si="80"/>
        <v>#DIV/0!</v>
      </c>
      <c r="V141" s="58"/>
      <c r="W141" s="60"/>
    </row>
    <row r="142" spans="1:23" ht="13.9" hidden="1" customHeight="1" x14ac:dyDescent="0.25">
      <c r="B142" s="56"/>
      <c r="C142" s="57" t="s">
        <v>115</v>
      </c>
      <c r="D142" s="58"/>
      <c r="E142" s="58"/>
      <c r="F142" s="58"/>
      <c r="G142" s="58">
        <v>2560</v>
      </c>
      <c r="H142" s="58"/>
      <c r="I142" s="58"/>
      <c r="J142" s="58"/>
      <c r="K142" s="58"/>
      <c r="L142" s="58"/>
      <c r="M142" s="81">
        <f t="shared" si="76"/>
        <v>0</v>
      </c>
      <c r="N142" s="58">
        <v>0</v>
      </c>
      <c r="O142" s="82" t="e">
        <f t="shared" si="77"/>
        <v>#DIV/0!</v>
      </c>
      <c r="P142" s="58"/>
      <c r="Q142" s="82" t="e">
        <f t="shared" si="78"/>
        <v>#DIV/0!</v>
      </c>
      <c r="R142" s="58"/>
      <c r="S142" s="82" t="e">
        <f t="shared" si="79"/>
        <v>#DIV/0!</v>
      </c>
      <c r="T142" s="58"/>
      <c r="U142" s="59" t="e">
        <f t="shared" si="80"/>
        <v>#DIV/0!</v>
      </c>
      <c r="V142" s="58"/>
      <c r="W142" s="60"/>
    </row>
    <row r="143" spans="1:23" ht="13.9" customHeight="1" x14ac:dyDescent="0.25">
      <c r="B143" s="64"/>
      <c r="C143" s="65" t="s">
        <v>116</v>
      </c>
      <c r="D143" s="66"/>
      <c r="E143" s="66"/>
      <c r="F143" s="66"/>
      <c r="G143" s="66">
        <v>10178.58</v>
      </c>
      <c r="H143" s="66">
        <v>9453</v>
      </c>
      <c r="I143" s="66"/>
      <c r="J143" s="66"/>
      <c r="K143" s="66"/>
      <c r="L143" s="66"/>
      <c r="M143" s="66">
        <f t="shared" si="76"/>
        <v>9453</v>
      </c>
      <c r="N143" s="66">
        <v>9542.74</v>
      </c>
      <c r="O143" s="67">
        <f t="shared" si="77"/>
        <v>1.0094932825558023</v>
      </c>
      <c r="P143" s="66">
        <v>9542.74</v>
      </c>
      <c r="Q143" s="67">
        <f t="shared" si="78"/>
        <v>1.0094932825558023</v>
      </c>
      <c r="R143" s="66">
        <f>9542.74+3595.4</f>
        <v>13138.14</v>
      </c>
      <c r="S143" s="67">
        <f t="shared" si="79"/>
        <v>1.3898381466201206</v>
      </c>
      <c r="T143" s="66">
        <f>9542.74+3595.4</f>
        <v>13138.14</v>
      </c>
      <c r="U143" s="68">
        <f t="shared" si="80"/>
        <v>1.3898381466201206</v>
      </c>
      <c r="V143" s="66"/>
      <c r="W143" s="69"/>
    </row>
    <row r="145" spans="1:23" ht="13.9" customHeight="1" x14ac:dyDescent="0.25">
      <c r="A145" s="31" t="s">
        <v>117</v>
      </c>
      <c r="B145" s="31"/>
      <c r="C145" s="31"/>
      <c r="D145" s="31"/>
      <c r="E145" s="31"/>
      <c r="F145" s="31"/>
      <c r="G145" s="31"/>
      <c r="H145" s="31"/>
      <c r="I145" s="31"/>
      <c r="J145" s="31"/>
      <c r="K145" s="31"/>
      <c r="L145" s="31"/>
      <c r="M145" s="31"/>
      <c r="N145" s="31"/>
      <c r="O145" s="32"/>
      <c r="P145" s="31"/>
      <c r="Q145" s="31"/>
      <c r="R145" s="31"/>
      <c r="S145" s="31"/>
      <c r="T145" s="31"/>
      <c r="U145" s="31"/>
      <c r="V145" s="31"/>
      <c r="W145" s="31"/>
    </row>
    <row r="146" spans="1:23" ht="13.9" customHeight="1" x14ac:dyDescent="0.25">
      <c r="A146" s="19"/>
      <c r="B146" s="19"/>
      <c r="C146" s="19"/>
      <c r="D146" s="20" t="s">
        <v>1</v>
      </c>
      <c r="E146" s="20" t="s">
        <v>2</v>
      </c>
      <c r="F146" s="20" t="s">
        <v>3</v>
      </c>
      <c r="G146" s="20" t="s">
        <v>4</v>
      </c>
      <c r="H146" s="20" t="s">
        <v>5</v>
      </c>
      <c r="I146" s="20" t="s">
        <v>6</v>
      </c>
      <c r="J146" s="20" t="s">
        <v>7</v>
      </c>
      <c r="K146" s="20" t="s">
        <v>8</v>
      </c>
      <c r="L146" s="20" t="s">
        <v>9</v>
      </c>
      <c r="M146" s="20" t="s">
        <v>10</v>
      </c>
      <c r="N146" s="20" t="s">
        <v>11</v>
      </c>
      <c r="O146" s="21" t="s">
        <v>12</v>
      </c>
      <c r="P146" s="20" t="s">
        <v>13</v>
      </c>
      <c r="Q146" s="21" t="s">
        <v>14</v>
      </c>
      <c r="R146" s="20" t="s">
        <v>15</v>
      </c>
      <c r="S146" s="21" t="s">
        <v>16</v>
      </c>
      <c r="T146" s="20" t="s">
        <v>17</v>
      </c>
      <c r="U146" s="21" t="s">
        <v>18</v>
      </c>
      <c r="V146" s="20" t="s">
        <v>19</v>
      </c>
      <c r="W146" s="20" t="s">
        <v>20</v>
      </c>
    </row>
    <row r="147" spans="1:23" ht="13.9" customHeight="1" x14ac:dyDescent="0.25">
      <c r="D147" s="35">
        <f>D22-výdaje!G20</f>
        <v>175712.64999999991</v>
      </c>
      <c r="E147" s="35">
        <f>E22-výdaje!H20</f>
        <v>395798.75999999978</v>
      </c>
      <c r="F147" s="35">
        <f>F22-výdaje!I20</f>
        <v>250</v>
      </c>
      <c r="G147" s="35">
        <f>G22-výdaje!J20</f>
        <v>793560.44000000018</v>
      </c>
      <c r="H147" s="35">
        <f>H22-výdaje!K20</f>
        <v>0</v>
      </c>
      <c r="I147" s="35">
        <f>I22-výdaje!L20</f>
        <v>0</v>
      </c>
      <c r="J147" s="35">
        <f>J22-výdaje!M20</f>
        <v>0</v>
      </c>
      <c r="K147" s="35">
        <f>K22-výdaje!N20</f>
        <v>0</v>
      </c>
      <c r="L147" s="35">
        <f>L22-výdaje!O20</f>
        <v>0</v>
      </c>
      <c r="M147" s="35">
        <f>M22-výdaje!P20</f>
        <v>0</v>
      </c>
      <c r="N147" s="35">
        <f>N22-výdaje!Q20</f>
        <v>704136.49</v>
      </c>
      <c r="O147" s="36">
        <f>IFERROR(N147/$M147,0)</f>
        <v>0</v>
      </c>
      <c r="P147" s="35">
        <f>P22-výdaje!S20</f>
        <v>765404.0699999996</v>
      </c>
      <c r="Q147" s="36">
        <f>IFERROR(P147/$M147,0)</f>
        <v>0</v>
      </c>
      <c r="R147" s="35">
        <f>R22-výdaje!U20</f>
        <v>666943.71999999951</v>
      </c>
      <c r="S147" s="36">
        <f>IFERROR(R147/$M147,0)</f>
        <v>0</v>
      </c>
      <c r="T147" s="35">
        <f>T22-výdaje!W20</f>
        <v>484066.89999999944</v>
      </c>
      <c r="U147" s="36">
        <f>IFERROR(T147/$M147,0)</f>
        <v>0</v>
      </c>
      <c r="V147" s="35">
        <f>V22-výdaje!Y20</f>
        <v>-114</v>
      </c>
      <c r="W147" s="35">
        <f>W22-výdaje!Z20</f>
        <v>0</v>
      </c>
    </row>
  </sheetData>
  <mergeCells count="9">
    <mergeCell ref="A80:A82"/>
    <mergeCell ref="A87:A120"/>
    <mergeCell ref="A124:A125"/>
    <mergeCell ref="A130:A134"/>
    <mergeCell ref="A3:A21"/>
    <mergeCell ref="A31:A39"/>
    <mergeCell ref="A44:A46"/>
    <mergeCell ref="A54:A59"/>
    <mergeCell ref="A61:A62"/>
  </mergeCells>
  <printOptions horizontalCentered="1"/>
  <pageMargins left="0.23611111111111099" right="0.23611111111111099" top="0.3" bottom="0.3" header="0.511811023622047" footer="0.511811023622047"/>
  <pageSetup paperSize="9" fitToHeight="0" orientation="portrait" horizontalDpi="300" verticalDpi="300"/>
  <rowBreaks count="2" manualBreakCount="2">
    <brk id="23" max="16383" man="1"/>
    <brk id="7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L1048576"/>
  <sheetViews>
    <sheetView defaultGridColor="0" topLeftCell="D1" colorId="22" zoomScaleNormal="100" workbookViewId="0">
      <selection activeCell="D1" sqref="D1"/>
    </sheetView>
  </sheetViews>
  <sheetFormatPr defaultColWidth="11.5703125" defaultRowHeight="15" x14ac:dyDescent="0.25"/>
  <cols>
    <col min="1" max="1" width="2.7109375" style="14" hidden="1" customWidth="1"/>
    <col min="2" max="2" width="3.140625" style="14" hidden="1" customWidth="1"/>
    <col min="3" max="3" width="3" style="14" hidden="1" customWidth="1"/>
    <col min="4" max="4" width="11.5703125" style="14" customWidth="1"/>
    <col min="5" max="5" width="8.5703125" style="14" customWidth="1"/>
    <col min="6" max="6" width="18.140625" style="14" customWidth="1"/>
    <col min="7" max="8" width="11.28515625" style="14" hidden="1" customWidth="1"/>
    <col min="9" max="10" width="11" style="14" hidden="1" customWidth="1"/>
    <col min="11" max="11" width="11.7109375" style="14" customWidth="1"/>
    <col min="12" max="15" width="11" style="14" hidden="1" customWidth="1"/>
    <col min="16" max="17" width="11.7109375" style="14" customWidth="1"/>
    <col min="18" max="18" width="6.7109375" style="15" customWidth="1"/>
    <col min="19" max="19" width="11.7109375" style="14" customWidth="1"/>
    <col min="20" max="20" width="6.7109375" style="15" customWidth="1"/>
    <col min="21" max="21" width="11.7109375" style="14" customWidth="1"/>
    <col min="22" max="22" width="6.7109375" style="15" customWidth="1"/>
    <col min="23" max="23" width="11.7109375" style="14" customWidth="1"/>
    <col min="24" max="24" width="6.7109375" style="15" customWidth="1"/>
    <col min="25" max="26" width="11.28515625" style="14" hidden="1" customWidth="1"/>
    <col min="27" max="64" width="8.5703125" style="14" customWidth="1"/>
  </cols>
  <sheetData>
    <row r="1" spans="1:26" ht="13.9" customHeight="1" x14ac:dyDescent="0.25">
      <c r="A1" s="14" t="s">
        <v>118</v>
      </c>
      <c r="B1" s="14" t="s">
        <v>119</v>
      </c>
      <c r="C1" s="14" t="s">
        <v>120</v>
      </c>
      <c r="D1" s="16" t="s">
        <v>121</v>
      </c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8"/>
      <c r="S1" s="17"/>
      <c r="T1" s="18"/>
      <c r="U1" s="17"/>
      <c r="V1" s="18"/>
      <c r="W1" s="17"/>
      <c r="X1" s="18"/>
      <c r="Y1" s="17"/>
      <c r="Z1" s="17"/>
    </row>
    <row r="2" spans="1:26" ht="13.9" customHeight="1" x14ac:dyDescent="0.25">
      <c r="D2" s="19"/>
      <c r="E2" s="19"/>
      <c r="F2" s="19"/>
      <c r="G2" s="20" t="s">
        <v>1</v>
      </c>
      <c r="H2" s="20" t="s">
        <v>2</v>
      </c>
      <c r="I2" s="20" t="s">
        <v>3</v>
      </c>
      <c r="J2" s="20" t="s">
        <v>4</v>
      </c>
      <c r="K2" s="20" t="s">
        <v>5</v>
      </c>
      <c r="L2" s="20" t="s">
        <v>6</v>
      </c>
      <c r="M2" s="20" t="s">
        <v>7</v>
      </c>
      <c r="N2" s="20" t="s">
        <v>8</v>
      </c>
      <c r="O2" s="20" t="s">
        <v>9</v>
      </c>
      <c r="P2" s="20" t="s">
        <v>10</v>
      </c>
      <c r="Q2" s="20" t="s">
        <v>11</v>
      </c>
      <c r="R2" s="21" t="s">
        <v>12</v>
      </c>
      <c r="S2" s="20" t="s">
        <v>13</v>
      </c>
      <c r="T2" s="21" t="s">
        <v>14</v>
      </c>
      <c r="U2" s="20" t="s">
        <v>15</v>
      </c>
      <c r="V2" s="21" t="s">
        <v>16</v>
      </c>
      <c r="W2" s="20" t="s">
        <v>17</v>
      </c>
      <c r="X2" s="21" t="s">
        <v>18</v>
      </c>
      <c r="Y2" s="20" t="s">
        <v>19</v>
      </c>
      <c r="Z2" s="20" t="s">
        <v>20</v>
      </c>
    </row>
    <row r="3" spans="1:26" ht="13.9" customHeight="1" x14ac:dyDescent="0.25">
      <c r="D3" s="9" t="s">
        <v>21</v>
      </c>
      <c r="E3" s="22">
        <v>111</v>
      </c>
      <c r="F3" s="22" t="s">
        <v>22</v>
      </c>
      <c r="G3" s="23">
        <f t="shared" ref="G3:Q3" si="0">G24+G154+G240+G281+G371+G468</f>
        <v>520218.89</v>
      </c>
      <c r="H3" s="23">
        <f t="shared" si="0"/>
        <v>612456.1</v>
      </c>
      <c r="I3" s="23">
        <f t="shared" si="0"/>
        <v>650786</v>
      </c>
      <c r="J3" s="23">
        <f t="shared" si="0"/>
        <v>692070.66</v>
      </c>
      <c r="K3" s="23">
        <f t="shared" si="0"/>
        <v>693124</v>
      </c>
      <c r="L3" s="23">
        <f t="shared" si="0"/>
        <v>2000</v>
      </c>
      <c r="M3" s="23">
        <f t="shared" si="0"/>
        <v>3122</v>
      </c>
      <c r="N3" s="23">
        <f t="shared" si="0"/>
        <v>2892</v>
      </c>
      <c r="O3" s="23">
        <f t="shared" si="0"/>
        <v>2999</v>
      </c>
      <c r="P3" s="23">
        <f t="shared" si="0"/>
        <v>704137</v>
      </c>
      <c r="Q3" s="23">
        <f t="shared" si="0"/>
        <v>156208.12</v>
      </c>
      <c r="R3" s="24">
        <f t="shared" ref="R3:R9" si="1">Q3/$P3</f>
        <v>0.22184336286830544</v>
      </c>
      <c r="S3" s="23">
        <f>S24+S154+S240+S281+S371+S468</f>
        <v>322010.94000000006</v>
      </c>
      <c r="T3" s="24">
        <f t="shared" ref="T3:T9" si="2">S3/$P3</f>
        <v>0.45731290927759805</v>
      </c>
      <c r="U3" s="23">
        <f>U24+U154+U240+U281+U371+U468</f>
        <v>477832.70999999996</v>
      </c>
      <c r="V3" s="24">
        <f t="shared" ref="V3:V9" si="3">U3/$P3</f>
        <v>0.67860758630777807</v>
      </c>
      <c r="W3" s="23">
        <f>W24+W154+W240+W281+W371+W468</f>
        <v>722472.33000000007</v>
      </c>
      <c r="X3" s="24">
        <f t="shared" ref="X3:X9" si="4">W3/$P3</f>
        <v>1.0260394355075788</v>
      </c>
      <c r="Y3" s="23">
        <f>Y24+Y154+Y240+Y281+Y371+Y468</f>
        <v>661839</v>
      </c>
      <c r="Z3" s="23">
        <f>Z24+Z154+Z240+Z281+Z371+Z468</f>
        <v>662149</v>
      </c>
    </row>
    <row r="4" spans="1:26" ht="13.9" customHeight="1" x14ac:dyDescent="0.25">
      <c r="D4" s="9"/>
      <c r="E4" s="22">
        <v>41</v>
      </c>
      <c r="F4" s="22" t="s">
        <v>23</v>
      </c>
      <c r="G4" s="23">
        <f t="shared" ref="G4:Q4" si="5">G25+G155+G215+G241+G282+G372+G469+G650</f>
        <v>788629.14</v>
      </c>
      <c r="H4" s="23">
        <f t="shared" si="5"/>
        <v>856712.92</v>
      </c>
      <c r="I4" s="23">
        <f t="shared" si="5"/>
        <v>974598</v>
      </c>
      <c r="J4" s="23">
        <f t="shared" si="5"/>
        <v>786886.62999999989</v>
      </c>
      <c r="K4" s="23">
        <f t="shared" si="5"/>
        <v>940849</v>
      </c>
      <c r="L4" s="23">
        <f t="shared" si="5"/>
        <v>1579</v>
      </c>
      <c r="M4" s="23">
        <f t="shared" si="5"/>
        <v>9536</v>
      </c>
      <c r="N4" s="23">
        <f t="shared" si="5"/>
        <v>24157</v>
      </c>
      <c r="O4" s="23">
        <f t="shared" si="5"/>
        <v>971</v>
      </c>
      <c r="P4" s="23">
        <f t="shared" si="5"/>
        <v>977092</v>
      </c>
      <c r="Q4" s="23">
        <f t="shared" si="5"/>
        <v>180921.7</v>
      </c>
      <c r="R4" s="24">
        <f t="shared" si="1"/>
        <v>0.18516342371035688</v>
      </c>
      <c r="S4" s="23">
        <f>S25+S155+S215+S241+S282+S372+S469+S650</f>
        <v>391709.55000000005</v>
      </c>
      <c r="T4" s="24">
        <f t="shared" si="2"/>
        <v>0.40089321169347414</v>
      </c>
      <c r="U4" s="23">
        <f>U25+U155+U215+U241+U282+U372+U469+U650</f>
        <v>618761.65999999992</v>
      </c>
      <c r="V4" s="24">
        <f t="shared" si="3"/>
        <v>0.63326857655164503</v>
      </c>
      <c r="W4" s="23">
        <f>W25+W155+W215+W241+W282+W372+W469+W650</f>
        <v>864930.71</v>
      </c>
      <c r="X4" s="24">
        <f t="shared" si="4"/>
        <v>0.88520907959537076</v>
      </c>
      <c r="Y4" s="23">
        <f>Y25+Y155+Y215+Y241+Y282+Y372+Y469+Y650</f>
        <v>899994</v>
      </c>
      <c r="Z4" s="23">
        <f>Z25+Z155+Z215+Z241+Z282+Z372+Z469+Z650</f>
        <v>948155</v>
      </c>
    </row>
    <row r="5" spans="1:26" ht="13.9" customHeight="1" x14ac:dyDescent="0.25">
      <c r="D5" s="9"/>
      <c r="E5" s="22">
        <v>71</v>
      </c>
      <c r="F5" s="22" t="s">
        <v>24</v>
      </c>
      <c r="G5" s="23">
        <f t="shared" ref="G5:Q5" si="6">G283</f>
        <v>1400</v>
      </c>
      <c r="H5" s="23">
        <f t="shared" si="6"/>
        <v>1400</v>
      </c>
      <c r="I5" s="23">
        <f t="shared" si="6"/>
        <v>1400</v>
      </c>
      <c r="J5" s="23">
        <f t="shared" si="6"/>
        <v>1400</v>
      </c>
      <c r="K5" s="23">
        <f t="shared" si="6"/>
        <v>3000</v>
      </c>
      <c r="L5" s="23">
        <f t="shared" si="6"/>
        <v>0</v>
      </c>
      <c r="M5" s="23">
        <f t="shared" si="6"/>
        <v>0</v>
      </c>
      <c r="N5" s="23">
        <f t="shared" si="6"/>
        <v>0</v>
      </c>
      <c r="O5" s="23">
        <f t="shared" si="6"/>
        <v>0</v>
      </c>
      <c r="P5" s="23">
        <f t="shared" si="6"/>
        <v>3000</v>
      </c>
      <c r="Q5" s="23">
        <f t="shared" si="6"/>
        <v>0</v>
      </c>
      <c r="R5" s="24">
        <f t="shared" si="1"/>
        <v>0</v>
      </c>
      <c r="S5" s="23">
        <f>S283</f>
        <v>0</v>
      </c>
      <c r="T5" s="24">
        <f t="shared" si="2"/>
        <v>0</v>
      </c>
      <c r="U5" s="23">
        <f>U283</f>
        <v>3000</v>
      </c>
      <c r="V5" s="24">
        <f t="shared" si="3"/>
        <v>1</v>
      </c>
      <c r="W5" s="23">
        <f>W283</f>
        <v>3000</v>
      </c>
      <c r="X5" s="24">
        <f t="shared" si="4"/>
        <v>1</v>
      </c>
      <c r="Y5" s="23">
        <f>Y283</f>
        <v>3000</v>
      </c>
      <c r="Z5" s="23">
        <f>Z283</f>
        <v>3000</v>
      </c>
    </row>
    <row r="6" spans="1:26" ht="13.9" customHeight="1" x14ac:dyDescent="0.25">
      <c r="D6" s="9"/>
      <c r="E6" s="22">
        <v>72</v>
      </c>
      <c r="F6" s="22" t="s">
        <v>25</v>
      </c>
      <c r="G6" s="23">
        <f>G26+G156+G216+G242+G284+G470</f>
        <v>57128.66</v>
      </c>
      <c r="H6" s="23">
        <f>H26+H156+H216+H242+H284+H470</f>
        <v>48677.340000000011</v>
      </c>
      <c r="I6" s="23">
        <f>I26+I156+I216+I242+I284+I470</f>
        <v>50455</v>
      </c>
      <c r="J6" s="23">
        <f>J26+J156+J216+J242+J284+J470-2560</f>
        <v>41257.55000000001</v>
      </c>
      <c r="K6" s="23">
        <f t="shared" ref="K6:Q6" si="7">K26+K156+K216+K242+K284+K470</f>
        <v>51356</v>
      </c>
      <c r="L6" s="23">
        <f t="shared" si="7"/>
        <v>0</v>
      </c>
      <c r="M6" s="23">
        <f t="shared" si="7"/>
        <v>15</v>
      </c>
      <c r="N6" s="23">
        <f t="shared" si="7"/>
        <v>0</v>
      </c>
      <c r="O6" s="23">
        <f t="shared" si="7"/>
        <v>3</v>
      </c>
      <c r="P6" s="23">
        <f t="shared" si="7"/>
        <v>51374</v>
      </c>
      <c r="Q6" s="23">
        <f t="shared" si="7"/>
        <v>3789.77</v>
      </c>
      <c r="R6" s="24">
        <f t="shared" si="1"/>
        <v>7.3768248530385022E-2</v>
      </c>
      <c r="S6" s="23">
        <f>S26+S156+S216+S242+S284+S470</f>
        <v>11770.1</v>
      </c>
      <c r="T6" s="24">
        <f t="shared" si="2"/>
        <v>0.2291061626503679</v>
      </c>
      <c r="U6" s="23">
        <f>U26+U156+U216+U242+U284+U470</f>
        <v>28429.29</v>
      </c>
      <c r="V6" s="24">
        <f t="shared" si="3"/>
        <v>0.5533789465488379</v>
      </c>
      <c r="W6" s="23">
        <f>W26+W156+W216+W242+W284+W470</f>
        <v>46431.06</v>
      </c>
      <c r="X6" s="24">
        <f t="shared" si="4"/>
        <v>0.9037851831665823</v>
      </c>
      <c r="Y6" s="23">
        <f>Y26+Y156+Y216+Y242+Y284+Y470</f>
        <v>51191</v>
      </c>
      <c r="Z6" s="23">
        <f>Z26+Z156+Z216+Z242+Z284+Z470</f>
        <v>51191</v>
      </c>
    </row>
    <row r="7" spans="1:26" ht="13.9" customHeight="1" x14ac:dyDescent="0.25">
      <c r="D7" s="9"/>
      <c r="E7" s="22"/>
      <c r="F7" s="25" t="s">
        <v>122</v>
      </c>
      <c r="G7" s="26">
        <f t="shared" ref="G7:Q7" si="8">SUM(G3:G6)</f>
        <v>1367376.69</v>
      </c>
      <c r="H7" s="26">
        <f t="shared" si="8"/>
        <v>1519246.36</v>
      </c>
      <c r="I7" s="26">
        <f t="shared" si="8"/>
        <v>1677239</v>
      </c>
      <c r="J7" s="26">
        <f t="shared" si="8"/>
        <v>1521614.84</v>
      </c>
      <c r="K7" s="26">
        <f t="shared" si="8"/>
        <v>1688329</v>
      </c>
      <c r="L7" s="26">
        <f t="shared" si="8"/>
        <v>3579</v>
      </c>
      <c r="M7" s="26">
        <f t="shared" si="8"/>
        <v>12673</v>
      </c>
      <c r="N7" s="26">
        <f t="shared" si="8"/>
        <v>27049</v>
      </c>
      <c r="O7" s="26">
        <f t="shared" si="8"/>
        <v>3973</v>
      </c>
      <c r="P7" s="26">
        <f t="shared" si="8"/>
        <v>1735603</v>
      </c>
      <c r="Q7" s="26">
        <f t="shared" si="8"/>
        <v>340919.59</v>
      </c>
      <c r="R7" s="27">
        <f t="shared" si="1"/>
        <v>0.19642717257345144</v>
      </c>
      <c r="S7" s="26">
        <f>SUM(S3:S6)</f>
        <v>725490.59000000008</v>
      </c>
      <c r="T7" s="27">
        <f t="shared" si="2"/>
        <v>0.4180049181754123</v>
      </c>
      <c r="U7" s="26">
        <f>SUM(U3:U6)</f>
        <v>1128023.6599999999</v>
      </c>
      <c r="V7" s="27">
        <f t="shared" si="3"/>
        <v>0.64993184501294354</v>
      </c>
      <c r="W7" s="26">
        <f>SUM(W3:W6)</f>
        <v>1636834.1</v>
      </c>
      <c r="X7" s="27">
        <f t="shared" si="4"/>
        <v>0.943092458355972</v>
      </c>
      <c r="Y7" s="26">
        <f>SUM(Y3:Y6)</f>
        <v>1616024</v>
      </c>
      <c r="Z7" s="26">
        <f>SUM(Z3:Z6)</f>
        <v>1664495</v>
      </c>
    </row>
    <row r="8" spans="1:26" ht="13.9" customHeight="1" x14ac:dyDescent="0.25">
      <c r="D8" s="9"/>
      <c r="E8" s="22">
        <v>111</v>
      </c>
      <c r="F8" s="22" t="s">
        <v>22</v>
      </c>
      <c r="G8" s="23">
        <f t="shared" ref="G8:Q8" si="9">G526</f>
        <v>675504.98</v>
      </c>
      <c r="H8" s="23">
        <f t="shared" si="9"/>
        <v>975398.05</v>
      </c>
      <c r="I8" s="23">
        <f t="shared" si="9"/>
        <v>330000</v>
      </c>
      <c r="J8" s="23">
        <f t="shared" si="9"/>
        <v>0</v>
      </c>
      <c r="K8" s="23">
        <f t="shared" si="9"/>
        <v>501000</v>
      </c>
      <c r="L8" s="23">
        <f t="shared" si="9"/>
        <v>0</v>
      </c>
      <c r="M8" s="23">
        <f t="shared" si="9"/>
        <v>0</v>
      </c>
      <c r="N8" s="23">
        <f t="shared" si="9"/>
        <v>0</v>
      </c>
      <c r="O8" s="23">
        <f t="shared" si="9"/>
        <v>-401000</v>
      </c>
      <c r="P8" s="23">
        <f t="shared" si="9"/>
        <v>100000</v>
      </c>
      <c r="Q8" s="23">
        <f t="shared" si="9"/>
        <v>0</v>
      </c>
      <c r="R8" s="24">
        <f t="shared" si="1"/>
        <v>0</v>
      </c>
      <c r="S8" s="23">
        <f>S526</f>
        <v>0</v>
      </c>
      <c r="T8" s="24">
        <f t="shared" si="2"/>
        <v>0</v>
      </c>
      <c r="U8" s="23">
        <f>U526</f>
        <v>0</v>
      </c>
      <c r="V8" s="24">
        <f t="shared" si="3"/>
        <v>0</v>
      </c>
      <c r="W8" s="23">
        <f>W526</f>
        <v>89115.6</v>
      </c>
      <c r="X8" s="24">
        <f t="shared" si="4"/>
        <v>0.89115600000000006</v>
      </c>
      <c r="Y8" s="23">
        <f t="shared" ref="Y8:Z10" si="10">Y526</f>
        <v>0</v>
      </c>
      <c r="Z8" s="23">
        <f t="shared" si="10"/>
        <v>0</v>
      </c>
    </row>
    <row r="9" spans="1:26" ht="13.9" customHeight="1" x14ac:dyDescent="0.25">
      <c r="D9" s="9"/>
      <c r="E9" s="22">
        <v>41</v>
      </c>
      <c r="F9" s="22" t="s">
        <v>23</v>
      </c>
      <c r="G9" s="23">
        <f t="shared" ref="G9:Q9" si="11">G527</f>
        <v>541019.75</v>
      </c>
      <c r="H9" s="23">
        <f t="shared" si="11"/>
        <v>260832.63000000006</v>
      </c>
      <c r="I9" s="23">
        <f t="shared" si="11"/>
        <v>742710</v>
      </c>
      <c r="J9" s="23">
        <f t="shared" si="11"/>
        <v>137834.32</v>
      </c>
      <c r="K9" s="23">
        <f t="shared" si="11"/>
        <v>1128978</v>
      </c>
      <c r="L9" s="23">
        <f t="shared" si="11"/>
        <v>-984</v>
      </c>
      <c r="M9" s="23">
        <f t="shared" si="11"/>
        <v>17290</v>
      </c>
      <c r="N9" s="23">
        <f t="shared" si="11"/>
        <v>-20000</v>
      </c>
      <c r="O9" s="23">
        <f t="shared" si="11"/>
        <v>-15901</v>
      </c>
      <c r="P9" s="23">
        <f t="shared" si="11"/>
        <v>1109383</v>
      </c>
      <c r="Q9" s="23">
        <f t="shared" si="11"/>
        <v>369107.66</v>
      </c>
      <c r="R9" s="24">
        <f t="shared" si="1"/>
        <v>0.33271436465134219</v>
      </c>
      <c r="S9" s="23">
        <f>S527</f>
        <v>376362.62000000005</v>
      </c>
      <c r="T9" s="24">
        <f t="shared" si="2"/>
        <v>0.33925399974580472</v>
      </c>
      <c r="U9" s="23">
        <f>U527</f>
        <v>618186.75</v>
      </c>
      <c r="V9" s="24">
        <f t="shared" si="3"/>
        <v>0.55723474219453517</v>
      </c>
      <c r="W9" s="23">
        <f>W527</f>
        <v>885584.75</v>
      </c>
      <c r="X9" s="24">
        <f t="shared" si="4"/>
        <v>0.79826782094191095</v>
      </c>
      <c r="Y9" s="23">
        <f t="shared" si="10"/>
        <v>449453</v>
      </c>
      <c r="Z9" s="23">
        <f t="shared" si="10"/>
        <v>463491</v>
      </c>
    </row>
    <row r="10" spans="1:26" ht="13.9" customHeight="1" x14ac:dyDescent="0.25">
      <c r="D10" s="9"/>
      <c r="E10" s="22">
        <v>52</v>
      </c>
      <c r="F10" s="22" t="s">
        <v>28</v>
      </c>
      <c r="G10" s="23">
        <f t="shared" ref="G10:Q10" si="12">G528</f>
        <v>0</v>
      </c>
      <c r="H10" s="23">
        <f t="shared" si="12"/>
        <v>0</v>
      </c>
      <c r="I10" s="23">
        <f t="shared" si="12"/>
        <v>0</v>
      </c>
      <c r="J10" s="23">
        <f t="shared" si="12"/>
        <v>0</v>
      </c>
      <c r="K10" s="23">
        <f t="shared" si="12"/>
        <v>0</v>
      </c>
      <c r="L10" s="23">
        <f t="shared" si="12"/>
        <v>0</v>
      </c>
      <c r="M10" s="23">
        <f t="shared" si="12"/>
        <v>0</v>
      </c>
      <c r="N10" s="23">
        <f t="shared" si="12"/>
        <v>0</v>
      </c>
      <c r="O10" s="23">
        <f t="shared" si="12"/>
        <v>0</v>
      </c>
      <c r="P10" s="23">
        <f t="shared" si="12"/>
        <v>0</v>
      </c>
      <c r="Q10" s="23">
        <f t="shared" si="12"/>
        <v>0</v>
      </c>
      <c r="R10" s="24">
        <f>IFERROR(Q10/$P10,0)</f>
        <v>0</v>
      </c>
      <c r="S10" s="23">
        <f>S528</f>
        <v>0</v>
      </c>
      <c r="T10" s="24">
        <f>IFERROR(S10/$P10,0)</f>
        <v>0</v>
      </c>
      <c r="U10" s="23">
        <f>U528</f>
        <v>0</v>
      </c>
      <c r="V10" s="24">
        <f>IFERROR(U10/$P10,0)</f>
        <v>0</v>
      </c>
      <c r="W10" s="23">
        <f>W528</f>
        <v>0</v>
      </c>
      <c r="X10" s="24">
        <f>IFERROR(W10/$P10,0)</f>
        <v>0</v>
      </c>
      <c r="Y10" s="23">
        <f t="shared" si="10"/>
        <v>0</v>
      </c>
      <c r="Z10" s="23">
        <f t="shared" si="10"/>
        <v>0</v>
      </c>
    </row>
    <row r="11" spans="1:26" ht="13.9" customHeight="1" x14ac:dyDescent="0.25">
      <c r="D11" s="9"/>
      <c r="E11" s="22"/>
      <c r="F11" s="25" t="s">
        <v>123</v>
      </c>
      <c r="G11" s="26">
        <f t="shared" ref="G11:Q11" si="13">SUM(G8:G10)</f>
        <v>1216524.73</v>
      </c>
      <c r="H11" s="26">
        <f t="shared" si="13"/>
        <v>1236230.6800000002</v>
      </c>
      <c r="I11" s="26">
        <f t="shared" si="13"/>
        <v>1072710</v>
      </c>
      <c r="J11" s="26">
        <f t="shared" si="13"/>
        <v>137834.32</v>
      </c>
      <c r="K11" s="26">
        <f t="shared" si="13"/>
        <v>1629978</v>
      </c>
      <c r="L11" s="26">
        <f t="shared" si="13"/>
        <v>-984</v>
      </c>
      <c r="M11" s="26">
        <f t="shared" si="13"/>
        <v>17290</v>
      </c>
      <c r="N11" s="26">
        <f t="shared" si="13"/>
        <v>-20000</v>
      </c>
      <c r="O11" s="26">
        <f t="shared" si="13"/>
        <v>-416901</v>
      </c>
      <c r="P11" s="26">
        <f t="shared" si="13"/>
        <v>1209383</v>
      </c>
      <c r="Q11" s="26">
        <f t="shared" si="13"/>
        <v>369107.66</v>
      </c>
      <c r="R11" s="27">
        <f>Q11/$P11</f>
        <v>0.30520328134263502</v>
      </c>
      <c r="S11" s="26">
        <f>SUM(S8:S10)</f>
        <v>376362.62000000005</v>
      </c>
      <c r="T11" s="27">
        <f>S11/$P11</f>
        <v>0.31120217499336444</v>
      </c>
      <c r="U11" s="26">
        <f>SUM(U8:U10)</f>
        <v>618186.75</v>
      </c>
      <c r="V11" s="27">
        <f>U11/$P11</f>
        <v>0.51115878923384894</v>
      </c>
      <c r="W11" s="26">
        <f>SUM(W8:W10)</f>
        <v>974700.35</v>
      </c>
      <c r="X11" s="27">
        <f>W11/$P11</f>
        <v>0.80594844643921737</v>
      </c>
      <c r="Y11" s="26">
        <f>SUM(Y8:Y10)</f>
        <v>449453</v>
      </c>
      <c r="Z11" s="26">
        <f>SUM(Z8:Z10)</f>
        <v>463491</v>
      </c>
    </row>
    <row r="12" spans="1:26" ht="13.9" customHeight="1" x14ac:dyDescent="0.25">
      <c r="D12" s="9"/>
      <c r="E12" s="22">
        <v>41</v>
      </c>
      <c r="F12" s="22" t="s">
        <v>23</v>
      </c>
      <c r="G12" s="23">
        <f t="shared" ref="G12:Q12" si="14">G651</f>
        <v>0</v>
      </c>
      <c r="H12" s="23">
        <f t="shared" si="14"/>
        <v>0</v>
      </c>
      <c r="I12" s="23">
        <f t="shared" si="14"/>
        <v>0</v>
      </c>
      <c r="J12" s="23">
        <f t="shared" si="14"/>
        <v>0</v>
      </c>
      <c r="K12" s="23">
        <f t="shared" si="14"/>
        <v>0</v>
      </c>
      <c r="L12" s="23">
        <f t="shared" si="14"/>
        <v>0</v>
      </c>
      <c r="M12" s="23">
        <f t="shared" si="14"/>
        <v>0</v>
      </c>
      <c r="N12" s="23">
        <f t="shared" si="14"/>
        <v>0</v>
      </c>
      <c r="O12" s="23">
        <f t="shared" si="14"/>
        <v>0</v>
      </c>
      <c r="P12" s="23">
        <f t="shared" si="14"/>
        <v>0</v>
      </c>
      <c r="Q12" s="23">
        <f t="shared" si="14"/>
        <v>0</v>
      </c>
      <c r="R12" s="24">
        <f>IFERROR(Q12/$P12,0)</f>
        <v>0</v>
      </c>
      <c r="S12" s="23">
        <f>S651</f>
        <v>0</v>
      </c>
      <c r="T12" s="24">
        <f>IFERROR(S12/$P12,0)</f>
        <v>0</v>
      </c>
      <c r="U12" s="23">
        <f>U651</f>
        <v>0</v>
      </c>
      <c r="V12" s="24">
        <f>IFERROR(U12/$P12,0)</f>
        <v>0</v>
      </c>
      <c r="W12" s="23">
        <f>W651</f>
        <v>0</v>
      </c>
      <c r="X12" s="24">
        <f>IFERROR(W12/$P12,0)</f>
        <v>0</v>
      </c>
      <c r="Y12" s="23">
        <f>Y651</f>
        <v>0</v>
      </c>
      <c r="Z12" s="23">
        <f>Z651</f>
        <v>0</v>
      </c>
    </row>
    <row r="13" spans="1:26" ht="13.9" customHeight="1" x14ac:dyDescent="0.25">
      <c r="D13" s="9"/>
      <c r="E13" s="22">
        <v>71</v>
      </c>
      <c r="F13" s="22" t="s">
        <v>24</v>
      </c>
      <c r="G13" s="23">
        <f>G645</f>
        <v>70010.5</v>
      </c>
      <c r="H13" s="23">
        <f>H645</f>
        <v>1617.83</v>
      </c>
      <c r="I13" s="23">
        <f>I645</f>
        <v>0</v>
      </c>
      <c r="J13" s="23">
        <v>2560</v>
      </c>
      <c r="K13" s="23">
        <f t="shared" ref="K13:Q13" si="15">K645</f>
        <v>0</v>
      </c>
      <c r="L13" s="23">
        <f t="shared" si="15"/>
        <v>0</v>
      </c>
      <c r="M13" s="23">
        <f t="shared" si="15"/>
        <v>0</v>
      </c>
      <c r="N13" s="23">
        <f t="shared" si="15"/>
        <v>0</v>
      </c>
      <c r="O13" s="23">
        <f t="shared" si="15"/>
        <v>0</v>
      </c>
      <c r="P13" s="23">
        <f t="shared" si="15"/>
        <v>0</v>
      </c>
      <c r="Q13" s="23">
        <f t="shared" si="15"/>
        <v>0</v>
      </c>
      <c r="R13" s="24">
        <f>IFERROR(Q13/$P13,0)</f>
        <v>0</v>
      </c>
      <c r="S13" s="23">
        <f>S645</f>
        <v>0</v>
      </c>
      <c r="T13" s="24">
        <f>IFERROR(S13/$P13,0)</f>
        <v>0</v>
      </c>
      <c r="U13" s="23">
        <f>U645</f>
        <v>0</v>
      </c>
      <c r="V13" s="24">
        <f>IFERROR(U13/$P13,0)</f>
        <v>0</v>
      </c>
      <c r="W13" s="23">
        <f>W645</f>
        <v>0</v>
      </c>
      <c r="X13" s="24">
        <f>IFERROR(W13/$P13,0)</f>
        <v>0</v>
      </c>
      <c r="Y13" s="23">
        <f>Y645</f>
        <v>0</v>
      </c>
      <c r="Z13" s="23">
        <f>Z645</f>
        <v>3000</v>
      </c>
    </row>
    <row r="14" spans="1:26" ht="13.9" customHeight="1" x14ac:dyDescent="0.25">
      <c r="D14" s="9"/>
      <c r="E14" s="22"/>
      <c r="F14" s="25" t="s">
        <v>29</v>
      </c>
      <c r="G14" s="26">
        <f t="shared" ref="G14:Q14" si="16">SUM(G12:G13)</f>
        <v>70010.5</v>
      </c>
      <c r="H14" s="26">
        <f t="shared" si="16"/>
        <v>1617.83</v>
      </c>
      <c r="I14" s="26">
        <f t="shared" si="16"/>
        <v>0</v>
      </c>
      <c r="J14" s="26">
        <f t="shared" si="16"/>
        <v>2560</v>
      </c>
      <c r="K14" s="26">
        <f t="shared" si="16"/>
        <v>0</v>
      </c>
      <c r="L14" s="26">
        <f t="shared" si="16"/>
        <v>0</v>
      </c>
      <c r="M14" s="26">
        <f t="shared" si="16"/>
        <v>0</v>
      </c>
      <c r="N14" s="26">
        <f t="shared" si="16"/>
        <v>0</v>
      </c>
      <c r="O14" s="26">
        <f t="shared" si="16"/>
        <v>0</v>
      </c>
      <c r="P14" s="26">
        <f t="shared" si="16"/>
        <v>0</v>
      </c>
      <c r="Q14" s="26">
        <f t="shared" si="16"/>
        <v>0</v>
      </c>
      <c r="R14" s="27">
        <f>IFERROR(Q14/$P14,0)</f>
        <v>0</v>
      </c>
      <c r="S14" s="26">
        <f>SUM(S12:S13)</f>
        <v>0</v>
      </c>
      <c r="T14" s="27">
        <f>IFERROR(S14/$P14,0)</f>
        <v>0</v>
      </c>
      <c r="U14" s="26">
        <f>SUM(U12:U13)</f>
        <v>0</v>
      </c>
      <c r="V14" s="27">
        <f>IFERROR(U14/$P14,0)</f>
        <v>0</v>
      </c>
      <c r="W14" s="26">
        <f>SUM(W12:W13)</f>
        <v>0</v>
      </c>
      <c r="X14" s="27">
        <f>IFERROR(W14/$P14,0)</f>
        <v>0</v>
      </c>
      <c r="Y14" s="26">
        <f>SUM(Y12:Y13)</f>
        <v>0</v>
      </c>
      <c r="Z14" s="26">
        <f>SUM(Z12:Z13)</f>
        <v>3000</v>
      </c>
    </row>
    <row r="15" spans="1:26" ht="13.9" customHeight="1" x14ac:dyDescent="0.25">
      <c r="D15" s="9"/>
      <c r="E15" s="22">
        <v>111</v>
      </c>
      <c r="F15" s="22" t="s">
        <v>22</v>
      </c>
      <c r="G15" s="23">
        <f t="shared" ref="G15:Q15" si="17">G3+G8</f>
        <v>1195723.8700000001</v>
      </c>
      <c r="H15" s="23">
        <f t="shared" si="17"/>
        <v>1587854.15</v>
      </c>
      <c r="I15" s="23">
        <f t="shared" si="17"/>
        <v>980786</v>
      </c>
      <c r="J15" s="23">
        <f t="shared" si="17"/>
        <v>692070.66</v>
      </c>
      <c r="K15" s="23">
        <f t="shared" si="17"/>
        <v>1194124</v>
      </c>
      <c r="L15" s="23">
        <f t="shared" si="17"/>
        <v>2000</v>
      </c>
      <c r="M15" s="23">
        <f t="shared" si="17"/>
        <v>3122</v>
      </c>
      <c r="N15" s="23">
        <f t="shared" si="17"/>
        <v>2892</v>
      </c>
      <c r="O15" s="23">
        <f t="shared" si="17"/>
        <v>-398001</v>
      </c>
      <c r="P15" s="23">
        <f t="shared" si="17"/>
        <v>804137</v>
      </c>
      <c r="Q15" s="23">
        <f t="shared" si="17"/>
        <v>156208.12</v>
      </c>
      <c r="R15" s="24">
        <f>Q15/$P15</f>
        <v>0.19425560569902889</v>
      </c>
      <c r="S15" s="23">
        <f>S3+S8</f>
        <v>322010.94000000006</v>
      </c>
      <c r="T15" s="24">
        <f>S15/$P15</f>
        <v>0.40044288473232803</v>
      </c>
      <c r="U15" s="23">
        <f>U3+U8</f>
        <v>477832.70999999996</v>
      </c>
      <c r="V15" s="24">
        <f>U15/$P15</f>
        <v>0.59421803747371404</v>
      </c>
      <c r="W15" s="23">
        <f>W3+W8</f>
        <v>811587.93</v>
      </c>
      <c r="X15" s="24">
        <f>W15/$P15</f>
        <v>1.0092657470057964</v>
      </c>
      <c r="Y15" s="23">
        <f>Y3+Y8</f>
        <v>661839</v>
      </c>
      <c r="Z15" s="23">
        <f>Z3+Z8</f>
        <v>662149</v>
      </c>
    </row>
    <row r="16" spans="1:26" ht="13.9" customHeight="1" x14ac:dyDescent="0.25">
      <c r="D16" s="9"/>
      <c r="E16" s="22">
        <v>41</v>
      </c>
      <c r="F16" s="22" t="s">
        <v>23</v>
      </c>
      <c r="G16" s="23">
        <f t="shared" ref="G16:Q16" si="18">G4+G9+G12</f>
        <v>1329648.8900000001</v>
      </c>
      <c r="H16" s="23">
        <f t="shared" si="18"/>
        <v>1117545.55</v>
      </c>
      <c r="I16" s="23">
        <f t="shared" si="18"/>
        <v>1717308</v>
      </c>
      <c r="J16" s="23">
        <f t="shared" si="18"/>
        <v>924720.95</v>
      </c>
      <c r="K16" s="23">
        <f t="shared" si="18"/>
        <v>2069827</v>
      </c>
      <c r="L16" s="23">
        <f t="shared" si="18"/>
        <v>595</v>
      </c>
      <c r="M16" s="23">
        <f t="shared" si="18"/>
        <v>26826</v>
      </c>
      <c r="N16" s="23">
        <f t="shared" si="18"/>
        <v>4157</v>
      </c>
      <c r="O16" s="23">
        <f t="shared" si="18"/>
        <v>-14930</v>
      </c>
      <c r="P16" s="23">
        <f t="shared" si="18"/>
        <v>2086475</v>
      </c>
      <c r="Q16" s="23">
        <f t="shared" si="18"/>
        <v>550029.36</v>
      </c>
      <c r="R16" s="24">
        <f>Q16/$P16</f>
        <v>0.26361655902898429</v>
      </c>
      <c r="S16" s="23">
        <f>S4+S9+S12</f>
        <v>768072.17000000016</v>
      </c>
      <c r="T16" s="24">
        <f>S16/$P16</f>
        <v>0.3681195173678094</v>
      </c>
      <c r="U16" s="23">
        <f>U4+U9+U12</f>
        <v>1236948.4099999999</v>
      </c>
      <c r="V16" s="24">
        <f>U16/$P16</f>
        <v>0.59284123222180951</v>
      </c>
      <c r="W16" s="23">
        <f>W4+W9+W12</f>
        <v>1750515.46</v>
      </c>
      <c r="X16" s="24">
        <f>W16/$P16</f>
        <v>0.83898223558873219</v>
      </c>
      <c r="Y16" s="23">
        <f>Y4+Y9+Y12</f>
        <v>1349447</v>
      </c>
      <c r="Z16" s="23">
        <f>Z4+Z9+Z12</f>
        <v>1411646</v>
      </c>
    </row>
    <row r="17" spans="1:26" ht="13.9" customHeight="1" x14ac:dyDescent="0.25">
      <c r="D17" s="9"/>
      <c r="E17" s="22">
        <v>52</v>
      </c>
      <c r="F17" s="22" t="s">
        <v>28</v>
      </c>
      <c r="G17" s="23">
        <f t="shared" ref="G17:Q17" si="19">G10</f>
        <v>0</v>
      </c>
      <c r="H17" s="23">
        <f t="shared" si="19"/>
        <v>0</v>
      </c>
      <c r="I17" s="23">
        <f t="shared" si="19"/>
        <v>0</v>
      </c>
      <c r="J17" s="23">
        <f t="shared" si="19"/>
        <v>0</v>
      </c>
      <c r="K17" s="23">
        <f t="shared" si="19"/>
        <v>0</v>
      </c>
      <c r="L17" s="23">
        <f t="shared" si="19"/>
        <v>0</v>
      </c>
      <c r="M17" s="23">
        <f t="shared" si="19"/>
        <v>0</v>
      </c>
      <c r="N17" s="23">
        <f t="shared" si="19"/>
        <v>0</v>
      </c>
      <c r="O17" s="23">
        <f t="shared" si="19"/>
        <v>0</v>
      </c>
      <c r="P17" s="23">
        <f t="shared" si="19"/>
        <v>0</v>
      </c>
      <c r="Q17" s="23">
        <f t="shared" si="19"/>
        <v>0</v>
      </c>
      <c r="R17" s="24">
        <f>IFERROR(Q17/$P17,0)</f>
        <v>0</v>
      </c>
      <c r="S17" s="23">
        <f>S10</f>
        <v>0</v>
      </c>
      <c r="T17" s="24">
        <f>IFERROR(S17/$P17,0)</f>
        <v>0</v>
      </c>
      <c r="U17" s="23">
        <f>U10</f>
        <v>0</v>
      </c>
      <c r="V17" s="24">
        <f>IFERROR(U17/$P17,0)</f>
        <v>0</v>
      </c>
      <c r="W17" s="23">
        <f>W10</f>
        <v>0</v>
      </c>
      <c r="X17" s="24">
        <f>IFERROR(W17/$P17,0)</f>
        <v>0</v>
      </c>
      <c r="Y17" s="23">
        <f>Y10</f>
        <v>0</v>
      </c>
      <c r="Z17" s="23">
        <f>Z10</f>
        <v>0</v>
      </c>
    </row>
    <row r="18" spans="1:26" ht="13.9" customHeight="1" x14ac:dyDescent="0.25">
      <c r="D18" s="9"/>
      <c r="E18" s="22">
        <v>71</v>
      </c>
      <c r="F18" s="22" t="s">
        <v>24</v>
      </c>
      <c r="G18" s="23">
        <f t="shared" ref="G18:Q18" si="20">G5+G13</f>
        <v>71410.5</v>
      </c>
      <c r="H18" s="23">
        <f t="shared" si="20"/>
        <v>3017.83</v>
      </c>
      <c r="I18" s="23">
        <f t="shared" si="20"/>
        <v>1400</v>
      </c>
      <c r="J18" s="23">
        <f t="shared" si="20"/>
        <v>3960</v>
      </c>
      <c r="K18" s="23">
        <f t="shared" si="20"/>
        <v>3000</v>
      </c>
      <c r="L18" s="23">
        <f t="shared" si="20"/>
        <v>0</v>
      </c>
      <c r="M18" s="23">
        <f t="shared" si="20"/>
        <v>0</v>
      </c>
      <c r="N18" s="23">
        <f t="shared" si="20"/>
        <v>0</v>
      </c>
      <c r="O18" s="23">
        <f t="shared" si="20"/>
        <v>0</v>
      </c>
      <c r="P18" s="23">
        <f t="shared" si="20"/>
        <v>3000</v>
      </c>
      <c r="Q18" s="23">
        <f t="shared" si="20"/>
        <v>0</v>
      </c>
      <c r="R18" s="24">
        <f>Q18/$P18</f>
        <v>0</v>
      </c>
      <c r="S18" s="23">
        <f>S5+S13</f>
        <v>0</v>
      </c>
      <c r="T18" s="24">
        <f>S18/$P18</f>
        <v>0</v>
      </c>
      <c r="U18" s="23">
        <f>U5+U13</f>
        <v>3000</v>
      </c>
      <c r="V18" s="24">
        <f>U18/$P18</f>
        <v>1</v>
      </c>
      <c r="W18" s="23">
        <f>W5+W13</f>
        <v>3000</v>
      </c>
      <c r="X18" s="24">
        <f>W18/$P18</f>
        <v>1</v>
      </c>
      <c r="Y18" s="23">
        <f>Y5+Y13</f>
        <v>3000</v>
      </c>
      <c r="Z18" s="23">
        <f>Z5+Z13</f>
        <v>6000</v>
      </c>
    </row>
    <row r="19" spans="1:26" ht="13.9" customHeight="1" x14ac:dyDescent="0.25">
      <c r="D19" s="9"/>
      <c r="E19" s="22">
        <v>72</v>
      </c>
      <c r="F19" s="22" t="s">
        <v>25</v>
      </c>
      <c r="G19" s="23">
        <f t="shared" ref="G19:Q19" si="21">G6</f>
        <v>57128.66</v>
      </c>
      <c r="H19" s="23">
        <f t="shared" si="21"/>
        <v>48677.340000000011</v>
      </c>
      <c r="I19" s="23">
        <f t="shared" si="21"/>
        <v>50455</v>
      </c>
      <c r="J19" s="23">
        <f t="shared" si="21"/>
        <v>41257.55000000001</v>
      </c>
      <c r="K19" s="23">
        <f t="shared" si="21"/>
        <v>51356</v>
      </c>
      <c r="L19" s="23">
        <f t="shared" si="21"/>
        <v>0</v>
      </c>
      <c r="M19" s="23">
        <f t="shared" si="21"/>
        <v>15</v>
      </c>
      <c r="N19" s="23">
        <f t="shared" si="21"/>
        <v>0</v>
      </c>
      <c r="O19" s="23">
        <f t="shared" si="21"/>
        <v>3</v>
      </c>
      <c r="P19" s="23">
        <f t="shared" si="21"/>
        <v>51374</v>
      </c>
      <c r="Q19" s="23">
        <f t="shared" si="21"/>
        <v>3789.77</v>
      </c>
      <c r="R19" s="24">
        <f>Q19/$P19</f>
        <v>7.3768248530385022E-2</v>
      </c>
      <c r="S19" s="23">
        <f>S6</f>
        <v>11770.1</v>
      </c>
      <c r="T19" s="24">
        <f>S19/$P19</f>
        <v>0.2291061626503679</v>
      </c>
      <c r="U19" s="23">
        <f>U6</f>
        <v>28429.29</v>
      </c>
      <c r="V19" s="24">
        <f>U19/$P19</f>
        <v>0.5533789465488379</v>
      </c>
      <c r="W19" s="23">
        <f>W6</f>
        <v>46431.06</v>
      </c>
      <c r="X19" s="24">
        <f>W19/$P19</f>
        <v>0.9037851831665823</v>
      </c>
      <c r="Y19" s="23">
        <f>Y6</f>
        <v>51191</v>
      </c>
      <c r="Z19" s="23">
        <f>Z6</f>
        <v>51191</v>
      </c>
    </row>
    <row r="20" spans="1:26" ht="13.9" customHeight="1" x14ac:dyDescent="0.25">
      <c r="D20" s="29"/>
      <c r="E20" s="30"/>
      <c r="F20" s="25" t="s">
        <v>124</v>
      </c>
      <c r="G20" s="26">
        <f t="shared" ref="G20:Q20" si="22">SUM(G15:G19)</f>
        <v>2653911.9200000004</v>
      </c>
      <c r="H20" s="26">
        <f t="shared" si="22"/>
        <v>2757094.87</v>
      </c>
      <c r="I20" s="26">
        <f t="shared" si="22"/>
        <v>2749949</v>
      </c>
      <c r="J20" s="26">
        <f t="shared" si="22"/>
        <v>1662009.16</v>
      </c>
      <c r="K20" s="26">
        <f t="shared" si="22"/>
        <v>3318307</v>
      </c>
      <c r="L20" s="26">
        <f t="shared" si="22"/>
        <v>2595</v>
      </c>
      <c r="M20" s="26">
        <f t="shared" si="22"/>
        <v>29963</v>
      </c>
      <c r="N20" s="26">
        <f t="shared" si="22"/>
        <v>7049</v>
      </c>
      <c r="O20" s="26">
        <f t="shared" si="22"/>
        <v>-412928</v>
      </c>
      <c r="P20" s="26">
        <f t="shared" si="22"/>
        <v>2944986</v>
      </c>
      <c r="Q20" s="26">
        <f t="shared" si="22"/>
        <v>710027.25</v>
      </c>
      <c r="R20" s="27">
        <f>Q20/$P20</f>
        <v>0.24109698653915501</v>
      </c>
      <c r="S20" s="26">
        <f>SUM(S15:S19)</f>
        <v>1101853.2100000004</v>
      </c>
      <c r="T20" s="27">
        <f>S20/$P20</f>
        <v>0.37414548320433455</v>
      </c>
      <c r="U20" s="26">
        <f>SUM(U15:U19)</f>
        <v>1746210.41</v>
      </c>
      <c r="V20" s="27">
        <f>U20/$P20</f>
        <v>0.59294353521544751</v>
      </c>
      <c r="W20" s="26">
        <f>SUM(W15:W19)</f>
        <v>2611534.4500000002</v>
      </c>
      <c r="X20" s="27">
        <f>W20/$P20</f>
        <v>0.88677312897242977</v>
      </c>
      <c r="Y20" s="26">
        <f>SUM(Y15:Y19)</f>
        <v>2065477</v>
      </c>
      <c r="Z20" s="26">
        <f>SUM(Z15:Z19)</f>
        <v>2130986</v>
      </c>
    </row>
    <row r="22" spans="1:26" ht="13.9" customHeight="1" x14ac:dyDescent="0.25">
      <c r="D22" s="8" t="s">
        <v>125</v>
      </c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</row>
    <row r="23" spans="1:26" ht="13.9" customHeight="1" x14ac:dyDescent="0.25">
      <c r="D23" s="19"/>
      <c r="E23" s="19"/>
      <c r="F23" s="19"/>
      <c r="G23" s="20" t="s">
        <v>1</v>
      </c>
      <c r="H23" s="20" t="s">
        <v>2</v>
      </c>
      <c r="I23" s="20" t="s">
        <v>3</v>
      </c>
      <c r="J23" s="20" t="s">
        <v>4</v>
      </c>
      <c r="K23" s="20" t="s">
        <v>5</v>
      </c>
      <c r="L23" s="20" t="s">
        <v>6</v>
      </c>
      <c r="M23" s="20" t="s">
        <v>7</v>
      </c>
      <c r="N23" s="20" t="s">
        <v>8</v>
      </c>
      <c r="O23" s="20" t="s">
        <v>9</v>
      </c>
      <c r="P23" s="20" t="s">
        <v>10</v>
      </c>
      <c r="Q23" s="20" t="s">
        <v>11</v>
      </c>
      <c r="R23" s="21" t="s">
        <v>12</v>
      </c>
      <c r="S23" s="20" t="s">
        <v>13</v>
      </c>
      <c r="T23" s="21" t="s">
        <v>14</v>
      </c>
      <c r="U23" s="20" t="s">
        <v>15</v>
      </c>
      <c r="V23" s="21" t="s">
        <v>16</v>
      </c>
      <c r="W23" s="20" t="s">
        <v>17</v>
      </c>
      <c r="X23" s="21" t="s">
        <v>18</v>
      </c>
      <c r="Y23" s="20" t="s">
        <v>19</v>
      </c>
      <c r="Z23" s="20" t="s">
        <v>20</v>
      </c>
    </row>
    <row r="24" spans="1:26" ht="13.9" customHeight="1" x14ac:dyDescent="0.25">
      <c r="A24" s="14">
        <v>1</v>
      </c>
      <c r="D24" s="7" t="s">
        <v>21</v>
      </c>
      <c r="E24" s="34">
        <v>111</v>
      </c>
      <c r="F24" s="34" t="s">
        <v>47</v>
      </c>
      <c r="G24" s="35">
        <f t="shared" ref="G24:Q24" si="23">G31+G125+G150</f>
        <v>11224.279999999999</v>
      </c>
      <c r="H24" s="35">
        <f t="shared" si="23"/>
        <v>15196.16</v>
      </c>
      <c r="I24" s="35">
        <f t="shared" si="23"/>
        <v>11632</v>
      </c>
      <c r="J24" s="35">
        <f t="shared" si="23"/>
        <v>14078.89</v>
      </c>
      <c r="K24" s="35">
        <f t="shared" si="23"/>
        <v>21421</v>
      </c>
      <c r="L24" s="35">
        <f t="shared" si="23"/>
        <v>0</v>
      </c>
      <c r="M24" s="35">
        <f t="shared" si="23"/>
        <v>1187</v>
      </c>
      <c r="N24" s="35">
        <f t="shared" si="23"/>
        <v>0</v>
      </c>
      <c r="O24" s="35">
        <f t="shared" si="23"/>
        <v>164</v>
      </c>
      <c r="P24" s="35">
        <f t="shared" si="23"/>
        <v>22772</v>
      </c>
      <c r="Q24" s="35">
        <f t="shared" si="23"/>
        <v>6792.3</v>
      </c>
      <c r="R24" s="36">
        <f>Q24/$P24</f>
        <v>0.29827419638152119</v>
      </c>
      <c r="S24" s="35">
        <f>S31+S125+S150</f>
        <v>12690.33</v>
      </c>
      <c r="T24" s="36">
        <f>S24/$P24</f>
        <v>0.55727779729492355</v>
      </c>
      <c r="U24" s="35">
        <f>U31+U125+U150</f>
        <v>16563.849999999999</v>
      </c>
      <c r="V24" s="36">
        <f>U24/$P24</f>
        <v>0.72737792025294212</v>
      </c>
      <c r="W24" s="35">
        <f>W31+W125+W150</f>
        <v>19631.91</v>
      </c>
      <c r="X24" s="36">
        <f>W24/$P24</f>
        <v>0.86210741261197965</v>
      </c>
      <c r="Y24" s="35">
        <f>Y31+Y125+Y150</f>
        <v>14627</v>
      </c>
      <c r="Z24" s="35">
        <f>Z31+Z125+Z150</f>
        <v>10113</v>
      </c>
    </row>
    <row r="25" spans="1:26" ht="13.9" customHeight="1" x14ac:dyDescent="0.25">
      <c r="A25" s="14">
        <v>1</v>
      </c>
      <c r="D25" s="7"/>
      <c r="E25" s="34">
        <v>41</v>
      </c>
      <c r="F25" s="34" t="s">
        <v>23</v>
      </c>
      <c r="G25" s="35">
        <f t="shared" ref="G25:Q25" si="24">G32+G128+G137</f>
        <v>259697.00999999998</v>
      </c>
      <c r="H25" s="35">
        <f t="shared" si="24"/>
        <v>252704.18</v>
      </c>
      <c r="I25" s="35">
        <f t="shared" si="24"/>
        <v>277066</v>
      </c>
      <c r="J25" s="35">
        <f t="shared" si="24"/>
        <v>219088.41999999998</v>
      </c>
      <c r="K25" s="35">
        <f t="shared" si="24"/>
        <v>226163</v>
      </c>
      <c r="L25" s="35">
        <f t="shared" si="24"/>
        <v>379</v>
      </c>
      <c r="M25" s="35">
        <f t="shared" si="24"/>
        <v>3270</v>
      </c>
      <c r="N25" s="35">
        <f t="shared" si="24"/>
        <v>5652</v>
      </c>
      <c r="O25" s="35">
        <f t="shared" si="24"/>
        <v>2364</v>
      </c>
      <c r="P25" s="35">
        <f t="shared" si="24"/>
        <v>237828</v>
      </c>
      <c r="Q25" s="35">
        <f t="shared" si="24"/>
        <v>63012.270000000004</v>
      </c>
      <c r="R25" s="36">
        <f>Q25/$P25</f>
        <v>0.2649489126595691</v>
      </c>
      <c r="S25" s="35">
        <f>S32+S128+S137</f>
        <v>110719.72</v>
      </c>
      <c r="T25" s="36">
        <f>S25/$P25</f>
        <v>0.46554535210320064</v>
      </c>
      <c r="U25" s="35">
        <f>U32+U128+U137</f>
        <v>167180.6</v>
      </c>
      <c r="V25" s="36">
        <f>U25/$P25</f>
        <v>0.70294750828329722</v>
      </c>
      <c r="W25" s="35">
        <f>W32+W128+W137</f>
        <v>226132.58999999997</v>
      </c>
      <c r="X25" s="36">
        <f>W25/$P25</f>
        <v>0.95082408295070375</v>
      </c>
      <c r="Y25" s="35">
        <f>Y32+Y128+Y137</f>
        <v>235957</v>
      </c>
      <c r="Z25" s="35">
        <f>Z32+Z128+Z137</f>
        <v>252393</v>
      </c>
    </row>
    <row r="26" spans="1:26" ht="13.9" customHeight="1" x14ac:dyDescent="0.25">
      <c r="A26" s="14">
        <v>1</v>
      </c>
      <c r="D26" s="7"/>
      <c r="E26" s="34">
        <v>72</v>
      </c>
      <c r="F26" s="34" t="s">
        <v>25</v>
      </c>
      <c r="G26" s="35">
        <f t="shared" ref="G26:Q26" si="25">G33</f>
        <v>893</v>
      </c>
      <c r="H26" s="35">
        <f t="shared" si="25"/>
        <v>939.98</v>
      </c>
      <c r="I26" s="35">
        <f t="shared" si="25"/>
        <v>985</v>
      </c>
      <c r="J26" s="35">
        <f t="shared" si="25"/>
        <v>780.65</v>
      </c>
      <c r="K26" s="35">
        <f t="shared" si="25"/>
        <v>782</v>
      </c>
      <c r="L26" s="35">
        <f t="shared" si="25"/>
        <v>0</v>
      </c>
      <c r="M26" s="35">
        <f t="shared" si="25"/>
        <v>0</v>
      </c>
      <c r="N26" s="35">
        <f t="shared" si="25"/>
        <v>0</v>
      </c>
      <c r="O26" s="35">
        <f t="shared" si="25"/>
        <v>122</v>
      </c>
      <c r="P26" s="35">
        <f t="shared" si="25"/>
        <v>904</v>
      </c>
      <c r="Q26" s="35">
        <f t="shared" si="25"/>
        <v>0</v>
      </c>
      <c r="R26" s="36">
        <f>Q26/$P26</f>
        <v>0</v>
      </c>
      <c r="S26" s="35">
        <f>S33</f>
        <v>0</v>
      </c>
      <c r="T26" s="36">
        <f>S26/$P26</f>
        <v>0</v>
      </c>
      <c r="U26" s="35">
        <f>U33</f>
        <v>0</v>
      </c>
      <c r="V26" s="36">
        <f>U26/$P26</f>
        <v>0</v>
      </c>
      <c r="W26" s="35">
        <f>W33</f>
        <v>904.5</v>
      </c>
      <c r="X26" s="36">
        <f>W26/$P26</f>
        <v>1.0005530973451326</v>
      </c>
      <c r="Y26" s="35">
        <f>Y33</f>
        <v>782</v>
      </c>
      <c r="Z26" s="35">
        <f>Z33</f>
        <v>782</v>
      </c>
    </row>
    <row r="27" spans="1:26" ht="13.9" customHeight="1" x14ac:dyDescent="0.25">
      <c r="A27" s="14">
        <v>1</v>
      </c>
      <c r="D27" s="29"/>
      <c r="E27" s="30"/>
      <c r="F27" s="37" t="s">
        <v>124</v>
      </c>
      <c r="G27" s="38">
        <f t="shared" ref="G27:Q27" si="26">SUM(G24:G26)</f>
        <v>271814.28999999998</v>
      </c>
      <c r="H27" s="38">
        <f t="shared" si="26"/>
        <v>268840.31999999995</v>
      </c>
      <c r="I27" s="38">
        <f t="shared" si="26"/>
        <v>289683</v>
      </c>
      <c r="J27" s="38">
        <f t="shared" si="26"/>
        <v>233947.96</v>
      </c>
      <c r="K27" s="38">
        <f t="shared" si="26"/>
        <v>248366</v>
      </c>
      <c r="L27" s="38">
        <f t="shared" si="26"/>
        <v>379</v>
      </c>
      <c r="M27" s="38">
        <f t="shared" si="26"/>
        <v>4457</v>
      </c>
      <c r="N27" s="38">
        <f t="shared" si="26"/>
        <v>5652</v>
      </c>
      <c r="O27" s="38">
        <f t="shared" si="26"/>
        <v>2650</v>
      </c>
      <c r="P27" s="38">
        <f t="shared" si="26"/>
        <v>261504</v>
      </c>
      <c r="Q27" s="38">
        <f t="shared" si="26"/>
        <v>69804.570000000007</v>
      </c>
      <c r="R27" s="39">
        <f>Q27/$P27</f>
        <v>0.26693499908223206</v>
      </c>
      <c r="S27" s="38">
        <f>SUM(S24:S26)</f>
        <v>123410.05</v>
      </c>
      <c r="T27" s="39">
        <f>S27/$P27</f>
        <v>0.47192413882770434</v>
      </c>
      <c r="U27" s="38">
        <f>SUM(U24:U26)</f>
        <v>183744.45</v>
      </c>
      <c r="V27" s="39">
        <f>U27/$P27</f>
        <v>0.70264489262114538</v>
      </c>
      <c r="W27" s="38">
        <f>SUM(W24:W26)</f>
        <v>246668.99999999997</v>
      </c>
      <c r="X27" s="39">
        <f>W27/$P27</f>
        <v>0.94327046622613797</v>
      </c>
      <c r="Y27" s="38">
        <f>SUM(Y24:Y26)</f>
        <v>251366</v>
      </c>
      <c r="Z27" s="38">
        <f>SUM(Z24:Z26)</f>
        <v>263288</v>
      </c>
    </row>
    <row r="29" spans="1:26" ht="13.9" customHeight="1" x14ac:dyDescent="0.25">
      <c r="D29" s="6" t="s">
        <v>126</v>
      </c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spans="1:26" ht="13.9" customHeight="1" x14ac:dyDescent="0.25">
      <c r="D30" s="20"/>
      <c r="E30" s="20"/>
      <c r="F30" s="20"/>
      <c r="G30" s="20" t="s">
        <v>1</v>
      </c>
      <c r="H30" s="20" t="s">
        <v>2</v>
      </c>
      <c r="I30" s="20" t="s">
        <v>3</v>
      </c>
      <c r="J30" s="20" t="s">
        <v>4</v>
      </c>
      <c r="K30" s="20" t="s">
        <v>5</v>
      </c>
      <c r="L30" s="20" t="s">
        <v>6</v>
      </c>
      <c r="M30" s="20" t="s">
        <v>7</v>
      </c>
      <c r="N30" s="20" t="s">
        <v>8</v>
      </c>
      <c r="O30" s="20" t="s">
        <v>9</v>
      </c>
      <c r="P30" s="20" t="s">
        <v>10</v>
      </c>
      <c r="Q30" s="20" t="s">
        <v>11</v>
      </c>
      <c r="R30" s="21" t="s">
        <v>12</v>
      </c>
      <c r="S30" s="20" t="s">
        <v>13</v>
      </c>
      <c r="T30" s="21" t="s">
        <v>14</v>
      </c>
      <c r="U30" s="20" t="s">
        <v>15</v>
      </c>
      <c r="V30" s="21" t="s">
        <v>16</v>
      </c>
      <c r="W30" s="20" t="s">
        <v>17</v>
      </c>
      <c r="X30" s="21" t="s">
        <v>18</v>
      </c>
      <c r="Y30" s="20" t="s">
        <v>19</v>
      </c>
      <c r="Z30" s="20" t="s">
        <v>20</v>
      </c>
    </row>
    <row r="31" spans="1:26" ht="13.9" customHeight="1" x14ac:dyDescent="0.25">
      <c r="A31" s="14">
        <v>1</v>
      </c>
      <c r="B31" s="14">
        <v>1</v>
      </c>
      <c r="D31" s="12" t="s">
        <v>21</v>
      </c>
      <c r="E31" s="22">
        <v>111</v>
      </c>
      <c r="F31" s="22" t="s">
        <v>47</v>
      </c>
      <c r="G31" s="23">
        <f t="shared" ref="G31:Q31" si="27">G50+G73+G112</f>
        <v>6065.7199999999993</v>
      </c>
      <c r="H31" s="23">
        <f t="shared" si="27"/>
        <v>6496.09</v>
      </c>
      <c r="I31" s="23">
        <f t="shared" si="27"/>
        <v>6496</v>
      </c>
      <c r="J31" s="23">
        <f t="shared" si="27"/>
        <v>6999.53</v>
      </c>
      <c r="K31" s="23">
        <f t="shared" si="27"/>
        <v>5871</v>
      </c>
      <c r="L31" s="23">
        <f t="shared" si="27"/>
        <v>0</v>
      </c>
      <c r="M31" s="23">
        <f t="shared" si="27"/>
        <v>1187</v>
      </c>
      <c r="N31" s="23">
        <f t="shared" si="27"/>
        <v>0</v>
      </c>
      <c r="O31" s="23">
        <f t="shared" si="27"/>
        <v>164</v>
      </c>
      <c r="P31" s="23">
        <f t="shared" si="27"/>
        <v>7222</v>
      </c>
      <c r="Q31" s="23">
        <f t="shared" si="27"/>
        <v>1249</v>
      </c>
      <c r="R31" s="24">
        <f>Q31/$P31</f>
        <v>0.17294378288562726</v>
      </c>
      <c r="S31" s="23">
        <f>S50+S73+S112</f>
        <v>2905.08</v>
      </c>
      <c r="T31" s="24">
        <f>S31/$P31</f>
        <v>0.40225422320686788</v>
      </c>
      <c r="U31" s="23">
        <f>U50+U73+U112</f>
        <v>4154.3500000000004</v>
      </c>
      <c r="V31" s="24">
        <f>U31/$P31</f>
        <v>0.57523539185821104</v>
      </c>
      <c r="W31" s="23">
        <f>W50+W73+W112</f>
        <v>7222.41</v>
      </c>
      <c r="X31" s="24">
        <f>W31/$P31</f>
        <v>1.0000567709775685</v>
      </c>
      <c r="Y31" s="23">
        <f>Y50+Y73+Y112</f>
        <v>5871</v>
      </c>
      <c r="Z31" s="23">
        <f>Z50+Z73+Z112</f>
        <v>5871</v>
      </c>
    </row>
    <row r="32" spans="1:26" ht="13.9" customHeight="1" x14ac:dyDescent="0.25">
      <c r="A32" s="14">
        <v>1</v>
      </c>
      <c r="B32" s="14">
        <v>1</v>
      </c>
      <c r="D32" s="12"/>
      <c r="E32" s="22">
        <v>41</v>
      </c>
      <c r="F32" s="22" t="s">
        <v>23</v>
      </c>
      <c r="G32" s="23">
        <f t="shared" ref="G32:Q32" si="28">G42+G55+G65+G76+G91+G105+G117</f>
        <v>237304.42999999996</v>
      </c>
      <c r="H32" s="23">
        <f t="shared" si="28"/>
        <v>243314.96</v>
      </c>
      <c r="I32" s="23">
        <f t="shared" si="28"/>
        <v>248305</v>
      </c>
      <c r="J32" s="23">
        <f t="shared" si="28"/>
        <v>195326.44</v>
      </c>
      <c r="K32" s="23">
        <f t="shared" si="28"/>
        <v>205775</v>
      </c>
      <c r="L32" s="23">
        <f t="shared" si="28"/>
        <v>379</v>
      </c>
      <c r="M32" s="23">
        <f t="shared" si="28"/>
        <v>3270</v>
      </c>
      <c r="N32" s="23">
        <f t="shared" si="28"/>
        <v>6416</v>
      </c>
      <c r="O32" s="23">
        <f t="shared" si="28"/>
        <v>2364</v>
      </c>
      <c r="P32" s="23">
        <f t="shared" si="28"/>
        <v>218204</v>
      </c>
      <c r="Q32" s="23">
        <f t="shared" si="28"/>
        <v>55823.64</v>
      </c>
      <c r="R32" s="24">
        <f>Q32/$P32</f>
        <v>0.25583234037872815</v>
      </c>
      <c r="S32" s="23">
        <f>S42+S55+S65+S76+S91+S105+S117</f>
        <v>102837.68999999999</v>
      </c>
      <c r="T32" s="24">
        <f>S32/$P32</f>
        <v>0.47129149786438373</v>
      </c>
      <c r="U32" s="23">
        <f>U42+U55+U65+U76+U91+U105+U117</f>
        <v>155280.66</v>
      </c>
      <c r="V32" s="24">
        <f>U32/$P32</f>
        <v>0.71163067588128537</v>
      </c>
      <c r="W32" s="23">
        <f>W42+W55+W65+W76+W91+W105+W117</f>
        <v>210165.06999999998</v>
      </c>
      <c r="X32" s="24">
        <f>W32/$P32</f>
        <v>0.96315864970394671</v>
      </c>
      <c r="Y32" s="23">
        <f>Y42+Y55+Y65+Y76+Y91+Y105+Y117</f>
        <v>220929</v>
      </c>
      <c r="Z32" s="23">
        <f>Z42+Z55+Z65+Z76+Z91+Z105+Z117</f>
        <v>237365</v>
      </c>
    </row>
    <row r="33" spans="1:26" ht="13.9" customHeight="1" x14ac:dyDescent="0.25">
      <c r="A33" s="14">
        <v>1</v>
      </c>
      <c r="B33" s="14">
        <v>1</v>
      </c>
      <c r="D33" s="12"/>
      <c r="E33" s="22">
        <v>72</v>
      </c>
      <c r="F33" s="22" t="s">
        <v>25</v>
      </c>
      <c r="G33" s="23">
        <f t="shared" ref="G33:Q33" si="29">G44+G57+G67+G93+G119</f>
        <v>893</v>
      </c>
      <c r="H33" s="23">
        <f t="shared" si="29"/>
        <v>939.98</v>
      </c>
      <c r="I33" s="23">
        <f t="shared" si="29"/>
        <v>985</v>
      </c>
      <c r="J33" s="23">
        <f t="shared" si="29"/>
        <v>780.65</v>
      </c>
      <c r="K33" s="23">
        <f t="shared" si="29"/>
        <v>782</v>
      </c>
      <c r="L33" s="23">
        <f t="shared" si="29"/>
        <v>0</v>
      </c>
      <c r="M33" s="23">
        <f t="shared" si="29"/>
        <v>0</v>
      </c>
      <c r="N33" s="23">
        <f t="shared" si="29"/>
        <v>0</v>
      </c>
      <c r="O33" s="23">
        <f t="shared" si="29"/>
        <v>122</v>
      </c>
      <c r="P33" s="23">
        <f t="shared" si="29"/>
        <v>904</v>
      </c>
      <c r="Q33" s="23">
        <f t="shared" si="29"/>
        <v>0</v>
      </c>
      <c r="R33" s="24">
        <f>Q33/$P33</f>
        <v>0</v>
      </c>
      <c r="S33" s="23">
        <f>S44+S57+S67+S93+S119</f>
        <v>0</v>
      </c>
      <c r="T33" s="24">
        <f>S33/$P33</f>
        <v>0</v>
      </c>
      <c r="U33" s="23">
        <f>U44+U57+U67+U93+U119</f>
        <v>0</v>
      </c>
      <c r="V33" s="24">
        <f>U33/$P33</f>
        <v>0</v>
      </c>
      <c r="W33" s="23">
        <f>W44+W57+W67+W93+W119</f>
        <v>904.5</v>
      </c>
      <c r="X33" s="24">
        <f>W33/$P33</f>
        <v>1.0005530973451326</v>
      </c>
      <c r="Y33" s="23">
        <f>Y44+Y57+Y67+Y93+Y119</f>
        <v>782</v>
      </c>
      <c r="Z33" s="23">
        <f>Z44+Z57+Z67+Z93+Z119</f>
        <v>782</v>
      </c>
    </row>
    <row r="34" spans="1:26" ht="13.9" customHeight="1" x14ac:dyDescent="0.25">
      <c r="A34" s="14">
        <v>1</v>
      </c>
      <c r="B34" s="14">
        <v>1</v>
      </c>
      <c r="D34" s="29"/>
      <c r="E34" s="30"/>
      <c r="F34" s="25" t="s">
        <v>124</v>
      </c>
      <c r="G34" s="26">
        <f t="shared" ref="G34:Q34" si="30">SUM(G31:G33)</f>
        <v>244263.14999999997</v>
      </c>
      <c r="H34" s="26">
        <f t="shared" si="30"/>
        <v>250751.03</v>
      </c>
      <c r="I34" s="26">
        <f t="shared" si="30"/>
        <v>255786</v>
      </c>
      <c r="J34" s="26">
        <f t="shared" si="30"/>
        <v>203106.62</v>
      </c>
      <c r="K34" s="26">
        <f t="shared" si="30"/>
        <v>212428</v>
      </c>
      <c r="L34" s="26">
        <f t="shared" si="30"/>
        <v>379</v>
      </c>
      <c r="M34" s="26">
        <f t="shared" si="30"/>
        <v>4457</v>
      </c>
      <c r="N34" s="26">
        <f t="shared" si="30"/>
        <v>6416</v>
      </c>
      <c r="O34" s="26">
        <f t="shared" si="30"/>
        <v>2650</v>
      </c>
      <c r="P34" s="26">
        <f t="shared" si="30"/>
        <v>226330</v>
      </c>
      <c r="Q34" s="26">
        <f t="shared" si="30"/>
        <v>57072.639999999999</v>
      </c>
      <c r="R34" s="27">
        <f>Q34/$P34</f>
        <v>0.25216559890425483</v>
      </c>
      <c r="S34" s="26">
        <f>SUM(S31:S33)</f>
        <v>105742.76999999999</v>
      </c>
      <c r="T34" s="27">
        <f>S34/$P34</f>
        <v>0.46720615914814645</v>
      </c>
      <c r="U34" s="26">
        <f>SUM(U31:U33)</f>
        <v>159435.01</v>
      </c>
      <c r="V34" s="27">
        <f>U34/$P34</f>
        <v>0.70443604471347154</v>
      </c>
      <c r="W34" s="26">
        <f>SUM(W31:W33)</f>
        <v>218291.97999999998</v>
      </c>
      <c r="X34" s="27">
        <f>W34/$P34</f>
        <v>0.96448539742853345</v>
      </c>
      <c r="Y34" s="26">
        <f>SUM(Y31:Y33)</f>
        <v>227582</v>
      </c>
      <c r="Z34" s="26">
        <f>SUM(Z31:Z33)</f>
        <v>244018</v>
      </c>
    </row>
    <row r="36" spans="1:26" ht="13.9" customHeight="1" x14ac:dyDescent="0.25">
      <c r="D36" s="5" t="s">
        <v>127</v>
      </c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spans="1:26" ht="13.9" customHeight="1" x14ac:dyDescent="0.25">
      <c r="D37" s="20" t="s">
        <v>33</v>
      </c>
      <c r="E37" s="20" t="s">
        <v>34</v>
      </c>
      <c r="F37" s="20" t="s">
        <v>35</v>
      </c>
      <c r="G37" s="20" t="s">
        <v>1</v>
      </c>
      <c r="H37" s="20" t="s">
        <v>2</v>
      </c>
      <c r="I37" s="20" t="s">
        <v>3</v>
      </c>
      <c r="J37" s="20" t="s">
        <v>4</v>
      </c>
      <c r="K37" s="20" t="s">
        <v>5</v>
      </c>
      <c r="L37" s="20" t="s">
        <v>6</v>
      </c>
      <c r="M37" s="20" t="s">
        <v>7</v>
      </c>
      <c r="N37" s="20" t="s">
        <v>8</v>
      </c>
      <c r="O37" s="20" t="s">
        <v>9</v>
      </c>
      <c r="P37" s="20" t="s">
        <v>10</v>
      </c>
      <c r="Q37" s="20" t="s">
        <v>11</v>
      </c>
      <c r="R37" s="21" t="s">
        <v>12</v>
      </c>
      <c r="S37" s="20" t="s">
        <v>13</v>
      </c>
      <c r="T37" s="21" t="s">
        <v>14</v>
      </c>
      <c r="U37" s="20" t="s">
        <v>15</v>
      </c>
      <c r="V37" s="21" t="s">
        <v>16</v>
      </c>
      <c r="W37" s="20" t="s">
        <v>17</v>
      </c>
      <c r="X37" s="21" t="s">
        <v>18</v>
      </c>
      <c r="Y37" s="20" t="s">
        <v>19</v>
      </c>
      <c r="Z37" s="20" t="s">
        <v>20</v>
      </c>
    </row>
    <row r="38" spans="1:26" ht="13.9" customHeight="1" x14ac:dyDescent="0.25">
      <c r="A38" s="14">
        <v>1</v>
      </c>
      <c r="B38" s="14">
        <v>1</v>
      </c>
      <c r="C38" s="14">
        <v>1</v>
      </c>
      <c r="D38" s="4" t="s">
        <v>128</v>
      </c>
      <c r="E38" s="22">
        <v>610</v>
      </c>
      <c r="F38" s="22" t="s">
        <v>129</v>
      </c>
      <c r="G38" s="23">
        <v>28230.47</v>
      </c>
      <c r="H38" s="23">
        <v>43669.85</v>
      </c>
      <c r="I38" s="45">
        <v>49269</v>
      </c>
      <c r="J38" s="45">
        <v>46893.75</v>
      </c>
      <c r="K38" s="45">
        <v>47372</v>
      </c>
      <c r="L38" s="45"/>
      <c r="M38" s="45"/>
      <c r="N38" s="45"/>
      <c r="O38" s="45">
        <v>413</v>
      </c>
      <c r="P38" s="45">
        <f>K38+SUM(L38:O38)</f>
        <v>47785</v>
      </c>
      <c r="Q38" s="45">
        <v>11055.74</v>
      </c>
      <c r="R38" s="46">
        <f t="shared" ref="R38:R45" si="31">Q38/$P38</f>
        <v>0.23136423563879879</v>
      </c>
      <c r="S38" s="45">
        <v>23284.71</v>
      </c>
      <c r="T38" s="46">
        <f t="shared" ref="T38:T45" si="32">S38/$P38</f>
        <v>0.48728073663283455</v>
      </c>
      <c r="U38" s="45">
        <v>35515.83</v>
      </c>
      <c r="V38" s="46">
        <f t="shared" ref="V38:V45" si="33">U38/$P38</f>
        <v>0.74324223082557295</v>
      </c>
      <c r="W38" s="45">
        <v>47784.959999999999</v>
      </c>
      <c r="X38" s="46">
        <f t="shared" ref="X38:X45" si="34">W38/$P38</f>
        <v>0.99999916291723345</v>
      </c>
      <c r="Y38" s="23">
        <v>52109</v>
      </c>
      <c r="Z38" s="23">
        <v>57320</v>
      </c>
    </row>
    <row r="39" spans="1:26" ht="13.9" customHeight="1" x14ac:dyDescent="0.25">
      <c r="A39" s="14">
        <v>1</v>
      </c>
      <c r="B39" s="14">
        <v>1</v>
      </c>
      <c r="C39" s="14">
        <v>1</v>
      </c>
      <c r="D39" s="4"/>
      <c r="E39" s="22">
        <v>620</v>
      </c>
      <c r="F39" s="22" t="s">
        <v>130</v>
      </c>
      <c r="G39" s="23">
        <v>11924.68</v>
      </c>
      <c r="H39" s="23">
        <v>17394.66</v>
      </c>
      <c r="I39" s="23">
        <v>19843</v>
      </c>
      <c r="J39" s="23">
        <v>17196.669999999998</v>
      </c>
      <c r="K39" s="23">
        <v>19794</v>
      </c>
      <c r="L39" s="23"/>
      <c r="M39" s="23"/>
      <c r="N39" s="23"/>
      <c r="O39" s="23">
        <v>426</v>
      </c>
      <c r="P39" s="23">
        <f>K39+SUM(L39:O39)</f>
        <v>20220</v>
      </c>
      <c r="Q39" s="23">
        <v>6567.98</v>
      </c>
      <c r="R39" s="24">
        <f t="shared" si="31"/>
        <v>0.32482591493570717</v>
      </c>
      <c r="S39" s="23">
        <v>11110.97</v>
      </c>
      <c r="T39" s="24">
        <f t="shared" si="32"/>
        <v>0.54950395647873385</v>
      </c>
      <c r="U39" s="23">
        <v>15661.03</v>
      </c>
      <c r="V39" s="24">
        <f t="shared" si="33"/>
        <v>0.77453165182987149</v>
      </c>
      <c r="W39" s="23">
        <v>20218.939999999999</v>
      </c>
      <c r="X39" s="24">
        <f t="shared" si="34"/>
        <v>0.99994757665677536</v>
      </c>
      <c r="Y39" s="23">
        <v>21603</v>
      </c>
      <c r="Z39" s="23">
        <v>23528</v>
      </c>
    </row>
    <row r="40" spans="1:26" ht="13.9" customHeight="1" x14ac:dyDescent="0.25">
      <c r="A40" s="14">
        <v>1</v>
      </c>
      <c r="B40" s="14">
        <v>1</v>
      </c>
      <c r="C40" s="14">
        <v>1</v>
      </c>
      <c r="D40" s="4"/>
      <c r="E40" s="22">
        <v>630</v>
      </c>
      <c r="F40" s="22" t="s">
        <v>131</v>
      </c>
      <c r="G40" s="23">
        <v>9167.9599999999991</v>
      </c>
      <c r="H40" s="23">
        <v>8185.61</v>
      </c>
      <c r="I40" s="45">
        <v>8936</v>
      </c>
      <c r="J40" s="45">
        <v>5330.35</v>
      </c>
      <c r="K40" s="45">
        <f>7968+1671</f>
        <v>9639</v>
      </c>
      <c r="L40" s="45"/>
      <c r="M40" s="45"/>
      <c r="N40" s="45">
        <v>270</v>
      </c>
      <c r="O40" s="45">
        <v>-189</v>
      </c>
      <c r="P40" s="45">
        <f>K40+SUM(L40:O40)</f>
        <v>9720</v>
      </c>
      <c r="Q40" s="45">
        <v>7180.96</v>
      </c>
      <c r="R40" s="46">
        <f t="shared" si="31"/>
        <v>0.73878189300411523</v>
      </c>
      <c r="S40" s="45">
        <v>8050.78</v>
      </c>
      <c r="T40" s="46">
        <f t="shared" si="32"/>
        <v>0.82826954732510283</v>
      </c>
      <c r="U40" s="45">
        <v>8761.5</v>
      </c>
      <c r="V40" s="46">
        <f t="shared" si="33"/>
        <v>0.90138888888888891</v>
      </c>
      <c r="W40" s="45">
        <v>9718.6</v>
      </c>
      <c r="X40" s="46">
        <f t="shared" si="34"/>
        <v>0.99985596707818936</v>
      </c>
      <c r="Y40" s="23">
        <f>8180+1671</f>
        <v>9851</v>
      </c>
      <c r="Z40" s="23">
        <f>8243+1671</f>
        <v>9914</v>
      </c>
    </row>
    <row r="41" spans="1:26" ht="13.9" hidden="1" customHeight="1" x14ac:dyDescent="0.25">
      <c r="A41" s="14">
        <v>1</v>
      </c>
      <c r="B41" s="14">
        <v>1</v>
      </c>
      <c r="C41" s="14">
        <v>1</v>
      </c>
      <c r="D41" s="4"/>
      <c r="E41" s="22">
        <v>640</v>
      </c>
      <c r="F41" s="22" t="s">
        <v>132</v>
      </c>
      <c r="G41" s="23">
        <v>19.260000000000002</v>
      </c>
      <c r="H41" s="23">
        <v>0</v>
      </c>
      <c r="I41" s="23">
        <v>0</v>
      </c>
      <c r="J41" s="23">
        <v>0</v>
      </c>
      <c r="K41" s="23">
        <v>0</v>
      </c>
      <c r="L41" s="23"/>
      <c r="M41" s="23"/>
      <c r="N41" s="23"/>
      <c r="O41" s="23"/>
      <c r="P41" s="23">
        <f>K41+SUM(L41:O41)</f>
        <v>0</v>
      </c>
      <c r="Q41" s="23">
        <v>0</v>
      </c>
      <c r="R41" s="24" t="e">
        <f t="shared" si="31"/>
        <v>#DIV/0!</v>
      </c>
      <c r="S41" s="23">
        <v>0</v>
      </c>
      <c r="T41" s="24" t="e">
        <f t="shared" si="32"/>
        <v>#DIV/0!</v>
      </c>
      <c r="U41" s="23"/>
      <c r="V41" s="24" t="e">
        <f t="shared" si="33"/>
        <v>#DIV/0!</v>
      </c>
      <c r="W41" s="23"/>
      <c r="X41" s="24" t="e">
        <f t="shared" si="34"/>
        <v>#DIV/0!</v>
      </c>
      <c r="Y41" s="23">
        <v>0</v>
      </c>
      <c r="Z41" s="23">
        <v>0</v>
      </c>
    </row>
    <row r="42" spans="1:26" ht="13.9" customHeight="1" x14ac:dyDescent="0.25">
      <c r="A42" s="14">
        <v>1</v>
      </c>
      <c r="B42" s="14">
        <v>1</v>
      </c>
      <c r="C42" s="14">
        <v>1</v>
      </c>
      <c r="D42" s="84" t="s">
        <v>21</v>
      </c>
      <c r="E42" s="47">
        <v>41</v>
      </c>
      <c r="F42" s="47" t="s">
        <v>23</v>
      </c>
      <c r="G42" s="48">
        <f t="shared" ref="G42:Q42" si="35">SUM(G38:G41)</f>
        <v>49342.37</v>
      </c>
      <c r="H42" s="48">
        <f t="shared" si="35"/>
        <v>69250.12</v>
      </c>
      <c r="I42" s="48">
        <f t="shared" si="35"/>
        <v>78048</v>
      </c>
      <c r="J42" s="48">
        <f t="shared" si="35"/>
        <v>69420.77</v>
      </c>
      <c r="K42" s="48">
        <f t="shared" si="35"/>
        <v>76805</v>
      </c>
      <c r="L42" s="48">
        <f t="shared" si="35"/>
        <v>0</v>
      </c>
      <c r="M42" s="48">
        <f t="shared" si="35"/>
        <v>0</v>
      </c>
      <c r="N42" s="48">
        <f t="shared" si="35"/>
        <v>270</v>
      </c>
      <c r="O42" s="48">
        <f t="shared" si="35"/>
        <v>650</v>
      </c>
      <c r="P42" s="48">
        <f t="shared" si="35"/>
        <v>77725</v>
      </c>
      <c r="Q42" s="48">
        <f t="shared" si="35"/>
        <v>24804.68</v>
      </c>
      <c r="R42" s="49">
        <f t="shared" si="31"/>
        <v>0.31913386941138633</v>
      </c>
      <c r="S42" s="48">
        <f>SUM(S38:S41)</f>
        <v>42446.46</v>
      </c>
      <c r="T42" s="49">
        <f t="shared" si="32"/>
        <v>0.54611077516886453</v>
      </c>
      <c r="U42" s="48">
        <f>SUM(U38:U41)</f>
        <v>59938.36</v>
      </c>
      <c r="V42" s="49">
        <f t="shared" si="33"/>
        <v>0.77115934384046314</v>
      </c>
      <c r="W42" s="48">
        <f>SUM(W38:W41)</f>
        <v>77722.5</v>
      </c>
      <c r="X42" s="49">
        <f t="shared" si="34"/>
        <v>0.9999678353168221</v>
      </c>
      <c r="Y42" s="48">
        <f>SUM(Y38:Y41)</f>
        <v>83563</v>
      </c>
      <c r="Z42" s="48">
        <f>SUM(Z38:Z41)</f>
        <v>90762</v>
      </c>
    </row>
    <row r="43" spans="1:26" ht="13.9" customHeight="1" x14ac:dyDescent="0.25">
      <c r="A43" s="14">
        <v>1</v>
      </c>
      <c r="B43" s="14">
        <v>1</v>
      </c>
      <c r="C43" s="14">
        <v>1</v>
      </c>
      <c r="D43" s="22" t="s">
        <v>128</v>
      </c>
      <c r="E43" s="22">
        <v>640</v>
      </c>
      <c r="F43" s="22" t="s">
        <v>132</v>
      </c>
      <c r="G43" s="23">
        <v>124.62</v>
      </c>
      <c r="H43" s="23">
        <v>133.15</v>
      </c>
      <c r="I43" s="23">
        <v>140</v>
      </c>
      <c r="J43" s="23">
        <v>145.6</v>
      </c>
      <c r="K43" s="23">
        <v>146</v>
      </c>
      <c r="L43" s="23"/>
      <c r="M43" s="23"/>
      <c r="N43" s="23"/>
      <c r="O43" s="23">
        <v>15</v>
      </c>
      <c r="P43" s="23">
        <f>K43+SUM(L43:O43)</f>
        <v>161</v>
      </c>
      <c r="Q43" s="23">
        <v>0</v>
      </c>
      <c r="R43" s="24">
        <f t="shared" si="31"/>
        <v>0</v>
      </c>
      <c r="S43" s="23">
        <v>0</v>
      </c>
      <c r="T43" s="24">
        <f t="shared" si="32"/>
        <v>0</v>
      </c>
      <c r="U43" s="23">
        <v>0</v>
      </c>
      <c r="V43" s="24">
        <f t="shared" si="33"/>
        <v>0</v>
      </c>
      <c r="W43" s="23">
        <v>161.25</v>
      </c>
      <c r="X43" s="24">
        <f t="shared" si="34"/>
        <v>1.0015527950310559</v>
      </c>
      <c r="Y43" s="23">
        <f>K43</f>
        <v>146</v>
      </c>
      <c r="Z43" s="23">
        <f>Y43</f>
        <v>146</v>
      </c>
    </row>
    <row r="44" spans="1:26" ht="13.9" customHeight="1" x14ac:dyDescent="0.25">
      <c r="A44" s="14">
        <v>1</v>
      </c>
      <c r="B44" s="14">
        <v>1</v>
      </c>
      <c r="C44" s="14">
        <v>1</v>
      </c>
      <c r="D44" s="84" t="s">
        <v>21</v>
      </c>
      <c r="E44" s="85">
        <v>72</v>
      </c>
      <c r="F44" s="47" t="s">
        <v>25</v>
      </c>
      <c r="G44" s="48">
        <f t="shared" ref="G44:Q44" si="36">SUM(G43)</f>
        <v>124.62</v>
      </c>
      <c r="H44" s="48">
        <f t="shared" si="36"/>
        <v>133.15</v>
      </c>
      <c r="I44" s="48">
        <f t="shared" si="36"/>
        <v>140</v>
      </c>
      <c r="J44" s="48">
        <f t="shared" si="36"/>
        <v>145.6</v>
      </c>
      <c r="K44" s="48">
        <f t="shared" si="36"/>
        <v>146</v>
      </c>
      <c r="L44" s="48">
        <f t="shared" si="36"/>
        <v>0</v>
      </c>
      <c r="M44" s="48">
        <f t="shared" si="36"/>
        <v>0</v>
      </c>
      <c r="N44" s="48">
        <f t="shared" si="36"/>
        <v>0</v>
      </c>
      <c r="O44" s="48">
        <f t="shared" si="36"/>
        <v>15</v>
      </c>
      <c r="P44" s="48">
        <f t="shared" si="36"/>
        <v>161</v>
      </c>
      <c r="Q44" s="48">
        <f t="shared" si="36"/>
        <v>0</v>
      </c>
      <c r="R44" s="49">
        <f t="shared" si="31"/>
        <v>0</v>
      </c>
      <c r="S44" s="48">
        <f>SUM(S43)</f>
        <v>0</v>
      </c>
      <c r="T44" s="49">
        <f t="shared" si="32"/>
        <v>0</v>
      </c>
      <c r="U44" s="48">
        <f>SUM(U43)</f>
        <v>0</v>
      </c>
      <c r="V44" s="49">
        <f t="shared" si="33"/>
        <v>0</v>
      </c>
      <c r="W44" s="48">
        <f>SUM(W43)</f>
        <v>161.25</v>
      </c>
      <c r="X44" s="49">
        <f t="shared" si="34"/>
        <v>1.0015527950310559</v>
      </c>
      <c r="Y44" s="48">
        <f>SUM(Y43)</f>
        <v>146</v>
      </c>
      <c r="Z44" s="48">
        <f>SUM(Z43)</f>
        <v>146</v>
      </c>
    </row>
    <row r="45" spans="1:26" ht="13.9" customHeight="1" x14ac:dyDescent="0.25">
      <c r="A45" s="14">
        <v>1</v>
      </c>
      <c r="B45" s="14">
        <v>1</v>
      </c>
      <c r="C45" s="14">
        <v>1</v>
      </c>
      <c r="D45" s="86"/>
      <c r="E45" s="87"/>
      <c r="F45" s="25" t="s">
        <v>124</v>
      </c>
      <c r="G45" s="26">
        <f t="shared" ref="G45:Q45" si="37">G42+G44</f>
        <v>49466.990000000005</v>
      </c>
      <c r="H45" s="26">
        <f t="shared" si="37"/>
        <v>69383.26999999999</v>
      </c>
      <c r="I45" s="26">
        <f t="shared" si="37"/>
        <v>78188</v>
      </c>
      <c r="J45" s="26">
        <f t="shared" si="37"/>
        <v>69566.37000000001</v>
      </c>
      <c r="K45" s="26">
        <f t="shared" si="37"/>
        <v>76951</v>
      </c>
      <c r="L45" s="26">
        <f t="shared" si="37"/>
        <v>0</v>
      </c>
      <c r="M45" s="26">
        <f t="shared" si="37"/>
        <v>0</v>
      </c>
      <c r="N45" s="26">
        <f t="shared" si="37"/>
        <v>270</v>
      </c>
      <c r="O45" s="26">
        <f t="shared" si="37"/>
        <v>665</v>
      </c>
      <c r="P45" s="26">
        <f t="shared" si="37"/>
        <v>77886</v>
      </c>
      <c r="Q45" s="26">
        <f t="shared" si="37"/>
        <v>24804.68</v>
      </c>
      <c r="R45" s="27">
        <f t="shared" si="31"/>
        <v>0.31847418021210488</v>
      </c>
      <c r="S45" s="26">
        <f>S42+S44</f>
        <v>42446.46</v>
      </c>
      <c r="T45" s="27">
        <f t="shared" si="32"/>
        <v>0.54498189661813423</v>
      </c>
      <c r="U45" s="26">
        <f>U42+U44</f>
        <v>59938.36</v>
      </c>
      <c r="V45" s="27">
        <f t="shared" si="33"/>
        <v>0.76956526204966236</v>
      </c>
      <c r="W45" s="26">
        <f>W42+W44</f>
        <v>77883.75</v>
      </c>
      <c r="X45" s="27">
        <f t="shared" si="34"/>
        <v>0.99997111162468222</v>
      </c>
      <c r="Y45" s="26">
        <f>Y42+Y44</f>
        <v>83709</v>
      </c>
      <c r="Z45" s="26">
        <f>Z42+Z44</f>
        <v>90908</v>
      </c>
    </row>
    <row r="46" spans="1:26" ht="13.9" customHeight="1" x14ac:dyDescent="0.25">
      <c r="D46" s="88"/>
      <c r="E46" s="43"/>
      <c r="F46" s="43"/>
      <c r="G46" s="89"/>
      <c r="H46" s="89"/>
      <c r="I46" s="89"/>
      <c r="J46" s="89"/>
      <c r="K46" s="89"/>
      <c r="L46" s="89"/>
      <c r="M46" s="89"/>
      <c r="N46" s="89"/>
      <c r="O46" s="89"/>
      <c r="P46" s="89"/>
      <c r="Q46" s="89"/>
      <c r="R46" s="90"/>
      <c r="S46" s="89"/>
      <c r="T46" s="90"/>
      <c r="U46" s="89"/>
      <c r="V46" s="90"/>
      <c r="W46" s="89"/>
      <c r="X46" s="90"/>
      <c r="Y46" s="89"/>
      <c r="Z46" s="89"/>
    </row>
    <row r="47" spans="1:26" ht="13.9" customHeight="1" x14ac:dyDescent="0.25">
      <c r="D47" s="5" t="s">
        <v>133</v>
      </c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spans="1:26" ht="13.9" customHeight="1" x14ac:dyDescent="0.25">
      <c r="D48" s="20" t="s">
        <v>33</v>
      </c>
      <c r="E48" s="20" t="s">
        <v>34</v>
      </c>
      <c r="F48" s="20" t="s">
        <v>35</v>
      </c>
      <c r="G48" s="20" t="s">
        <v>1</v>
      </c>
      <c r="H48" s="20" t="s">
        <v>2</v>
      </c>
      <c r="I48" s="20" t="s">
        <v>3</v>
      </c>
      <c r="J48" s="20" t="s">
        <v>4</v>
      </c>
      <c r="K48" s="20" t="s">
        <v>5</v>
      </c>
      <c r="L48" s="20" t="s">
        <v>6</v>
      </c>
      <c r="M48" s="20" t="s">
        <v>7</v>
      </c>
      <c r="N48" s="20" t="s">
        <v>8</v>
      </c>
      <c r="O48" s="20" t="s">
        <v>9</v>
      </c>
      <c r="P48" s="20" t="s">
        <v>10</v>
      </c>
      <c r="Q48" s="20" t="s">
        <v>11</v>
      </c>
      <c r="R48" s="21" t="s">
        <v>12</v>
      </c>
      <c r="S48" s="20" t="s">
        <v>13</v>
      </c>
      <c r="T48" s="21" t="s">
        <v>14</v>
      </c>
      <c r="U48" s="20" t="s">
        <v>15</v>
      </c>
      <c r="V48" s="21" t="s">
        <v>16</v>
      </c>
      <c r="W48" s="20" t="s">
        <v>17</v>
      </c>
      <c r="X48" s="21" t="s">
        <v>18</v>
      </c>
      <c r="Y48" s="20" t="s">
        <v>19</v>
      </c>
      <c r="Z48" s="20" t="s">
        <v>20</v>
      </c>
    </row>
    <row r="49" spans="1:26" ht="13.9" customHeight="1" x14ac:dyDescent="0.25">
      <c r="A49" s="14">
        <v>1</v>
      </c>
      <c r="B49" s="14">
        <v>1</v>
      </c>
      <c r="C49" s="14">
        <v>2</v>
      </c>
      <c r="D49" s="22" t="s">
        <v>128</v>
      </c>
      <c r="E49" s="22">
        <v>610</v>
      </c>
      <c r="F49" s="22" t="s">
        <v>129</v>
      </c>
      <c r="G49" s="23">
        <v>294.12</v>
      </c>
      <c r="H49" s="23">
        <v>294.74</v>
      </c>
      <c r="I49" s="23">
        <v>295</v>
      </c>
      <c r="J49" s="23">
        <v>298.29000000000002</v>
      </c>
      <c r="K49" s="23">
        <f>príjmy!H108</f>
        <v>310</v>
      </c>
      <c r="L49" s="23"/>
      <c r="M49" s="23"/>
      <c r="N49" s="23"/>
      <c r="O49" s="23"/>
      <c r="P49" s="23">
        <f>K49+SUM(L49:O49)</f>
        <v>310</v>
      </c>
      <c r="Q49" s="23">
        <v>0</v>
      </c>
      <c r="R49" s="24">
        <f t="shared" ref="R49:R58" si="38">Q49/$P49</f>
        <v>0</v>
      </c>
      <c r="S49" s="23">
        <v>310.47000000000003</v>
      </c>
      <c r="T49" s="24">
        <f t="shared" ref="T49:T58" si="39">S49/$P49</f>
        <v>1.0015161290322581</v>
      </c>
      <c r="U49" s="23">
        <v>310.47000000000003</v>
      </c>
      <c r="V49" s="24">
        <f t="shared" ref="V49:V58" si="40">U49/$P49</f>
        <v>1.0015161290322581</v>
      </c>
      <c r="W49" s="23">
        <v>310.47000000000003</v>
      </c>
      <c r="X49" s="24">
        <f t="shared" ref="X49:X58" si="41">W49/$P49</f>
        <v>1.0015161290322581</v>
      </c>
      <c r="Y49" s="23">
        <f>príjmy!V108</f>
        <v>310</v>
      </c>
      <c r="Z49" s="23">
        <f>príjmy!W108</f>
        <v>310</v>
      </c>
    </row>
    <row r="50" spans="1:26" ht="13.9" customHeight="1" x14ac:dyDescent="0.25">
      <c r="A50" s="14">
        <v>1</v>
      </c>
      <c r="B50" s="14">
        <v>1</v>
      </c>
      <c r="C50" s="14">
        <v>2</v>
      </c>
      <c r="D50" s="84" t="s">
        <v>21</v>
      </c>
      <c r="E50" s="47">
        <v>111</v>
      </c>
      <c r="F50" s="47" t="s">
        <v>134</v>
      </c>
      <c r="G50" s="48">
        <f t="shared" ref="G50:Q50" si="42">SUM(G49)</f>
        <v>294.12</v>
      </c>
      <c r="H50" s="48">
        <f t="shared" si="42"/>
        <v>294.74</v>
      </c>
      <c r="I50" s="48">
        <f t="shared" si="42"/>
        <v>295</v>
      </c>
      <c r="J50" s="48">
        <f t="shared" si="42"/>
        <v>298.29000000000002</v>
      </c>
      <c r="K50" s="48">
        <f t="shared" si="42"/>
        <v>310</v>
      </c>
      <c r="L50" s="48">
        <f t="shared" si="42"/>
        <v>0</v>
      </c>
      <c r="M50" s="48">
        <f t="shared" si="42"/>
        <v>0</v>
      </c>
      <c r="N50" s="48">
        <f t="shared" si="42"/>
        <v>0</v>
      </c>
      <c r="O50" s="48">
        <f t="shared" si="42"/>
        <v>0</v>
      </c>
      <c r="P50" s="48">
        <f t="shared" si="42"/>
        <v>310</v>
      </c>
      <c r="Q50" s="48">
        <f t="shared" si="42"/>
        <v>0</v>
      </c>
      <c r="R50" s="49">
        <f t="shared" si="38"/>
        <v>0</v>
      </c>
      <c r="S50" s="48">
        <f>SUM(S49)</f>
        <v>310.47000000000003</v>
      </c>
      <c r="T50" s="49">
        <f t="shared" si="39"/>
        <v>1.0015161290322581</v>
      </c>
      <c r="U50" s="48">
        <f>SUM(U49)</f>
        <v>310.47000000000003</v>
      </c>
      <c r="V50" s="49">
        <f t="shared" si="40"/>
        <v>1.0015161290322581</v>
      </c>
      <c r="W50" s="48">
        <f>SUM(W49)</f>
        <v>310.47000000000003</v>
      </c>
      <c r="X50" s="49">
        <f t="shared" si="41"/>
        <v>1.0015161290322581</v>
      </c>
      <c r="Y50" s="48">
        <f>SUM(Y49)</f>
        <v>310</v>
      </c>
      <c r="Z50" s="48">
        <f>SUM(Z49)</f>
        <v>310</v>
      </c>
    </row>
    <row r="51" spans="1:26" ht="13.9" customHeight="1" x14ac:dyDescent="0.25">
      <c r="A51" s="14">
        <v>1</v>
      </c>
      <c r="B51" s="14">
        <v>1</v>
      </c>
      <c r="C51" s="14">
        <v>2</v>
      </c>
      <c r="D51" s="4" t="s">
        <v>128</v>
      </c>
      <c r="E51" s="22">
        <v>610</v>
      </c>
      <c r="F51" s="22" t="s">
        <v>129</v>
      </c>
      <c r="G51" s="23">
        <v>52890.33</v>
      </c>
      <c r="H51" s="23">
        <v>59578.7</v>
      </c>
      <c r="I51" s="45">
        <v>58978</v>
      </c>
      <c r="J51" s="45">
        <v>53896.7</v>
      </c>
      <c r="K51" s="45">
        <f>57023-K49</f>
        <v>56713</v>
      </c>
      <c r="L51" s="45"/>
      <c r="M51" s="45"/>
      <c r="N51" s="45"/>
      <c r="O51" s="45">
        <v>688</v>
      </c>
      <c r="P51" s="45">
        <f>K51+SUM(L51:O51)</f>
        <v>57401</v>
      </c>
      <c r="Q51" s="45">
        <v>12716.34</v>
      </c>
      <c r="R51" s="46">
        <f t="shared" si="38"/>
        <v>0.2215351648925977</v>
      </c>
      <c r="S51" s="45">
        <v>25054.19</v>
      </c>
      <c r="T51" s="46">
        <f t="shared" si="39"/>
        <v>0.43647654222051879</v>
      </c>
      <c r="U51" s="45">
        <v>37780.480000000003</v>
      </c>
      <c r="V51" s="46">
        <f t="shared" si="40"/>
        <v>0.65818504904095754</v>
      </c>
      <c r="W51" s="45">
        <v>57163.21</v>
      </c>
      <c r="X51" s="46">
        <f t="shared" si="41"/>
        <v>0.99585738924408984</v>
      </c>
      <c r="Y51" s="23">
        <f>62440-Y49</f>
        <v>62130</v>
      </c>
      <c r="Z51" s="23">
        <f>68399-Z49</f>
        <v>68089</v>
      </c>
    </row>
    <row r="52" spans="1:26" ht="13.9" customHeight="1" x14ac:dyDescent="0.25">
      <c r="A52" s="14">
        <v>1</v>
      </c>
      <c r="B52" s="14">
        <v>1</v>
      </c>
      <c r="C52" s="14">
        <v>2</v>
      </c>
      <c r="D52" s="4"/>
      <c r="E52" s="22">
        <v>620</v>
      </c>
      <c r="F52" s="22" t="s">
        <v>130</v>
      </c>
      <c r="G52" s="23">
        <v>19533.810000000001</v>
      </c>
      <c r="H52" s="23">
        <v>22610.68</v>
      </c>
      <c r="I52" s="23">
        <v>22025</v>
      </c>
      <c r="J52" s="23">
        <v>18796.07</v>
      </c>
      <c r="K52" s="23">
        <v>21304</v>
      </c>
      <c r="L52" s="23"/>
      <c r="M52" s="23"/>
      <c r="N52" s="23"/>
      <c r="O52" s="23"/>
      <c r="P52" s="23">
        <f>K52+SUM(L52:O52)</f>
        <v>21304</v>
      </c>
      <c r="Q52" s="23">
        <v>4677.0600000000004</v>
      </c>
      <c r="R52" s="24">
        <f t="shared" si="38"/>
        <v>0.21953905369883592</v>
      </c>
      <c r="S52" s="23">
        <v>9333.57</v>
      </c>
      <c r="T52" s="24">
        <f t="shared" si="39"/>
        <v>0.43811349981224179</v>
      </c>
      <c r="U52" s="23">
        <v>14015.34</v>
      </c>
      <c r="V52" s="24">
        <f t="shared" si="40"/>
        <v>0.65787363875328575</v>
      </c>
      <c r="W52" s="23">
        <v>21110.48</v>
      </c>
      <c r="X52" s="24">
        <f t="shared" si="41"/>
        <v>0.9909162598573038</v>
      </c>
      <c r="Y52" s="23">
        <v>23305</v>
      </c>
      <c r="Z52" s="23">
        <v>25506</v>
      </c>
    </row>
    <row r="53" spans="1:26" ht="13.9" customHeight="1" x14ac:dyDescent="0.25">
      <c r="A53" s="14">
        <v>1</v>
      </c>
      <c r="B53" s="14">
        <v>1</v>
      </c>
      <c r="C53" s="14">
        <v>2</v>
      </c>
      <c r="D53" s="4"/>
      <c r="E53" s="22">
        <v>630</v>
      </c>
      <c r="F53" s="22" t="s">
        <v>131</v>
      </c>
      <c r="G53" s="23">
        <v>4381.3100000000004</v>
      </c>
      <c r="H53" s="23">
        <v>5956.73</v>
      </c>
      <c r="I53" s="23">
        <v>6513</v>
      </c>
      <c r="J53" s="23">
        <v>4785.57</v>
      </c>
      <c r="K53" s="23">
        <f>4725+700</f>
        <v>5425</v>
      </c>
      <c r="L53" s="23"/>
      <c r="M53" s="23"/>
      <c r="N53" s="23"/>
      <c r="O53" s="23"/>
      <c r="P53" s="23">
        <f>K53+SUM(L53:O53)</f>
        <v>5425</v>
      </c>
      <c r="Q53" s="23">
        <v>995.98</v>
      </c>
      <c r="R53" s="24">
        <f t="shared" si="38"/>
        <v>0.18359078341013826</v>
      </c>
      <c r="S53" s="23">
        <v>2241.4</v>
      </c>
      <c r="T53" s="24">
        <f t="shared" si="39"/>
        <v>0.41316129032258064</v>
      </c>
      <c r="U53" s="23">
        <v>3456.23</v>
      </c>
      <c r="V53" s="24">
        <f t="shared" si="40"/>
        <v>0.63709308755760374</v>
      </c>
      <c r="W53" s="23">
        <v>4516.49</v>
      </c>
      <c r="X53" s="24">
        <f t="shared" si="41"/>
        <v>0.83253271889400915</v>
      </c>
      <c r="Y53" s="23">
        <f>4769+700</f>
        <v>5469</v>
      </c>
      <c r="Z53" s="23">
        <f>4814+700</f>
        <v>5514</v>
      </c>
    </row>
    <row r="54" spans="1:26" ht="13.9" customHeight="1" x14ac:dyDescent="0.25">
      <c r="A54" s="14">
        <v>1</v>
      </c>
      <c r="B54" s="14">
        <v>1</v>
      </c>
      <c r="C54" s="14">
        <v>2</v>
      </c>
      <c r="D54" s="4"/>
      <c r="E54" s="22">
        <v>640</v>
      </c>
      <c r="F54" s="22" t="s">
        <v>132</v>
      </c>
      <c r="G54" s="23">
        <v>0</v>
      </c>
      <c r="H54" s="23">
        <v>2213.75</v>
      </c>
      <c r="I54" s="23">
        <v>0</v>
      </c>
      <c r="J54" s="23">
        <v>0</v>
      </c>
      <c r="K54" s="23">
        <v>0</v>
      </c>
      <c r="L54" s="23"/>
      <c r="M54" s="23"/>
      <c r="N54" s="23"/>
      <c r="O54" s="23">
        <v>133</v>
      </c>
      <c r="P54" s="23">
        <f>K54+SUM(L54:O54)</f>
        <v>133</v>
      </c>
      <c r="Q54" s="23">
        <v>0</v>
      </c>
      <c r="R54" s="24">
        <f t="shared" si="38"/>
        <v>0</v>
      </c>
      <c r="S54" s="23">
        <v>0</v>
      </c>
      <c r="T54" s="24">
        <f t="shared" si="39"/>
        <v>0</v>
      </c>
      <c r="U54" s="23"/>
      <c r="V54" s="24">
        <f t="shared" si="40"/>
        <v>0</v>
      </c>
      <c r="W54" s="23">
        <v>132.54</v>
      </c>
      <c r="X54" s="24">
        <f t="shared" si="41"/>
        <v>0.99654135338345862</v>
      </c>
      <c r="Y54" s="23">
        <v>0</v>
      </c>
      <c r="Z54" s="23">
        <v>0</v>
      </c>
    </row>
    <row r="55" spans="1:26" ht="13.9" customHeight="1" x14ac:dyDescent="0.25">
      <c r="A55" s="14">
        <v>1</v>
      </c>
      <c r="B55" s="14">
        <v>1</v>
      </c>
      <c r="C55" s="14">
        <v>2</v>
      </c>
      <c r="D55" s="84" t="s">
        <v>21</v>
      </c>
      <c r="E55" s="47">
        <v>41</v>
      </c>
      <c r="F55" s="47" t="s">
        <v>23</v>
      </c>
      <c r="G55" s="48">
        <f t="shared" ref="G55:Q55" si="43">SUM(G51:G54)</f>
        <v>76805.45</v>
      </c>
      <c r="H55" s="48">
        <f t="shared" si="43"/>
        <v>90359.86</v>
      </c>
      <c r="I55" s="48">
        <f t="shared" si="43"/>
        <v>87516</v>
      </c>
      <c r="J55" s="48">
        <f t="shared" si="43"/>
        <v>77478.34</v>
      </c>
      <c r="K55" s="48">
        <f t="shared" si="43"/>
        <v>83442</v>
      </c>
      <c r="L55" s="48">
        <f t="shared" si="43"/>
        <v>0</v>
      </c>
      <c r="M55" s="48">
        <f t="shared" si="43"/>
        <v>0</v>
      </c>
      <c r="N55" s="48">
        <f t="shared" si="43"/>
        <v>0</v>
      </c>
      <c r="O55" s="48">
        <f t="shared" si="43"/>
        <v>821</v>
      </c>
      <c r="P55" s="48">
        <f t="shared" si="43"/>
        <v>84263</v>
      </c>
      <c r="Q55" s="48">
        <f t="shared" si="43"/>
        <v>18389.38</v>
      </c>
      <c r="R55" s="49">
        <f t="shared" si="38"/>
        <v>0.21823789800980264</v>
      </c>
      <c r="S55" s="48">
        <f>SUM(S51:S54)</f>
        <v>36629.159999999996</v>
      </c>
      <c r="T55" s="49">
        <f t="shared" si="39"/>
        <v>0.4347004023118094</v>
      </c>
      <c r="U55" s="48">
        <f>SUM(U51:U54)</f>
        <v>55252.05000000001</v>
      </c>
      <c r="V55" s="49">
        <f t="shared" si="40"/>
        <v>0.65570950476484358</v>
      </c>
      <c r="W55" s="48">
        <f>SUM(W51:W54)</f>
        <v>82922.720000000001</v>
      </c>
      <c r="X55" s="49">
        <f t="shared" si="41"/>
        <v>0.98409408637242923</v>
      </c>
      <c r="Y55" s="48">
        <f>SUM(Y51:Y54)</f>
        <v>90904</v>
      </c>
      <c r="Z55" s="48">
        <f>SUM(Z51:Z54)</f>
        <v>99109</v>
      </c>
    </row>
    <row r="56" spans="1:26" ht="13.9" customHeight="1" x14ac:dyDescent="0.25">
      <c r="A56" s="14">
        <v>1</v>
      </c>
      <c r="B56" s="14">
        <v>1</v>
      </c>
      <c r="C56" s="14">
        <v>2</v>
      </c>
      <c r="D56" s="22" t="s">
        <v>128</v>
      </c>
      <c r="E56" s="22">
        <v>640</v>
      </c>
      <c r="F56" s="22" t="s">
        <v>132</v>
      </c>
      <c r="G56" s="23">
        <v>459.1</v>
      </c>
      <c r="H56" s="23">
        <v>549.33000000000004</v>
      </c>
      <c r="I56" s="23">
        <v>575</v>
      </c>
      <c r="J56" s="23">
        <v>550.54999999999995</v>
      </c>
      <c r="K56" s="23">
        <v>551</v>
      </c>
      <c r="L56" s="23"/>
      <c r="M56" s="23"/>
      <c r="N56" s="23"/>
      <c r="O56" s="23">
        <v>87</v>
      </c>
      <c r="P56" s="23">
        <f>K56+SUM(L56:O56)</f>
        <v>638</v>
      </c>
      <c r="Q56" s="23">
        <v>0</v>
      </c>
      <c r="R56" s="24">
        <f t="shared" si="38"/>
        <v>0</v>
      </c>
      <c r="S56" s="23">
        <v>0</v>
      </c>
      <c r="T56" s="24">
        <f t="shared" si="39"/>
        <v>0</v>
      </c>
      <c r="U56" s="23">
        <v>0</v>
      </c>
      <c r="V56" s="24">
        <f t="shared" si="40"/>
        <v>0</v>
      </c>
      <c r="W56" s="23">
        <v>638.25</v>
      </c>
      <c r="X56" s="24">
        <f t="shared" si="41"/>
        <v>1.0003918495297806</v>
      </c>
      <c r="Y56" s="23">
        <f>K56</f>
        <v>551</v>
      </c>
      <c r="Z56" s="23">
        <f>Y56</f>
        <v>551</v>
      </c>
    </row>
    <row r="57" spans="1:26" ht="13.9" customHeight="1" x14ac:dyDescent="0.25">
      <c r="A57" s="14">
        <v>1</v>
      </c>
      <c r="B57" s="14">
        <v>1</v>
      </c>
      <c r="C57" s="14">
        <v>2</v>
      </c>
      <c r="D57" s="84" t="s">
        <v>21</v>
      </c>
      <c r="E57" s="85">
        <v>72</v>
      </c>
      <c r="F57" s="47" t="s">
        <v>25</v>
      </c>
      <c r="G57" s="48">
        <f t="shared" ref="G57:Q57" si="44">SUM(G56)</f>
        <v>459.1</v>
      </c>
      <c r="H57" s="48">
        <f t="shared" si="44"/>
        <v>549.33000000000004</v>
      </c>
      <c r="I57" s="48">
        <f t="shared" si="44"/>
        <v>575</v>
      </c>
      <c r="J57" s="48">
        <f t="shared" si="44"/>
        <v>550.54999999999995</v>
      </c>
      <c r="K57" s="48">
        <f t="shared" si="44"/>
        <v>551</v>
      </c>
      <c r="L57" s="48">
        <f t="shared" si="44"/>
        <v>0</v>
      </c>
      <c r="M57" s="48">
        <f t="shared" si="44"/>
        <v>0</v>
      </c>
      <c r="N57" s="48">
        <f t="shared" si="44"/>
        <v>0</v>
      </c>
      <c r="O57" s="48">
        <f t="shared" si="44"/>
        <v>87</v>
      </c>
      <c r="P57" s="48">
        <f t="shared" si="44"/>
        <v>638</v>
      </c>
      <c r="Q57" s="48">
        <f t="shared" si="44"/>
        <v>0</v>
      </c>
      <c r="R57" s="49">
        <f t="shared" si="38"/>
        <v>0</v>
      </c>
      <c r="S57" s="48">
        <f>SUM(S56)</f>
        <v>0</v>
      </c>
      <c r="T57" s="49">
        <f t="shared" si="39"/>
        <v>0</v>
      </c>
      <c r="U57" s="48">
        <f>SUM(U56)</f>
        <v>0</v>
      </c>
      <c r="V57" s="49">
        <f t="shared" si="40"/>
        <v>0</v>
      </c>
      <c r="W57" s="48">
        <f>SUM(W56)</f>
        <v>638.25</v>
      </c>
      <c r="X57" s="49">
        <f t="shared" si="41"/>
        <v>1.0003918495297806</v>
      </c>
      <c r="Y57" s="48">
        <f>SUM(Y56)</f>
        <v>551</v>
      </c>
      <c r="Z57" s="48">
        <f>SUM(Z56)</f>
        <v>551</v>
      </c>
    </row>
    <row r="58" spans="1:26" ht="13.9" customHeight="1" x14ac:dyDescent="0.25">
      <c r="A58" s="14">
        <v>1</v>
      </c>
      <c r="B58" s="14">
        <v>1</v>
      </c>
      <c r="C58" s="14">
        <v>2</v>
      </c>
      <c r="D58" s="86"/>
      <c r="E58" s="87"/>
      <c r="F58" s="25" t="s">
        <v>124</v>
      </c>
      <c r="G58" s="26">
        <f t="shared" ref="G58:Q58" si="45">G50+G55+G57</f>
        <v>77558.67</v>
      </c>
      <c r="H58" s="26">
        <f t="shared" si="45"/>
        <v>91203.930000000008</v>
      </c>
      <c r="I58" s="26">
        <f t="shared" si="45"/>
        <v>88386</v>
      </c>
      <c r="J58" s="26">
        <f t="shared" si="45"/>
        <v>78327.179999999993</v>
      </c>
      <c r="K58" s="26">
        <f t="shared" si="45"/>
        <v>84303</v>
      </c>
      <c r="L58" s="26">
        <f t="shared" si="45"/>
        <v>0</v>
      </c>
      <c r="M58" s="26">
        <f t="shared" si="45"/>
        <v>0</v>
      </c>
      <c r="N58" s="26">
        <f t="shared" si="45"/>
        <v>0</v>
      </c>
      <c r="O58" s="26">
        <f t="shared" si="45"/>
        <v>908</v>
      </c>
      <c r="P58" s="26">
        <f t="shared" si="45"/>
        <v>85211</v>
      </c>
      <c r="Q58" s="26">
        <f t="shared" si="45"/>
        <v>18389.38</v>
      </c>
      <c r="R58" s="27">
        <f t="shared" si="38"/>
        <v>0.21580993064275741</v>
      </c>
      <c r="S58" s="26">
        <f>S50+S55+S57</f>
        <v>36939.629999999997</v>
      </c>
      <c r="T58" s="27">
        <f t="shared" si="39"/>
        <v>0.43350776308223116</v>
      </c>
      <c r="U58" s="26">
        <f>U50+U55+U57</f>
        <v>55562.520000000011</v>
      </c>
      <c r="V58" s="27">
        <f t="shared" si="40"/>
        <v>0.65205806762037777</v>
      </c>
      <c r="W58" s="26">
        <f>W50+W55+W57</f>
        <v>83871.44</v>
      </c>
      <c r="X58" s="27">
        <f t="shared" si="41"/>
        <v>0.98427949443147011</v>
      </c>
      <c r="Y58" s="26">
        <f>Y50+Y55+Y57</f>
        <v>91765</v>
      </c>
      <c r="Z58" s="26">
        <f>Z50+Z55+Z57</f>
        <v>99970</v>
      </c>
    </row>
    <row r="59" spans="1:26" ht="13.9" customHeight="1" x14ac:dyDescent="0.25">
      <c r="D59" s="88"/>
      <c r="E59" s="43"/>
      <c r="F59" s="43"/>
      <c r="G59" s="89"/>
      <c r="H59" s="89"/>
      <c r="I59" s="89"/>
      <c r="J59" s="89"/>
      <c r="K59" s="89"/>
      <c r="L59" s="89"/>
      <c r="M59" s="89"/>
      <c r="N59" s="89"/>
      <c r="O59" s="89"/>
      <c r="P59" s="89"/>
      <c r="Q59" s="89"/>
      <c r="R59" s="90"/>
      <c r="S59" s="89"/>
      <c r="T59" s="90"/>
      <c r="U59" s="89"/>
      <c r="V59" s="90"/>
      <c r="W59" s="89"/>
      <c r="X59" s="90"/>
      <c r="Y59" s="89"/>
      <c r="Z59" s="89"/>
    </row>
    <row r="60" spans="1:26" ht="13.9" customHeight="1" x14ac:dyDescent="0.25">
      <c r="D60" s="5" t="s">
        <v>135</v>
      </c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spans="1:26" ht="13.9" customHeight="1" x14ac:dyDescent="0.25">
      <c r="D61" s="20" t="s">
        <v>33</v>
      </c>
      <c r="E61" s="20" t="s">
        <v>34</v>
      </c>
      <c r="F61" s="20" t="s">
        <v>35</v>
      </c>
      <c r="G61" s="20" t="s">
        <v>1</v>
      </c>
      <c r="H61" s="20" t="s">
        <v>2</v>
      </c>
      <c r="I61" s="20" t="s">
        <v>3</v>
      </c>
      <c r="J61" s="20" t="s">
        <v>4</v>
      </c>
      <c r="K61" s="20" t="s">
        <v>5</v>
      </c>
      <c r="L61" s="20" t="s">
        <v>6</v>
      </c>
      <c r="M61" s="20" t="s">
        <v>7</v>
      </c>
      <c r="N61" s="20" t="s">
        <v>8</v>
      </c>
      <c r="O61" s="20" t="s">
        <v>9</v>
      </c>
      <c r="P61" s="20" t="s">
        <v>10</v>
      </c>
      <c r="Q61" s="20" t="s">
        <v>11</v>
      </c>
      <c r="R61" s="21" t="s">
        <v>12</v>
      </c>
      <c r="S61" s="20" t="s">
        <v>13</v>
      </c>
      <c r="T61" s="21" t="s">
        <v>14</v>
      </c>
      <c r="U61" s="20" t="s">
        <v>15</v>
      </c>
      <c r="V61" s="21" t="s">
        <v>16</v>
      </c>
      <c r="W61" s="20" t="s">
        <v>17</v>
      </c>
      <c r="X61" s="21" t="s">
        <v>18</v>
      </c>
      <c r="Y61" s="20" t="s">
        <v>19</v>
      </c>
      <c r="Z61" s="20" t="s">
        <v>20</v>
      </c>
    </row>
    <row r="62" spans="1:26" ht="13.9" customHeight="1" x14ac:dyDescent="0.25">
      <c r="A62" s="14">
        <v>1</v>
      </c>
      <c r="B62" s="14">
        <v>1</v>
      </c>
      <c r="C62" s="14">
        <v>3</v>
      </c>
      <c r="D62" s="4" t="s">
        <v>136</v>
      </c>
      <c r="E62" s="22">
        <v>610</v>
      </c>
      <c r="F62" s="22" t="s">
        <v>129</v>
      </c>
      <c r="G62" s="23">
        <v>3838</v>
      </c>
      <c r="H62" s="23">
        <v>4072</v>
      </c>
      <c r="I62" s="23">
        <v>4279</v>
      </c>
      <c r="J62" s="23">
        <v>4378</v>
      </c>
      <c r="K62" s="23">
        <v>4378</v>
      </c>
      <c r="L62" s="23"/>
      <c r="M62" s="23"/>
      <c r="N62" s="23"/>
      <c r="O62" s="23"/>
      <c r="P62" s="45">
        <f>K62+SUM(L62:O62)</f>
        <v>4378</v>
      </c>
      <c r="Q62" s="45">
        <v>1129</v>
      </c>
      <c r="R62" s="46">
        <f t="shared" ref="R62:R68" si="46">Q62/$P62</f>
        <v>0.25788031064412975</v>
      </c>
      <c r="S62" s="45">
        <v>2029.55</v>
      </c>
      <c r="T62" s="46">
        <f t="shared" ref="T62:T68" si="47">S62/$P62</f>
        <v>0.46357925993604382</v>
      </c>
      <c r="U62" s="45">
        <v>3172.55</v>
      </c>
      <c r="V62" s="46">
        <f t="shared" ref="V62:V68" si="48">U62/$P62</f>
        <v>0.72465737779808137</v>
      </c>
      <c r="W62" s="45">
        <v>4315.55</v>
      </c>
      <c r="X62" s="46">
        <f t="shared" ref="X62:X68" si="49">W62/$P62</f>
        <v>0.98573549566011887</v>
      </c>
      <c r="Y62" s="23">
        <v>4816</v>
      </c>
      <c r="Z62" s="23">
        <v>5298</v>
      </c>
    </row>
    <row r="63" spans="1:26" ht="13.9" customHeight="1" x14ac:dyDescent="0.25">
      <c r="A63" s="14">
        <v>1</v>
      </c>
      <c r="B63" s="14">
        <v>1</v>
      </c>
      <c r="C63" s="14">
        <v>3</v>
      </c>
      <c r="D63" s="4"/>
      <c r="E63" s="22">
        <v>620</v>
      </c>
      <c r="F63" s="22" t="s">
        <v>130</v>
      </c>
      <c r="G63" s="23">
        <v>1341.16</v>
      </c>
      <c r="H63" s="23">
        <v>1327.45</v>
      </c>
      <c r="I63" s="23">
        <v>1581</v>
      </c>
      <c r="J63" s="23">
        <v>1277.92</v>
      </c>
      <c r="K63" s="23">
        <v>1530</v>
      </c>
      <c r="L63" s="23"/>
      <c r="M63" s="23"/>
      <c r="N63" s="23"/>
      <c r="O63" s="23"/>
      <c r="P63" s="45">
        <f>K63+SUM(L63:O63)</f>
        <v>1530</v>
      </c>
      <c r="Q63" s="45">
        <v>349.39</v>
      </c>
      <c r="R63" s="46">
        <f t="shared" si="46"/>
        <v>0.228359477124183</v>
      </c>
      <c r="S63" s="45">
        <v>628.04</v>
      </c>
      <c r="T63" s="46">
        <f t="shared" si="47"/>
        <v>0.41048366013071891</v>
      </c>
      <c r="U63" s="45">
        <v>981.74</v>
      </c>
      <c r="V63" s="46">
        <f t="shared" si="48"/>
        <v>0.64166013071895422</v>
      </c>
      <c r="W63" s="45">
        <v>1335.44</v>
      </c>
      <c r="X63" s="46">
        <f t="shared" si="49"/>
        <v>0.87283660130718954</v>
      </c>
      <c r="Y63" s="23">
        <v>1683</v>
      </c>
      <c r="Z63" s="23">
        <v>1852</v>
      </c>
    </row>
    <row r="64" spans="1:26" ht="13.9" customHeight="1" x14ac:dyDescent="0.25">
      <c r="A64" s="14">
        <v>1</v>
      </c>
      <c r="B64" s="14">
        <v>1</v>
      </c>
      <c r="C64" s="14">
        <v>3</v>
      </c>
      <c r="D64" s="4"/>
      <c r="E64" s="22">
        <v>630</v>
      </c>
      <c r="F64" s="22" t="s">
        <v>131</v>
      </c>
      <c r="G64" s="23">
        <v>1500.52</v>
      </c>
      <c r="H64" s="23">
        <v>1312.44</v>
      </c>
      <c r="I64" s="23">
        <v>1330</v>
      </c>
      <c r="J64" s="23">
        <v>1759.03</v>
      </c>
      <c r="K64" s="23">
        <f>231+1561</f>
        <v>1792</v>
      </c>
      <c r="L64" s="23"/>
      <c r="M64" s="23"/>
      <c r="N64" s="23"/>
      <c r="O64" s="23"/>
      <c r="P64" s="45">
        <f>K64+SUM(L64:O64)</f>
        <v>1792</v>
      </c>
      <c r="Q64" s="45">
        <v>63.87</v>
      </c>
      <c r="R64" s="46">
        <f t="shared" si="46"/>
        <v>3.5641741071428569E-2</v>
      </c>
      <c r="S64" s="45">
        <v>333.25</v>
      </c>
      <c r="T64" s="46">
        <f t="shared" si="47"/>
        <v>0.18596540178571427</v>
      </c>
      <c r="U64" s="45">
        <v>384.4</v>
      </c>
      <c r="V64" s="46">
        <f t="shared" si="48"/>
        <v>0.21450892857142856</v>
      </c>
      <c r="W64" s="45">
        <v>1756.65</v>
      </c>
      <c r="X64" s="46">
        <f t="shared" si="49"/>
        <v>0.98027343750000007</v>
      </c>
      <c r="Y64" s="23">
        <f>236+1561</f>
        <v>1797</v>
      </c>
      <c r="Z64" s="23">
        <f>242+1561</f>
        <v>1803</v>
      </c>
    </row>
    <row r="65" spans="1:26" ht="13.9" customHeight="1" x14ac:dyDescent="0.25">
      <c r="A65" s="14">
        <v>1</v>
      </c>
      <c r="B65" s="14">
        <v>1</v>
      </c>
      <c r="C65" s="14">
        <v>3</v>
      </c>
      <c r="D65" s="84" t="s">
        <v>21</v>
      </c>
      <c r="E65" s="47">
        <v>41</v>
      </c>
      <c r="F65" s="47" t="s">
        <v>23</v>
      </c>
      <c r="G65" s="48">
        <f t="shared" ref="G65:Q65" si="50">SUM(G62:G64)</f>
        <v>6679.68</v>
      </c>
      <c r="H65" s="48">
        <f t="shared" si="50"/>
        <v>6711.8899999999994</v>
      </c>
      <c r="I65" s="48">
        <f t="shared" si="50"/>
        <v>7190</v>
      </c>
      <c r="J65" s="48">
        <f t="shared" si="50"/>
        <v>7414.95</v>
      </c>
      <c r="K65" s="48">
        <f t="shared" si="50"/>
        <v>7700</v>
      </c>
      <c r="L65" s="48">
        <f t="shared" si="50"/>
        <v>0</v>
      </c>
      <c r="M65" s="48">
        <f t="shared" si="50"/>
        <v>0</v>
      </c>
      <c r="N65" s="48">
        <f t="shared" si="50"/>
        <v>0</v>
      </c>
      <c r="O65" s="48">
        <f t="shared" si="50"/>
        <v>0</v>
      </c>
      <c r="P65" s="48">
        <f t="shared" si="50"/>
        <v>7700</v>
      </c>
      <c r="Q65" s="48">
        <f t="shared" si="50"/>
        <v>1542.2599999999998</v>
      </c>
      <c r="R65" s="49">
        <f t="shared" si="46"/>
        <v>0.20029350649350647</v>
      </c>
      <c r="S65" s="48">
        <f>SUM(S62:S64)</f>
        <v>2990.84</v>
      </c>
      <c r="T65" s="49">
        <f t="shared" si="47"/>
        <v>0.38842077922077922</v>
      </c>
      <c r="U65" s="48">
        <f>SUM(U62:U64)</f>
        <v>4538.6899999999996</v>
      </c>
      <c r="V65" s="49">
        <f t="shared" si="48"/>
        <v>0.58944025974025971</v>
      </c>
      <c r="W65" s="48">
        <f>SUM(W62:W64)</f>
        <v>7407.6399999999994</v>
      </c>
      <c r="X65" s="49">
        <f t="shared" si="49"/>
        <v>0.96203116883116879</v>
      </c>
      <c r="Y65" s="48">
        <f>SUM(Y62:Y64)</f>
        <v>8296</v>
      </c>
      <c r="Z65" s="48">
        <f>SUM(Z62:Z64)</f>
        <v>8953</v>
      </c>
    </row>
    <row r="66" spans="1:26" ht="13.9" customHeight="1" x14ac:dyDescent="0.25">
      <c r="A66" s="14">
        <v>2</v>
      </c>
      <c r="B66" s="14">
        <v>2</v>
      </c>
      <c r="C66" s="14">
        <v>4</v>
      </c>
      <c r="D66" s="79" t="s">
        <v>136</v>
      </c>
      <c r="E66" s="22">
        <v>640</v>
      </c>
      <c r="F66" s="22" t="s">
        <v>132</v>
      </c>
      <c r="G66" s="23">
        <v>21.25</v>
      </c>
      <c r="H66" s="23">
        <v>26.12</v>
      </c>
      <c r="I66" s="23">
        <v>25</v>
      </c>
      <c r="J66" s="23">
        <v>29.9</v>
      </c>
      <c r="K66" s="23">
        <v>30</v>
      </c>
      <c r="L66" s="23"/>
      <c r="M66" s="23"/>
      <c r="N66" s="23"/>
      <c r="O66" s="23">
        <v>3</v>
      </c>
      <c r="P66" s="23">
        <f>K66+SUM(L66:O66)</f>
        <v>33</v>
      </c>
      <c r="Q66" s="23">
        <v>0</v>
      </c>
      <c r="R66" s="24">
        <f t="shared" si="46"/>
        <v>0</v>
      </c>
      <c r="S66" s="23">
        <v>0</v>
      </c>
      <c r="T66" s="24">
        <f t="shared" si="47"/>
        <v>0</v>
      </c>
      <c r="U66" s="23">
        <v>0</v>
      </c>
      <c r="V66" s="24">
        <f t="shared" si="48"/>
        <v>0</v>
      </c>
      <c r="W66" s="23">
        <v>33</v>
      </c>
      <c r="X66" s="24">
        <f t="shared" si="49"/>
        <v>1</v>
      </c>
      <c r="Y66" s="23">
        <f>K66</f>
        <v>30</v>
      </c>
      <c r="Z66" s="23">
        <f>Y66</f>
        <v>30</v>
      </c>
    </row>
    <row r="67" spans="1:26" ht="13.9" customHeight="1" x14ac:dyDescent="0.25">
      <c r="A67" s="14">
        <v>3</v>
      </c>
      <c r="B67" s="14">
        <v>3</v>
      </c>
      <c r="C67" s="14">
        <v>5</v>
      </c>
      <c r="D67" s="84" t="s">
        <v>21</v>
      </c>
      <c r="E67" s="47">
        <v>72</v>
      </c>
      <c r="F67" s="47" t="s">
        <v>25</v>
      </c>
      <c r="G67" s="48">
        <f t="shared" ref="G67:Q67" si="51">SUM(G66:G66)</f>
        <v>21.25</v>
      </c>
      <c r="H67" s="48">
        <f t="shared" si="51"/>
        <v>26.12</v>
      </c>
      <c r="I67" s="48">
        <f t="shared" si="51"/>
        <v>25</v>
      </c>
      <c r="J67" s="48">
        <f t="shared" si="51"/>
        <v>29.9</v>
      </c>
      <c r="K67" s="48">
        <f t="shared" si="51"/>
        <v>30</v>
      </c>
      <c r="L67" s="48">
        <f t="shared" si="51"/>
        <v>0</v>
      </c>
      <c r="M67" s="48">
        <f t="shared" si="51"/>
        <v>0</v>
      </c>
      <c r="N67" s="48">
        <f t="shared" si="51"/>
        <v>0</v>
      </c>
      <c r="O67" s="48">
        <f t="shared" si="51"/>
        <v>3</v>
      </c>
      <c r="P67" s="48">
        <f t="shared" si="51"/>
        <v>33</v>
      </c>
      <c r="Q67" s="48">
        <f t="shared" si="51"/>
        <v>0</v>
      </c>
      <c r="R67" s="49">
        <f t="shared" si="46"/>
        <v>0</v>
      </c>
      <c r="S67" s="48">
        <f>SUM(S66:S66)</f>
        <v>0</v>
      </c>
      <c r="T67" s="49">
        <f t="shared" si="47"/>
        <v>0</v>
      </c>
      <c r="U67" s="48">
        <f>SUM(U66:U66)</f>
        <v>0</v>
      </c>
      <c r="V67" s="49">
        <f t="shared" si="48"/>
        <v>0</v>
      </c>
      <c r="W67" s="48">
        <f>SUM(W66:W66)</f>
        <v>33</v>
      </c>
      <c r="X67" s="49">
        <f t="shared" si="49"/>
        <v>1</v>
      </c>
      <c r="Y67" s="48">
        <f>SUM(Y66:Y66)</f>
        <v>30</v>
      </c>
      <c r="Z67" s="48">
        <f>SUM(Z66:Z66)</f>
        <v>30</v>
      </c>
    </row>
    <row r="68" spans="1:26" ht="13.9" customHeight="1" x14ac:dyDescent="0.25">
      <c r="A68" s="14">
        <v>4</v>
      </c>
      <c r="B68" s="14">
        <v>4</v>
      </c>
      <c r="C68" s="14">
        <v>6</v>
      </c>
      <c r="D68" s="86"/>
      <c r="E68" s="87"/>
      <c r="F68" s="25" t="s">
        <v>124</v>
      </c>
      <c r="G68" s="26">
        <f t="shared" ref="G68:Q68" si="52">G65+G67</f>
        <v>6700.93</v>
      </c>
      <c r="H68" s="26">
        <f t="shared" si="52"/>
        <v>6738.0099999999993</v>
      </c>
      <c r="I68" s="26">
        <f t="shared" si="52"/>
        <v>7215</v>
      </c>
      <c r="J68" s="26">
        <f t="shared" si="52"/>
        <v>7444.8499999999995</v>
      </c>
      <c r="K68" s="26">
        <f t="shared" si="52"/>
        <v>7730</v>
      </c>
      <c r="L68" s="26">
        <f t="shared" si="52"/>
        <v>0</v>
      </c>
      <c r="M68" s="26">
        <f t="shared" si="52"/>
        <v>0</v>
      </c>
      <c r="N68" s="26">
        <f t="shared" si="52"/>
        <v>0</v>
      </c>
      <c r="O68" s="26">
        <f t="shared" si="52"/>
        <v>3</v>
      </c>
      <c r="P68" s="26">
        <f t="shared" si="52"/>
        <v>7733</v>
      </c>
      <c r="Q68" s="26">
        <f t="shared" si="52"/>
        <v>1542.2599999999998</v>
      </c>
      <c r="R68" s="27">
        <f t="shared" si="46"/>
        <v>0.1994387689124531</v>
      </c>
      <c r="S68" s="26">
        <f>S65+S67</f>
        <v>2990.84</v>
      </c>
      <c r="T68" s="27">
        <f t="shared" si="47"/>
        <v>0.38676322255269624</v>
      </c>
      <c r="U68" s="26">
        <f>U65+U67</f>
        <v>4538.6899999999996</v>
      </c>
      <c r="V68" s="27">
        <f t="shared" si="48"/>
        <v>0.58692486745118322</v>
      </c>
      <c r="W68" s="26">
        <f>W65+W67</f>
        <v>7440.6399999999994</v>
      </c>
      <c r="X68" s="27">
        <f t="shared" si="49"/>
        <v>0.96219319798267156</v>
      </c>
      <c r="Y68" s="26">
        <f>Y65+Y67</f>
        <v>8326</v>
      </c>
      <c r="Z68" s="26">
        <f>Z65+Z67</f>
        <v>8983</v>
      </c>
    </row>
    <row r="69" spans="1:26" ht="13.9" customHeight="1" x14ac:dyDescent="0.25">
      <c r="D69" s="88"/>
      <c r="E69" s="43"/>
      <c r="F69" s="43"/>
      <c r="G69" s="89"/>
      <c r="H69" s="89"/>
      <c r="I69" s="89"/>
      <c r="J69" s="89"/>
      <c r="K69" s="89"/>
      <c r="L69" s="89"/>
      <c r="M69" s="89"/>
      <c r="N69" s="89"/>
      <c r="O69" s="89"/>
      <c r="P69" s="89"/>
      <c r="Q69" s="89"/>
      <c r="R69" s="90"/>
      <c r="S69" s="89"/>
      <c r="T69" s="90"/>
      <c r="U69" s="89"/>
      <c r="V69" s="90"/>
      <c r="W69" s="89"/>
      <c r="X69" s="90"/>
      <c r="Y69" s="89"/>
      <c r="Z69" s="89"/>
    </row>
    <row r="70" spans="1:26" ht="13.9" customHeight="1" x14ac:dyDescent="0.25">
      <c r="D70" s="5" t="s">
        <v>137</v>
      </c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spans="1:26" ht="13.9" customHeight="1" x14ac:dyDescent="0.25">
      <c r="D71" s="20" t="s">
        <v>33</v>
      </c>
      <c r="E71" s="20" t="s">
        <v>34</v>
      </c>
      <c r="F71" s="20" t="s">
        <v>35</v>
      </c>
      <c r="G71" s="20" t="s">
        <v>1</v>
      </c>
      <c r="H71" s="20" t="s">
        <v>2</v>
      </c>
      <c r="I71" s="20" t="s">
        <v>3</v>
      </c>
      <c r="J71" s="20" t="s">
        <v>4</v>
      </c>
      <c r="K71" s="20" t="s">
        <v>5</v>
      </c>
      <c r="L71" s="20" t="s">
        <v>6</v>
      </c>
      <c r="M71" s="20" t="s">
        <v>7</v>
      </c>
      <c r="N71" s="20" t="s">
        <v>8</v>
      </c>
      <c r="O71" s="20" t="s">
        <v>9</v>
      </c>
      <c r="P71" s="20" t="s">
        <v>10</v>
      </c>
      <c r="Q71" s="20" t="s">
        <v>11</v>
      </c>
      <c r="R71" s="21" t="s">
        <v>12</v>
      </c>
      <c r="S71" s="20" t="s">
        <v>13</v>
      </c>
      <c r="T71" s="21" t="s">
        <v>14</v>
      </c>
      <c r="U71" s="20" t="s">
        <v>15</v>
      </c>
      <c r="V71" s="21" t="s">
        <v>16</v>
      </c>
      <c r="W71" s="20" t="s">
        <v>17</v>
      </c>
      <c r="X71" s="21" t="s">
        <v>18</v>
      </c>
      <c r="Y71" s="20" t="s">
        <v>19</v>
      </c>
      <c r="Z71" s="20" t="s">
        <v>20</v>
      </c>
    </row>
    <row r="72" spans="1:26" ht="13.9" hidden="1" customHeight="1" x14ac:dyDescent="0.25">
      <c r="A72" s="14">
        <v>1</v>
      </c>
      <c r="B72" s="14">
        <v>1</v>
      </c>
      <c r="C72" s="14">
        <v>4</v>
      </c>
      <c r="D72" s="22" t="s">
        <v>128</v>
      </c>
      <c r="E72" s="22">
        <v>630</v>
      </c>
      <c r="F72" s="22" t="s">
        <v>131</v>
      </c>
      <c r="G72" s="23">
        <v>230.86</v>
      </c>
      <c r="H72" s="23">
        <v>0</v>
      </c>
      <c r="I72" s="23">
        <v>0</v>
      </c>
      <c r="J72" s="23">
        <v>0</v>
      </c>
      <c r="K72" s="23">
        <v>0</v>
      </c>
      <c r="L72" s="23"/>
      <c r="M72" s="23"/>
      <c r="N72" s="23"/>
      <c r="O72" s="23"/>
      <c r="P72" s="23">
        <f>K72+SUM(L72:O72)</f>
        <v>0</v>
      </c>
      <c r="Q72" s="23">
        <v>0</v>
      </c>
      <c r="R72" s="24" t="e">
        <f t="shared" ref="R72:R77" si="53">Q72/$P72</f>
        <v>#DIV/0!</v>
      </c>
      <c r="S72" s="23">
        <v>0</v>
      </c>
      <c r="T72" s="24" t="e">
        <f t="shared" ref="T72:T77" si="54">S72/$P72</f>
        <v>#DIV/0!</v>
      </c>
      <c r="U72" s="23"/>
      <c r="V72" s="24" t="e">
        <f t="shared" ref="V72:V77" si="55">U72/$P72</f>
        <v>#DIV/0!</v>
      </c>
      <c r="W72" s="23"/>
      <c r="X72" s="24" t="e">
        <f t="shared" ref="X72:X77" si="56">W72/$P72</f>
        <v>#DIV/0!</v>
      </c>
      <c r="Y72" s="23">
        <f>K72</f>
        <v>0</v>
      </c>
      <c r="Z72" s="23">
        <f>Y72</f>
        <v>0</v>
      </c>
    </row>
    <row r="73" spans="1:26" ht="13.9" hidden="1" customHeight="1" x14ac:dyDescent="0.25">
      <c r="A73" s="14">
        <v>1</v>
      </c>
      <c r="B73" s="14">
        <v>1</v>
      </c>
      <c r="C73" s="14">
        <v>4</v>
      </c>
      <c r="D73" s="84" t="s">
        <v>21</v>
      </c>
      <c r="E73" s="85" t="s">
        <v>138</v>
      </c>
      <c r="F73" s="47" t="s">
        <v>134</v>
      </c>
      <c r="G73" s="48">
        <f t="shared" ref="G73:Q73" si="57">SUM(G72)</f>
        <v>230.86</v>
      </c>
      <c r="H73" s="48">
        <f t="shared" si="57"/>
        <v>0</v>
      </c>
      <c r="I73" s="48">
        <f t="shared" si="57"/>
        <v>0</v>
      </c>
      <c r="J73" s="48">
        <f t="shared" si="57"/>
        <v>0</v>
      </c>
      <c r="K73" s="48">
        <f t="shared" si="57"/>
        <v>0</v>
      </c>
      <c r="L73" s="48">
        <f t="shared" si="57"/>
        <v>0</v>
      </c>
      <c r="M73" s="48">
        <f t="shared" si="57"/>
        <v>0</v>
      </c>
      <c r="N73" s="48">
        <f t="shared" si="57"/>
        <v>0</v>
      </c>
      <c r="O73" s="48">
        <f t="shared" si="57"/>
        <v>0</v>
      </c>
      <c r="P73" s="48">
        <f t="shared" si="57"/>
        <v>0</v>
      </c>
      <c r="Q73" s="48">
        <f t="shared" si="57"/>
        <v>0</v>
      </c>
      <c r="R73" s="49" t="e">
        <f t="shared" si="53"/>
        <v>#DIV/0!</v>
      </c>
      <c r="S73" s="48">
        <f>SUM(S72)</f>
        <v>0</v>
      </c>
      <c r="T73" s="49" t="e">
        <f t="shared" si="54"/>
        <v>#DIV/0!</v>
      </c>
      <c r="U73" s="48">
        <f>SUM(U72)</f>
        <v>0</v>
      </c>
      <c r="V73" s="49" t="e">
        <f t="shared" si="55"/>
        <v>#DIV/0!</v>
      </c>
      <c r="W73" s="48">
        <f>SUM(W72)</f>
        <v>0</v>
      </c>
      <c r="X73" s="49" t="e">
        <f t="shared" si="56"/>
        <v>#DIV/0!</v>
      </c>
      <c r="Y73" s="48">
        <f>SUM(Y72)</f>
        <v>0</v>
      </c>
      <c r="Z73" s="48">
        <f>SUM(Z72)</f>
        <v>0</v>
      </c>
    </row>
    <row r="74" spans="1:26" ht="13.9" customHeight="1" x14ac:dyDescent="0.25">
      <c r="A74" s="14">
        <v>1</v>
      </c>
      <c r="B74" s="14">
        <v>1</v>
      </c>
      <c r="C74" s="14">
        <v>4</v>
      </c>
      <c r="D74" s="50" t="s">
        <v>128</v>
      </c>
      <c r="E74" s="22">
        <v>630</v>
      </c>
      <c r="F74" s="22" t="s">
        <v>131</v>
      </c>
      <c r="G74" s="23">
        <v>40547.19</v>
      </c>
      <c r="H74" s="23">
        <v>16263</v>
      </c>
      <c r="I74" s="23">
        <v>13080</v>
      </c>
      <c r="J74" s="23">
        <v>14593.72</v>
      </c>
      <c r="K74" s="23">
        <v>12108</v>
      </c>
      <c r="L74" s="23">
        <v>379</v>
      </c>
      <c r="M74" s="23">
        <v>2000</v>
      </c>
      <c r="N74" s="23">
        <f>2000+430</f>
        <v>2430</v>
      </c>
      <c r="O74" s="23">
        <f>316+971</f>
        <v>1287</v>
      </c>
      <c r="P74" s="23">
        <f>K74+SUM(L74:O74)</f>
        <v>18204</v>
      </c>
      <c r="Q74" s="23">
        <v>3723.65</v>
      </c>
      <c r="R74" s="24">
        <f t="shared" si="53"/>
        <v>0.20455119753900242</v>
      </c>
      <c r="S74" s="23">
        <v>6514.91</v>
      </c>
      <c r="T74" s="24">
        <f t="shared" si="54"/>
        <v>0.35788343221270047</v>
      </c>
      <c r="U74" s="23">
        <v>13604.62</v>
      </c>
      <c r="V74" s="24">
        <f t="shared" si="55"/>
        <v>0.74734234234234242</v>
      </c>
      <c r="W74" s="23">
        <v>18200.669999999998</v>
      </c>
      <c r="X74" s="24">
        <f t="shared" si="56"/>
        <v>0.99981707317073165</v>
      </c>
      <c r="Y74" s="23">
        <f>K74</f>
        <v>12108</v>
      </c>
      <c r="Z74" s="23">
        <f>Y74</f>
        <v>12108</v>
      </c>
    </row>
    <row r="75" spans="1:26" ht="13.9" customHeight="1" x14ac:dyDescent="0.25">
      <c r="A75" s="14">
        <v>1</v>
      </c>
      <c r="B75" s="14">
        <v>1</v>
      </c>
      <c r="C75" s="14">
        <v>4</v>
      </c>
      <c r="D75" s="50" t="s">
        <v>136</v>
      </c>
      <c r="E75" s="22">
        <v>630</v>
      </c>
      <c r="F75" s="22" t="s">
        <v>139</v>
      </c>
      <c r="G75" s="23">
        <v>500.17</v>
      </c>
      <c r="H75" s="23">
        <v>441.63</v>
      </c>
      <c r="I75" s="23">
        <v>335</v>
      </c>
      <c r="J75" s="23">
        <v>209.4</v>
      </c>
      <c r="K75" s="23">
        <v>186</v>
      </c>
      <c r="L75" s="23"/>
      <c r="M75" s="23"/>
      <c r="N75" s="23"/>
      <c r="O75" s="23">
        <v>49</v>
      </c>
      <c r="P75" s="23">
        <f>K75+SUM(L75:O75)</f>
        <v>235</v>
      </c>
      <c r="Q75" s="23">
        <v>34.299999999999997</v>
      </c>
      <c r="R75" s="24">
        <f t="shared" si="53"/>
        <v>0.14595744680851064</v>
      </c>
      <c r="S75" s="23">
        <v>65.400000000000006</v>
      </c>
      <c r="T75" s="24">
        <f t="shared" si="54"/>
        <v>0.27829787234042558</v>
      </c>
      <c r="U75" s="23">
        <v>106.2</v>
      </c>
      <c r="V75" s="24">
        <f t="shared" si="55"/>
        <v>0.45191489361702131</v>
      </c>
      <c r="W75" s="23">
        <v>234.69</v>
      </c>
      <c r="X75" s="24">
        <f t="shared" si="56"/>
        <v>0.99868085106382976</v>
      </c>
      <c r="Y75" s="23">
        <f>K75</f>
        <v>186</v>
      </c>
      <c r="Z75" s="23">
        <f>Y75</f>
        <v>186</v>
      </c>
    </row>
    <row r="76" spans="1:26" ht="13.9" customHeight="1" x14ac:dyDescent="0.25">
      <c r="A76" s="14">
        <v>1</v>
      </c>
      <c r="B76" s="14">
        <v>1</v>
      </c>
      <c r="C76" s="14">
        <v>4</v>
      </c>
      <c r="D76" s="84" t="s">
        <v>21</v>
      </c>
      <c r="E76" s="47">
        <v>41</v>
      </c>
      <c r="F76" s="47" t="s">
        <v>23</v>
      </c>
      <c r="G76" s="48">
        <f t="shared" ref="G76:Q76" si="58">SUM(G74:G75)</f>
        <v>41047.360000000001</v>
      </c>
      <c r="H76" s="48">
        <f t="shared" si="58"/>
        <v>16704.63</v>
      </c>
      <c r="I76" s="48">
        <f t="shared" si="58"/>
        <v>13415</v>
      </c>
      <c r="J76" s="48">
        <f t="shared" si="58"/>
        <v>14803.119999999999</v>
      </c>
      <c r="K76" s="48">
        <f t="shared" si="58"/>
        <v>12294</v>
      </c>
      <c r="L76" s="48">
        <f t="shared" si="58"/>
        <v>379</v>
      </c>
      <c r="M76" s="48">
        <f t="shared" si="58"/>
        <v>2000</v>
      </c>
      <c r="N76" s="48">
        <f t="shared" si="58"/>
        <v>2430</v>
      </c>
      <c r="O76" s="48">
        <f t="shared" si="58"/>
        <v>1336</v>
      </c>
      <c r="P76" s="48">
        <f t="shared" si="58"/>
        <v>18439</v>
      </c>
      <c r="Q76" s="48">
        <f t="shared" si="58"/>
        <v>3757.9500000000003</v>
      </c>
      <c r="R76" s="49">
        <f t="shared" si="53"/>
        <v>0.20380443624925432</v>
      </c>
      <c r="S76" s="48">
        <f>SUM(S74:S75)</f>
        <v>6580.3099999999995</v>
      </c>
      <c r="T76" s="49">
        <f t="shared" si="54"/>
        <v>0.35686913607028575</v>
      </c>
      <c r="U76" s="48">
        <f>SUM(U74:U75)</f>
        <v>13710.820000000002</v>
      </c>
      <c r="V76" s="49">
        <f t="shared" si="55"/>
        <v>0.74357720049894249</v>
      </c>
      <c r="W76" s="48">
        <f>SUM(W74:W75)</f>
        <v>18435.359999999997</v>
      </c>
      <c r="X76" s="49">
        <f t="shared" si="56"/>
        <v>0.99980259233147117</v>
      </c>
      <c r="Y76" s="48">
        <f>SUM(Y74:Y75)</f>
        <v>12294</v>
      </c>
      <c r="Z76" s="48">
        <f>SUM(Z74:Z75)</f>
        <v>12294</v>
      </c>
    </row>
    <row r="77" spans="1:26" ht="13.9" customHeight="1" x14ac:dyDescent="0.25">
      <c r="A77" s="14">
        <v>1</v>
      </c>
      <c r="B77" s="14">
        <v>1</v>
      </c>
      <c r="C77" s="14">
        <v>4</v>
      </c>
      <c r="D77" s="86"/>
      <c r="E77" s="87"/>
      <c r="F77" s="25" t="s">
        <v>124</v>
      </c>
      <c r="G77" s="26">
        <f t="shared" ref="G77:Q77" si="59">G73+G76</f>
        <v>41278.22</v>
      </c>
      <c r="H77" s="26">
        <f t="shared" si="59"/>
        <v>16704.63</v>
      </c>
      <c r="I77" s="26">
        <f t="shared" si="59"/>
        <v>13415</v>
      </c>
      <c r="J77" s="26">
        <f t="shared" si="59"/>
        <v>14803.119999999999</v>
      </c>
      <c r="K77" s="26">
        <f t="shared" si="59"/>
        <v>12294</v>
      </c>
      <c r="L77" s="26">
        <f t="shared" si="59"/>
        <v>379</v>
      </c>
      <c r="M77" s="26">
        <f t="shared" si="59"/>
        <v>2000</v>
      </c>
      <c r="N77" s="26">
        <f t="shared" si="59"/>
        <v>2430</v>
      </c>
      <c r="O77" s="26">
        <f t="shared" si="59"/>
        <v>1336</v>
      </c>
      <c r="P77" s="26">
        <f t="shared" si="59"/>
        <v>18439</v>
      </c>
      <c r="Q77" s="26">
        <f t="shared" si="59"/>
        <v>3757.9500000000003</v>
      </c>
      <c r="R77" s="27">
        <f t="shared" si="53"/>
        <v>0.20380443624925432</v>
      </c>
      <c r="S77" s="26">
        <f>S73+S76</f>
        <v>6580.3099999999995</v>
      </c>
      <c r="T77" s="27">
        <f t="shared" si="54"/>
        <v>0.35686913607028575</v>
      </c>
      <c r="U77" s="26">
        <f>U73+U76</f>
        <v>13710.820000000002</v>
      </c>
      <c r="V77" s="27">
        <f t="shared" si="55"/>
        <v>0.74357720049894249</v>
      </c>
      <c r="W77" s="26">
        <f>W73+W76</f>
        <v>18435.359999999997</v>
      </c>
      <c r="X77" s="27">
        <f t="shared" si="56"/>
        <v>0.99980259233147117</v>
      </c>
      <c r="Y77" s="26">
        <f>Y73+Y76</f>
        <v>12294</v>
      </c>
      <c r="Z77" s="26">
        <f>Z73+Z76</f>
        <v>12294</v>
      </c>
    </row>
    <row r="78" spans="1:26" ht="13.9" customHeight="1" x14ac:dyDescent="0.25">
      <c r="D78" s="88"/>
      <c r="E78" s="43"/>
      <c r="F78" s="43"/>
      <c r="G78" s="89"/>
      <c r="H78" s="89"/>
      <c r="I78" s="89"/>
      <c r="J78" s="89"/>
      <c r="K78" s="89"/>
      <c r="L78" s="89"/>
      <c r="M78" s="89"/>
      <c r="N78" s="89"/>
      <c r="O78" s="89"/>
      <c r="P78" s="89"/>
      <c r="Q78" s="89"/>
      <c r="R78" s="90"/>
      <c r="S78" s="89"/>
      <c r="T78" s="90"/>
      <c r="U78" s="89"/>
      <c r="V78" s="90"/>
      <c r="W78" s="89"/>
      <c r="X78" s="90"/>
      <c r="Y78" s="89"/>
      <c r="Z78" s="89"/>
    </row>
    <row r="79" spans="1:26" ht="13.9" customHeight="1" x14ac:dyDescent="0.25">
      <c r="D79" s="88"/>
      <c r="E79" s="51" t="s">
        <v>57</v>
      </c>
      <c r="F79" s="29" t="s">
        <v>140</v>
      </c>
      <c r="G79" s="52">
        <v>1980</v>
      </c>
      <c r="H79" s="91">
        <v>2617.15</v>
      </c>
      <c r="I79" s="52">
        <v>2575</v>
      </c>
      <c r="J79" s="52">
        <v>2486.6999999999998</v>
      </c>
      <c r="K79" s="52">
        <v>2490</v>
      </c>
      <c r="L79" s="52"/>
      <c r="M79" s="52"/>
      <c r="N79" s="52">
        <v>-83</v>
      </c>
      <c r="O79" s="52">
        <v>274</v>
      </c>
      <c r="P79" s="52">
        <f>K79+SUM(L79:O79)</f>
        <v>2681</v>
      </c>
      <c r="Q79" s="52">
        <v>559.75</v>
      </c>
      <c r="R79" s="53">
        <f>Q79/$P79</f>
        <v>0.20878403580753449</v>
      </c>
      <c r="S79" s="52">
        <v>977.4</v>
      </c>
      <c r="T79" s="53">
        <f>S79/$P79</f>
        <v>0.36456546064901157</v>
      </c>
      <c r="U79" s="52">
        <v>1668.85</v>
      </c>
      <c r="V79" s="53">
        <f>U79/$P79</f>
        <v>0.62247295785154788</v>
      </c>
      <c r="W79" s="52">
        <v>2681.3</v>
      </c>
      <c r="X79" s="54">
        <f>W79/$P79</f>
        <v>1.000111898545319</v>
      </c>
      <c r="Y79" s="52">
        <f>K79</f>
        <v>2490</v>
      </c>
      <c r="Z79" s="55">
        <f>Y79</f>
        <v>2490</v>
      </c>
    </row>
    <row r="80" spans="1:26" ht="13.9" customHeight="1" x14ac:dyDescent="0.25">
      <c r="D80" s="88"/>
      <c r="E80" s="56"/>
      <c r="F80" s="92" t="s">
        <v>141</v>
      </c>
      <c r="G80" s="81">
        <v>27373.37</v>
      </c>
      <c r="H80" s="81">
        <v>1388</v>
      </c>
      <c r="I80" s="93">
        <v>1500</v>
      </c>
      <c r="J80" s="93">
        <v>1844.33</v>
      </c>
      <c r="K80" s="93">
        <v>1844</v>
      </c>
      <c r="L80" s="93">
        <v>-38</v>
      </c>
      <c r="M80" s="93">
        <v>2000</v>
      </c>
      <c r="N80" s="93">
        <f>554+2000</f>
        <v>2554</v>
      </c>
      <c r="O80" s="93">
        <v>971</v>
      </c>
      <c r="P80" s="93">
        <f>K80+SUM(L80:O80)</f>
        <v>7331</v>
      </c>
      <c r="Q80" s="93">
        <v>1081</v>
      </c>
      <c r="R80" s="94">
        <f>Q80/$P80</f>
        <v>0.14745600873005046</v>
      </c>
      <c r="S80" s="93">
        <v>1528.13</v>
      </c>
      <c r="T80" s="94">
        <f>S80/$P80</f>
        <v>0.20844768790069568</v>
      </c>
      <c r="U80" s="93">
        <v>6359.76</v>
      </c>
      <c r="V80" s="94">
        <f>U80/$P80</f>
        <v>0.86751602782703585</v>
      </c>
      <c r="W80" s="93">
        <v>7331.48</v>
      </c>
      <c r="X80" s="63">
        <f>W80/$P80</f>
        <v>1.0000654753785294</v>
      </c>
      <c r="Y80" s="81">
        <f>K80</f>
        <v>1844</v>
      </c>
      <c r="Z80" s="60">
        <f>Y80</f>
        <v>1844</v>
      </c>
    </row>
    <row r="81" spans="1:26" ht="13.9" customHeight="1" x14ac:dyDescent="0.25">
      <c r="D81" s="88"/>
      <c r="E81" s="56"/>
      <c r="F81" s="14" t="s">
        <v>142</v>
      </c>
      <c r="G81" s="58">
        <v>1400</v>
      </c>
      <c r="H81" s="58">
        <v>1366.29</v>
      </c>
      <c r="I81" s="58">
        <v>1440</v>
      </c>
      <c r="J81" s="58">
        <v>1671.38</v>
      </c>
      <c r="K81" s="58">
        <v>1671</v>
      </c>
      <c r="L81" s="58"/>
      <c r="M81" s="58"/>
      <c r="N81" s="58"/>
      <c r="O81" s="58">
        <v>-387</v>
      </c>
      <c r="P81" s="58">
        <f>K81+SUM(L81:O81)</f>
        <v>1284</v>
      </c>
      <c r="Q81" s="58">
        <v>360</v>
      </c>
      <c r="R81" s="15">
        <f>Q81/$P81</f>
        <v>0.28037383177570091</v>
      </c>
      <c r="S81" s="58">
        <v>720</v>
      </c>
      <c r="T81" s="15">
        <f>S81/$P81</f>
        <v>0.56074766355140182</v>
      </c>
      <c r="U81" s="58">
        <v>1080</v>
      </c>
      <c r="V81" s="15">
        <f>U81/$P81</f>
        <v>0.84112149532710279</v>
      </c>
      <c r="W81" s="58">
        <v>1284</v>
      </c>
      <c r="X81" s="59">
        <f>W81/$P81</f>
        <v>1</v>
      </c>
      <c r="Y81" s="58">
        <f>K81</f>
        <v>1671</v>
      </c>
      <c r="Z81" s="60">
        <f>Y81</f>
        <v>1671</v>
      </c>
    </row>
    <row r="82" spans="1:26" ht="13.9" customHeight="1" x14ac:dyDescent="0.25">
      <c r="D82" s="88"/>
      <c r="E82" s="56"/>
      <c r="F82" s="92" t="s">
        <v>143</v>
      </c>
      <c r="G82" s="81">
        <v>1900.8</v>
      </c>
      <c r="H82" s="81">
        <v>1900.8</v>
      </c>
      <c r="I82" s="81">
        <v>1900</v>
      </c>
      <c r="J82" s="81">
        <v>1900.8</v>
      </c>
      <c r="K82" s="81">
        <v>1901</v>
      </c>
      <c r="L82" s="81"/>
      <c r="M82" s="81"/>
      <c r="N82" s="81"/>
      <c r="O82" s="81">
        <v>-1240</v>
      </c>
      <c r="P82" s="81">
        <f>K82+SUM(L82:O82)</f>
        <v>661</v>
      </c>
      <c r="Q82" s="81">
        <v>158.4</v>
      </c>
      <c r="R82" s="82">
        <f>Q82/$P82</f>
        <v>0.23963691376701968</v>
      </c>
      <c r="S82" s="81">
        <v>316.8</v>
      </c>
      <c r="T82" s="82">
        <f>S82/$P82</f>
        <v>0.47927382753403935</v>
      </c>
      <c r="U82" s="81">
        <v>556.79999999999995</v>
      </c>
      <c r="V82" s="82">
        <f>U82/$P82</f>
        <v>0.84236006051437207</v>
      </c>
      <c r="W82" s="81">
        <v>661.26</v>
      </c>
      <c r="X82" s="59">
        <f>W82/$P82</f>
        <v>1.0003933434190619</v>
      </c>
      <c r="Y82" s="81">
        <f>K82</f>
        <v>1901</v>
      </c>
      <c r="Z82" s="60">
        <f>Y82</f>
        <v>1901</v>
      </c>
    </row>
    <row r="83" spans="1:26" ht="13.9" customHeight="1" x14ac:dyDescent="0.25">
      <c r="D83" s="88"/>
      <c r="E83" s="64"/>
      <c r="F83" s="95" t="s">
        <v>144</v>
      </c>
      <c r="G83" s="66">
        <v>2604.5300000000002</v>
      </c>
      <c r="H83" s="66">
        <v>2746.34</v>
      </c>
      <c r="I83" s="96">
        <v>0</v>
      </c>
      <c r="J83" s="96">
        <v>686.45</v>
      </c>
      <c r="K83" s="96">
        <v>0</v>
      </c>
      <c r="L83" s="96">
        <v>4</v>
      </c>
      <c r="M83" s="96">
        <v>92</v>
      </c>
      <c r="N83" s="96">
        <v>100</v>
      </c>
      <c r="O83" s="96"/>
      <c r="P83" s="96">
        <f>K83+SUM(L83:O83)</f>
        <v>196</v>
      </c>
      <c r="Q83" s="96">
        <v>0</v>
      </c>
      <c r="R83" s="97">
        <f>Q83/$P83</f>
        <v>0</v>
      </c>
      <c r="S83" s="96">
        <v>95.73</v>
      </c>
      <c r="T83" s="97">
        <f>S83/$P83</f>
        <v>0.48841836734693878</v>
      </c>
      <c r="U83" s="96">
        <v>195.4</v>
      </c>
      <c r="V83" s="97">
        <f>U83/$P83</f>
        <v>0.99693877551020416</v>
      </c>
      <c r="W83" s="96">
        <v>195.4</v>
      </c>
      <c r="X83" s="98">
        <f>W83/$P83</f>
        <v>0.99693877551020416</v>
      </c>
      <c r="Y83" s="66">
        <f>K83</f>
        <v>0</v>
      </c>
      <c r="Z83" s="69">
        <f>Y83</f>
        <v>0</v>
      </c>
    </row>
    <row r="84" spans="1:26" ht="13.9" customHeight="1" x14ac:dyDescent="0.25">
      <c r="D84" s="88"/>
      <c r="G84" s="58"/>
      <c r="H84" s="58"/>
      <c r="I84" s="58"/>
      <c r="J84" s="58"/>
      <c r="K84" s="58"/>
      <c r="L84" s="58"/>
      <c r="M84" s="58"/>
      <c r="N84" s="58"/>
      <c r="O84" s="58"/>
      <c r="P84" s="58"/>
      <c r="Q84" s="58"/>
      <c r="S84" s="58"/>
      <c r="U84" s="58"/>
      <c r="W84" s="58"/>
      <c r="Y84" s="58"/>
      <c r="Z84" s="58"/>
    </row>
    <row r="85" spans="1:26" ht="13.9" customHeight="1" x14ac:dyDescent="0.25">
      <c r="D85" s="5" t="s">
        <v>145</v>
      </c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spans="1:26" ht="13.9" customHeight="1" x14ac:dyDescent="0.25">
      <c r="D86" s="20" t="s">
        <v>33</v>
      </c>
      <c r="E86" s="20" t="s">
        <v>34</v>
      </c>
      <c r="F86" s="20" t="s">
        <v>35</v>
      </c>
      <c r="G86" s="20" t="s">
        <v>1</v>
      </c>
      <c r="H86" s="20" t="s">
        <v>2</v>
      </c>
      <c r="I86" s="20" t="s">
        <v>3</v>
      </c>
      <c r="J86" s="20" t="s">
        <v>4</v>
      </c>
      <c r="K86" s="20" t="s">
        <v>5</v>
      </c>
      <c r="L86" s="20" t="s">
        <v>6</v>
      </c>
      <c r="M86" s="20" t="s">
        <v>7</v>
      </c>
      <c r="N86" s="20" t="s">
        <v>8</v>
      </c>
      <c r="O86" s="20" t="s">
        <v>9</v>
      </c>
      <c r="P86" s="20" t="s">
        <v>10</v>
      </c>
      <c r="Q86" s="20" t="s">
        <v>11</v>
      </c>
      <c r="R86" s="21" t="s">
        <v>12</v>
      </c>
      <c r="S86" s="20" t="s">
        <v>13</v>
      </c>
      <c r="T86" s="21" t="s">
        <v>14</v>
      </c>
      <c r="U86" s="20" t="s">
        <v>15</v>
      </c>
      <c r="V86" s="21" t="s">
        <v>16</v>
      </c>
      <c r="W86" s="20" t="s">
        <v>17</v>
      </c>
      <c r="X86" s="21" t="s">
        <v>18</v>
      </c>
      <c r="Y86" s="20" t="s">
        <v>19</v>
      </c>
      <c r="Z86" s="20" t="s">
        <v>20</v>
      </c>
    </row>
    <row r="87" spans="1:26" ht="13.9" customHeight="1" x14ac:dyDescent="0.25">
      <c r="A87" s="14">
        <v>1</v>
      </c>
      <c r="B87" s="14">
        <v>1</v>
      </c>
      <c r="C87" s="14">
        <v>5</v>
      </c>
      <c r="D87" s="10" t="s">
        <v>128</v>
      </c>
      <c r="E87" s="22">
        <v>610</v>
      </c>
      <c r="F87" s="22" t="s">
        <v>129</v>
      </c>
      <c r="G87" s="23">
        <v>16766.259999999998</v>
      </c>
      <c r="H87" s="23">
        <v>10272.61</v>
      </c>
      <c r="I87" s="23">
        <v>7707</v>
      </c>
      <c r="J87" s="23">
        <v>700</v>
      </c>
      <c r="K87" s="23">
        <v>0</v>
      </c>
      <c r="L87" s="23"/>
      <c r="M87" s="23"/>
      <c r="N87" s="23">
        <v>2000</v>
      </c>
      <c r="O87" s="23"/>
      <c r="P87" s="45">
        <f>K87+SUM(L87:O87)</f>
        <v>2000</v>
      </c>
      <c r="Q87" s="45">
        <v>0</v>
      </c>
      <c r="R87" s="46">
        <f>Q87/$P87</f>
        <v>0</v>
      </c>
      <c r="S87" s="45">
        <v>0</v>
      </c>
      <c r="T87" s="46">
        <f>S87/$P87</f>
        <v>0</v>
      </c>
      <c r="U87" s="45">
        <v>102.27</v>
      </c>
      <c r="V87" s="46">
        <f>U87/$P87</f>
        <v>5.1135E-2</v>
      </c>
      <c r="W87" s="45">
        <v>660.66</v>
      </c>
      <c r="X87" s="46">
        <f>W87/$P87</f>
        <v>0.33032999999999996</v>
      </c>
      <c r="Y87" s="23">
        <v>0</v>
      </c>
      <c r="Z87" s="23">
        <v>0</v>
      </c>
    </row>
    <row r="88" spans="1:26" ht="13.9" customHeight="1" x14ac:dyDescent="0.25">
      <c r="A88" s="14">
        <v>1</v>
      </c>
      <c r="B88" s="14">
        <v>1</v>
      </c>
      <c r="C88" s="14">
        <v>5</v>
      </c>
      <c r="D88" s="10" t="s">
        <v>146</v>
      </c>
      <c r="E88" s="22">
        <v>620</v>
      </c>
      <c r="F88" s="22" t="s">
        <v>130</v>
      </c>
      <c r="G88" s="23">
        <v>6232.09</v>
      </c>
      <c r="H88" s="23">
        <v>4384.79</v>
      </c>
      <c r="I88" s="23">
        <v>4291</v>
      </c>
      <c r="J88" s="23">
        <v>458.04</v>
      </c>
      <c r="K88" s="23">
        <v>451</v>
      </c>
      <c r="L88" s="23"/>
      <c r="M88" s="23"/>
      <c r="N88" s="23">
        <v>699</v>
      </c>
      <c r="O88" s="23"/>
      <c r="P88" s="45">
        <f>K88+SUM(L88:O88)</f>
        <v>1150</v>
      </c>
      <c r="Q88" s="45">
        <v>23.71</v>
      </c>
      <c r="R88" s="46">
        <f>Q88/$P88</f>
        <v>2.0617391304347827E-2</v>
      </c>
      <c r="S88" s="45">
        <v>23.71</v>
      </c>
      <c r="T88" s="46">
        <f>S88/$P88</f>
        <v>2.0617391304347827E-2</v>
      </c>
      <c r="U88" s="45">
        <v>59.98</v>
      </c>
      <c r="V88" s="46">
        <f>U88/$P88</f>
        <v>5.2156521739130435E-2</v>
      </c>
      <c r="W88" s="45">
        <v>234.16</v>
      </c>
      <c r="X88" s="46">
        <f>W88/$P88</f>
        <v>0.20361739130434783</v>
      </c>
      <c r="Y88" s="23">
        <f>K88</f>
        <v>451</v>
      </c>
      <c r="Z88" s="23">
        <f>Y88</f>
        <v>451</v>
      </c>
    </row>
    <row r="89" spans="1:26" ht="13.9" customHeight="1" x14ac:dyDescent="0.25">
      <c r="A89" s="14">
        <v>1</v>
      </c>
      <c r="B89" s="14">
        <v>1</v>
      </c>
      <c r="C89" s="14">
        <v>5</v>
      </c>
      <c r="D89" s="10" t="s">
        <v>147</v>
      </c>
      <c r="E89" s="22">
        <v>630</v>
      </c>
      <c r="F89" s="22" t="s">
        <v>131</v>
      </c>
      <c r="G89" s="23">
        <v>30675.07</v>
      </c>
      <c r="H89" s="23">
        <v>33066.57</v>
      </c>
      <c r="I89" s="23">
        <v>36597</v>
      </c>
      <c r="J89" s="23">
        <v>18565.439999999999</v>
      </c>
      <c r="K89" s="23">
        <f>2000+17271</f>
        <v>19271</v>
      </c>
      <c r="L89" s="23"/>
      <c r="M89" s="23">
        <v>1200</v>
      </c>
      <c r="N89" s="23">
        <v>1017</v>
      </c>
      <c r="O89" s="23">
        <v>-274</v>
      </c>
      <c r="P89" s="45">
        <f>K89+SUM(L89:O89)</f>
        <v>21214</v>
      </c>
      <c r="Q89" s="45">
        <v>4381.74</v>
      </c>
      <c r="R89" s="46">
        <f>Q89/$P89</f>
        <v>0.20654944847742057</v>
      </c>
      <c r="S89" s="45">
        <v>9098.67</v>
      </c>
      <c r="T89" s="46">
        <f>S89/$P89</f>
        <v>0.42889931177524276</v>
      </c>
      <c r="U89" s="45">
        <v>14269.75</v>
      </c>
      <c r="V89" s="46">
        <f>U89/$P89</f>
        <v>0.67265720750447822</v>
      </c>
      <c r="W89" s="45">
        <v>18617.55</v>
      </c>
      <c r="X89" s="46">
        <f>W89/$P89</f>
        <v>0.87760676911473556</v>
      </c>
      <c r="Y89" s="23">
        <f>K89</f>
        <v>19271</v>
      </c>
      <c r="Z89" s="23">
        <f>Y89</f>
        <v>19271</v>
      </c>
    </row>
    <row r="90" spans="1:26" ht="13.9" customHeight="1" x14ac:dyDescent="0.25">
      <c r="A90" s="14">
        <v>1</v>
      </c>
      <c r="B90" s="14">
        <v>1</v>
      </c>
      <c r="C90" s="14">
        <v>5</v>
      </c>
      <c r="D90" s="10" t="s">
        <v>148</v>
      </c>
      <c r="E90" s="22">
        <v>640</v>
      </c>
      <c r="F90" s="22" t="s">
        <v>132</v>
      </c>
      <c r="G90" s="23">
        <v>0</v>
      </c>
      <c r="H90" s="23">
        <v>106.16</v>
      </c>
      <c r="I90" s="23">
        <v>0</v>
      </c>
      <c r="J90" s="23">
        <v>0</v>
      </c>
      <c r="K90" s="23">
        <v>0</v>
      </c>
      <c r="L90" s="23"/>
      <c r="M90" s="23"/>
      <c r="N90" s="23"/>
      <c r="O90" s="23"/>
      <c r="P90" s="45">
        <f>K90+SUM(L90:O90)</f>
        <v>0</v>
      </c>
      <c r="Q90" s="45">
        <v>0</v>
      </c>
      <c r="R90" s="24">
        <f>IFERROR(Q90/$P90,0)</f>
        <v>0</v>
      </c>
      <c r="S90" s="45">
        <v>0</v>
      </c>
      <c r="T90" s="24">
        <f>IFERROR(S90/$P90,0)</f>
        <v>0</v>
      </c>
      <c r="U90" s="45">
        <v>0</v>
      </c>
      <c r="V90" s="24">
        <f>IFERROR(U90/$P90,0)</f>
        <v>0</v>
      </c>
      <c r="W90" s="45">
        <v>0</v>
      </c>
      <c r="X90" s="24">
        <f>IFERROR(W90/$P90,0)</f>
        <v>0</v>
      </c>
      <c r="Y90" s="23">
        <v>0</v>
      </c>
      <c r="Z90" s="23">
        <v>0</v>
      </c>
    </row>
    <row r="91" spans="1:26" ht="13.9" customHeight="1" x14ac:dyDescent="0.25">
      <c r="A91" s="14">
        <v>1</v>
      </c>
      <c r="B91" s="14">
        <v>1</v>
      </c>
      <c r="C91" s="14">
        <v>5</v>
      </c>
      <c r="D91" s="84" t="s">
        <v>21</v>
      </c>
      <c r="E91" s="47">
        <v>41</v>
      </c>
      <c r="F91" s="47" t="s">
        <v>23</v>
      </c>
      <c r="G91" s="48">
        <f t="shared" ref="G91:Q91" si="60">SUM(G87:G90)</f>
        <v>53673.42</v>
      </c>
      <c r="H91" s="48">
        <f t="shared" si="60"/>
        <v>47830.130000000005</v>
      </c>
      <c r="I91" s="48">
        <f t="shared" si="60"/>
        <v>48595</v>
      </c>
      <c r="J91" s="48">
        <f t="shared" si="60"/>
        <v>19723.48</v>
      </c>
      <c r="K91" s="48">
        <f t="shared" si="60"/>
        <v>19722</v>
      </c>
      <c r="L91" s="48">
        <f t="shared" si="60"/>
        <v>0</v>
      </c>
      <c r="M91" s="48">
        <f t="shared" si="60"/>
        <v>1200</v>
      </c>
      <c r="N91" s="48">
        <f t="shared" si="60"/>
        <v>3716</v>
      </c>
      <c r="O91" s="48">
        <f t="shared" si="60"/>
        <v>-274</v>
      </c>
      <c r="P91" s="48">
        <f t="shared" si="60"/>
        <v>24364</v>
      </c>
      <c r="Q91" s="48">
        <f t="shared" si="60"/>
        <v>4405.45</v>
      </c>
      <c r="R91" s="49">
        <f>Q91/$P91</f>
        <v>0.18081801017895255</v>
      </c>
      <c r="S91" s="48">
        <f>SUM(S87:S90)</f>
        <v>9122.3799999999992</v>
      </c>
      <c r="T91" s="49">
        <f>S91/$P91</f>
        <v>0.37442045641109833</v>
      </c>
      <c r="U91" s="48">
        <f>SUM(U87:U90)</f>
        <v>14432</v>
      </c>
      <c r="V91" s="49">
        <f>U91/$P91</f>
        <v>0.5923493679198818</v>
      </c>
      <c r="W91" s="48">
        <f>SUM(W87:W90)</f>
        <v>19512.37</v>
      </c>
      <c r="X91" s="49">
        <f>W91/$P91</f>
        <v>0.80086890494171725</v>
      </c>
      <c r="Y91" s="48">
        <f>SUM(Y87:Y90)</f>
        <v>19722</v>
      </c>
      <c r="Z91" s="48">
        <f>SUM(Z87:Z90)</f>
        <v>19722</v>
      </c>
    </row>
    <row r="92" spans="1:26" ht="13.9" customHeight="1" x14ac:dyDescent="0.25">
      <c r="A92" s="14">
        <v>1</v>
      </c>
      <c r="B92" s="14">
        <v>1</v>
      </c>
      <c r="C92" s="14">
        <v>5</v>
      </c>
      <c r="D92" s="79" t="s">
        <v>128</v>
      </c>
      <c r="E92" s="22">
        <v>640</v>
      </c>
      <c r="F92" s="22" t="s">
        <v>132</v>
      </c>
      <c r="G92" s="23">
        <v>196.97</v>
      </c>
      <c r="H92" s="23">
        <v>112.07</v>
      </c>
      <c r="I92" s="23">
        <v>125</v>
      </c>
      <c r="J92" s="23">
        <v>0</v>
      </c>
      <c r="K92" s="23">
        <v>0</v>
      </c>
      <c r="L92" s="23"/>
      <c r="M92" s="23"/>
      <c r="N92" s="23"/>
      <c r="O92" s="23">
        <v>6</v>
      </c>
      <c r="P92" s="23">
        <f>K92+SUM(L92:O92)</f>
        <v>6</v>
      </c>
      <c r="Q92" s="23">
        <v>0</v>
      </c>
      <c r="R92" s="24">
        <f>Q92/$P92</f>
        <v>0</v>
      </c>
      <c r="S92" s="23">
        <v>0</v>
      </c>
      <c r="T92" s="24">
        <f>S92/$P92</f>
        <v>0</v>
      </c>
      <c r="U92" s="23">
        <v>0</v>
      </c>
      <c r="V92" s="24">
        <f>U92/$P92</f>
        <v>0</v>
      </c>
      <c r="W92" s="23">
        <v>6</v>
      </c>
      <c r="X92" s="24">
        <f>W92/$P92</f>
        <v>1</v>
      </c>
      <c r="Y92" s="23">
        <f>K92</f>
        <v>0</v>
      </c>
      <c r="Z92" s="23">
        <f>Y92</f>
        <v>0</v>
      </c>
    </row>
    <row r="93" spans="1:26" ht="13.9" customHeight="1" x14ac:dyDescent="0.25">
      <c r="A93" s="14">
        <v>1</v>
      </c>
      <c r="B93" s="14">
        <v>1</v>
      </c>
      <c r="C93" s="14">
        <v>5</v>
      </c>
      <c r="D93" s="84" t="s">
        <v>21</v>
      </c>
      <c r="E93" s="47">
        <v>72</v>
      </c>
      <c r="F93" s="47" t="s">
        <v>25</v>
      </c>
      <c r="G93" s="48">
        <f t="shared" ref="G93:Q93" si="61">SUM(G92:G92)</f>
        <v>196.97</v>
      </c>
      <c r="H93" s="48">
        <f t="shared" si="61"/>
        <v>112.07</v>
      </c>
      <c r="I93" s="48">
        <f t="shared" si="61"/>
        <v>125</v>
      </c>
      <c r="J93" s="48">
        <f t="shared" si="61"/>
        <v>0</v>
      </c>
      <c r="K93" s="48">
        <f t="shared" si="61"/>
        <v>0</v>
      </c>
      <c r="L93" s="48">
        <f t="shared" si="61"/>
        <v>0</v>
      </c>
      <c r="M93" s="48">
        <f t="shared" si="61"/>
        <v>0</v>
      </c>
      <c r="N93" s="48">
        <f t="shared" si="61"/>
        <v>0</v>
      </c>
      <c r="O93" s="48">
        <f t="shared" si="61"/>
        <v>6</v>
      </c>
      <c r="P93" s="48">
        <f t="shared" si="61"/>
        <v>6</v>
      </c>
      <c r="Q93" s="48">
        <f t="shared" si="61"/>
        <v>0</v>
      </c>
      <c r="R93" s="49">
        <f>Q93/$P93</f>
        <v>0</v>
      </c>
      <c r="S93" s="48">
        <f>SUM(S92:S92)</f>
        <v>0</v>
      </c>
      <c r="T93" s="49">
        <f>S93/$P93</f>
        <v>0</v>
      </c>
      <c r="U93" s="48">
        <f>SUM(U92:U92)</f>
        <v>0</v>
      </c>
      <c r="V93" s="49">
        <f>U93/$P93</f>
        <v>0</v>
      </c>
      <c r="W93" s="48">
        <f>SUM(W92:W92)</f>
        <v>6</v>
      </c>
      <c r="X93" s="49">
        <f>W93/$P93</f>
        <v>1</v>
      </c>
      <c r="Y93" s="48">
        <f>SUM(Y92:Y92)</f>
        <v>0</v>
      </c>
      <c r="Z93" s="48">
        <f>SUM(Z92:Z92)</f>
        <v>0</v>
      </c>
    </row>
    <row r="94" spans="1:26" ht="13.9" customHeight="1" x14ac:dyDescent="0.25">
      <c r="A94" s="14">
        <v>1</v>
      </c>
      <c r="B94" s="14">
        <v>1</v>
      </c>
      <c r="C94" s="14">
        <v>5</v>
      </c>
      <c r="D94" s="86"/>
      <c r="E94" s="87"/>
      <c r="F94" s="25" t="s">
        <v>124</v>
      </c>
      <c r="G94" s="26">
        <f t="shared" ref="G94:Q94" si="62">G91+G93</f>
        <v>53870.39</v>
      </c>
      <c r="H94" s="26">
        <f t="shared" si="62"/>
        <v>47942.200000000004</v>
      </c>
      <c r="I94" s="26">
        <f t="shared" si="62"/>
        <v>48720</v>
      </c>
      <c r="J94" s="26">
        <f t="shared" si="62"/>
        <v>19723.48</v>
      </c>
      <c r="K94" s="26">
        <f t="shared" si="62"/>
        <v>19722</v>
      </c>
      <c r="L94" s="26">
        <f t="shared" si="62"/>
        <v>0</v>
      </c>
      <c r="M94" s="26">
        <f t="shared" si="62"/>
        <v>1200</v>
      </c>
      <c r="N94" s="26">
        <f t="shared" si="62"/>
        <v>3716</v>
      </c>
      <c r="O94" s="26">
        <f t="shared" si="62"/>
        <v>-268</v>
      </c>
      <c r="P94" s="26">
        <f t="shared" si="62"/>
        <v>24370</v>
      </c>
      <c r="Q94" s="26">
        <f t="shared" si="62"/>
        <v>4405.45</v>
      </c>
      <c r="R94" s="27">
        <f>Q94/$P94</f>
        <v>0.18077349199835863</v>
      </c>
      <c r="S94" s="26">
        <f>S91+S93</f>
        <v>9122.3799999999992</v>
      </c>
      <c r="T94" s="27">
        <f>S94/$P94</f>
        <v>0.37432827246614686</v>
      </c>
      <c r="U94" s="26">
        <f>U91+U93</f>
        <v>14432</v>
      </c>
      <c r="V94" s="27">
        <f>U94/$P94</f>
        <v>0.59220352892901107</v>
      </c>
      <c r="W94" s="26">
        <f>W91+W93</f>
        <v>19518.37</v>
      </c>
      <c r="X94" s="27">
        <f>W94/$P94</f>
        <v>0.80091793188346327</v>
      </c>
      <c r="Y94" s="26">
        <f>Y91+Y93</f>
        <v>19722</v>
      </c>
      <c r="Z94" s="26">
        <f>Z91+Z93</f>
        <v>19722</v>
      </c>
    </row>
    <row r="95" spans="1:26" ht="13.9" customHeight="1" x14ac:dyDescent="0.25">
      <c r="D95" s="88"/>
      <c r="E95" s="43"/>
      <c r="F95" s="43"/>
      <c r="G95" s="89"/>
      <c r="H95" s="89"/>
      <c r="I95" s="89"/>
      <c r="J95" s="89"/>
      <c r="K95" s="89"/>
      <c r="L95" s="89"/>
      <c r="M95" s="89"/>
      <c r="N95" s="89"/>
      <c r="O95" s="89"/>
      <c r="P95" s="89"/>
      <c r="Q95" s="89"/>
      <c r="R95" s="90"/>
      <c r="S95" s="89"/>
      <c r="T95" s="90"/>
      <c r="U95" s="89"/>
      <c r="V95" s="90"/>
      <c r="W95" s="89"/>
      <c r="X95" s="90"/>
      <c r="Y95" s="89"/>
      <c r="Z95" s="89"/>
    </row>
    <row r="96" spans="1:26" ht="13.9" customHeight="1" x14ac:dyDescent="0.25">
      <c r="D96" s="88"/>
      <c r="E96" s="51" t="s">
        <v>57</v>
      </c>
      <c r="F96" s="29" t="s">
        <v>149</v>
      </c>
      <c r="G96" s="52">
        <v>1705</v>
      </c>
      <c r="H96" s="52">
        <v>1595</v>
      </c>
      <c r="I96" s="52">
        <v>1595</v>
      </c>
      <c r="J96" s="52">
        <v>1161.42</v>
      </c>
      <c r="K96" s="52">
        <v>1122</v>
      </c>
      <c r="L96" s="52"/>
      <c r="M96" s="52"/>
      <c r="N96" s="52"/>
      <c r="O96" s="52"/>
      <c r="P96" s="52">
        <f>K96+SUM(L96:O96)</f>
        <v>1122</v>
      </c>
      <c r="Q96" s="52">
        <v>204</v>
      </c>
      <c r="R96" s="53">
        <f>Q96/$P96</f>
        <v>0.18181818181818182</v>
      </c>
      <c r="S96" s="52">
        <v>510</v>
      </c>
      <c r="T96" s="53">
        <f>S96/$P96</f>
        <v>0.45454545454545453</v>
      </c>
      <c r="U96" s="52">
        <v>816</v>
      </c>
      <c r="V96" s="53">
        <f>U96/$P96</f>
        <v>0.72727272727272729</v>
      </c>
      <c r="W96" s="52">
        <v>981.75</v>
      </c>
      <c r="X96" s="54">
        <f>W96/$P96</f>
        <v>0.875</v>
      </c>
      <c r="Y96" s="52">
        <f>K96</f>
        <v>1122</v>
      </c>
      <c r="Z96" s="55">
        <f>Y96</f>
        <v>1122</v>
      </c>
    </row>
    <row r="97" spans="1:26" ht="13.9" customHeight="1" x14ac:dyDescent="0.25">
      <c r="D97" s="88"/>
      <c r="E97" s="56"/>
      <c r="F97" s="14" t="s">
        <v>150</v>
      </c>
      <c r="G97" s="58">
        <v>3576</v>
      </c>
      <c r="H97" s="58">
        <v>2519.73</v>
      </c>
      <c r="I97" s="58">
        <v>2590</v>
      </c>
      <c r="J97" s="58">
        <v>1457.25</v>
      </c>
      <c r="K97" s="58">
        <v>1620</v>
      </c>
      <c r="L97" s="58"/>
      <c r="M97" s="58"/>
      <c r="N97" s="58"/>
      <c r="O97" s="58"/>
      <c r="P97" s="58">
        <f>K97+SUM(L97:O97)</f>
        <v>1620</v>
      </c>
      <c r="Q97" s="58">
        <v>405</v>
      </c>
      <c r="R97" s="15">
        <f>Q97/$P97</f>
        <v>0.25</v>
      </c>
      <c r="S97" s="58">
        <v>810</v>
      </c>
      <c r="T97" s="15">
        <f>S97/$P97</f>
        <v>0.5</v>
      </c>
      <c r="U97" s="58">
        <v>1215</v>
      </c>
      <c r="V97" s="15">
        <f>U97/$P97</f>
        <v>0.75</v>
      </c>
      <c r="W97" s="58">
        <v>1522.8</v>
      </c>
      <c r="X97" s="59">
        <f>W97/$P97</f>
        <v>0.94</v>
      </c>
      <c r="Y97" s="58">
        <f>K97</f>
        <v>1620</v>
      </c>
      <c r="Z97" s="60">
        <f>Y97</f>
        <v>1620</v>
      </c>
    </row>
    <row r="98" spans="1:26" ht="13.9" customHeight="1" x14ac:dyDescent="0.25">
      <c r="D98" s="88"/>
      <c r="E98" s="56"/>
      <c r="F98" s="14" t="s">
        <v>151</v>
      </c>
      <c r="G98" s="61">
        <v>2874.11</v>
      </c>
      <c r="H98" s="61">
        <v>2792.79</v>
      </c>
      <c r="I98" s="58">
        <v>2805</v>
      </c>
      <c r="J98" s="58">
        <v>1831</v>
      </c>
      <c r="K98" s="58">
        <v>1831</v>
      </c>
      <c r="L98" s="58"/>
      <c r="M98" s="58"/>
      <c r="N98" s="58"/>
      <c r="O98" s="58"/>
      <c r="P98" s="58">
        <f>K98+SUM(L98:O98)</f>
        <v>1831</v>
      </c>
      <c r="Q98" s="58">
        <v>150.33000000000001</v>
      </c>
      <c r="R98" s="15">
        <f>Q98/$P98</f>
        <v>8.2102676133260527E-2</v>
      </c>
      <c r="S98" s="58">
        <v>219.04</v>
      </c>
      <c r="T98" s="15">
        <f>S98/$P98</f>
        <v>0.11962861824139814</v>
      </c>
      <c r="U98" s="58">
        <v>272.04000000000002</v>
      </c>
      <c r="V98" s="15">
        <f>U98/$P98</f>
        <v>0.14857454942654288</v>
      </c>
      <c r="W98" s="58">
        <v>1845.31</v>
      </c>
      <c r="X98" s="59">
        <f>W98/$P98</f>
        <v>1.0078154014199892</v>
      </c>
      <c r="Y98" s="58">
        <f>K98</f>
        <v>1831</v>
      </c>
      <c r="Z98" s="60">
        <f>Y98</f>
        <v>1831</v>
      </c>
    </row>
    <row r="99" spans="1:26" ht="13.9" customHeight="1" x14ac:dyDescent="0.25">
      <c r="D99" s="88"/>
      <c r="E99" s="56"/>
      <c r="F99" s="14" t="s">
        <v>152</v>
      </c>
      <c r="G99" s="61">
        <v>5059</v>
      </c>
      <c r="H99" s="61">
        <v>8054.22</v>
      </c>
      <c r="I99" s="58">
        <v>4155</v>
      </c>
      <c r="J99" s="58">
        <v>1483</v>
      </c>
      <c r="K99" s="58">
        <v>1859</v>
      </c>
      <c r="L99" s="58">
        <v>-162</v>
      </c>
      <c r="M99" s="58">
        <f>1000+200</f>
        <v>1200</v>
      </c>
      <c r="N99" s="58">
        <f>1017+441</f>
        <v>1458</v>
      </c>
      <c r="O99" s="58">
        <v>197</v>
      </c>
      <c r="P99" s="58">
        <f>K99+SUM(L99:O99)</f>
        <v>4552</v>
      </c>
      <c r="Q99" s="58">
        <v>1011.86</v>
      </c>
      <c r="R99" s="15">
        <f>Q99/$P99</f>
        <v>0.22228910369068541</v>
      </c>
      <c r="S99" s="58">
        <f>2109.96+253.06</f>
        <v>2363.02</v>
      </c>
      <c r="T99" s="15">
        <f>S99/$P99</f>
        <v>0.51911687170474519</v>
      </c>
      <c r="U99" s="58">
        <f>2448.57+855.65</f>
        <v>3304.2200000000003</v>
      </c>
      <c r="V99" s="15">
        <f>U99/$P99</f>
        <v>0.72588312829525492</v>
      </c>
      <c r="W99" s="58">
        <v>4552.34</v>
      </c>
      <c r="X99" s="59">
        <f>W99/$P99</f>
        <v>1.0000746924428823</v>
      </c>
      <c r="Y99" s="58">
        <f>K99</f>
        <v>1859</v>
      </c>
      <c r="Z99" s="60">
        <f>Y99</f>
        <v>1859</v>
      </c>
    </row>
    <row r="100" spans="1:26" ht="13.9" customHeight="1" x14ac:dyDescent="0.25">
      <c r="D100" s="88"/>
      <c r="E100" s="64"/>
      <c r="F100" s="95" t="s">
        <v>153</v>
      </c>
      <c r="G100" s="66">
        <v>8528.31</v>
      </c>
      <c r="H100" s="66">
        <v>5970.38</v>
      </c>
      <c r="I100" s="96">
        <v>10000</v>
      </c>
      <c r="J100" s="96">
        <v>4434.34</v>
      </c>
      <c r="K100" s="96">
        <v>7244</v>
      </c>
      <c r="L100" s="96"/>
      <c r="M100" s="96"/>
      <c r="N100" s="96"/>
      <c r="O100" s="96"/>
      <c r="P100" s="96">
        <f>K100+SUM(L100:O100)</f>
        <v>7244</v>
      </c>
      <c r="Q100" s="96">
        <v>1951.99</v>
      </c>
      <c r="R100" s="97">
        <f>Q100/$P100</f>
        <v>0.26946300386526784</v>
      </c>
      <c r="S100" s="96">
        <v>3891.35</v>
      </c>
      <c r="T100" s="97">
        <f>S100/$P100</f>
        <v>0.53718249585864164</v>
      </c>
      <c r="U100" s="96">
        <v>6761.29</v>
      </c>
      <c r="V100" s="97">
        <f>U100/$P100</f>
        <v>0.93336416344561013</v>
      </c>
      <c r="W100" s="96">
        <v>5534.03</v>
      </c>
      <c r="X100" s="98">
        <f>W100/$P100</f>
        <v>0.76394671452236329</v>
      </c>
      <c r="Y100" s="66">
        <f>K100</f>
        <v>7244</v>
      </c>
      <c r="Z100" s="69">
        <f>Y100</f>
        <v>7244</v>
      </c>
    </row>
    <row r="101" spans="1:26" ht="13.9" customHeight="1" x14ac:dyDescent="0.25">
      <c r="D101" s="88"/>
      <c r="E101" s="43"/>
      <c r="F101" s="43"/>
      <c r="G101" s="89"/>
      <c r="H101" s="89"/>
      <c r="I101" s="89"/>
      <c r="J101" s="89"/>
      <c r="K101" s="89"/>
      <c r="L101" s="89"/>
      <c r="M101" s="89"/>
      <c r="N101" s="89"/>
      <c r="O101" s="89"/>
      <c r="P101" s="89"/>
      <c r="Q101" s="89"/>
      <c r="R101" s="90"/>
      <c r="S101" s="89"/>
      <c r="T101" s="90"/>
      <c r="U101" s="89"/>
      <c r="V101" s="90"/>
      <c r="W101" s="89"/>
      <c r="X101" s="90"/>
      <c r="Y101" s="89"/>
      <c r="Z101" s="89"/>
    </row>
    <row r="102" spans="1:26" ht="13.9" customHeight="1" x14ac:dyDescent="0.25">
      <c r="D102" s="5" t="s">
        <v>154</v>
      </c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spans="1:26" ht="13.9" customHeight="1" x14ac:dyDescent="0.25">
      <c r="D103" s="20" t="s">
        <v>33</v>
      </c>
      <c r="E103" s="20" t="s">
        <v>34</v>
      </c>
      <c r="F103" s="20" t="s">
        <v>35</v>
      </c>
      <c r="G103" s="20" t="s">
        <v>1</v>
      </c>
      <c r="H103" s="20" t="s">
        <v>2</v>
      </c>
      <c r="I103" s="20" t="s">
        <v>3</v>
      </c>
      <c r="J103" s="20" t="s">
        <v>4</v>
      </c>
      <c r="K103" s="20" t="s">
        <v>5</v>
      </c>
      <c r="L103" s="20" t="s">
        <v>6</v>
      </c>
      <c r="M103" s="20" t="s">
        <v>7</v>
      </c>
      <c r="N103" s="20" t="s">
        <v>8</v>
      </c>
      <c r="O103" s="20" t="s">
        <v>9</v>
      </c>
      <c r="P103" s="20" t="s">
        <v>10</v>
      </c>
      <c r="Q103" s="20" t="s">
        <v>11</v>
      </c>
      <c r="R103" s="21" t="s">
        <v>12</v>
      </c>
      <c r="S103" s="20" t="s">
        <v>13</v>
      </c>
      <c r="T103" s="21" t="s">
        <v>14</v>
      </c>
      <c r="U103" s="20" t="s">
        <v>15</v>
      </c>
      <c r="V103" s="21" t="s">
        <v>16</v>
      </c>
      <c r="W103" s="20" t="s">
        <v>17</v>
      </c>
      <c r="X103" s="21" t="s">
        <v>18</v>
      </c>
      <c r="Y103" s="20" t="s">
        <v>19</v>
      </c>
      <c r="Z103" s="20" t="s">
        <v>20</v>
      </c>
    </row>
    <row r="104" spans="1:26" ht="13.9" customHeight="1" x14ac:dyDescent="0.25">
      <c r="A104" s="14">
        <v>1</v>
      </c>
      <c r="B104" s="14">
        <v>1</v>
      </c>
      <c r="C104" s="14">
        <v>6</v>
      </c>
      <c r="D104" s="83" t="s">
        <v>155</v>
      </c>
      <c r="E104" s="22">
        <v>630</v>
      </c>
      <c r="F104" s="22" t="s">
        <v>131</v>
      </c>
      <c r="G104" s="23">
        <v>1242.83</v>
      </c>
      <c r="H104" s="23">
        <v>1301.93</v>
      </c>
      <c r="I104" s="23">
        <v>1310</v>
      </c>
      <c r="J104" s="23">
        <v>2179.25</v>
      </c>
      <c r="K104" s="23">
        <v>588</v>
      </c>
      <c r="L104" s="23"/>
      <c r="M104" s="23"/>
      <c r="N104" s="23"/>
      <c r="O104" s="23"/>
      <c r="P104" s="23">
        <f>K104+SUM(L104:O104)</f>
        <v>588</v>
      </c>
      <c r="Q104" s="23">
        <v>302.16000000000003</v>
      </c>
      <c r="R104" s="24">
        <f>Q104/$P104</f>
        <v>0.51387755102040822</v>
      </c>
      <c r="S104" s="23">
        <v>316.43</v>
      </c>
      <c r="T104" s="24">
        <f>S104/$P104</f>
        <v>0.53814625850340136</v>
      </c>
      <c r="U104" s="23">
        <v>336.83</v>
      </c>
      <c r="V104" s="24">
        <f>U104/$P104</f>
        <v>0.57284013605442174</v>
      </c>
      <c r="W104" s="23">
        <v>390.89</v>
      </c>
      <c r="X104" s="24">
        <f>W104/$P104</f>
        <v>0.66477891156462587</v>
      </c>
      <c r="Y104" s="23">
        <f>K104</f>
        <v>588</v>
      </c>
      <c r="Z104" s="23">
        <f>Y104</f>
        <v>588</v>
      </c>
    </row>
    <row r="105" spans="1:26" ht="13.9" customHeight="1" x14ac:dyDescent="0.25">
      <c r="A105" s="14">
        <v>1</v>
      </c>
      <c r="B105" s="14">
        <v>1</v>
      </c>
      <c r="C105" s="14">
        <v>6</v>
      </c>
      <c r="D105" s="78" t="s">
        <v>21</v>
      </c>
      <c r="E105" s="25">
        <v>41</v>
      </c>
      <c r="F105" s="25" t="s">
        <v>23</v>
      </c>
      <c r="G105" s="26">
        <f t="shared" ref="G105:Q105" si="63">SUM(G104:G104)</f>
        <v>1242.83</v>
      </c>
      <c r="H105" s="26">
        <f t="shared" si="63"/>
        <v>1301.93</v>
      </c>
      <c r="I105" s="26">
        <f t="shared" si="63"/>
        <v>1310</v>
      </c>
      <c r="J105" s="26">
        <f t="shared" si="63"/>
        <v>2179.25</v>
      </c>
      <c r="K105" s="26">
        <f t="shared" si="63"/>
        <v>588</v>
      </c>
      <c r="L105" s="26">
        <f t="shared" si="63"/>
        <v>0</v>
      </c>
      <c r="M105" s="26">
        <f t="shared" si="63"/>
        <v>0</v>
      </c>
      <c r="N105" s="26">
        <f t="shared" si="63"/>
        <v>0</v>
      </c>
      <c r="O105" s="26">
        <f t="shared" si="63"/>
        <v>0</v>
      </c>
      <c r="P105" s="26">
        <f t="shared" si="63"/>
        <v>588</v>
      </c>
      <c r="Q105" s="26">
        <f t="shared" si="63"/>
        <v>302.16000000000003</v>
      </c>
      <c r="R105" s="27">
        <f>Q105/$P105</f>
        <v>0.51387755102040822</v>
      </c>
      <c r="S105" s="26">
        <f>SUM(S104:S104)</f>
        <v>316.43</v>
      </c>
      <c r="T105" s="27">
        <f>S105/$P105</f>
        <v>0.53814625850340136</v>
      </c>
      <c r="U105" s="26">
        <f>SUM(U104:U104)</f>
        <v>336.83</v>
      </c>
      <c r="V105" s="27">
        <f>U105/$P105</f>
        <v>0.57284013605442174</v>
      </c>
      <c r="W105" s="26">
        <f>SUM(W104:W104)</f>
        <v>390.89</v>
      </c>
      <c r="X105" s="27">
        <f>W105/$P105</f>
        <v>0.66477891156462587</v>
      </c>
      <c r="Y105" s="26">
        <f>SUM(Y104:Y104)</f>
        <v>588</v>
      </c>
      <c r="Z105" s="26">
        <f>SUM(Z104:Z104)</f>
        <v>588</v>
      </c>
    </row>
    <row r="106" spans="1:26" ht="13.9" customHeight="1" x14ac:dyDescent="0.25">
      <c r="D106" s="88"/>
      <c r="E106" s="43"/>
      <c r="F106" s="43"/>
      <c r="G106" s="89"/>
      <c r="H106" s="89"/>
      <c r="I106" s="89"/>
      <c r="J106" s="89"/>
      <c r="K106" s="89"/>
      <c r="L106" s="89"/>
      <c r="M106" s="89"/>
      <c r="N106" s="89"/>
      <c r="O106" s="89"/>
      <c r="P106" s="89"/>
      <c r="Q106" s="89"/>
      <c r="R106" s="90"/>
      <c r="S106" s="89"/>
      <c r="T106" s="90"/>
      <c r="U106" s="89"/>
      <c r="V106" s="90"/>
      <c r="W106" s="89"/>
      <c r="X106" s="90"/>
      <c r="Y106" s="89"/>
      <c r="Z106" s="89"/>
    </row>
    <row r="107" spans="1:26" ht="13.9" customHeight="1" x14ac:dyDescent="0.25">
      <c r="D107" s="5" t="s">
        <v>156</v>
      </c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spans="1:26" ht="13.9" customHeight="1" x14ac:dyDescent="0.25">
      <c r="D108" s="20" t="s">
        <v>33</v>
      </c>
      <c r="E108" s="20" t="s">
        <v>34</v>
      </c>
      <c r="F108" s="20" t="s">
        <v>35</v>
      </c>
      <c r="G108" s="20" t="s">
        <v>1</v>
      </c>
      <c r="H108" s="20" t="s">
        <v>2</v>
      </c>
      <c r="I108" s="20" t="s">
        <v>3</v>
      </c>
      <c r="J108" s="20" t="s">
        <v>4</v>
      </c>
      <c r="K108" s="20" t="s">
        <v>5</v>
      </c>
      <c r="L108" s="20" t="s">
        <v>6</v>
      </c>
      <c r="M108" s="20" t="s">
        <v>7</v>
      </c>
      <c r="N108" s="20" t="s">
        <v>8</v>
      </c>
      <c r="O108" s="20" t="s">
        <v>9</v>
      </c>
      <c r="P108" s="20" t="s">
        <v>10</v>
      </c>
      <c r="Q108" s="20" t="s">
        <v>11</v>
      </c>
      <c r="R108" s="21" t="s">
        <v>12</v>
      </c>
      <c r="S108" s="20" t="s">
        <v>13</v>
      </c>
      <c r="T108" s="21" t="s">
        <v>14</v>
      </c>
      <c r="U108" s="20" t="s">
        <v>15</v>
      </c>
      <c r="V108" s="21" t="s">
        <v>16</v>
      </c>
      <c r="W108" s="20" t="s">
        <v>17</v>
      </c>
      <c r="X108" s="21" t="s">
        <v>18</v>
      </c>
      <c r="Y108" s="20" t="s">
        <v>19</v>
      </c>
      <c r="Z108" s="20" t="s">
        <v>20</v>
      </c>
    </row>
    <row r="109" spans="1:26" ht="13.9" customHeight="1" x14ac:dyDescent="0.25">
      <c r="A109" s="14">
        <v>1</v>
      </c>
      <c r="B109" s="14">
        <v>1</v>
      </c>
      <c r="C109" s="14">
        <v>7</v>
      </c>
      <c r="D109" s="4" t="s">
        <v>157</v>
      </c>
      <c r="E109" s="22">
        <v>610</v>
      </c>
      <c r="F109" s="22" t="s">
        <v>129</v>
      </c>
      <c r="G109" s="23">
        <v>3240.37</v>
      </c>
      <c r="H109" s="23">
        <v>4183.72</v>
      </c>
      <c r="I109" s="23">
        <v>3647</v>
      </c>
      <c r="J109" s="23">
        <v>4294.7299999999996</v>
      </c>
      <c r="K109" s="23">
        <v>3529</v>
      </c>
      <c r="L109" s="23"/>
      <c r="M109" s="23">
        <v>833</v>
      </c>
      <c r="N109" s="23"/>
      <c r="O109" s="23">
        <v>-96</v>
      </c>
      <c r="P109" s="45">
        <f>K109+SUM(L109:O109)</f>
        <v>4266</v>
      </c>
      <c r="Q109" s="45">
        <v>828.28</v>
      </c>
      <c r="R109" s="46">
        <f t="shared" ref="R109:R120" si="64">Q109/$P109</f>
        <v>0.19415846225972808</v>
      </c>
      <c r="S109" s="45">
        <v>1710.42</v>
      </c>
      <c r="T109" s="46">
        <f t="shared" ref="T109:T120" si="65">S109/$P109</f>
        <v>0.40094233473980312</v>
      </c>
      <c r="U109" s="45">
        <v>2592.63</v>
      </c>
      <c r="V109" s="46">
        <f t="shared" ref="V109:V120" si="66">U109/$P109</f>
        <v>0.60774261603375535</v>
      </c>
      <c r="W109" s="45">
        <v>4266.1499999999996</v>
      </c>
      <c r="X109" s="46">
        <f t="shared" ref="X109:X120" si="67">W109/$P109</f>
        <v>1.0000351617440224</v>
      </c>
      <c r="Y109" s="23">
        <f>K109</f>
        <v>3529</v>
      </c>
      <c r="Z109" s="23">
        <f>Y109</f>
        <v>3529</v>
      </c>
    </row>
    <row r="110" spans="1:26" ht="13.9" customHeight="1" x14ac:dyDescent="0.25">
      <c r="A110" s="14">
        <v>1</v>
      </c>
      <c r="B110" s="14">
        <v>1</v>
      </c>
      <c r="C110" s="14">
        <v>7</v>
      </c>
      <c r="D110" s="4"/>
      <c r="E110" s="22">
        <v>620</v>
      </c>
      <c r="F110" s="22" t="s">
        <v>130</v>
      </c>
      <c r="G110" s="23">
        <v>1177.05</v>
      </c>
      <c r="H110" s="23">
        <v>1504.41</v>
      </c>
      <c r="I110" s="23">
        <v>1274</v>
      </c>
      <c r="J110" s="23">
        <v>1545.8</v>
      </c>
      <c r="K110" s="23">
        <v>1233</v>
      </c>
      <c r="L110" s="23"/>
      <c r="M110" s="23">
        <v>292</v>
      </c>
      <c r="N110" s="23"/>
      <c r="O110" s="23">
        <v>-7</v>
      </c>
      <c r="P110" s="45">
        <f>K110+SUM(L110:O110)</f>
        <v>1518</v>
      </c>
      <c r="Q110" s="45">
        <v>289.8</v>
      </c>
      <c r="R110" s="46">
        <f t="shared" si="64"/>
        <v>0.19090909090909092</v>
      </c>
      <c r="S110" s="45">
        <v>598.62</v>
      </c>
      <c r="T110" s="46">
        <f t="shared" si="65"/>
        <v>0.39434782608695651</v>
      </c>
      <c r="U110" s="45">
        <v>907.37</v>
      </c>
      <c r="V110" s="46">
        <f t="shared" si="66"/>
        <v>0.59774044795783932</v>
      </c>
      <c r="W110" s="45">
        <v>1517.13</v>
      </c>
      <c r="X110" s="46">
        <f t="shared" si="67"/>
        <v>0.99942687747035586</v>
      </c>
      <c r="Y110" s="23">
        <f>K110</f>
        <v>1233</v>
      </c>
      <c r="Z110" s="23">
        <f>Y110</f>
        <v>1233</v>
      </c>
    </row>
    <row r="111" spans="1:26" ht="13.9" customHeight="1" x14ac:dyDescent="0.25">
      <c r="A111" s="14">
        <v>1</v>
      </c>
      <c r="B111" s="14">
        <v>1</v>
      </c>
      <c r="C111" s="14">
        <v>7</v>
      </c>
      <c r="D111" s="4"/>
      <c r="E111" s="22">
        <v>630</v>
      </c>
      <c r="F111" s="22" t="s">
        <v>131</v>
      </c>
      <c r="G111" s="23">
        <v>1123.32</v>
      </c>
      <c r="H111" s="23">
        <v>513.22</v>
      </c>
      <c r="I111" s="45">
        <v>1280</v>
      </c>
      <c r="J111" s="45">
        <v>860.71</v>
      </c>
      <c r="K111" s="45">
        <f>príjmy!H109+príjmy!H110-K109-K110</f>
        <v>799</v>
      </c>
      <c r="L111" s="45"/>
      <c r="M111" s="45">
        <v>62</v>
      </c>
      <c r="N111" s="45"/>
      <c r="O111" s="45">
        <v>267</v>
      </c>
      <c r="P111" s="45">
        <f>K111+SUM(L111:O111)</f>
        <v>1128</v>
      </c>
      <c r="Q111" s="45">
        <v>130.91999999999999</v>
      </c>
      <c r="R111" s="46">
        <f t="shared" si="64"/>
        <v>0.11606382978723404</v>
      </c>
      <c r="S111" s="45">
        <v>285.57</v>
      </c>
      <c r="T111" s="46">
        <f t="shared" si="65"/>
        <v>0.25316489361702127</v>
      </c>
      <c r="U111" s="45">
        <v>343.88</v>
      </c>
      <c r="V111" s="46">
        <f t="shared" si="66"/>
        <v>0.3048581560283688</v>
      </c>
      <c r="W111" s="45">
        <v>1128.6600000000001</v>
      </c>
      <c r="X111" s="46">
        <f t="shared" si="67"/>
        <v>1.0005851063829787</v>
      </c>
      <c r="Y111" s="23">
        <f>K111</f>
        <v>799</v>
      </c>
      <c r="Z111" s="23">
        <f>Y111</f>
        <v>799</v>
      </c>
    </row>
    <row r="112" spans="1:26" ht="13.9" customHeight="1" x14ac:dyDescent="0.25">
      <c r="A112" s="14">
        <v>1</v>
      </c>
      <c r="B112" s="14">
        <v>1</v>
      </c>
      <c r="C112" s="14">
        <v>7</v>
      </c>
      <c r="D112" s="84" t="s">
        <v>21</v>
      </c>
      <c r="E112" s="47">
        <v>111</v>
      </c>
      <c r="F112" s="47" t="s">
        <v>134</v>
      </c>
      <c r="G112" s="48">
        <f t="shared" ref="G112:Q112" si="68">SUM(G109:G111)</f>
        <v>5540.74</v>
      </c>
      <c r="H112" s="48">
        <f t="shared" si="68"/>
        <v>6201.35</v>
      </c>
      <c r="I112" s="99">
        <f t="shared" si="68"/>
        <v>6201</v>
      </c>
      <c r="J112" s="99">
        <f t="shared" si="68"/>
        <v>6701.24</v>
      </c>
      <c r="K112" s="99">
        <f t="shared" si="68"/>
        <v>5561</v>
      </c>
      <c r="L112" s="99">
        <f t="shared" si="68"/>
        <v>0</v>
      </c>
      <c r="M112" s="99">
        <f t="shared" si="68"/>
        <v>1187</v>
      </c>
      <c r="N112" s="99">
        <f t="shared" si="68"/>
        <v>0</v>
      </c>
      <c r="O112" s="99">
        <f t="shared" si="68"/>
        <v>164</v>
      </c>
      <c r="P112" s="99">
        <f t="shared" si="68"/>
        <v>6912</v>
      </c>
      <c r="Q112" s="99">
        <f t="shared" si="68"/>
        <v>1249</v>
      </c>
      <c r="R112" s="100">
        <f t="shared" si="64"/>
        <v>0.18070023148148148</v>
      </c>
      <c r="S112" s="99">
        <f>SUM(S109:S111)</f>
        <v>2594.61</v>
      </c>
      <c r="T112" s="100">
        <f t="shared" si="65"/>
        <v>0.37537760416666671</v>
      </c>
      <c r="U112" s="99">
        <f>SUM(U109:U111)</f>
        <v>3843.88</v>
      </c>
      <c r="V112" s="100">
        <f t="shared" si="66"/>
        <v>0.55611689814814813</v>
      </c>
      <c r="W112" s="99">
        <f>SUM(W109:W111)</f>
        <v>6911.94</v>
      </c>
      <c r="X112" s="100">
        <f t="shared" si="67"/>
        <v>0.99999131944444442</v>
      </c>
      <c r="Y112" s="48">
        <f>SUM(Y109:Y111)</f>
        <v>5561</v>
      </c>
      <c r="Z112" s="48">
        <f>SUM(Z109:Z111)</f>
        <v>5561</v>
      </c>
    </row>
    <row r="113" spans="1:26" ht="13.9" customHeight="1" x14ac:dyDescent="0.25">
      <c r="A113" s="14">
        <v>1</v>
      </c>
      <c r="B113" s="14">
        <v>1</v>
      </c>
      <c r="C113" s="14">
        <v>7</v>
      </c>
      <c r="D113" s="4" t="s">
        <v>157</v>
      </c>
      <c r="E113" s="22">
        <v>610</v>
      </c>
      <c r="F113" s="22" t="s">
        <v>129</v>
      </c>
      <c r="G113" s="23">
        <v>5046.47</v>
      </c>
      <c r="H113" s="23">
        <v>7296.19</v>
      </c>
      <c r="I113" s="23">
        <v>7947</v>
      </c>
      <c r="J113" s="23">
        <v>2793.14</v>
      </c>
      <c r="K113" s="23">
        <v>2831</v>
      </c>
      <c r="L113" s="23"/>
      <c r="M113" s="23"/>
      <c r="N113" s="23"/>
      <c r="O113" s="23">
        <v>-169</v>
      </c>
      <c r="P113" s="45">
        <f>K113+SUM(L113:O113)</f>
        <v>2662</v>
      </c>
      <c r="Q113" s="45">
        <v>1847</v>
      </c>
      <c r="R113" s="46">
        <f t="shared" si="64"/>
        <v>0.69383921863260711</v>
      </c>
      <c r="S113" s="45">
        <v>3232.19</v>
      </c>
      <c r="T113" s="46">
        <f t="shared" si="65"/>
        <v>1.2141960931630353</v>
      </c>
      <c r="U113" s="45">
        <v>4555.78</v>
      </c>
      <c r="V113" s="46">
        <f t="shared" si="66"/>
        <v>1.7114124718256949</v>
      </c>
      <c r="W113" s="45">
        <v>1902.26</v>
      </c>
      <c r="X113" s="46">
        <f t="shared" si="67"/>
        <v>0.7145980465815176</v>
      </c>
      <c r="Y113" s="23">
        <v>3078</v>
      </c>
      <c r="Z113" s="23">
        <v>3350</v>
      </c>
    </row>
    <row r="114" spans="1:26" ht="13.9" customHeight="1" x14ac:dyDescent="0.25">
      <c r="A114" s="14">
        <v>1</v>
      </c>
      <c r="B114" s="14">
        <v>1</v>
      </c>
      <c r="C114" s="14">
        <v>7</v>
      </c>
      <c r="D114" s="4"/>
      <c r="E114" s="22">
        <v>620</v>
      </c>
      <c r="F114" s="22" t="s">
        <v>130</v>
      </c>
      <c r="G114" s="23">
        <v>2012.04</v>
      </c>
      <c r="H114" s="23">
        <v>2717.55</v>
      </c>
      <c r="I114" s="23">
        <v>2975</v>
      </c>
      <c r="J114" s="23">
        <v>990.48</v>
      </c>
      <c r="K114" s="23">
        <v>1086</v>
      </c>
      <c r="L114" s="23"/>
      <c r="M114" s="23">
        <v>70</v>
      </c>
      <c r="N114" s="23"/>
      <c r="O114" s="23"/>
      <c r="P114" s="45">
        <f>K114+SUM(L114:O114)</f>
        <v>1156</v>
      </c>
      <c r="Q114" s="45">
        <v>686.08</v>
      </c>
      <c r="R114" s="46">
        <f t="shared" si="64"/>
        <v>0.59349480968858137</v>
      </c>
      <c r="S114" s="45">
        <v>1201.2</v>
      </c>
      <c r="T114" s="46">
        <f t="shared" si="65"/>
        <v>1.0391003460207613</v>
      </c>
      <c r="U114" s="45">
        <v>1717.5</v>
      </c>
      <c r="V114" s="46">
        <f t="shared" si="66"/>
        <v>1.4857266435986158</v>
      </c>
      <c r="W114" s="45">
        <v>716.96</v>
      </c>
      <c r="X114" s="46">
        <f t="shared" si="67"/>
        <v>0.62020761245674738</v>
      </c>
      <c r="Y114" s="23">
        <v>1178</v>
      </c>
      <c r="Z114" s="23">
        <v>1278</v>
      </c>
    </row>
    <row r="115" spans="1:26" ht="13.9" customHeight="1" x14ac:dyDescent="0.25">
      <c r="A115" s="14">
        <v>1</v>
      </c>
      <c r="B115" s="14">
        <v>1</v>
      </c>
      <c r="C115" s="14">
        <v>7</v>
      </c>
      <c r="D115" s="4"/>
      <c r="E115" s="22">
        <v>630</v>
      </c>
      <c r="F115" s="22" t="s">
        <v>131</v>
      </c>
      <c r="G115" s="23">
        <v>1107.77</v>
      </c>
      <c r="H115" s="23">
        <v>1142.6600000000001</v>
      </c>
      <c r="I115" s="23">
        <v>1309</v>
      </c>
      <c r="J115" s="23">
        <v>378.35</v>
      </c>
      <c r="K115" s="23">
        <f>1052+255</f>
        <v>1307</v>
      </c>
      <c r="L115" s="23"/>
      <c r="M115" s="23"/>
      <c r="N115" s="23"/>
      <c r="O115" s="23"/>
      <c r="P115" s="45">
        <f>K115+SUM(L115:O115)</f>
        <v>1307</v>
      </c>
      <c r="Q115" s="45">
        <v>88.68</v>
      </c>
      <c r="R115" s="46">
        <f t="shared" si="64"/>
        <v>6.7850038255547057E-2</v>
      </c>
      <c r="S115" s="45">
        <v>318.72000000000003</v>
      </c>
      <c r="T115" s="46">
        <f t="shared" si="65"/>
        <v>0.24385615914307576</v>
      </c>
      <c r="U115" s="45">
        <v>798.63</v>
      </c>
      <c r="V115" s="46">
        <f t="shared" si="66"/>
        <v>0.61104055087987763</v>
      </c>
      <c r="W115" s="45">
        <v>1154.3699999999999</v>
      </c>
      <c r="X115" s="46">
        <f t="shared" si="67"/>
        <v>0.88322111706197393</v>
      </c>
      <c r="Y115" s="23">
        <f>1051+255</f>
        <v>1306</v>
      </c>
      <c r="Z115" s="23">
        <f>1054+255</f>
        <v>1309</v>
      </c>
    </row>
    <row r="116" spans="1:26" ht="13.9" hidden="1" customHeight="1" x14ac:dyDescent="0.25">
      <c r="A116" s="14">
        <v>1</v>
      </c>
      <c r="B116" s="14">
        <v>1</v>
      </c>
      <c r="C116" s="14">
        <v>7</v>
      </c>
      <c r="D116" s="4"/>
      <c r="E116" s="22">
        <v>640</v>
      </c>
      <c r="F116" s="22" t="s">
        <v>132</v>
      </c>
      <c r="G116" s="23">
        <v>347.04</v>
      </c>
      <c r="H116" s="23">
        <v>0</v>
      </c>
      <c r="I116" s="23">
        <v>0</v>
      </c>
      <c r="J116" s="23">
        <v>144.56</v>
      </c>
      <c r="K116" s="23">
        <v>0</v>
      </c>
      <c r="L116" s="23"/>
      <c r="M116" s="23"/>
      <c r="N116" s="23"/>
      <c r="O116" s="23"/>
      <c r="P116" s="23">
        <f>K116+SUM(L116:O116)</f>
        <v>0</v>
      </c>
      <c r="Q116" s="23">
        <v>0</v>
      </c>
      <c r="R116" s="24" t="e">
        <f t="shared" si="64"/>
        <v>#DIV/0!</v>
      </c>
      <c r="S116" s="23">
        <v>0</v>
      </c>
      <c r="T116" s="24" t="e">
        <f t="shared" si="65"/>
        <v>#DIV/0!</v>
      </c>
      <c r="U116" s="23"/>
      <c r="V116" s="24" t="e">
        <f t="shared" si="66"/>
        <v>#DIV/0!</v>
      </c>
      <c r="W116" s="23"/>
      <c r="X116" s="24" t="e">
        <f t="shared" si="67"/>
        <v>#DIV/0!</v>
      </c>
      <c r="Y116" s="23">
        <f>K116</f>
        <v>0</v>
      </c>
      <c r="Z116" s="23">
        <f>Y116</f>
        <v>0</v>
      </c>
    </row>
    <row r="117" spans="1:26" ht="13.9" customHeight="1" x14ac:dyDescent="0.25">
      <c r="A117" s="14">
        <v>1</v>
      </c>
      <c r="B117" s="14">
        <v>1</v>
      </c>
      <c r="C117" s="14">
        <v>7</v>
      </c>
      <c r="D117" s="84" t="s">
        <v>21</v>
      </c>
      <c r="E117" s="47">
        <v>41</v>
      </c>
      <c r="F117" s="47" t="s">
        <v>23</v>
      </c>
      <c r="G117" s="48">
        <f t="shared" ref="G117:Q117" si="69">SUM(G113:G116)</f>
        <v>8513.3200000000015</v>
      </c>
      <c r="H117" s="48">
        <f t="shared" si="69"/>
        <v>11156.4</v>
      </c>
      <c r="I117" s="48">
        <f t="shared" si="69"/>
        <v>12231</v>
      </c>
      <c r="J117" s="48">
        <f t="shared" si="69"/>
        <v>4306.5300000000007</v>
      </c>
      <c r="K117" s="48">
        <f t="shared" si="69"/>
        <v>5224</v>
      </c>
      <c r="L117" s="48">
        <f t="shared" si="69"/>
        <v>0</v>
      </c>
      <c r="M117" s="48">
        <f t="shared" si="69"/>
        <v>70</v>
      </c>
      <c r="N117" s="48">
        <f t="shared" si="69"/>
        <v>0</v>
      </c>
      <c r="O117" s="48">
        <f t="shared" si="69"/>
        <v>-169</v>
      </c>
      <c r="P117" s="48">
        <f t="shared" si="69"/>
        <v>5125</v>
      </c>
      <c r="Q117" s="48">
        <f t="shared" si="69"/>
        <v>2621.7599999999998</v>
      </c>
      <c r="R117" s="49">
        <f t="shared" si="64"/>
        <v>0.51156292682926829</v>
      </c>
      <c r="S117" s="48">
        <f>SUM(S113:S116)</f>
        <v>4752.1100000000006</v>
      </c>
      <c r="T117" s="49">
        <f t="shared" si="65"/>
        <v>0.92724097560975616</v>
      </c>
      <c r="U117" s="48">
        <f>SUM(U113:U116)</f>
        <v>7071.91</v>
      </c>
      <c r="V117" s="49">
        <f t="shared" si="66"/>
        <v>1.3798848780487805</v>
      </c>
      <c r="W117" s="48">
        <f>SUM(W113:W116)</f>
        <v>3773.59</v>
      </c>
      <c r="X117" s="49">
        <f t="shared" si="67"/>
        <v>0.73631024390243904</v>
      </c>
      <c r="Y117" s="48">
        <f>SUM(Y113:Y116)</f>
        <v>5562</v>
      </c>
      <c r="Z117" s="48">
        <f>SUM(Z113:Z116)</f>
        <v>5937</v>
      </c>
    </row>
    <row r="118" spans="1:26" ht="13.9" customHeight="1" x14ac:dyDescent="0.25">
      <c r="A118" s="14">
        <v>1</v>
      </c>
      <c r="B118" s="14">
        <v>1</v>
      </c>
      <c r="C118" s="14">
        <v>7</v>
      </c>
      <c r="D118" s="79" t="s">
        <v>157</v>
      </c>
      <c r="E118" s="22">
        <v>640</v>
      </c>
      <c r="F118" s="22" t="s">
        <v>132</v>
      </c>
      <c r="G118" s="23">
        <v>91.06</v>
      </c>
      <c r="H118" s="23">
        <v>119.31</v>
      </c>
      <c r="I118" s="23">
        <v>120</v>
      </c>
      <c r="J118" s="23">
        <v>54.6</v>
      </c>
      <c r="K118" s="23">
        <v>55</v>
      </c>
      <c r="L118" s="23"/>
      <c r="M118" s="23"/>
      <c r="N118" s="23"/>
      <c r="O118" s="23">
        <v>11</v>
      </c>
      <c r="P118" s="23">
        <f>K118+SUM(L118:O118)</f>
        <v>66</v>
      </c>
      <c r="Q118" s="23">
        <v>0</v>
      </c>
      <c r="R118" s="24">
        <f t="shared" si="64"/>
        <v>0</v>
      </c>
      <c r="S118" s="23">
        <v>0</v>
      </c>
      <c r="T118" s="24">
        <f t="shared" si="65"/>
        <v>0</v>
      </c>
      <c r="U118" s="23">
        <v>0</v>
      </c>
      <c r="V118" s="24">
        <f t="shared" si="66"/>
        <v>0</v>
      </c>
      <c r="W118" s="23">
        <v>66</v>
      </c>
      <c r="X118" s="24">
        <f t="shared" si="67"/>
        <v>1</v>
      </c>
      <c r="Y118" s="23">
        <f>K118</f>
        <v>55</v>
      </c>
      <c r="Z118" s="23">
        <f>Y118</f>
        <v>55</v>
      </c>
    </row>
    <row r="119" spans="1:26" ht="13.9" customHeight="1" x14ac:dyDescent="0.25">
      <c r="A119" s="14">
        <v>1</v>
      </c>
      <c r="B119" s="14">
        <v>1</v>
      </c>
      <c r="C119" s="14">
        <v>7</v>
      </c>
      <c r="D119" s="84" t="s">
        <v>21</v>
      </c>
      <c r="E119" s="47">
        <v>72</v>
      </c>
      <c r="F119" s="47" t="s">
        <v>25</v>
      </c>
      <c r="G119" s="48">
        <f t="shared" ref="G119:Q119" si="70">SUM(G118:G118)</f>
        <v>91.06</v>
      </c>
      <c r="H119" s="48">
        <f t="shared" si="70"/>
        <v>119.31</v>
      </c>
      <c r="I119" s="48">
        <f t="shared" si="70"/>
        <v>120</v>
      </c>
      <c r="J119" s="48">
        <f t="shared" si="70"/>
        <v>54.6</v>
      </c>
      <c r="K119" s="48">
        <f t="shared" si="70"/>
        <v>55</v>
      </c>
      <c r="L119" s="48">
        <f t="shared" si="70"/>
        <v>0</v>
      </c>
      <c r="M119" s="48">
        <f t="shared" si="70"/>
        <v>0</v>
      </c>
      <c r="N119" s="48">
        <f t="shared" si="70"/>
        <v>0</v>
      </c>
      <c r="O119" s="48">
        <f t="shared" si="70"/>
        <v>11</v>
      </c>
      <c r="P119" s="48">
        <f t="shared" si="70"/>
        <v>66</v>
      </c>
      <c r="Q119" s="48">
        <f t="shared" si="70"/>
        <v>0</v>
      </c>
      <c r="R119" s="49">
        <f t="shared" si="64"/>
        <v>0</v>
      </c>
      <c r="S119" s="48">
        <f>SUM(S118:S118)</f>
        <v>0</v>
      </c>
      <c r="T119" s="49">
        <f t="shared" si="65"/>
        <v>0</v>
      </c>
      <c r="U119" s="48">
        <f>SUM(U118:U118)</f>
        <v>0</v>
      </c>
      <c r="V119" s="49">
        <f t="shared" si="66"/>
        <v>0</v>
      </c>
      <c r="W119" s="48">
        <f>SUM(W118:W118)</f>
        <v>66</v>
      </c>
      <c r="X119" s="49">
        <f t="shared" si="67"/>
        <v>1</v>
      </c>
      <c r="Y119" s="48">
        <f>SUM(Y118:Y118)</f>
        <v>55</v>
      </c>
      <c r="Z119" s="48">
        <f>SUM(Z118:Z118)</f>
        <v>55</v>
      </c>
    </row>
    <row r="120" spans="1:26" ht="13.9" customHeight="1" x14ac:dyDescent="0.25">
      <c r="A120" s="14">
        <v>1</v>
      </c>
      <c r="B120" s="14">
        <v>1</v>
      </c>
      <c r="C120" s="14">
        <v>7</v>
      </c>
      <c r="D120" s="29"/>
      <c r="E120" s="30"/>
      <c r="F120" s="25" t="s">
        <v>124</v>
      </c>
      <c r="G120" s="26">
        <f t="shared" ref="G120:Q120" si="71">G112+G117+G119</f>
        <v>14145.12</v>
      </c>
      <c r="H120" s="26">
        <f t="shared" si="71"/>
        <v>17477.060000000001</v>
      </c>
      <c r="I120" s="26">
        <f t="shared" si="71"/>
        <v>18552</v>
      </c>
      <c r="J120" s="26">
        <f t="shared" si="71"/>
        <v>11062.37</v>
      </c>
      <c r="K120" s="26">
        <f t="shared" si="71"/>
        <v>10840</v>
      </c>
      <c r="L120" s="26">
        <f t="shared" si="71"/>
        <v>0</v>
      </c>
      <c r="M120" s="26">
        <f t="shared" si="71"/>
        <v>1257</v>
      </c>
      <c r="N120" s="26">
        <f t="shared" si="71"/>
        <v>0</v>
      </c>
      <c r="O120" s="26">
        <f t="shared" si="71"/>
        <v>6</v>
      </c>
      <c r="P120" s="26">
        <f t="shared" si="71"/>
        <v>12103</v>
      </c>
      <c r="Q120" s="26">
        <f t="shared" si="71"/>
        <v>3870.7599999999998</v>
      </c>
      <c r="R120" s="27">
        <f t="shared" si="64"/>
        <v>0.31981822688589606</v>
      </c>
      <c r="S120" s="26">
        <f>S112+S117+S119</f>
        <v>7346.7200000000012</v>
      </c>
      <c r="T120" s="27">
        <f t="shared" si="65"/>
        <v>0.6070164422044122</v>
      </c>
      <c r="U120" s="26">
        <f>U112+U117+U119</f>
        <v>10915.79</v>
      </c>
      <c r="V120" s="27">
        <f t="shared" si="66"/>
        <v>0.90190779145666367</v>
      </c>
      <c r="W120" s="26">
        <f>W112+W117+W119</f>
        <v>10751.529999999999</v>
      </c>
      <c r="X120" s="27">
        <f t="shared" si="67"/>
        <v>0.88833594976452113</v>
      </c>
      <c r="Y120" s="26">
        <f>Y112+Y117+Y119</f>
        <v>11178</v>
      </c>
      <c r="Z120" s="26">
        <f>Z112+Z117+Z119</f>
        <v>11553</v>
      </c>
    </row>
    <row r="122" spans="1:26" ht="13.9" customHeight="1" x14ac:dyDescent="0.25">
      <c r="D122" s="6" t="s">
        <v>158</v>
      </c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</row>
    <row r="123" spans="1:26" ht="13.9" customHeight="1" x14ac:dyDescent="0.25">
      <c r="D123" s="20" t="s">
        <v>33</v>
      </c>
      <c r="E123" s="20" t="s">
        <v>34</v>
      </c>
      <c r="F123" s="20" t="s">
        <v>35</v>
      </c>
      <c r="G123" s="20" t="s">
        <v>1</v>
      </c>
      <c r="H123" s="20" t="s">
        <v>2</v>
      </c>
      <c r="I123" s="20" t="s">
        <v>3</v>
      </c>
      <c r="J123" s="20" t="s">
        <v>4</v>
      </c>
      <c r="K123" s="20" t="s">
        <v>5</v>
      </c>
      <c r="L123" s="20" t="s">
        <v>6</v>
      </c>
      <c r="M123" s="20" t="s">
        <v>7</v>
      </c>
      <c r="N123" s="20" t="s">
        <v>8</v>
      </c>
      <c r="O123" s="20" t="s">
        <v>9</v>
      </c>
      <c r="P123" s="20" t="s">
        <v>10</v>
      </c>
      <c r="Q123" s="20" t="s">
        <v>11</v>
      </c>
      <c r="R123" s="21" t="s">
        <v>12</v>
      </c>
      <c r="S123" s="20" t="s">
        <v>13</v>
      </c>
      <c r="T123" s="21" t="s">
        <v>14</v>
      </c>
      <c r="U123" s="20" t="s">
        <v>15</v>
      </c>
      <c r="V123" s="21" t="s">
        <v>16</v>
      </c>
      <c r="W123" s="20" t="s">
        <v>17</v>
      </c>
      <c r="X123" s="21" t="s">
        <v>18</v>
      </c>
      <c r="Y123" s="20" t="s">
        <v>19</v>
      </c>
      <c r="Z123" s="20" t="s">
        <v>20</v>
      </c>
    </row>
    <row r="124" spans="1:26" ht="13.9" customHeight="1" x14ac:dyDescent="0.25">
      <c r="A124" s="14">
        <v>1</v>
      </c>
      <c r="B124" s="14">
        <v>2</v>
      </c>
      <c r="D124" s="22" t="s">
        <v>128</v>
      </c>
      <c r="E124" s="22">
        <v>640</v>
      </c>
      <c r="F124" s="22" t="s">
        <v>91</v>
      </c>
      <c r="G124" s="23">
        <v>3612.98</v>
      </c>
      <c r="H124" s="23">
        <v>4254.03</v>
      </c>
      <c r="I124" s="23">
        <v>3636</v>
      </c>
      <c r="J124" s="23">
        <v>4719.74</v>
      </c>
      <c r="K124" s="23">
        <f>príjmy!H106+príjmy!H107</f>
        <v>4242</v>
      </c>
      <c r="L124" s="23"/>
      <c r="M124" s="23"/>
      <c r="N124" s="23"/>
      <c r="O124" s="23"/>
      <c r="P124" s="23">
        <f>K124+SUM(L124:O124)</f>
        <v>4242</v>
      </c>
      <c r="Q124" s="23">
        <v>0</v>
      </c>
      <c r="R124" s="24">
        <f t="shared" ref="R124:R129" si="72">Q124/$P124</f>
        <v>0</v>
      </c>
      <c r="S124" s="23">
        <v>4241.95</v>
      </c>
      <c r="T124" s="24">
        <f t="shared" ref="T124:T129" si="73">S124/$P124</f>
        <v>0.9999882131070249</v>
      </c>
      <c r="U124" s="23">
        <v>4241.95</v>
      </c>
      <c r="V124" s="24">
        <f t="shared" ref="V124:V129" si="74">U124/$P124</f>
        <v>0.9999882131070249</v>
      </c>
      <c r="W124" s="23">
        <v>4241.95</v>
      </c>
      <c r="X124" s="24">
        <f t="shared" ref="X124:X129" si="75">W124/$P124</f>
        <v>0.9999882131070249</v>
      </c>
      <c r="Y124" s="23">
        <f>príjmy!V106+príjmy!V107</f>
        <v>4242</v>
      </c>
      <c r="Z124" s="23">
        <f>príjmy!W106+príjmy!W107</f>
        <v>4242</v>
      </c>
    </row>
    <row r="125" spans="1:26" ht="13.9" customHeight="1" x14ac:dyDescent="0.25">
      <c r="A125" s="14">
        <v>1</v>
      </c>
      <c r="B125" s="14">
        <v>2</v>
      </c>
      <c r="D125" s="84" t="s">
        <v>21</v>
      </c>
      <c r="E125" s="47">
        <v>111</v>
      </c>
      <c r="F125" s="47" t="s">
        <v>134</v>
      </c>
      <c r="G125" s="48">
        <f t="shared" ref="G125:Q125" si="76">SUM(G124)</f>
        <v>3612.98</v>
      </c>
      <c r="H125" s="48">
        <f t="shared" si="76"/>
        <v>4254.03</v>
      </c>
      <c r="I125" s="48">
        <f t="shared" si="76"/>
        <v>3636</v>
      </c>
      <c r="J125" s="48">
        <f t="shared" si="76"/>
        <v>4719.74</v>
      </c>
      <c r="K125" s="48">
        <f t="shared" si="76"/>
        <v>4242</v>
      </c>
      <c r="L125" s="48">
        <f t="shared" si="76"/>
        <v>0</v>
      </c>
      <c r="M125" s="48">
        <f t="shared" si="76"/>
        <v>0</v>
      </c>
      <c r="N125" s="48">
        <f t="shared" si="76"/>
        <v>0</v>
      </c>
      <c r="O125" s="48">
        <f t="shared" si="76"/>
        <v>0</v>
      </c>
      <c r="P125" s="48">
        <f t="shared" si="76"/>
        <v>4242</v>
      </c>
      <c r="Q125" s="48">
        <f t="shared" si="76"/>
        <v>0</v>
      </c>
      <c r="R125" s="49">
        <f t="shared" si="72"/>
        <v>0</v>
      </c>
      <c r="S125" s="48">
        <f>SUM(S124)</f>
        <v>4241.95</v>
      </c>
      <c r="T125" s="49">
        <f t="shared" si="73"/>
        <v>0.9999882131070249</v>
      </c>
      <c r="U125" s="48">
        <f>SUM(U124)</f>
        <v>4241.95</v>
      </c>
      <c r="V125" s="49">
        <f t="shared" si="74"/>
        <v>0.9999882131070249</v>
      </c>
      <c r="W125" s="48">
        <f>SUM(W124)</f>
        <v>4241.95</v>
      </c>
      <c r="X125" s="49">
        <f t="shared" si="75"/>
        <v>0.9999882131070249</v>
      </c>
      <c r="Y125" s="48">
        <f>SUM(Y124)</f>
        <v>4242</v>
      </c>
      <c r="Z125" s="48">
        <f>SUM(Z124)</f>
        <v>4242</v>
      </c>
    </row>
    <row r="126" spans="1:26" ht="13.9" customHeight="1" x14ac:dyDescent="0.25">
      <c r="A126" s="14">
        <v>1</v>
      </c>
      <c r="B126" s="14">
        <v>2</v>
      </c>
      <c r="D126" s="42" t="s">
        <v>159</v>
      </c>
      <c r="E126" s="22">
        <v>640</v>
      </c>
      <c r="F126" s="22" t="s">
        <v>160</v>
      </c>
      <c r="G126" s="23">
        <v>211.42</v>
      </c>
      <c r="H126" s="23">
        <v>368.86</v>
      </c>
      <c r="I126" s="23">
        <v>216</v>
      </c>
      <c r="J126" s="23">
        <v>215.58</v>
      </c>
      <c r="K126" s="23">
        <v>196</v>
      </c>
      <c r="L126" s="23"/>
      <c r="M126" s="23"/>
      <c r="N126" s="23"/>
      <c r="O126" s="23"/>
      <c r="P126" s="23">
        <f>K126+SUM(L126:O126)</f>
        <v>196</v>
      </c>
      <c r="Q126" s="23">
        <v>98.16</v>
      </c>
      <c r="R126" s="24">
        <f t="shared" si="72"/>
        <v>0.50081632653061225</v>
      </c>
      <c r="S126" s="23">
        <v>98.16</v>
      </c>
      <c r="T126" s="24">
        <f t="shared" si="73"/>
        <v>0.50081632653061225</v>
      </c>
      <c r="U126" s="23">
        <v>196.32</v>
      </c>
      <c r="V126" s="24">
        <f t="shared" si="74"/>
        <v>1.0016326530612245</v>
      </c>
      <c r="W126" s="23">
        <v>196.32</v>
      </c>
      <c r="X126" s="24">
        <f t="shared" si="75"/>
        <v>1.0016326530612245</v>
      </c>
      <c r="Y126" s="23">
        <f>K126</f>
        <v>196</v>
      </c>
      <c r="Z126" s="23">
        <f>Y126</f>
        <v>196</v>
      </c>
    </row>
    <row r="127" spans="1:26" ht="13.9" customHeight="1" x14ac:dyDescent="0.25">
      <c r="A127" s="14">
        <v>1</v>
      </c>
      <c r="B127" s="14">
        <v>2</v>
      </c>
      <c r="D127" s="22" t="s">
        <v>128</v>
      </c>
      <c r="E127" s="22">
        <v>640</v>
      </c>
      <c r="F127" s="22" t="s">
        <v>91</v>
      </c>
      <c r="G127" s="23">
        <v>6457.97</v>
      </c>
      <c r="H127" s="23">
        <v>6712.81</v>
      </c>
      <c r="I127" s="23">
        <v>11110</v>
      </c>
      <c r="J127" s="23">
        <v>10026.26</v>
      </c>
      <c r="K127" s="23">
        <v>10885</v>
      </c>
      <c r="L127" s="23"/>
      <c r="M127" s="23"/>
      <c r="N127" s="23"/>
      <c r="O127" s="23"/>
      <c r="P127" s="23">
        <f>K127+SUM(L127:O127)</f>
        <v>10885</v>
      </c>
      <c r="Q127" s="23">
        <v>3781.75</v>
      </c>
      <c r="R127" s="24">
        <f t="shared" si="72"/>
        <v>0.34742765273311899</v>
      </c>
      <c r="S127" s="23">
        <v>3321.55</v>
      </c>
      <c r="T127" s="24">
        <f t="shared" si="73"/>
        <v>0.30514928801102437</v>
      </c>
      <c r="U127" s="23">
        <v>7103.3</v>
      </c>
      <c r="V127" s="24">
        <f t="shared" si="74"/>
        <v>0.6525769407441433</v>
      </c>
      <c r="W127" s="23">
        <v>10885.05</v>
      </c>
      <c r="X127" s="24">
        <f t="shared" si="75"/>
        <v>1.0000045934772621</v>
      </c>
      <c r="Y127" s="23">
        <f>K127</f>
        <v>10885</v>
      </c>
      <c r="Z127" s="23">
        <f>Y127</f>
        <v>10885</v>
      </c>
    </row>
    <row r="128" spans="1:26" ht="13.9" customHeight="1" x14ac:dyDescent="0.25">
      <c r="A128" s="14">
        <v>1</v>
      </c>
      <c r="B128" s="14">
        <v>2</v>
      </c>
      <c r="D128" s="84" t="s">
        <v>21</v>
      </c>
      <c r="E128" s="47">
        <v>41</v>
      </c>
      <c r="F128" s="47" t="s">
        <v>23</v>
      </c>
      <c r="G128" s="48">
        <f t="shared" ref="G128:Q128" si="77">SUM(G126:G127)</f>
        <v>6669.39</v>
      </c>
      <c r="H128" s="48">
        <f t="shared" si="77"/>
        <v>7081.67</v>
      </c>
      <c r="I128" s="48">
        <f t="shared" si="77"/>
        <v>11326</v>
      </c>
      <c r="J128" s="48">
        <f t="shared" si="77"/>
        <v>10241.84</v>
      </c>
      <c r="K128" s="48">
        <f t="shared" si="77"/>
        <v>11081</v>
      </c>
      <c r="L128" s="48">
        <f t="shared" si="77"/>
        <v>0</v>
      </c>
      <c r="M128" s="48">
        <f t="shared" si="77"/>
        <v>0</v>
      </c>
      <c r="N128" s="48">
        <f t="shared" si="77"/>
        <v>0</v>
      </c>
      <c r="O128" s="48">
        <f t="shared" si="77"/>
        <v>0</v>
      </c>
      <c r="P128" s="48">
        <f t="shared" si="77"/>
        <v>11081</v>
      </c>
      <c r="Q128" s="48">
        <f t="shared" si="77"/>
        <v>3879.91</v>
      </c>
      <c r="R128" s="49">
        <f t="shared" si="72"/>
        <v>0.35014078151791356</v>
      </c>
      <c r="S128" s="48">
        <f>SUM(S126:S127)</f>
        <v>3419.71</v>
      </c>
      <c r="T128" s="49">
        <f t="shared" si="73"/>
        <v>0.30861023373341756</v>
      </c>
      <c r="U128" s="48">
        <f>SUM(U126:U127)</f>
        <v>7299.62</v>
      </c>
      <c r="V128" s="49">
        <f t="shared" si="74"/>
        <v>0.65875101525133106</v>
      </c>
      <c r="W128" s="48">
        <f>SUM(W126:W127)</f>
        <v>11081.369999999999</v>
      </c>
      <c r="X128" s="49">
        <f t="shared" si="75"/>
        <v>1.000033390488223</v>
      </c>
      <c r="Y128" s="48">
        <f>SUM(Y126:Y127)</f>
        <v>11081</v>
      </c>
      <c r="Z128" s="48">
        <f>SUM(Z126:Z127)</f>
        <v>11081</v>
      </c>
    </row>
    <row r="129" spans="1:26" ht="13.9" customHeight="1" x14ac:dyDescent="0.25">
      <c r="A129" s="14">
        <v>1</v>
      </c>
      <c r="B129" s="14">
        <v>2</v>
      </c>
      <c r="D129" s="29"/>
      <c r="E129" s="30"/>
      <c r="F129" s="25" t="s">
        <v>124</v>
      </c>
      <c r="G129" s="26">
        <f t="shared" ref="G129:Q129" si="78">G125+G128</f>
        <v>10282.370000000001</v>
      </c>
      <c r="H129" s="26">
        <f t="shared" si="78"/>
        <v>11335.7</v>
      </c>
      <c r="I129" s="26">
        <f t="shared" si="78"/>
        <v>14962</v>
      </c>
      <c r="J129" s="26">
        <f t="shared" si="78"/>
        <v>14961.58</v>
      </c>
      <c r="K129" s="26">
        <f t="shared" si="78"/>
        <v>15323</v>
      </c>
      <c r="L129" s="26">
        <f t="shared" si="78"/>
        <v>0</v>
      </c>
      <c r="M129" s="26">
        <f t="shared" si="78"/>
        <v>0</v>
      </c>
      <c r="N129" s="26">
        <f t="shared" si="78"/>
        <v>0</v>
      </c>
      <c r="O129" s="26">
        <f t="shared" si="78"/>
        <v>0</v>
      </c>
      <c r="P129" s="26">
        <f t="shared" si="78"/>
        <v>15323</v>
      </c>
      <c r="Q129" s="26">
        <f t="shared" si="78"/>
        <v>3879.91</v>
      </c>
      <c r="R129" s="27">
        <f t="shared" si="72"/>
        <v>0.25320824903739475</v>
      </c>
      <c r="S129" s="26">
        <f>S125+S128</f>
        <v>7661.66</v>
      </c>
      <c r="T129" s="27">
        <f t="shared" si="73"/>
        <v>0.50001044181948706</v>
      </c>
      <c r="U129" s="26">
        <f>U125+U128</f>
        <v>11541.57</v>
      </c>
      <c r="V129" s="27">
        <f t="shared" si="74"/>
        <v>0.75321869085688176</v>
      </c>
      <c r="W129" s="26">
        <f>W125+W128</f>
        <v>15323.32</v>
      </c>
      <c r="X129" s="27">
        <f t="shared" si="75"/>
        <v>1.0000208836389741</v>
      </c>
      <c r="Y129" s="26">
        <f>Y125+Y128</f>
        <v>15323</v>
      </c>
      <c r="Z129" s="26">
        <f>Z125+Z128</f>
        <v>15323</v>
      </c>
    </row>
    <row r="131" spans="1:26" ht="13.9" customHeight="1" x14ac:dyDescent="0.25">
      <c r="D131" s="6" t="s">
        <v>161</v>
      </c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</row>
    <row r="132" spans="1:26" ht="13.9" customHeight="1" x14ac:dyDescent="0.25">
      <c r="D132" s="20" t="s">
        <v>33</v>
      </c>
      <c r="E132" s="20" t="s">
        <v>34</v>
      </c>
      <c r="F132" s="20" t="s">
        <v>35</v>
      </c>
      <c r="G132" s="20" t="s">
        <v>1</v>
      </c>
      <c r="H132" s="20" t="s">
        <v>2</v>
      </c>
      <c r="I132" s="20" t="s">
        <v>3</v>
      </c>
      <c r="J132" s="20" t="s">
        <v>4</v>
      </c>
      <c r="K132" s="20" t="s">
        <v>5</v>
      </c>
      <c r="L132" s="20" t="s">
        <v>6</v>
      </c>
      <c r="M132" s="20" t="s">
        <v>7</v>
      </c>
      <c r="N132" s="20" t="s">
        <v>8</v>
      </c>
      <c r="O132" s="20" t="s">
        <v>9</v>
      </c>
      <c r="P132" s="20" t="s">
        <v>10</v>
      </c>
      <c r="Q132" s="20" t="s">
        <v>11</v>
      </c>
      <c r="R132" s="21" t="s">
        <v>12</v>
      </c>
      <c r="S132" s="20" t="s">
        <v>13</v>
      </c>
      <c r="T132" s="21" t="s">
        <v>14</v>
      </c>
      <c r="U132" s="20" t="s">
        <v>15</v>
      </c>
      <c r="V132" s="21" t="s">
        <v>16</v>
      </c>
      <c r="W132" s="20" t="s">
        <v>17</v>
      </c>
      <c r="X132" s="21" t="s">
        <v>18</v>
      </c>
      <c r="Y132" s="20" t="s">
        <v>19</v>
      </c>
      <c r="Z132" s="20" t="s">
        <v>20</v>
      </c>
    </row>
    <row r="133" spans="1:26" ht="13.9" customHeight="1" x14ac:dyDescent="0.25">
      <c r="A133" s="14">
        <v>1</v>
      </c>
      <c r="B133" s="14">
        <v>3</v>
      </c>
      <c r="D133" s="22" t="s">
        <v>162</v>
      </c>
      <c r="E133" s="22">
        <v>630</v>
      </c>
      <c r="F133" s="22" t="s">
        <v>163</v>
      </c>
      <c r="G133" s="23">
        <v>10535.39</v>
      </c>
      <c r="H133" s="23">
        <v>288</v>
      </c>
      <c r="I133" s="23">
        <v>10300</v>
      </c>
      <c r="J133" s="23">
        <v>9816.9599999999991</v>
      </c>
      <c r="K133" s="23">
        <v>5660</v>
      </c>
      <c r="L133" s="23"/>
      <c r="M133" s="23"/>
      <c r="N133" s="23">
        <v>-764</v>
      </c>
      <c r="O133" s="23"/>
      <c r="P133" s="23">
        <f>K133+SUM(L133:O133)</f>
        <v>4896</v>
      </c>
      <c r="Q133" s="23">
        <v>2730.72</v>
      </c>
      <c r="R133" s="24">
        <f>Q133/$P133</f>
        <v>0.55774509803921568</v>
      </c>
      <c r="S133" s="23">
        <v>2730.72</v>
      </c>
      <c r="T133" s="24">
        <f>S133/$P133</f>
        <v>0.55774509803921568</v>
      </c>
      <c r="U133" s="23">
        <v>2730.72</v>
      </c>
      <c r="V133" s="24">
        <f>U133/$P133</f>
        <v>0.55774509803921568</v>
      </c>
      <c r="W133" s="23">
        <v>2730.72</v>
      </c>
      <c r="X133" s="24">
        <f>W133/$P133</f>
        <v>0.55774509803921568</v>
      </c>
      <c r="Y133" s="23">
        <v>300</v>
      </c>
      <c r="Z133" s="23">
        <f>Y133</f>
        <v>300</v>
      </c>
    </row>
    <row r="134" spans="1:26" ht="13.9" hidden="1" customHeight="1" x14ac:dyDescent="0.25">
      <c r="A134" s="14">
        <v>1</v>
      </c>
      <c r="B134" s="14">
        <v>3</v>
      </c>
      <c r="D134" s="79" t="s">
        <v>164</v>
      </c>
      <c r="E134" s="22">
        <v>630</v>
      </c>
      <c r="F134" s="22" t="s">
        <v>165</v>
      </c>
      <c r="G134" s="23">
        <v>462</v>
      </c>
      <c r="H134" s="23">
        <v>161</v>
      </c>
      <c r="I134" s="23">
        <v>0</v>
      </c>
      <c r="J134" s="23">
        <v>0</v>
      </c>
      <c r="K134" s="23">
        <v>0</v>
      </c>
      <c r="L134" s="23"/>
      <c r="M134" s="23"/>
      <c r="N134" s="23"/>
      <c r="O134" s="23"/>
      <c r="P134" s="23">
        <f>K134+SUM(L134:O134)</f>
        <v>0</v>
      </c>
      <c r="Q134" s="23">
        <v>0</v>
      </c>
      <c r="R134" s="24" t="e">
        <f>Q134/$P134</f>
        <v>#DIV/0!</v>
      </c>
      <c r="S134" s="23">
        <v>0</v>
      </c>
      <c r="T134" s="24" t="e">
        <f>S134/$P134</f>
        <v>#DIV/0!</v>
      </c>
      <c r="U134" s="23"/>
      <c r="V134" s="24" t="e">
        <f>U134/$P134</f>
        <v>#DIV/0!</v>
      </c>
      <c r="W134" s="23"/>
      <c r="X134" s="24" t="e">
        <f>W134/$P134</f>
        <v>#DIV/0!</v>
      </c>
      <c r="Y134" s="23">
        <f>K134</f>
        <v>0</v>
      </c>
      <c r="Z134" s="23">
        <f>Y134</f>
        <v>0</v>
      </c>
    </row>
    <row r="135" spans="1:26" ht="13.9" hidden="1" customHeight="1" x14ac:dyDescent="0.25">
      <c r="A135" s="14">
        <v>1</v>
      </c>
      <c r="B135" s="14">
        <v>3</v>
      </c>
      <c r="D135" s="50" t="s">
        <v>128</v>
      </c>
      <c r="E135" s="22">
        <v>620</v>
      </c>
      <c r="F135" s="22" t="s">
        <v>130</v>
      </c>
      <c r="G135" s="23">
        <v>40.65</v>
      </c>
      <c r="H135" s="23">
        <v>0</v>
      </c>
      <c r="I135" s="23">
        <v>0</v>
      </c>
      <c r="J135" s="23">
        <v>0</v>
      </c>
      <c r="K135" s="23">
        <v>0</v>
      </c>
      <c r="L135" s="23"/>
      <c r="M135" s="23"/>
      <c r="N135" s="23"/>
      <c r="O135" s="23"/>
      <c r="P135" s="23">
        <f>K135+SUM(L135:O135)</f>
        <v>0</v>
      </c>
      <c r="Q135" s="23">
        <v>0</v>
      </c>
      <c r="R135" s="24" t="e">
        <f>Q135/$P135</f>
        <v>#DIV/0!</v>
      </c>
      <c r="S135" s="23">
        <v>0</v>
      </c>
      <c r="T135" s="24" t="e">
        <f>S135/$P135</f>
        <v>#DIV/0!</v>
      </c>
      <c r="U135" s="23"/>
      <c r="V135" s="24" t="e">
        <f>U135/$P135</f>
        <v>#DIV/0!</v>
      </c>
      <c r="W135" s="23"/>
      <c r="X135" s="24" t="e">
        <f>W135/$P135</f>
        <v>#DIV/0!</v>
      </c>
      <c r="Y135" s="23">
        <f>K135</f>
        <v>0</v>
      </c>
      <c r="Z135" s="23">
        <f>Y135</f>
        <v>0</v>
      </c>
    </row>
    <row r="136" spans="1:26" ht="13.9" customHeight="1" x14ac:dyDescent="0.25">
      <c r="A136" s="14">
        <v>1</v>
      </c>
      <c r="B136" s="14">
        <v>3</v>
      </c>
      <c r="D136" s="42" t="s">
        <v>128</v>
      </c>
      <c r="E136" s="22">
        <v>630</v>
      </c>
      <c r="F136" s="22" t="s">
        <v>131</v>
      </c>
      <c r="G136" s="23">
        <v>4685.1499999999996</v>
      </c>
      <c r="H136" s="23">
        <v>1858.55</v>
      </c>
      <c r="I136" s="23">
        <v>7135</v>
      </c>
      <c r="J136" s="23">
        <v>3703.18</v>
      </c>
      <c r="K136" s="23">
        <v>3647</v>
      </c>
      <c r="L136" s="23"/>
      <c r="M136" s="23"/>
      <c r="N136" s="23"/>
      <c r="O136" s="23"/>
      <c r="P136" s="23">
        <f>K136+SUM(L136:O136)</f>
        <v>3647</v>
      </c>
      <c r="Q136" s="23">
        <v>578</v>
      </c>
      <c r="R136" s="24">
        <f>Q136/$P136</f>
        <v>0.15848642720043871</v>
      </c>
      <c r="S136" s="23">
        <v>1731.6</v>
      </c>
      <c r="T136" s="24">
        <f>S136/$P136</f>
        <v>0.4748012064710721</v>
      </c>
      <c r="U136" s="23">
        <v>1869.6</v>
      </c>
      <c r="V136" s="24">
        <f>U136/$P136</f>
        <v>0.51264052646010416</v>
      </c>
      <c r="W136" s="23">
        <v>2155.4299999999998</v>
      </c>
      <c r="X136" s="24">
        <f>W136/$P136</f>
        <v>0.5910145324924595</v>
      </c>
      <c r="Y136" s="23">
        <f>K136</f>
        <v>3647</v>
      </c>
      <c r="Z136" s="23">
        <f>Y136</f>
        <v>3647</v>
      </c>
    </row>
    <row r="137" spans="1:26" ht="13.9" customHeight="1" x14ac:dyDescent="0.25">
      <c r="A137" s="14">
        <v>1</v>
      </c>
      <c r="B137" s="14">
        <v>3</v>
      </c>
      <c r="D137" s="78" t="s">
        <v>21</v>
      </c>
      <c r="E137" s="25">
        <v>41</v>
      </c>
      <c r="F137" s="25" t="s">
        <v>23</v>
      </c>
      <c r="G137" s="26">
        <f t="shared" ref="G137:Q137" si="79">SUM(G133:G136)</f>
        <v>15723.189999999999</v>
      </c>
      <c r="H137" s="26">
        <f t="shared" si="79"/>
        <v>2307.5500000000002</v>
      </c>
      <c r="I137" s="26">
        <f t="shared" si="79"/>
        <v>17435</v>
      </c>
      <c r="J137" s="26">
        <f t="shared" si="79"/>
        <v>13520.14</v>
      </c>
      <c r="K137" s="26">
        <f t="shared" si="79"/>
        <v>9307</v>
      </c>
      <c r="L137" s="26">
        <f t="shared" si="79"/>
        <v>0</v>
      </c>
      <c r="M137" s="26">
        <f t="shared" si="79"/>
        <v>0</v>
      </c>
      <c r="N137" s="26">
        <f t="shared" si="79"/>
        <v>-764</v>
      </c>
      <c r="O137" s="26">
        <f t="shared" si="79"/>
        <v>0</v>
      </c>
      <c r="P137" s="26">
        <f t="shared" si="79"/>
        <v>8543</v>
      </c>
      <c r="Q137" s="26">
        <f t="shared" si="79"/>
        <v>3308.72</v>
      </c>
      <c r="R137" s="27">
        <f>Q137/$P137</f>
        <v>0.38730188458386983</v>
      </c>
      <c r="S137" s="26">
        <f>SUM(S133:S136)</f>
        <v>4462.32</v>
      </c>
      <c r="T137" s="27">
        <f>S137/$P137</f>
        <v>0.52233641577900036</v>
      </c>
      <c r="U137" s="26">
        <f>SUM(U133:U136)</f>
        <v>4600.32</v>
      </c>
      <c r="V137" s="27">
        <f>U137/$P137</f>
        <v>0.53848999180615709</v>
      </c>
      <c r="W137" s="26">
        <f>SUM(W133:W136)</f>
        <v>4886.1499999999996</v>
      </c>
      <c r="X137" s="27">
        <f>W137/$P137</f>
        <v>0.57194779351515856</v>
      </c>
      <c r="Y137" s="26">
        <f>SUM(Y133:Y136)</f>
        <v>3947</v>
      </c>
      <c r="Z137" s="26">
        <f>SUM(Z133:Z136)</f>
        <v>3947</v>
      </c>
    </row>
    <row r="139" spans="1:26" ht="13.9" customHeight="1" x14ac:dyDescent="0.25">
      <c r="E139" s="51" t="s">
        <v>57</v>
      </c>
      <c r="F139" s="29" t="s">
        <v>149</v>
      </c>
      <c r="G139" s="52">
        <v>1122</v>
      </c>
      <c r="H139" s="52">
        <v>744</v>
      </c>
      <c r="I139" s="52">
        <v>585</v>
      </c>
      <c r="J139" s="52">
        <v>539</v>
      </c>
      <c r="K139" s="52">
        <v>440</v>
      </c>
      <c r="L139" s="52"/>
      <c r="M139" s="52"/>
      <c r="N139" s="52"/>
      <c r="O139" s="52"/>
      <c r="P139" s="52">
        <f>K139+SUM(L139:O139)</f>
        <v>440</v>
      </c>
      <c r="Q139" s="52">
        <v>80</v>
      </c>
      <c r="R139" s="53">
        <f>Q139/$P139</f>
        <v>0.18181818181818182</v>
      </c>
      <c r="S139" s="52">
        <v>200</v>
      </c>
      <c r="T139" s="53">
        <f>S139/$P139</f>
        <v>0.45454545454545453</v>
      </c>
      <c r="U139" s="52">
        <v>320</v>
      </c>
      <c r="V139" s="53">
        <f>U139/$P139</f>
        <v>0.72727272727272729</v>
      </c>
      <c r="W139" s="52">
        <v>440</v>
      </c>
      <c r="X139" s="54">
        <f>W139/$P139</f>
        <v>1</v>
      </c>
      <c r="Y139" s="52">
        <f>K139</f>
        <v>440</v>
      </c>
      <c r="Z139" s="55">
        <f>Y139</f>
        <v>440</v>
      </c>
    </row>
    <row r="140" spans="1:26" ht="13.9" customHeight="1" x14ac:dyDescent="0.25">
      <c r="E140" s="56"/>
      <c r="F140" s="14" t="s">
        <v>150</v>
      </c>
      <c r="G140" s="58">
        <v>1260</v>
      </c>
      <c r="H140" s="58">
        <v>216</v>
      </c>
      <c r="I140" s="58">
        <v>220</v>
      </c>
      <c r="J140" s="58">
        <v>420</v>
      </c>
      <c r="K140" s="58">
        <v>72</v>
      </c>
      <c r="L140" s="58"/>
      <c r="M140" s="58"/>
      <c r="N140" s="58"/>
      <c r="O140" s="58"/>
      <c r="P140" s="58">
        <f>K140+SUM(L140:O140)</f>
        <v>72</v>
      </c>
      <c r="Q140" s="58">
        <v>18</v>
      </c>
      <c r="R140" s="15">
        <f>Q140/$P140</f>
        <v>0.25</v>
      </c>
      <c r="S140" s="58">
        <v>36</v>
      </c>
      <c r="T140" s="15">
        <f>S140/$P140</f>
        <v>0.5</v>
      </c>
      <c r="U140" s="58">
        <v>54</v>
      </c>
      <c r="V140" s="15">
        <f>U140/$P140</f>
        <v>0.75</v>
      </c>
      <c r="W140" s="58">
        <v>72</v>
      </c>
      <c r="X140" s="59">
        <f>W140/$P140</f>
        <v>1</v>
      </c>
      <c r="Y140" s="58">
        <f>K140</f>
        <v>72</v>
      </c>
      <c r="Z140" s="60">
        <f>Y140</f>
        <v>72</v>
      </c>
    </row>
    <row r="141" spans="1:26" ht="13.9" customHeight="1" x14ac:dyDescent="0.25">
      <c r="E141" s="56"/>
      <c r="F141" s="57" t="s">
        <v>166</v>
      </c>
      <c r="G141" s="58">
        <v>9977.39</v>
      </c>
      <c r="H141" s="58">
        <v>0</v>
      </c>
      <c r="I141" s="61">
        <v>10000</v>
      </c>
      <c r="J141" s="61">
        <v>8556.9599999999991</v>
      </c>
      <c r="K141" s="61">
        <v>5360</v>
      </c>
      <c r="L141" s="61"/>
      <c r="M141" s="61"/>
      <c r="N141" s="61">
        <v>-764</v>
      </c>
      <c r="O141" s="61"/>
      <c r="P141" s="61">
        <f>K141+SUM(L141:O141)</f>
        <v>4596</v>
      </c>
      <c r="Q141" s="61">
        <v>2730.72</v>
      </c>
      <c r="R141" s="62">
        <f>Q141/$P141</f>
        <v>0.59415143603133158</v>
      </c>
      <c r="S141" s="61">
        <v>2730.72</v>
      </c>
      <c r="T141" s="62">
        <f>S141/$P141</f>
        <v>0.59415143603133158</v>
      </c>
      <c r="U141" s="61">
        <v>2730.72</v>
      </c>
      <c r="V141" s="62">
        <f>U141/$P141</f>
        <v>0.59415143603133158</v>
      </c>
      <c r="W141" s="61">
        <v>2730.72</v>
      </c>
      <c r="X141" s="63">
        <f>W141/$P141</f>
        <v>0.59415143603133158</v>
      </c>
      <c r="Y141" s="58">
        <v>0</v>
      </c>
      <c r="Z141" s="60">
        <f>Y141</f>
        <v>0</v>
      </c>
    </row>
    <row r="142" spans="1:26" ht="13.9" customHeight="1" x14ac:dyDescent="0.25">
      <c r="E142" s="56"/>
      <c r="F142" s="57" t="s">
        <v>167</v>
      </c>
      <c r="G142" s="61">
        <v>0</v>
      </c>
      <c r="H142" s="61">
        <v>0</v>
      </c>
      <c r="I142" s="61">
        <v>1000</v>
      </c>
      <c r="J142" s="61">
        <v>660</v>
      </c>
      <c r="K142" s="61">
        <v>1000</v>
      </c>
      <c r="L142" s="61"/>
      <c r="M142" s="61"/>
      <c r="N142" s="61"/>
      <c r="O142" s="61">
        <v>-15</v>
      </c>
      <c r="P142" s="61">
        <f>K142+SUM(L142:O142)</f>
        <v>985</v>
      </c>
      <c r="Q142" s="61">
        <v>480</v>
      </c>
      <c r="R142" s="62">
        <f>Q142/$P142</f>
        <v>0.48730964467005078</v>
      </c>
      <c r="S142" s="61">
        <v>780</v>
      </c>
      <c r="T142" s="62">
        <f>S142/$P142</f>
        <v>0.79187817258883253</v>
      </c>
      <c r="U142" s="61">
        <v>780</v>
      </c>
      <c r="V142" s="62">
        <f>U142/$P142</f>
        <v>0.79187817258883253</v>
      </c>
      <c r="W142" s="61">
        <v>780</v>
      </c>
      <c r="X142" s="63">
        <f>W142/$P142</f>
        <v>0.79187817258883253</v>
      </c>
      <c r="Y142" s="58">
        <v>0</v>
      </c>
      <c r="Z142" s="60">
        <f>Y142</f>
        <v>0</v>
      </c>
    </row>
    <row r="143" spans="1:26" ht="13.9" customHeight="1" x14ac:dyDescent="0.25">
      <c r="E143" s="64"/>
      <c r="F143" s="95" t="s">
        <v>168</v>
      </c>
      <c r="G143" s="66">
        <v>596.76</v>
      </c>
      <c r="H143" s="66">
        <v>733.16</v>
      </c>
      <c r="I143" s="96">
        <v>5000</v>
      </c>
      <c r="J143" s="96">
        <v>1864.03</v>
      </c>
      <c r="K143" s="96">
        <v>1900</v>
      </c>
      <c r="L143" s="96"/>
      <c r="M143" s="96"/>
      <c r="N143" s="96"/>
      <c r="O143" s="96"/>
      <c r="P143" s="96">
        <f>K143+SUM(L143:O143)</f>
        <v>1900</v>
      </c>
      <c r="Q143" s="96">
        <v>0</v>
      </c>
      <c r="R143" s="97">
        <f>Q143/$P143</f>
        <v>0</v>
      </c>
      <c r="S143" s="96">
        <v>713</v>
      </c>
      <c r="T143" s="97">
        <f>S143/$P143</f>
        <v>0.37526315789473685</v>
      </c>
      <c r="U143" s="96">
        <v>713</v>
      </c>
      <c r="V143" s="97">
        <f>U143/$P143</f>
        <v>0.37526315789473685</v>
      </c>
      <c r="W143" s="96">
        <v>713</v>
      </c>
      <c r="X143" s="98">
        <f>W143/$P143</f>
        <v>0.37526315789473685</v>
      </c>
      <c r="Y143" s="66">
        <v>730</v>
      </c>
      <c r="Z143" s="69">
        <f>Y143</f>
        <v>730</v>
      </c>
    </row>
    <row r="144" spans="1:26" ht="13.9" customHeight="1" x14ac:dyDescent="0.25">
      <c r="G144" s="58"/>
      <c r="H144" s="58"/>
      <c r="I144" s="58"/>
      <c r="J144" s="58"/>
      <c r="K144" s="58"/>
      <c r="L144" s="58"/>
      <c r="M144" s="58"/>
      <c r="N144" s="58"/>
      <c r="O144" s="58"/>
      <c r="P144" s="58"/>
      <c r="Q144" s="58"/>
      <c r="S144" s="58"/>
      <c r="U144" s="58"/>
      <c r="W144" s="58"/>
      <c r="Y144" s="58"/>
      <c r="Z144" s="58"/>
    </row>
    <row r="145" spans="1:26" ht="13.9" customHeight="1" x14ac:dyDescent="0.25">
      <c r="D145" s="6" t="s">
        <v>169</v>
      </c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</row>
    <row r="146" spans="1:26" ht="13.9" customHeight="1" x14ac:dyDescent="0.25">
      <c r="D146" s="20" t="s">
        <v>33</v>
      </c>
      <c r="E146" s="20" t="s">
        <v>34</v>
      </c>
      <c r="F146" s="20" t="s">
        <v>35</v>
      </c>
      <c r="G146" s="20" t="s">
        <v>1</v>
      </c>
      <c r="H146" s="20" t="s">
        <v>2</v>
      </c>
      <c r="I146" s="20" t="s">
        <v>3</v>
      </c>
      <c r="J146" s="20" t="s">
        <v>4</v>
      </c>
      <c r="K146" s="20" t="s">
        <v>5</v>
      </c>
      <c r="L146" s="20" t="s">
        <v>6</v>
      </c>
      <c r="M146" s="20" t="s">
        <v>7</v>
      </c>
      <c r="N146" s="20" t="s">
        <v>8</v>
      </c>
      <c r="O146" s="20" t="s">
        <v>9</v>
      </c>
      <c r="P146" s="20" t="s">
        <v>10</v>
      </c>
      <c r="Q146" s="20" t="s">
        <v>11</v>
      </c>
      <c r="R146" s="21" t="s">
        <v>12</v>
      </c>
      <c r="S146" s="20" t="s">
        <v>13</v>
      </c>
      <c r="T146" s="21" t="s">
        <v>14</v>
      </c>
      <c r="U146" s="20" t="s">
        <v>15</v>
      </c>
      <c r="V146" s="21" t="s">
        <v>16</v>
      </c>
      <c r="W146" s="20" t="s">
        <v>17</v>
      </c>
      <c r="X146" s="21" t="s">
        <v>18</v>
      </c>
      <c r="Y146" s="20" t="s">
        <v>19</v>
      </c>
      <c r="Z146" s="20" t="s">
        <v>20</v>
      </c>
    </row>
    <row r="147" spans="1:26" ht="13.9" customHeight="1" x14ac:dyDescent="0.25">
      <c r="A147" s="14">
        <v>1</v>
      </c>
      <c r="B147" s="14">
        <v>4</v>
      </c>
      <c r="D147" s="12" t="s">
        <v>170</v>
      </c>
      <c r="E147" s="101">
        <v>610</v>
      </c>
      <c r="F147" s="101" t="s">
        <v>129</v>
      </c>
      <c r="G147" s="45">
        <v>0</v>
      </c>
      <c r="H147" s="45">
        <v>0</v>
      </c>
      <c r="I147" s="45">
        <v>0</v>
      </c>
      <c r="J147" s="45">
        <v>0</v>
      </c>
      <c r="K147" s="45">
        <v>0</v>
      </c>
      <c r="L147" s="45"/>
      <c r="M147" s="45">
        <v>1500</v>
      </c>
      <c r="N147" s="45"/>
      <c r="O147" s="45"/>
      <c r="P147" s="45">
        <f>K147+SUM(L147:O147)</f>
        <v>1500</v>
      </c>
      <c r="Q147" s="45">
        <v>0</v>
      </c>
      <c r="R147" s="46">
        <f>Q147/$P147</f>
        <v>0</v>
      </c>
      <c r="S147" s="45">
        <v>0</v>
      </c>
      <c r="T147" s="46">
        <f>S147/$P147</f>
        <v>0</v>
      </c>
      <c r="U147" s="45">
        <v>1500</v>
      </c>
      <c r="V147" s="46">
        <f>U147/$P147</f>
        <v>1</v>
      </c>
      <c r="W147" s="45">
        <v>1500</v>
      </c>
      <c r="X147" s="46">
        <f>W147/$P147</f>
        <v>1</v>
      </c>
      <c r="Y147" s="23">
        <v>114</v>
      </c>
      <c r="Z147" s="23">
        <v>0</v>
      </c>
    </row>
    <row r="148" spans="1:26" ht="13.9" customHeight="1" x14ac:dyDescent="0.25">
      <c r="D148" s="12"/>
      <c r="E148" s="101">
        <v>620</v>
      </c>
      <c r="F148" s="101" t="s">
        <v>130</v>
      </c>
      <c r="G148" s="45">
        <v>50.81</v>
      </c>
      <c r="H148" s="45">
        <v>110.27</v>
      </c>
      <c r="I148" s="45">
        <v>55</v>
      </c>
      <c r="J148" s="45">
        <v>57.27</v>
      </c>
      <c r="K148" s="45">
        <v>2929</v>
      </c>
      <c r="L148" s="45"/>
      <c r="M148" s="45">
        <v>-1308</v>
      </c>
      <c r="N148" s="45"/>
      <c r="O148" s="45"/>
      <c r="P148" s="45">
        <f>K148+SUM(L148:O148)</f>
        <v>1621</v>
      </c>
      <c r="Q148" s="45">
        <v>1247.8399999999999</v>
      </c>
      <c r="R148" s="46">
        <f>Q148/$P148</f>
        <v>0.76979642196175191</v>
      </c>
      <c r="S148" s="45">
        <v>1247.8399999999999</v>
      </c>
      <c r="T148" s="46">
        <f>S148/$P148</f>
        <v>0.76979642196175191</v>
      </c>
      <c r="U148" s="45">
        <v>1622.09</v>
      </c>
      <c r="V148" s="46">
        <f>U148/$P148</f>
        <v>1.0006724244293645</v>
      </c>
      <c r="W148" s="45">
        <v>1622.09</v>
      </c>
      <c r="X148" s="46">
        <f>W148/$P148</f>
        <v>1.0006724244293645</v>
      </c>
      <c r="Y148" s="23">
        <v>114</v>
      </c>
      <c r="Z148" s="23">
        <v>0</v>
      </c>
    </row>
    <row r="149" spans="1:26" ht="13.9" customHeight="1" x14ac:dyDescent="0.25">
      <c r="A149" s="14">
        <v>1</v>
      </c>
      <c r="B149" s="14">
        <v>4</v>
      </c>
      <c r="D149" s="12"/>
      <c r="E149" s="101">
        <v>630</v>
      </c>
      <c r="F149" s="101" t="s">
        <v>131</v>
      </c>
      <c r="G149" s="45">
        <v>1494.77</v>
      </c>
      <c r="H149" s="45">
        <v>4335.7700000000004</v>
      </c>
      <c r="I149" s="45">
        <v>1445</v>
      </c>
      <c r="J149" s="45">
        <f>2145.65+156.7</f>
        <v>2302.35</v>
      </c>
      <c r="K149" s="45">
        <v>8379</v>
      </c>
      <c r="L149" s="45"/>
      <c r="M149" s="45">
        <v>-192</v>
      </c>
      <c r="N149" s="45"/>
      <c r="O149" s="45"/>
      <c r="P149" s="45">
        <f>K149+SUM(L149:O149)</f>
        <v>8187</v>
      </c>
      <c r="Q149" s="45">
        <v>4295.46</v>
      </c>
      <c r="R149" s="46">
        <f>Q149/$P149</f>
        <v>0.52466837669475996</v>
      </c>
      <c r="S149" s="45">
        <v>4295.46</v>
      </c>
      <c r="T149" s="46">
        <f>S149/$P149</f>
        <v>0.52466837669475996</v>
      </c>
      <c r="U149" s="45">
        <v>5045.46</v>
      </c>
      <c r="V149" s="46">
        <f>U149/$P149</f>
        <v>0.61627702455111766</v>
      </c>
      <c r="W149" s="45">
        <v>5045.46</v>
      </c>
      <c r="X149" s="46">
        <f>W149/$P149</f>
        <v>0.61627702455111766</v>
      </c>
      <c r="Y149" s="45">
        <f>príjmy!V98-Y147</f>
        <v>4286</v>
      </c>
      <c r="Z149" s="45">
        <f>príjmy!W98-Z147</f>
        <v>0</v>
      </c>
    </row>
    <row r="150" spans="1:26" ht="13.9" customHeight="1" x14ac:dyDescent="0.25">
      <c r="A150" s="14">
        <v>1</v>
      </c>
      <c r="B150" s="14">
        <v>4</v>
      </c>
      <c r="D150" s="102" t="s">
        <v>21</v>
      </c>
      <c r="E150" s="103">
        <v>111</v>
      </c>
      <c r="F150" s="103" t="s">
        <v>134</v>
      </c>
      <c r="G150" s="104">
        <f t="shared" ref="G150:Q150" si="80">SUM(G147:G149)</f>
        <v>1545.58</v>
      </c>
      <c r="H150" s="104">
        <f t="shared" si="80"/>
        <v>4446.0400000000009</v>
      </c>
      <c r="I150" s="104">
        <f t="shared" si="80"/>
        <v>1500</v>
      </c>
      <c r="J150" s="104">
        <f t="shared" si="80"/>
        <v>2359.62</v>
      </c>
      <c r="K150" s="104">
        <f t="shared" si="80"/>
        <v>11308</v>
      </c>
      <c r="L150" s="104">
        <f t="shared" si="80"/>
        <v>0</v>
      </c>
      <c r="M150" s="104">
        <f t="shared" si="80"/>
        <v>0</v>
      </c>
      <c r="N150" s="104">
        <f t="shared" si="80"/>
        <v>0</v>
      </c>
      <c r="O150" s="104">
        <f t="shared" si="80"/>
        <v>0</v>
      </c>
      <c r="P150" s="104">
        <f t="shared" si="80"/>
        <v>11308</v>
      </c>
      <c r="Q150" s="104">
        <f t="shared" si="80"/>
        <v>5543.3</v>
      </c>
      <c r="R150" s="105">
        <f>Q150/$P150</f>
        <v>0.49021047046338878</v>
      </c>
      <c r="S150" s="104">
        <f>SUM(S147:S149)</f>
        <v>5543.3</v>
      </c>
      <c r="T150" s="105">
        <f>S150/$P150</f>
        <v>0.49021047046338878</v>
      </c>
      <c r="U150" s="104">
        <f>SUM(U147:U149)</f>
        <v>8167.55</v>
      </c>
      <c r="V150" s="105">
        <f>U150/$P150</f>
        <v>0.72228068623983022</v>
      </c>
      <c r="W150" s="104">
        <f>SUM(W147:W149)</f>
        <v>8167.55</v>
      </c>
      <c r="X150" s="105">
        <f>W150/$P150</f>
        <v>0.72228068623983022</v>
      </c>
      <c r="Y150" s="104">
        <f>SUM(Y147:Y149)</f>
        <v>4514</v>
      </c>
      <c r="Z150" s="104">
        <f>SUM(Z147:Z149)</f>
        <v>0</v>
      </c>
    </row>
    <row r="152" spans="1:26" ht="13.9" customHeight="1" x14ac:dyDescent="0.25">
      <c r="D152" s="8" t="s">
        <v>171</v>
      </c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</row>
    <row r="153" spans="1:26" ht="13.9" customHeight="1" x14ac:dyDescent="0.25">
      <c r="D153" s="19"/>
      <c r="E153" s="19"/>
      <c r="F153" s="19"/>
      <c r="G153" s="20" t="s">
        <v>1</v>
      </c>
      <c r="H153" s="20" t="s">
        <v>2</v>
      </c>
      <c r="I153" s="20" t="s">
        <v>3</v>
      </c>
      <c r="J153" s="20" t="s">
        <v>4</v>
      </c>
      <c r="K153" s="20" t="s">
        <v>5</v>
      </c>
      <c r="L153" s="20" t="s">
        <v>6</v>
      </c>
      <c r="M153" s="20" t="s">
        <v>7</v>
      </c>
      <c r="N153" s="20" t="s">
        <v>8</v>
      </c>
      <c r="O153" s="20" t="s">
        <v>9</v>
      </c>
      <c r="P153" s="20" t="s">
        <v>10</v>
      </c>
      <c r="Q153" s="20" t="s">
        <v>11</v>
      </c>
      <c r="R153" s="21" t="s">
        <v>12</v>
      </c>
      <c r="S153" s="20" t="s">
        <v>13</v>
      </c>
      <c r="T153" s="21" t="s">
        <v>14</v>
      </c>
      <c r="U153" s="20" t="s">
        <v>15</v>
      </c>
      <c r="V153" s="21" t="s">
        <v>16</v>
      </c>
      <c r="W153" s="20" t="s">
        <v>17</v>
      </c>
      <c r="X153" s="21" t="s">
        <v>18</v>
      </c>
      <c r="Y153" s="20" t="s">
        <v>19</v>
      </c>
      <c r="Z153" s="20" t="s">
        <v>20</v>
      </c>
    </row>
    <row r="154" spans="1:26" ht="13.9" customHeight="1" x14ac:dyDescent="0.25">
      <c r="A154" s="14">
        <v>2</v>
      </c>
      <c r="D154" s="11" t="s">
        <v>21</v>
      </c>
      <c r="E154" s="34">
        <v>111</v>
      </c>
      <c r="F154" s="34" t="s">
        <v>47</v>
      </c>
      <c r="G154" s="35">
        <f t="shared" ref="G154:Q154" si="81">G164+G184+G200</f>
        <v>456466.12</v>
      </c>
      <c r="H154" s="35">
        <f t="shared" si="81"/>
        <v>524485.78</v>
      </c>
      <c r="I154" s="35">
        <f t="shared" si="81"/>
        <v>592147</v>
      </c>
      <c r="J154" s="35">
        <f t="shared" si="81"/>
        <v>611878.44000000006</v>
      </c>
      <c r="K154" s="35">
        <f t="shared" si="81"/>
        <v>594111</v>
      </c>
      <c r="L154" s="35">
        <f t="shared" si="81"/>
        <v>0</v>
      </c>
      <c r="M154" s="35">
        <f t="shared" si="81"/>
        <v>0</v>
      </c>
      <c r="N154" s="35">
        <f t="shared" si="81"/>
        <v>157</v>
      </c>
      <c r="O154" s="35">
        <f t="shared" si="81"/>
        <v>0</v>
      </c>
      <c r="P154" s="35">
        <f t="shared" si="81"/>
        <v>594268</v>
      </c>
      <c r="Q154" s="35">
        <f t="shared" si="81"/>
        <v>108028.09</v>
      </c>
      <c r="R154" s="36">
        <f>Q154/$P154</f>
        <v>0.18178345460297374</v>
      </c>
      <c r="S154" s="35">
        <f>S164+S184+S200</f>
        <v>252690.96000000002</v>
      </c>
      <c r="T154" s="36">
        <f>S154/$P154</f>
        <v>0.42521380925777597</v>
      </c>
      <c r="U154" s="35">
        <f>U164+U184+U200</f>
        <v>391841.66</v>
      </c>
      <c r="V154" s="36">
        <f>U154/$P154</f>
        <v>0.65936860137177167</v>
      </c>
      <c r="W154" s="35">
        <f>W164+W184+W200</f>
        <v>609340.98</v>
      </c>
      <c r="X154" s="36">
        <f>W154/$P154</f>
        <v>1.0253639435406248</v>
      </c>
      <c r="Y154" s="35">
        <f>Y164+Y184+Y200</f>
        <v>594111</v>
      </c>
      <c r="Z154" s="35">
        <f>Z164+Z184+Z200</f>
        <v>594111</v>
      </c>
    </row>
    <row r="155" spans="1:26" ht="13.9" customHeight="1" x14ac:dyDescent="0.25">
      <c r="A155" s="14">
        <v>2</v>
      </c>
      <c r="D155" s="11"/>
      <c r="E155" s="34">
        <v>41</v>
      </c>
      <c r="F155" s="34" t="s">
        <v>23</v>
      </c>
      <c r="G155" s="35">
        <f t="shared" ref="G155:Q155" si="82">G169+G189+G205</f>
        <v>273337.44</v>
      </c>
      <c r="H155" s="35">
        <f t="shared" si="82"/>
        <v>301791.44000000006</v>
      </c>
      <c r="I155" s="35">
        <f t="shared" si="82"/>
        <v>370057</v>
      </c>
      <c r="J155" s="35">
        <f t="shared" si="82"/>
        <v>258605.11</v>
      </c>
      <c r="K155" s="35">
        <f t="shared" si="82"/>
        <v>343790</v>
      </c>
      <c r="L155" s="35">
        <f t="shared" si="82"/>
        <v>1200</v>
      </c>
      <c r="M155" s="35">
        <f t="shared" si="82"/>
        <v>0</v>
      </c>
      <c r="N155" s="35">
        <f t="shared" si="82"/>
        <v>18000</v>
      </c>
      <c r="O155" s="35">
        <f t="shared" si="82"/>
        <v>0</v>
      </c>
      <c r="P155" s="35">
        <f t="shared" si="82"/>
        <v>362990</v>
      </c>
      <c r="Q155" s="35">
        <f t="shared" si="82"/>
        <v>60168.4</v>
      </c>
      <c r="R155" s="36">
        <f>Q155/$P155</f>
        <v>0.16575773437284774</v>
      </c>
      <c r="S155" s="35">
        <f>S169+S189+S205</f>
        <v>113294.93000000001</v>
      </c>
      <c r="T155" s="36">
        <f>S155/$P155</f>
        <v>0.31211584341166426</v>
      </c>
      <c r="U155" s="35">
        <f>U169+U189+U205</f>
        <v>194716.77</v>
      </c>
      <c r="V155" s="36">
        <f>U155/$P155</f>
        <v>0.53642461224827132</v>
      </c>
      <c r="W155" s="35">
        <f>W169+W189+W205</f>
        <v>291580.33</v>
      </c>
      <c r="X155" s="36">
        <f>W155/$P155</f>
        <v>0.8032737265489408</v>
      </c>
      <c r="Y155" s="35">
        <f>Y169+Y189+Y205</f>
        <v>351586</v>
      </c>
      <c r="Z155" s="35">
        <f>Z169+Z189+Z205</f>
        <v>372594</v>
      </c>
    </row>
    <row r="156" spans="1:26" ht="13.9" customHeight="1" x14ac:dyDescent="0.25">
      <c r="A156" s="14">
        <v>2</v>
      </c>
      <c r="D156" s="11"/>
      <c r="E156" s="34">
        <v>72</v>
      </c>
      <c r="F156" s="34" t="s">
        <v>25</v>
      </c>
      <c r="G156" s="35">
        <f t="shared" ref="G156:Q156" si="83">G172+G191+G207</f>
        <v>55075.9</v>
      </c>
      <c r="H156" s="35">
        <f t="shared" si="83"/>
        <v>45351.94</v>
      </c>
      <c r="I156" s="35">
        <f t="shared" si="83"/>
        <v>48343</v>
      </c>
      <c r="J156" s="35">
        <f t="shared" si="83"/>
        <v>41689.450000000004</v>
      </c>
      <c r="K156" s="35">
        <f t="shared" si="83"/>
        <v>49061</v>
      </c>
      <c r="L156" s="35">
        <f t="shared" si="83"/>
        <v>0</v>
      </c>
      <c r="M156" s="35">
        <f t="shared" si="83"/>
        <v>15</v>
      </c>
      <c r="N156" s="35">
        <f t="shared" si="83"/>
        <v>0</v>
      </c>
      <c r="O156" s="35">
        <f t="shared" si="83"/>
        <v>-89</v>
      </c>
      <c r="P156" s="35">
        <f t="shared" si="83"/>
        <v>48987</v>
      </c>
      <c r="Q156" s="35">
        <f t="shared" si="83"/>
        <v>3789.77</v>
      </c>
      <c r="R156" s="36">
        <f>Q156/$P156</f>
        <v>7.7362769714414026E-2</v>
      </c>
      <c r="S156" s="35">
        <f>S172+S191+S207</f>
        <v>11770.1</v>
      </c>
      <c r="T156" s="36">
        <f>S156/$P156</f>
        <v>0.24026986751587157</v>
      </c>
      <c r="U156" s="35">
        <f>U172+U191+U207</f>
        <v>28429.29</v>
      </c>
      <c r="V156" s="36">
        <f>U156/$P156</f>
        <v>0.58034356053646885</v>
      </c>
      <c r="W156" s="35">
        <f>W172+W191+W207</f>
        <v>44043.81</v>
      </c>
      <c r="X156" s="36">
        <f>W156/$P156</f>
        <v>0.89909179986527032</v>
      </c>
      <c r="Y156" s="35">
        <f>Y172+Y191+Y207</f>
        <v>49061</v>
      </c>
      <c r="Z156" s="35">
        <f>Z172+Z191+Z207</f>
        <v>49061</v>
      </c>
    </row>
    <row r="157" spans="1:26" ht="13.9" customHeight="1" x14ac:dyDescent="0.25">
      <c r="A157" s="14">
        <v>2</v>
      </c>
      <c r="D157" s="29"/>
      <c r="E157" s="30"/>
      <c r="F157" s="37" t="s">
        <v>124</v>
      </c>
      <c r="G157" s="38">
        <f t="shared" ref="G157:Q157" si="84">SUM(G154:G156)</f>
        <v>784879.46000000008</v>
      </c>
      <c r="H157" s="38">
        <f t="shared" si="84"/>
        <v>871629.16000000015</v>
      </c>
      <c r="I157" s="38">
        <f t="shared" si="84"/>
        <v>1010547</v>
      </c>
      <c r="J157" s="38">
        <f t="shared" si="84"/>
        <v>912173</v>
      </c>
      <c r="K157" s="38">
        <f t="shared" si="84"/>
        <v>986962</v>
      </c>
      <c r="L157" s="38">
        <f t="shared" si="84"/>
        <v>1200</v>
      </c>
      <c r="M157" s="38">
        <f t="shared" si="84"/>
        <v>15</v>
      </c>
      <c r="N157" s="38">
        <f t="shared" si="84"/>
        <v>18157</v>
      </c>
      <c r="O157" s="38">
        <f t="shared" si="84"/>
        <v>-89</v>
      </c>
      <c r="P157" s="38">
        <f t="shared" si="84"/>
        <v>1006245</v>
      </c>
      <c r="Q157" s="38">
        <f t="shared" si="84"/>
        <v>171986.25999999998</v>
      </c>
      <c r="R157" s="39">
        <f>Q157/$P157</f>
        <v>0.17091887164656716</v>
      </c>
      <c r="S157" s="38">
        <f>SUM(S154:S156)</f>
        <v>377755.99</v>
      </c>
      <c r="T157" s="39">
        <f>S157/$P157</f>
        <v>0.37541154490208645</v>
      </c>
      <c r="U157" s="38">
        <f>SUM(U154:U156)</f>
        <v>614987.72</v>
      </c>
      <c r="V157" s="39">
        <f>U157/$P157</f>
        <v>0.61117095737121674</v>
      </c>
      <c r="W157" s="38">
        <f>SUM(W154:W156)</f>
        <v>944965.12000000011</v>
      </c>
      <c r="X157" s="39">
        <f>W157/$P157</f>
        <v>0.93910043776615049</v>
      </c>
      <c r="Y157" s="38">
        <f>SUM(Y154:Y156)</f>
        <v>994758</v>
      </c>
      <c r="Z157" s="38">
        <f>SUM(Z154:Z156)</f>
        <v>1015766</v>
      </c>
    </row>
    <row r="159" spans="1:26" ht="13.9" customHeight="1" x14ac:dyDescent="0.25">
      <c r="D159" s="40" t="s">
        <v>172</v>
      </c>
      <c r="E159" s="40"/>
      <c r="F159" s="40"/>
      <c r="G159" s="40"/>
      <c r="H159" s="40"/>
      <c r="I159" s="40"/>
      <c r="J159" s="40"/>
      <c r="K159" s="40"/>
      <c r="L159" s="40"/>
      <c r="M159" s="40"/>
      <c r="N159" s="40"/>
      <c r="O159" s="40"/>
      <c r="P159" s="40"/>
      <c r="Q159" s="40"/>
      <c r="R159" s="41"/>
      <c r="S159" s="40"/>
      <c r="T159" s="41"/>
      <c r="U159" s="40"/>
      <c r="V159" s="41"/>
      <c r="W159" s="40"/>
      <c r="X159" s="41"/>
      <c r="Y159" s="40"/>
      <c r="Z159" s="40"/>
    </row>
    <row r="160" spans="1:26" ht="13.9" customHeight="1" x14ac:dyDescent="0.25">
      <c r="D160" s="20" t="s">
        <v>33</v>
      </c>
      <c r="E160" s="20" t="s">
        <v>34</v>
      </c>
      <c r="F160" s="20" t="s">
        <v>35</v>
      </c>
      <c r="G160" s="20" t="s">
        <v>1</v>
      </c>
      <c r="H160" s="20" t="s">
        <v>2</v>
      </c>
      <c r="I160" s="20" t="s">
        <v>3</v>
      </c>
      <c r="J160" s="20" t="s">
        <v>4</v>
      </c>
      <c r="K160" s="20" t="s">
        <v>5</v>
      </c>
      <c r="L160" s="20" t="s">
        <v>6</v>
      </c>
      <c r="M160" s="20" t="s">
        <v>7</v>
      </c>
      <c r="N160" s="20" t="s">
        <v>8</v>
      </c>
      <c r="O160" s="20" t="s">
        <v>9</v>
      </c>
      <c r="P160" s="20" t="s">
        <v>10</v>
      </c>
      <c r="Q160" s="20" t="s">
        <v>11</v>
      </c>
      <c r="R160" s="21" t="s">
        <v>12</v>
      </c>
      <c r="S160" s="20" t="s">
        <v>13</v>
      </c>
      <c r="T160" s="21" t="s">
        <v>14</v>
      </c>
      <c r="U160" s="20" t="s">
        <v>15</v>
      </c>
      <c r="V160" s="21" t="s">
        <v>16</v>
      </c>
      <c r="W160" s="20" t="s">
        <v>17</v>
      </c>
      <c r="X160" s="21" t="s">
        <v>18</v>
      </c>
      <c r="Y160" s="20" t="s">
        <v>19</v>
      </c>
      <c r="Z160" s="20" t="s">
        <v>20</v>
      </c>
    </row>
    <row r="161" spans="1:26" ht="13.9" hidden="1" customHeight="1" x14ac:dyDescent="0.25">
      <c r="A161" s="14">
        <v>2</v>
      </c>
      <c r="B161" s="14">
        <v>1</v>
      </c>
      <c r="D161" s="83" t="s">
        <v>159</v>
      </c>
      <c r="E161" s="22">
        <v>610</v>
      </c>
      <c r="F161" s="22" t="s">
        <v>129</v>
      </c>
      <c r="G161" s="23">
        <v>2315</v>
      </c>
      <c r="H161" s="23">
        <v>1374</v>
      </c>
      <c r="I161" s="23">
        <v>1400</v>
      </c>
      <c r="J161" s="23">
        <v>22206.97</v>
      </c>
      <c r="K161" s="23">
        <v>0</v>
      </c>
      <c r="L161" s="23"/>
      <c r="M161" s="23"/>
      <c r="N161" s="23"/>
      <c r="O161" s="23"/>
      <c r="P161" s="23">
        <f>K161+SUM(L161:O161)</f>
        <v>0</v>
      </c>
      <c r="Q161" s="23">
        <v>0</v>
      </c>
      <c r="R161" s="24" t="e">
        <f t="shared" ref="R161:R173" si="85">Q161/$P161</f>
        <v>#DIV/0!</v>
      </c>
      <c r="S161" s="23">
        <v>0</v>
      </c>
      <c r="T161" s="24" t="e">
        <f t="shared" ref="T161:T173" si="86">S161/$P161</f>
        <v>#DIV/0!</v>
      </c>
      <c r="U161" s="23"/>
      <c r="V161" s="24" t="e">
        <f t="shared" ref="V161:V173" si="87">U161/$P161</f>
        <v>#DIV/0!</v>
      </c>
      <c r="W161" s="23"/>
      <c r="X161" s="24" t="e">
        <f t="shared" ref="X161:X173" si="88">W161/$P161</f>
        <v>#DIV/0!</v>
      </c>
      <c r="Y161" s="23">
        <f>K161</f>
        <v>0</v>
      </c>
      <c r="Z161" s="23">
        <f>Y161</f>
        <v>0</v>
      </c>
    </row>
    <row r="162" spans="1:26" ht="13.9" hidden="1" customHeight="1" x14ac:dyDescent="0.25">
      <c r="A162" s="14">
        <v>2</v>
      </c>
      <c r="B162" s="14">
        <v>1</v>
      </c>
      <c r="D162" s="83" t="s">
        <v>159</v>
      </c>
      <c r="E162" s="22">
        <v>620</v>
      </c>
      <c r="F162" s="22" t="s">
        <v>130</v>
      </c>
      <c r="G162" s="23">
        <v>809.09</v>
      </c>
      <c r="H162" s="23">
        <v>480.22</v>
      </c>
      <c r="I162" s="23">
        <v>490</v>
      </c>
      <c r="J162" s="23">
        <v>7733.38</v>
      </c>
      <c r="K162" s="23">
        <v>0</v>
      </c>
      <c r="L162" s="23"/>
      <c r="M162" s="23"/>
      <c r="N162" s="23"/>
      <c r="O162" s="23"/>
      <c r="P162" s="23">
        <f>K162+SUM(L162:O162)</f>
        <v>0</v>
      </c>
      <c r="Q162" s="23">
        <v>0</v>
      </c>
      <c r="R162" s="24" t="e">
        <f t="shared" si="85"/>
        <v>#DIV/0!</v>
      </c>
      <c r="S162" s="23">
        <v>0</v>
      </c>
      <c r="T162" s="24" t="e">
        <f t="shared" si="86"/>
        <v>#DIV/0!</v>
      </c>
      <c r="U162" s="23"/>
      <c r="V162" s="24" t="e">
        <f t="shared" si="87"/>
        <v>#DIV/0!</v>
      </c>
      <c r="W162" s="23"/>
      <c r="X162" s="24" t="e">
        <f t="shared" si="88"/>
        <v>#DIV/0!</v>
      </c>
      <c r="Y162" s="23">
        <f>K162</f>
        <v>0</v>
      </c>
      <c r="Z162" s="23">
        <f>Y162</f>
        <v>0</v>
      </c>
    </row>
    <row r="163" spans="1:26" ht="13.9" customHeight="1" x14ac:dyDescent="0.25">
      <c r="A163" s="14">
        <v>2</v>
      </c>
      <c r="B163" s="14">
        <v>1</v>
      </c>
      <c r="D163" s="83" t="s">
        <v>159</v>
      </c>
      <c r="E163" s="22">
        <v>630</v>
      </c>
      <c r="F163" s="22" t="s">
        <v>131</v>
      </c>
      <c r="G163" s="23">
        <v>1673.91</v>
      </c>
      <c r="H163" s="23">
        <v>8114.42</v>
      </c>
      <c r="I163" s="23">
        <v>2634</v>
      </c>
      <c r="J163" s="23">
        <v>2367.71</v>
      </c>
      <c r="K163" s="23">
        <f>príjmy!H94-K161-K162</f>
        <v>6002</v>
      </c>
      <c r="L163" s="23"/>
      <c r="M163" s="23"/>
      <c r="N163" s="23">
        <f>-1581+157</f>
        <v>-1424</v>
      </c>
      <c r="O163" s="23"/>
      <c r="P163" s="23">
        <f>K163+SUM(L163:O163)</f>
        <v>4578</v>
      </c>
      <c r="Q163" s="23">
        <v>1897.83</v>
      </c>
      <c r="R163" s="24">
        <f t="shared" si="85"/>
        <v>0.41455439056356486</v>
      </c>
      <c r="S163" s="23">
        <v>2373.04</v>
      </c>
      <c r="T163" s="24">
        <f t="shared" si="86"/>
        <v>0.51835736129314114</v>
      </c>
      <c r="U163" s="23">
        <v>4578.9799999999996</v>
      </c>
      <c r="V163" s="24">
        <f t="shared" si="87"/>
        <v>1.0002140672782873</v>
      </c>
      <c r="W163" s="23">
        <v>4578.9799999999996</v>
      </c>
      <c r="X163" s="24">
        <f t="shared" si="88"/>
        <v>1.0002140672782873</v>
      </c>
      <c r="Y163" s="23">
        <f>príjmy!V94-Y161-Y162</f>
        <v>6002</v>
      </c>
      <c r="Z163" s="23">
        <f>príjmy!W94-Z161-Z162</f>
        <v>6002</v>
      </c>
    </row>
    <row r="164" spans="1:26" ht="13.9" customHeight="1" x14ac:dyDescent="0.25">
      <c r="A164" s="14">
        <v>2</v>
      </c>
      <c r="B164" s="14">
        <v>1</v>
      </c>
      <c r="D164" s="84" t="s">
        <v>21</v>
      </c>
      <c r="E164" s="47" t="s">
        <v>173</v>
      </c>
      <c r="F164" s="47" t="s">
        <v>174</v>
      </c>
      <c r="G164" s="48">
        <f t="shared" ref="G164:Q164" si="89">SUM(G161:G163)</f>
        <v>4798</v>
      </c>
      <c r="H164" s="48">
        <f t="shared" si="89"/>
        <v>9968.64</v>
      </c>
      <c r="I164" s="48">
        <f t="shared" si="89"/>
        <v>4524</v>
      </c>
      <c r="J164" s="48">
        <f t="shared" si="89"/>
        <v>32308.06</v>
      </c>
      <c r="K164" s="48">
        <f t="shared" si="89"/>
        <v>6002</v>
      </c>
      <c r="L164" s="48">
        <f t="shared" si="89"/>
        <v>0</v>
      </c>
      <c r="M164" s="48">
        <f t="shared" si="89"/>
        <v>0</v>
      </c>
      <c r="N164" s="48">
        <f t="shared" si="89"/>
        <v>-1424</v>
      </c>
      <c r="O164" s="48">
        <f t="shared" si="89"/>
        <v>0</v>
      </c>
      <c r="P164" s="48">
        <f t="shared" si="89"/>
        <v>4578</v>
      </c>
      <c r="Q164" s="48">
        <f t="shared" si="89"/>
        <v>1897.83</v>
      </c>
      <c r="R164" s="49">
        <f t="shared" si="85"/>
        <v>0.41455439056356486</v>
      </c>
      <c r="S164" s="48">
        <f>SUM(S161:S163)</f>
        <v>2373.04</v>
      </c>
      <c r="T164" s="49">
        <f t="shared" si="86"/>
        <v>0.51835736129314114</v>
      </c>
      <c r="U164" s="48">
        <f>SUM(U161:U163)</f>
        <v>4578.9799999999996</v>
      </c>
      <c r="V164" s="49">
        <f t="shared" si="87"/>
        <v>1.0002140672782873</v>
      </c>
      <c r="W164" s="48">
        <f>SUM(W161:W163)</f>
        <v>4578.9799999999996</v>
      </c>
      <c r="X164" s="49">
        <f t="shared" si="88"/>
        <v>1.0002140672782873</v>
      </c>
      <c r="Y164" s="48">
        <f>SUM(Y161:Y163)</f>
        <v>6002</v>
      </c>
      <c r="Z164" s="48">
        <f>SUM(Z161:Z163)</f>
        <v>6002</v>
      </c>
    </row>
    <row r="165" spans="1:26" ht="13.9" customHeight="1" x14ac:dyDescent="0.25">
      <c r="A165" s="14">
        <v>2</v>
      </c>
      <c r="B165" s="14">
        <v>1</v>
      </c>
      <c r="D165" s="4" t="s">
        <v>159</v>
      </c>
      <c r="E165" s="22">
        <v>610</v>
      </c>
      <c r="F165" s="22" t="s">
        <v>129</v>
      </c>
      <c r="G165" s="23">
        <v>97764.72</v>
      </c>
      <c r="H165" s="23">
        <v>115765.93</v>
      </c>
      <c r="I165" s="45">
        <v>148548</v>
      </c>
      <c r="J165" s="45">
        <v>103387.31</v>
      </c>
      <c r="K165" s="45">
        <v>144163</v>
      </c>
      <c r="L165" s="45">
        <v>-120</v>
      </c>
      <c r="M165" s="45">
        <f>-2000-120</f>
        <v>-2120</v>
      </c>
      <c r="N165" s="45">
        <f>-182-35481</f>
        <v>-35663</v>
      </c>
      <c r="O165" s="45"/>
      <c r="P165" s="23">
        <f>K165+SUM(L165:O165)</f>
        <v>106260</v>
      </c>
      <c r="Q165" s="45">
        <v>31194.06</v>
      </c>
      <c r="R165" s="49">
        <f t="shared" si="85"/>
        <v>0.29356352343308867</v>
      </c>
      <c r="S165" s="45">
        <v>51937.94</v>
      </c>
      <c r="T165" s="49">
        <f t="shared" si="86"/>
        <v>0.4887816676077546</v>
      </c>
      <c r="U165" s="45">
        <v>78747.289999999994</v>
      </c>
      <c r="V165" s="49">
        <f t="shared" si="87"/>
        <v>0.74108121588556364</v>
      </c>
      <c r="W165" s="45">
        <v>78747.289999999994</v>
      </c>
      <c r="X165" s="49">
        <f t="shared" si="88"/>
        <v>0.74108121588556364</v>
      </c>
      <c r="Y165" s="23">
        <v>149881</v>
      </c>
      <c r="Z165" s="23">
        <v>164374</v>
      </c>
    </row>
    <row r="166" spans="1:26" ht="13.9" customHeight="1" x14ac:dyDescent="0.25">
      <c r="A166" s="14">
        <v>2</v>
      </c>
      <c r="B166" s="14">
        <v>1</v>
      </c>
      <c r="D166" s="4"/>
      <c r="E166" s="22">
        <v>620</v>
      </c>
      <c r="F166" s="22" t="s">
        <v>130</v>
      </c>
      <c r="G166" s="23">
        <v>35927.800000000003</v>
      </c>
      <c r="H166" s="23">
        <v>41602.199999999997</v>
      </c>
      <c r="I166" s="23">
        <v>54888</v>
      </c>
      <c r="J166" s="23">
        <v>34843.870000000003</v>
      </c>
      <c r="K166" s="23">
        <v>53268</v>
      </c>
      <c r="L166" s="23"/>
      <c r="M166" s="23"/>
      <c r="N166" s="23">
        <v>-13317</v>
      </c>
      <c r="O166" s="23">
        <v>-6250</v>
      </c>
      <c r="P166" s="23">
        <f>K166+SUM(L166:O166)</f>
        <v>33701</v>
      </c>
      <c r="Q166" s="23">
        <v>10559.18</v>
      </c>
      <c r="R166" s="49">
        <f t="shared" si="85"/>
        <v>0.31331948606866267</v>
      </c>
      <c r="S166" s="23">
        <v>18883.03</v>
      </c>
      <c r="T166" s="49">
        <f t="shared" si="86"/>
        <v>0.56031067327379003</v>
      </c>
      <c r="U166" s="23">
        <v>28811.02</v>
      </c>
      <c r="V166" s="49">
        <f t="shared" si="87"/>
        <v>0.85490104151212132</v>
      </c>
      <c r="W166" s="23">
        <v>28811.02</v>
      </c>
      <c r="X166" s="49">
        <f t="shared" si="88"/>
        <v>0.85490104151212132</v>
      </c>
      <c r="Y166" s="23">
        <v>55380</v>
      </c>
      <c r="Z166" s="23">
        <v>60735</v>
      </c>
    </row>
    <row r="167" spans="1:26" ht="13.9" customHeight="1" x14ac:dyDescent="0.25">
      <c r="A167" s="14">
        <v>2</v>
      </c>
      <c r="B167" s="14">
        <v>1</v>
      </c>
      <c r="D167" s="4"/>
      <c r="E167" s="22">
        <v>630</v>
      </c>
      <c r="F167" s="22" t="s">
        <v>131</v>
      </c>
      <c r="G167" s="23">
        <v>16547.16</v>
      </c>
      <c r="H167" s="23">
        <v>21365.08</v>
      </c>
      <c r="I167" s="23">
        <v>34147</v>
      </c>
      <c r="J167" s="23">
        <v>18808.05</v>
      </c>
      <c r="K167" s="23">
        <f>10495+14714</f>
        <v>25209</v>
      </c>
      <c r="L167" s="23"/>
      <c r="M167" s="23">
        <v>2000</v>
      </c>
      <c r="N167" s="23">
        <f>-2000-9070</f>
        <v>-11070</v>
      </c>
      <c r="O167" s="23">
        <v>6250</v>
      </c>
      <c r="P167" s="23">
        <f>K167+SUM(L167:O167)</f>
        <v>22389</v>
      </c>
      <c r="Q167" s="23">
        <v>2966.7</v>
      </c>
      <c r="R167" s="49">
        <f t="shared" si="85"/>
        <v>0.13250703470454239</v>
      </c>
      <c r="S167" s="23">
        <v>8383.69</v>
      </c>
      <c r="T167" s="49">
        <f t="shared" si="86"/>
        <v>0.37445575952476667</v>
      </c>
      <c r="U167" s="23">
        <v>12948.67</v>
      </c>
      <c r="V167" s="49">
        <f t="shared" si="87"/>
        <v>0.57834963598195543</v>
      </c>
      <c r="W167" s="23">
        <v>16591.310000000001</v>
      </c>
      <c r="X167" s="49">
        <f t="shared" si="88"/>
        <v>0.74104738934298098</v>
      </c>
      <c r="Y167" s="23">
        <f>10527+14714</f>
        <v>25241</v>
      </c>
      <c r="Z167" s="23">
        <f>10683+14714</f>
        <v>25397</v>
      </c>
    </row>
    <row r="168" spans="1:26" ht="13.9" customHeight="1" x14ac:dyDescent="0.25">
      <c r="A168" s="14">
        <v>2</v>
      </c>
      <c r="B168" s="14">
        <v>1</v>
      </c>
      <c r="D168" s="4"/>
      <c r="E168" s="22">
        <v>640</v>
      </c>
      <c r="F168" s="22" t="s">
        <v>132</v>
      </c>
      <c r="G168" s="23">
        <v>746.48</v>
      </c>
      <c r="H168" s="23">
        <v>2072.35</v>
      </c>
      <c r="I168" s="23">
        <v>0</v>
      </c>
      <c r="J168" s="23">
        <v>810.63</v>
      </c>
      <c r="K168" s="23">
        <v>0</v>
      </c>
      <c r="L168" s="23">
        <v>120</v>
      </c>
      <c r="M168" s="23">
        <v>120</v>
      </c>
      <c r="N168" s="23">
        <v>182</v>
      </c>
      <c r="O168" s="23"/>
      <c r="P168" s="23">
        <f>K168+SUM(L168:O168)</f>
        <v>422</v>
      </c>
      <c r="Q168" s="23">
        <v>0</v>
      </c>
      <c r="R168" s="49">
        <f t="shared" si="85"/>
        <v>0</v>
      </c>
      <c r="S168" s="23">
        <v>240.42</v>
      </c>
      <c r="T168" s="49">
        <f t="shared" si="86"/>
        <v>0.5697156398104265</v>
      </c>
      <c r="U168" s="23">
        <v>422.13</v>
      </c>
      <c r="V168" s="49">
        <f t="shared" si="87"/>
        <v>1.0003080568720379</v>
      </c>
      <c r="W168" s="23">
        <v>422.13</v>
      </c>
      <c r="X168" s="49">
        <f t="shared" si="88"/>
        <v>1.0003080568720379</v>
      </c>
      <c r="Y168" s="23">
        <v>0</v>
      </c>
      <c r="Z168" s="23">
        <v>0</v>
      </c>
    </row>
    <row r="169" spans="1:26" ht="13.9" customHeight="1" x14ac:dyDescent="0.25">
      <c r="A169" s="14">
        <v>2</v>
      </c>
      <c r="B169" s="14">
        <v>1</v>
      </c>
      <c r="D169" s="84" t="s">
        <v>21</v>
      </c>
      <c r="E169" s="47">
        <v>41</v>
      </c>
      <c r="F169" s="47" t="s">
        <v>23</v>
      </c>
      <c r="G169" s="48">
        <f t="shared" ref="G169:Q169" si="90">SUM(G165:G168)</f>
        <v>150986.16000000003</v>
      </c>
      <c r="H169" s="48">
        <f t="shared" si="90"/>
        <v>180805.56000000003</v>
      </c>
      <c r="I169" s="48">
        <f t="shared" si="90"/>
        <v>237583</v>
      </c>
      <c r="J169" s="48">
        <f t="shared" si="90"/>
        <v>157849.85999999999</v>
      </c>
      <c r="K169" s="48">
        <f t="shared" si="90"/>
        <v>222640</v>
      </c>
      <c r="L169" s="48">
        <f t="shared" si="90"/>
        <v>0</v>
      </c>
      <c r="M169" s="48">
        <f t="shared" si="90"/>
        <v>0</v>
      </c>
      <c r="N169" s="48">
        <f t="shared" si="90"/>
        <v>-59868</v>
      </c>
      <c r="O169" s="48">
        <f t="shared" si="90"/>
        <v>0</v>
      </c>
      <c r="P169" s="48">
        <f t="shared" si="90"/>
        <v>162772</v>
      </c>
      <c r="Q169" s="48">
        <f t="shared" si="90"/>
        <v>44719.94</v>
      </c>
      <c r="R169" s="49">
        <f t="shared" si="85"/>
        <v>0.27473975868085421</v>
      </c>
      <c r="S169" s="48">
        <f>SUM(S165:S168)</f>
        <v>79445.08</v>
      </c>
      <c r="T169" s="49">
        <f t="shared" si="86"/>
        <v>0.48807583613889366</v>
      </c>
      <c r="U169" s="48">
        <f>SUM(U165:U168)</f>
        <v>120929.11</v>
      </c>
      <c r="V169" s="49">
        <f t="shared" si="87"/>
        <v>0.74293557860074211</v>
      </c>
      <c r="W169" s="48">
        <f>SUM(W165:W168)</f>
        <v>124571.75</v>
      </c>
      <c r="X169" s="49">
        <f t="shared" si="88"/>
        <v>0.76531436610719283</v>
      </c>
      <c r="Y169" s="48">
        <f>SUM(Y165:Y168)</f>
        <v>230502</v>
      </c>
      <c r="Z169" s="48">
        <f>SUM(Z165:Z168)</f>
        <v>250506</v>
      </c>
    </row>
    <row r="170" spans="1:26" ht="13.9" customHeight="1" x14ac:dyDescent="0.25">
      <c r="A170" s="14">
        <v>2</v>
      </c>
      <c r="B170" s="14">
        <v>1</v>
      </c>
      <c r="D170" s="10" t="s">
        <v>159</v>
      </c>
      <c r="E170" s="22">
        <v>630</v>
      </c>
      <c r="F170" s="22" t="s">
        <v>131</v>
      </c>
      <c r="G170" s="23">
        <v>472.46</v>
      </c>
      <c r="H170" s="23">
        <v>685.37</v>
      </c>
      <c r="I170" s="23">
        <v>795</v>
      </c>
      <c r="J170" s="23">
        <v>785.1</v>
      </c>
      <c r="K170" s="23">
        <f>príjmy!H124</f>
        <v>763</v>
      </c>
      <c r="L170" s="23"/>
      <c r="M170" s="23">
        <v>15</v>
      </c>
      <c r="N170" s="23">
        <v>-700</v>
      </c>
      <c r="O170" s="23"/>
      <c r="P170" s="45">
        <f>K170+SUM(L170:O170)</f>
        <v>78</v>
      </c>
      <c r="Q170" s="23">
        <v>10.58</v>
      </c>
      <c r="R170" s="24">
        <f t="shared" si="85"/>
        <v>0.13564102564102565</v>
      </c>
      <c r="S170" s="23">
        <v>78.42</v>
      </c>
      <c r="T170" s="24">
        <f t="shared" si="86"/>
        <v>1.0053846153846153</v>
      </c>
      <c r="U170" s="23">
        <v>78.42</v>
      </c>
      <c r="V170" s="24">
        <f t="shared" si="87"/>
        <v>1.0053846153846153</v>
      </c>
      <c r="W170" s="23">
        <v>78.42</v>
      </c>
      <c r="X170" s="24">
        <f t="shared" si="88"/>
        <v>1.0053846153846153</v>
      </c>
      <c r="Y170" s="23">
        <f>K170</f>
        <v>763</v>
      </c>
      <c r="Z170" s="23">
        <f>Y170</f>
        <v>763</v>
      </c>
    </row>
    <row r="171" spans="1:26" ht="13.9" customHeight="1" x14ac:dyDescent="0.25">
      <c r="A171" s="14">
        <v>2</v>
      </c>
      <c r="B171" s="14">
        <v>1</v>
      </c>
      <c r="D171" s="10" t="s">
        <v>159</v>
      </c>
      <c r="E171" s="22">
        <v>640</v>
      </c>
      <c r="F171" s="22" t="s">
        <v>132</v>
      </c>
      <c r="G171" s="23">
        <v>937.17</v>
      </c>
      <c r="H171" s="23">
        <v>1151.24</v>
      </c>
      <c r="I171" s="23">
        <v>1203</v>
      </c>
      <c r="J171" s="23">
        <v>919.75</v>
      </c>
      <c r="K171" s="23">
        <v>920</v>
      </c>
      <c r="L171" s="23"/>
      <c r="M171" s="23"/>
      <c r="N171" s="23">
        <v>-307</v>
      </c>
      <c r="O171" s="23">
        <v>74</v>
      </c>
      <c r="P171" s="23">
        <f>K171+SUM(L171:O171)</f>
        <v>687</v>
      </c>
      <c r="Q171" s="23">
        <v>0</v>
      </c>
      <c r="R171" s="24">
        <f t="shared" si="85"/>
        <v>0</v>
      </c>
      <c r="S171" s="23">
        <v>0</v>
      </c>
      <c r="T171" s="24">
        <f t="shared" si="86"/>
        <v>0</v>
      </c>
      <c r="U171" s="23">
        <v>0</v>
      </c>
      <c r="V171" s="24">
        <f t="shared" si="87"/>
        <v>0</v>
      </c>
      <c r="W171" s="23">
        <v>687</v>
      </c>
      <c r="X171" s="24">
        <f t="shared" si="88"/>
        <v>1</v>
      </c>
      <c r="Y171" s="23">
        <f>K171</f>
        <v>920</v>
      </c>
      <c r="Z171" s="23">
        <f>Y171</f>
        <v>920</v>
      </c>
    </row>
    <row r="172" spans="1:26" ht="13.9" customHeight="1" x14ac:dyDescent="0.25">
      <c r="A172" s="14">
        <v>2</v>
      </c>
      <c r="B172" s="14">
        <v>1</v>
      </c>
      <c r="D172" s="84" t="s">
        <v>21</v>
      </c>
      <c r="E172" s="47">
        <v>72</v>
      </c>
      <c r="F172" s="47" t="s">
        <v>25</v>
      </c>
      <c r="G172" s="48">
        <f t="shared" ref="G172:Q172" si="91">SUM(G170:G171)</f>
        <v>1409.6299999999999</v>
      </c>
      <c r="H172" s="48">
        <f t="shared" si="91"/>
        <v>1836.6100000000001</v>
      </c>
      <c r="I172" s="48">
        <f t="shared" si="91"/>
        <v>1998</v>
      </c>
      <c r="J172" s="48">
        <f t="shared" si="91"/>
        <v>1704.85</v>
      </c>
      <c r="K172" s="48">
        <f t="shared" si="91"/>
        <v>1683</v>
      </c>
      <c r="L172" s="48">
        <f t="shared" si="91"/>
        <v>0</v>
      </c>
      <c r="M172" s="48">
        <f t="shared" si="91"/>
        <v>15</v>
      </c>
      <c r="N172" s="48">
        <f t="shared" si="91"/>
        <v>-1007</v>
      </c>
      <c r="O172" s="48">
        <f t="shared" si="91"/>
        <v>74</v>
      </c>
      <c r="P172" s="48">
        <f t="shared" si="91"/>
        <v>765</v>
      </c>
      <c r="Q172" s="48">
        <f t="shared" si="91"/>
        <v>10.58</v>
      </c>
      <c r="R172" s="49">
        <f t="shared" si="85"/>
        <v>1.3830065359477124E-2</v>
      </c>
      <c r="S172" s="48">
        <f>SUM(S170:S171)</f>
        <v>78.42</v>
      </c>
      <c r="T172" s="49">
        <f t="shared" si="86"/>
        <v>0.10250980392156862</v>
      </c>
      <c r="U172" s="48">
        <f>SUM(U170:U171)</f>
        <v>78.42</v>
      </c>
      <c r="V172" s="49">
        <f t="shared" si="87"/>
        <v>0.10250980392156862</v>
      </c>
      <c r="W172" s="48">
        <f>SUM(W170:W171)</f>
        <v>765.42</v>
      </c>
      <c r="X172" s="49">
        <f t="shared" si="88"/>
        <v>1.000549019607843</v>
      </c>
      <c r="Y172" s="48">
        <f>SUM(Y170:Y171)</f>
        <v>1683</v>
      </c>
      <c r="Z172" s="48">
        <f>SUM(Z170:Z171)</f>
        <v>1683</v>
      </c>
    </row>
    <row r="173" spans="1:26" ht="13.9" customHeight="1" x14ac:dyDescent="0.25">
      <c r="A173" s="14">
        <v>2</v>
      </c>
      <c r="B173" s="14">
        <v>1</v>
      </c>
      <c r="D173" s="29"/>
      <c r="E173" s="30"/>
      <c r="F173" s="25" t="s">
        <v>124</v>
      </c>
      <c r="G173" s="26">
        <f t="shared" ref="G173:Q173" si="92">G164+G169+G172</f>
        <v>157193.79000000004</v>
      </c>
      <c r="H173" s="26">
        <f t="shared" si="92"/>
        <v>192610.81</v>
      </c>
      <c r="I173" s="26">
        <f t="shared" si="92"/>
        <v>244105</v>
      </c>
      <c r="J173" s="26">
        <f t="shared" si="92"/>
        <v>191862.77</v>
      </c>
      <c r="K173" s="104">
        <f t="shared" si="92"/>
        <v>230325</v>
      </c>
      <c r="L173" s="26">
        <f t="shared" si="92"/>
        <v>0</v>
      </c>
      <c r="M173" s="26">
        <f t="shared" si="92"/>
        <v>15</v>
      </c>
      <c r="N173" s="26">
        <f t="shared" si="92"/>
        <v>-62299</v>
      </c>
      <c r="O173" s="26">
        <f t="shared" si="92"/>
        <v>74</v>
      </c>
      <c r="P173" s="26">
        <f t="shared" si="92"/>
        <v>168115</v>
      </c>
      <c r="Q173" s="26">
        <f t="shared" si="92"/>
        <v>46628.350000000006</v>
      </c>
      <c r="R173" s="27">
        <f t="shared" si="85"/>
        <v>0.27735984296463734</v>
      </c>
      <c r="S173" s="26">
        <f>S164+S169+S172</f>
        <v>81896.539999999994</v>
      </c>
      <c r="T173" s="27">
        <f t="shared" si="86"/>
        <v>0.48714594176605297</v>
      </c>
      <c r="U173" s="26">
        <f>U164+U169+U172</f>
        <v>125586.51</v>
      </c>
      <c r="V173" s="27">
        <f t="shared" si="87"/>
        <v>0.74702739196383428</v>
      </c>
      <c r="W173" s="26">
        <f>W164+W169+W172</f>
        <v>129916.15</v>
      </c>
      <c r="X173" s="27">
        <f t="shared" si="88"/>
        <v>0.77278142937869909</v>
      </c>
      <c r="Y173" s="26">
        <f>Y164+Y169+Y172</f>
        <v>238187</v>
      </c>
      <c r="Z173" s="26">
        <f>Z164+Z169+Z172</f>
        <v>258191</v>
      </c>
    </row>
    <row r="175" spans="1:26" ht="13.9" customHeight="1" x14ac:dyDescent="0.25">
      <c r="E175" s="51" t="s">
        <v>57</v>
      </c>
      <c r="F175" s="29" t="s">
        <v>149</v>
      </c>
      <c r="G175" s="52">
        <v>387.29</v>
      </c>
      <c r="H175" s="52">
        <v>1640.06</v>
      </c>
      <c r="I175" s="52">
        <v>1652</v>
      </c>
      <c r="J175" s="52">
        <v>1107.6300000000001</v>
      </c>
      <c r="K175" s="91">
        <v>756</v>
      </c>
      <c r="L175" s="52"/>
      <c r="M175" s="52"/>
      <c r="N175" s="52"/>
      <c r="O175" s="52">
        <v>126</v>
      </c>
      <c r="P175" s="52">
        <f>K175+SUM(L175:O175)</f>
        <v>882</v>
      </c>
      <c r="Q175" s="52">
        <v>190.23</v>
      </c>
      <c r="R175" s="53">
        <f>Q175/$P175</f>
        <v>0.21568027210884352</v>
      </c>
      <c r="S175" s="52">
        <v>415.58</v>
      </c>
      <c r="T175" s="53">
        <f>S175/$P175</f>
        <v>0.47117913832199543</v>
      </c>
      <c r="U175" s="52">
        <v>632.64</v>
      </c>
      <c r="V175" s="53">
        <f>U175/$P175</f>
        <v>0.71727891156462587</v>
      </c>
      <c r="W175" s="52">
        <v>881.57</v>
      </c>
      <c r="X175" s="54">
        <f>W175/$P175</f>
        <v>0.99951247165532886</v>
      </c>
      <c r="Y175" s="52">
        <f>K175</f>
        <v>756</v>
      </c>
      <c r="Z175" s="55">
        <f>Y175</f>
        <v>756</v>
      </c>
    </row>
    <row r="176" spans="1:26" ht="13.9" customHeight="1" x14ac:dyDescent="0.25">
      <c r="E176" s="64"/>
      <c r="F176" s="95" t="s">
        <v>150</v>
      </c>
      <c r="G176" s="66"/>
      <c r="H176" s="66"/>
      <c r="I176" s="96">
        <v>3400</v>
      </c>
      <c r="J176" s="96">
        <v>2622.33</v>
      </c>
      <c r="K176" s="96">
        <v>2628</v>
      </c>
      <c r="L176" s="96"/>
      <c r="M176" s="96"/>
      <c r="N176" s="96"/>
      <c r="O176" s="96"/>
      <c r="P176" s="96">
        <f>K176+SUM(L176:O176)</f>
        <v>2628</v>
      </c>
      <c r="Q176" s="96">
        <v>657</v>
      </c>
      <c r="R176" s="97">
        <f>Q176/$P176</f>
        <v>0.25</v>
      </c>
      <c r="S176" s="96">
        <v>1314</v>
      </c>
      <c r="T176" s="97">
        <f>S176/$P176</f>
        <v>0.5</v>
      </c>
      <c r="U176" s="96">
        <v>1971</v>
      </c>
      <c r="V176" s="97">
        <f>U176/$P176</f>
        <v>0.75</v>
      </c>
      <c r="W176" s="96">
        <v>2628</v>
      </c>
      <c r="X176" s="98">
        <f>W176/$P176</f>
        <v>1</v>
      </c>
      <c r="Y176" s="81">
        <f>K176</f>
        <v>2628</v>
      </c>
      <c r="Z176" s="60">
        <f>Y176</f>
        <v>2628</v>
      </c>
    </row>
    <row r="177" spans="1:26" ht="13.9" hidden="1" customHeight="1" x14ac:dyDescent="0.25">
      <c r="E177" s="64"/>
      <c r="F177" s="95" t="s">
        <v>175</v>
      </c>
      <c r="G177" s="66"/>
      <c r="H177" s="66">
        <v>5731.2</v>
      </c>
      <c r="I177" s="66">
        <v>0</v>
      </c>
      <c r="J177" s="66">
        <v>0</v>
      </c>
      <c r="K177" s="66">
        <v>0</v>
      </c>
      <c r="L177" s="66"/>
      <c r="M177" s="66"/>
      <c r="N177" s="66"/>
      <c r="O177" s="66"/>
      <c r="P177" s="66">
        <f>K177+SUM(L177:O177)</f>
        <v>0</v>
      </c>
      <c r="Q177" s="66">
        <v>0</v>
      </c>
      <c r="R177" s="67" t="e">
        <f>Q177/$P177</f>
        <v>#DIV/0!</v>
      </c>
      <c r="S177" s="66">
        <v>0</v>
      </c>
      <c r="T177" s="67" t="e">
        <f>S177/$P177</f>
        <v>#DIV/0!</v>
      </c>
      <c r="U177" s="66"/>
      <c r="V177" s="67" t="e">
        <f>U177/$P177</f>
        <v>#DIV/0!</v>
      </c>
      <c r="W177" s="66"/>
      <c r="X177" s="68" t="e">
        <f>W177/$P177</f>
        <v>#DIV/0!</v>
      </c>
      <c r="Y177" s="66">
        <f>K177</f>
        <v>0</v>
      </c>
      <c r="Z177" s="69">
        <f>Y177</f>
        <v>0</v>
      </c>
    </row>
    <row r="179" spans="1:26" ht="13.9" customHeight="1" x14ac:dyDescent="0.25">
      <c r="D179" s="40" t="s">
        <v>176</v>
      </c>
      <c r="E179" s="40"/>
      <c r="F179" s="40"/>
      <c r="G179" s="40"/>
      <c r="H179" s="40"/>
      <c r="I179" s="40"/>
      <c r="J179" s="40"/>
      <c r="K179" s="40"/>
      <c r="L179" s="40"/>
      <c r="M179" s="40"/>
      <c r="N179" s="40"/>
      <c r="O179" s="40"/>
      <c r="P179" s="40"/>
      <c r="Q179" s="40"/>
      <c r="R179" s="41"/>
      <c r="S179" s="40"/>
      <c r="T179" s="41"/>
      <c r="U179" s="40"/>
      <c r="V179" s="41"/>
      <c r="W179" s="40"/>
      <c r="X179" s="41"/>
      <c r="Y179" s="40"/>
      <c r="Z179" s="40"/>
    </row>
    <row r="180" spans="1:26" ht="13.9" customHeight="1" x14ac:dyDescent="0.25">
      <c r="D180" s="20" t="s">
        <v>33</v>
      </c>
      <c r="E180" s="20" t="s">
        <v>34</v>
      </c>
      <c r="F180" s="20" t="s">
        <v>35</v>
      </c>
      <c r="G180" s="20" t="s">
        <v>1</v>
      </c>
      <c r="H180" s="20" t="s">
        <v>2</v>
      </c>
      <c r="I180" s="20" t="s">
        <v>3</v>
      </c>
      <c r="J180" s="20" t="s">
        <v>4</v>
      </c>
      <c r="K180" s="20" t="s">
        <v>5</v>
      </c>
      <c r="L180" s="20" t="s">
        <v>6</v>
      </c>
      <c r="M180" s="20" t="s">
        <v>7</v>
      </c>
      <c r="N180" s="20" t="s">
        <v>8</v>
      </c>
      <c r="O180" s="20" t="s">
        <v>9</v>
      </c>
      <c r="P180" s="20" t="s">
        <v>10</v>
      </c>
      <c r="Q180" s="20" t="s">
        <v>11</v>
      </c>
      <c r="R180" s="21" t="s">
        <v>12</v>
      </c>
      <c r="S180" s="20" t="s">
        <v>13</v>
      </c>
      <c r="T180" s="21" t="s">
        <v>14</v>
      </c>
      <c r="U180" s="20" t="s">
        <v>15</v>
      </c>
      <c r="V180" s="21" t="s">
        <v>16</v>
      </c>
      <c r="W180" s="20" t="s">
        <v>17</v>
      </c>
      <c r="X180" s="21" t="s">
        <v>18</v>
      </c>
      <c r="Y180" s="20" t="s">
        <v>19</v>
      </c>
      <c r="Z180" s="20" t="s">
        <v>20</v>
      </c>
    </row>
    <row r="181" spans="1:26" ht="13.9" hidden="1" customHeight="1" x14ac:dyDescent="0.25">
      <c r="A181" s="14">
        <v>2</v>
      </c>
      <c r="B181" s="14">
        <v>2</v>
      </c>
      <c r="D181" s="50" t="s">
        <v>177</v>
      </c>
      <c r="E181" s="22">
        <v>630</v>
      </c>
      <c r="F181" s="22" t="s">
        <v>131</v>
      </c>
      <c r="G181" s="23">
        <v>2006.7</v>
      </c>
      <c r="H181" s="23">
        <v>3066.61</v>
      </c>
      <c r="I181" s="23">
        <v>0</v>
      </c>
      <c r="J181" s="23">
        <v>6050</v>
      </c>
      <c r="K181" s="45">
        <v>0</v>
      </c>
      <c r="L181" s="23"/>
      <c r="M181" s="23"/>
      <c r="N181" s="23"/>
      <c r="O181" s="23"/>
      <c r="P181" s="23">
        <f>K181+SUM(L181:O181)</f>
        <v>0</v>
      </c>
      <c r="Q181" s="23">
        <v>0</v>
      </c>
      <c r="R181" s="24" t="e">
        <f t="shared" ref="R181:R192" si="93">Q181/$P181</f>
        <v>#DIV/0!</v>
      </c>
      <c r="S181" s="23">
        <v>0</v>
      </c>
      <c r="T181" s="24" t="e">
        <f t="shared" ref="T181:T192" si="94">S181/$P181</f>
        <v>#DIV/0!</v>
      </c>
      <c r="U181" s="23"/>
      <c r="V181" s="24" t="e">
        <f t="shared" ref="V181:V192" si="95">U181/$P181</f>
        <v>#DIV/0!</v>
      </c>
      <c r="W181" s="23"/>
      <c r="X181" s="24" t="e">
        <f t="shared" ref="X181:X192" si="96">W181/$P181</f>
        <v>#DIV/0!</v>
      </c>
      <c r="Y181" s="23">
        <v>0</v>
      </c>
      <c r="Z181" s="23">
        <f>Y181</f>
        <v>0</v>
      </c>
    </row>
    <row r="182" spans="1:26" ht="13.9" hidden="1" customHeight="1" x14ac:dyDescent="0.25">
      <c r="A182" s="14">
        <v>2</v>
      </c>
      <c r="B182" s="14">
        <v>2</v>
      </c>
      <c r="D182" s="50" t="s">
        <v>177</v>
      </c>
      <c r="E182" s="22">
        <v>640</v>
      </c>
      <c r="F182" s="22" t="s">
        <v>132</v>
      </c>
      <c r="G182" s="23">
        <v>182.6</v>
      </c>
      <c r="H182" s="23">
        <v>0</v>
      </c>
      <c r="I182" s="23">
        <v>0</v>
      </c>
      <c r="J182" s="23">
        <v>0</v>
      </c>
      <c r="K182" s="23">
        <v>0</v>
      </c>
      <c r="L182" s="23"/>
      <c r="M182" s="23"/>
      <c r="N182" s="23"/>
      <c r="O182" s="23"/>
      <c r="P182" s="23">
        <f>K182+SUM(L182:O182)</f>
        <v>0</v>
      </c>
      <c r="Q182" s="23">
        <v>0</v>
      </c>
      <c r="R182" s="24" t="e">
        <f t="shared" si="93"/>
        <v>#DIV/0!</v>
      </c>
      <c r="S182" s="23">
        <v>0</v>
      </c>
      <c r="T182" s="24" t="e">
        <f t="shared" si="94"/>
        <v>#DIV/0!</v>
      </c>
      <c r="U182" s="23"/>
      <c r="V182" s="24" t="e">
        <f t="shared" si="95"/>
        <v>#DIV/0!</v>
      </c>
      <c r="W182" s="23"/>
      <c r="X182" s="24" t="e">
        <f t="shared" si="96"/>
        <v>#DIV/0!</v>
      </c>
      <c r="Y182" s="23">
        <f>K182</f>
        <v>0</v>
      </c>
      <c r="Z182" s="23">
        <f>Y182</f>
        <v>0</v>
      </c>
    </row>
    <row r="183" spans="1:26" ht="13.9" customHeight="1" x14ac:dyDescent="0.25">
      <c r="A183" s="14">
        <v>2</v>
      </c>
      <c r="B183" s="14">
        <v>2</v>
      </c>
      <c r="D183" s="50" t="s">
        <v>177</v>
      </c>
      <c r="E183" s="22" t="s">
        <v>51</v>
      </c>
      <c r="F183" s="22" t="s">
        <v>22</v>
      </c>
      <c r="G183" s="45">
        <v>448512.82</v>
      </c>
      <c r="H183" s="45">
        <v>510477.53</v>
      </c>
      <c r="I183" s="45">
        <v>586650</v>
      </c>
      <c r="J183" s="45">
        <v>572522.38</v>
      </c>
      <c r="K183" s="45">
        <v>586957</v>
      </c>
      <c r="L183" s="45"/>
      <c r="M183" s="45"/>
      <c r="N183" s="45">
        <v>2733</v>
      </c>
      <c r="O183" s="45"/>
      <c r="P183" s="23">
        <f>K183+SUM(L183:O183)</f>
        <v>589690</v>
      </c>
      <c r="Q183" s="45">
        <v>106130.26</v>
      </c>
      <c r="R183" s="46">
        <f t="shared" si="93"/>
        <v>0.17997636046058096</v>
      </c>
      <c r="S183" s="45">
        <v>250317.92</v>
      </c>
      <c r="T183" s="46">
        <f t="shared" si="94"/>
        <v>0.42449069850260307</v>
      </c>
      <c r="U183" s="45">
        <f>341451.85+45810.83</f>
        <v>387262.68</v>
      </c>
      <c r="V183" s="46">
        <f t="shared" si="95"/>
        <v>0.65672248130373589</v>
      </c>
      <c r="W183" s="45">
        <f>341451.85+263310.15</f>
        <v>604762</v>
      </c>
      <c r="X183" s="46">
        <f t="shared" si="96"/>
        <v>1.0255591921178924</v>
      </c>
      <c r="Y183" s="23">
        <f>K183</f>
        <v>586957</v>
      </c>
      <c r="Z183" s="23">
        <f>Y183</f>
        <v>586957</v>
      </c>
    </row>
    <row r="184" spans="1:26" ht="13.9" customHeight="1" x14ac:dyDescent="0.25">
      <c r="A184" s="14">
        <v>2</v>
      </c>
      <c r="B184" s="14">
        <v>2</v>
      </c>
      <c r="D184" s="84" t="s">
        <v>21</v>
      </c>
      <c r="E184" s="47">
        <v>111</v>
      </c>
      <c r="F184" s="47" t="s">
        <v>134</v>
      </c>
      <c r="G184" s="48">
        <f t="shared" ref="G184:Q184" si="97">SUM(G181:G183)</f>
        <v>450702.12</v>
      </c>
      <c r="H184" s="48">
        <f t="shared" si="97"/>
        <v>513544.14</v>
      </c>
      <c r="I184" s="48">
        <f t="shared" si="97"/>
        <v>586650</v>
      </c>
      <c r="J184" s="48">
        <f t="shared" si="97"/>
        <v>578572.38</v>
      </c>
      <c r="K184" s="48">
        <f t="shared" si="97"/>
        <v>586957</v>
      </c>
      <c r="L184" s="48">
        <f t="shared" si="97"/>
        <v>0</v>
      </c>
      <c r="M184" s="48">
        <f t="shared" si="97"/>
        <v>0</v>
      </c>
      <c r="N184" s="48">
        <f t="shared" si="97"/>
        <v>2733</v>
      </c>
      <c r="O184" s="48">
        <f t="shared" si="97"/>
        <v>0</v>
      </c>
      <c r="P184" s="48">
        <f t="shared" si="97"/>
        <v>589690</v>
      </c>
      <c r="Q184" s="48">
        <f t="shared" si="97"/>
        <v>106130.26</v>
      </c>
      <c r="R184" s="49">
        <f t="shared" si="93"/>
        <v>0.17997636046058096</v>
      </c>
      <c r="S184" s="48">
        <f>SUM(S181:S183)</f>
        <v>250317.92</v>
      </c>
      <c r="T184" s="49">
        <f t="shared" si="94"/>
        <v>0.42449069850260307</v>
      </c>
      <c r="U184" s="48">
        <f>SUM(U181:U183)</f>
        <v>387262.68</v>
      </c>
      <c r="V184" s="49">
        <f t="shared" si="95"/>
        <v>0.65672248130373589</v>
      </c>
      <c r="W184" s="48">
        <f>SUM(W181:W183)</f>
        <v>604762</v>
      </c>
      <c r="X184" s="49">
        <f t="shared" si="96"/>
        <v>1.0255591921178924</v>
      </c>
      <c r="Y184" s="48">
        <f>SUM(Y181:Y183)</f>
        <v>586957</v>
      </c>
      <c r="Z184" s="48">
        <f>SUM(Z181:Z183)</f>
        <v>586957</v>
      </c>
    </row>
    <row r="185" spans="1:26" ht="13.9" customHeight="1" x14ac:dyDescent="0.25">
      <c r="A185" s="14">
        <v>2</v>
      </c>
      <c r="B185" s="14">
        <v>2</v>
      </c>
      <c r="D185" s="10" t="s">
        <v>177</v>
      </c>
      <c r="E185" s="22">
        <v>630</v>
      </c>
      <c r="F185" s="22" t="s">
        <v>131</v>
      </c>
      <c r="G185" s="23">
        <v>1965.17</v>
      </c>
      <c r="H185" s="23">
        <v>1438.71</v>
      </c>
      <c r="I185" s="23">
        <v>1440</v>
      </c>
      <c r="J185" s="23">
        <v>1168.71</v>
      </c>
      <c r="K185" s="23">
        <v>1469</v>
      </c>
      <c r="L185" s="23">
        <v>1200</v>
      </c>
      <c r="M185" s="23"/>
      <c r="N185" s="23">
        <v>20000</v>
      </c>
      <c r="O185" s="23">
        <v>-188</v>
      </c>
      <c r="P185" s="23">
        <f>K185+SUM(L185:O185)</f>
        <v>22481</v>
      </c>
      <c r="Q185" s="23">
        <v>1200</v>
      </c>
      <c r="R185" s="24">
        <f t="shared" si="93"/>
        <v>5.3378408433788535E-2</v>
      </c>
      <c r="S185" s="23">
        <v>2008.71</v>
      </c>
      <c r="T185" s="24">
        <f t="shared" si="94"/>
        <v>8.9351452337529474E-2</v>
      </c>
      <c r="U185" s="23">
        <v>18513.419999999998</v>
      </c>
      <c r="V185" s="24">
        <f t="shared" si="95"/>
        <v>0.82351407855522429</v>
      </c>
      <c r="W185" s="23">
        <v>19656.91</v>
      </c>
      <c r="X185" s="24">
        <f t="shared" si="96"/>
        <v>0.87437880877185181</v>
      </c>
      <c r="Y185" s="23">
        <f t="shared" ref="Y185:Y190" si="98">K185</f>
        <v>1469</v>
      </c>
      <c r="Z185" s="23">
        <f>Y185</f>
        <v>1469</v>
      </c>
    </row>
    <row r="186" spans="1:26" ht="13.9" customHeight="1" x14ac:dyDescent="0.25">
      <c r="A186" s="14">
        <v>2</v>
      </c>
      <c r="B186" s="14">
        <v>2</v>
      </c>
      <c r="D186" s="10"/>
      <c r="E186" s="22">
        <v>640</v>
      </c>
      <c r="F186" s="22" t="s">
        <v>132</v>
      </c>
      <c r="G186" s="23">
        <v>170.52</v>
      </c>
      <c r="H186" s="23">
        <v>0</v>
      </c>
      <c r="I186" s="23">
        <v>835</v>
      </c>
      <c r="J186" s="23">
        <v>0</v>
      </c>
      <c r="K186" s="23">
        <v>170</v>
      </c>
      <c r="L186" s="23"/>
      <c r="M186" s="23"/>
      <c r="N186" s="23"/>
      <c r="O186" s="23"/>
      <c r="P186" s="23">
        <f>K186+SUM(L186:O186)</f>
        <v>170</v>
      </c>
      <c r="Q186" s="23">
        <v>0</v>
      </c>
      <c r="R186" s="24">
        <f t="shared" si="93"/>
        <v>0</v>
      </c>
      <c r="S186" s="23">
        <v>0</v>
      </c>
      <c r="T186" s="24">
        <f t="shared" si="94"/>
        <v>0</v>
      </c>
      <c r="U186" s="23">
        <v>0</v>
      </c>
      <c r="V186" s="24">
        <f t="shared" si="95"/>
        <v>0</v>
      </c>
      <c r="W186" s="23">
        <v>0</v>
      </c>
      <c r="X186" s="24">
        <f t="shared" si="96"/>
        <v>0</v>
      </c>
      <c r="Y186" s="23">
        <f t="shared" si="98"/>
        <v>170</v>
      </c>
      <c r="Z186" s="23">
        <f>Y186</f>
        <v>170</v>
      </c>
    </row>
    <row r="187" spans="1:26" ht="13.9" customHeight="1" x14ac:dyDescent="0.25">
      <c r="A187" s="14">
        <v>2</v>
      </c>
      <c r="B187" s="14">
        <v>2</v>
      </c>
      <c r="D187" s="10"/>
      <c r="E187" s="22" t="s">
        <v>51</v>
      </c>
      <c r="F187" s="22" t="s">
        <v>178</v>
      </c>
      <c r="G187" s="23">
        <v>87928.51</v>
      </c>
      <c r="H187" s="23">
        <v>85577.52</v>
      </c>
      <c r="I187" s="45">
        <v>82562</v>
      </c>
      <c r="J187" s="45">
        <v>82080.350000000006</v>
      </c>
      <c r="K187" s="45">
        <v>78459</v>
      </c>
      <c r="L187" s="45"/>
      <c r="M187" s="45"/>
      <c r="N187" s="45">
        <v>76152</v>
      </c>
      <c r="O187" s="45"/>
      <c r="P187" s="23">
        <f>K187+SUM(L187:O187)</f>
        <v>154611</v>
      </c>
      <c r="Q187" s="45">
        <v>12392.1</v>
      </c>
      <c r="R187" s="46">
        <f t="shared" si="93"/>
        <v>8.0150183363408817E-2</v>
      </c>
      <c r="S187" s="45">
        <v>27948.01</v>
      </c>
      <c r="T187" s="46">
        <f t="shared" si="94"/>
        <v>0.18076339975810257</v>
      </c>
      <c r="U187" s="45">
        <f>40734.3+7255.52</f>
        <v>47989.820000000007</v>
      </c>
      <c r="V187" s="46">
        <f t="shared" si="95"/>
        <v>0.31039072252297706</v>
      </c>
      <c r="W187" s="45">
        <f>40734.3+97854.46</f>
        <v>138588.76</v>
      </c>
      <c r="X187" s="46">
        <f t="shared" si="96"/>
        <v>0.89637063339607148</v>
      </c>
      <c r="Y187" s="23">
        <f t="shared" si="98"/>
        <v>78459</v>
      </c>
      <c r="Z187" s="23">
        <f>Y187</f>
        <v>78459</v>
      </c>
    </row>
    <row r="188" spans="1:26" ht="13.9" customHeight="1" x14ac:dyDescent="0.25">
      <c r="A188" s="14">
        <v>2</v>
      </c>
      <c r="B188" s="14">
        <v>2</v>
      </c>
      <c r="D188" s="14" t="s">
        <v>179</v>
      </c>
      <c r="E188" s="22">
        <v>630</v>
      </c>
      <c r="F188" s="22" t="s">
        <v>131</v>
      </c>
      <c r="G188" s="23">
        <v>859.78</v>
      </c>
      <c r="H188" s="23">
        <v>5930.27</v>
      </c>
      <c r="I188" s="23">
        <v>6975</v>
      </c>
      <c r="J188" s="23">
        <v>6871.88</v>
      </c>
      <c r="K188" s="23">
        <v>5154</v>
      </c>
      <c r="L188" s="23"/>
      <c r="M188" s="23"/>
      <c r="N188" s="23"/>
      <c r="O188" s="23">
        <v>188</v>
      </c>
      <c r="P188" s="23">
        <f>K188+SUM(L188:O188)</f>
        <v>5342</v>
      </c>
      <c r="Q188" s="23">
        <v>1182.24</v>
      </c>
      <c r="R188" s="24">
        <f t="shared" si="93"/>
        <v>0.22131037064769749</v>
      </c>
      <c r="S188" s="23">
        <v>2543.08</v>
      </c>
      <c r="T188" s="24">
        <f t="shared" si="94"/>
        <v>0.47605391239236239</v>
      </c>
      <c r="U188" s="23">
        <v>3861.76</v>
      </c>
      <c r="V188" s="24">
        <f t="shared" si="95"/>
        <v>0.72290527892175216</v>
      </c>
      <c r="W188" s="23">
        <v>5342.45</v>
      </c>
      <c r="X188" s="24">
        <f t="shared" si="96"/>
        <v>1.0000842381130661</v>
      </c>
      <c r="Y188" s="23">
        <f t="shared" si="98"/>
        <v>5154</v>
      </c>
      <c r="Z188" s="23">
        <f>Y188</f>
        <v>5154</v>
      </c>
    </row>
    <row r="189" spans="1:26" ht="13.9" customHeight="1" x14ac:dyDescent="0.25">
      <c r="A189" s="14">
        <v>2</v>
      </c>
      <c r="B189" s="14">
        <v>2</v>
      </c>
      <c r="D189" s="84" t="s">
        <v>21</v>
      </c>
      <c r="E189" s="47">
        <v>41</v>
      </c>
      <c r="F189" s="47" t="s">
        <v>23</v>
      </c>
      <c r="G189" s="48">
        <f t="shared" ref="G189:Q189" si="99">SUM(G185:G188)</f>
        <v>90923.98</v>
      </c>
      <c r="H189" s="48">
        <f t="shared" si="99"/>
        <v>92946.500000000015</v>
      </c>
      <c r="I189" s="48">
        <f t="shared" si="99"/>
        <v>91812</v>
      </c>
      <c r="J189" s="48">
        <f t="shared" si="99"/>
        <v>90120.940000000017</v>
      </c>
      <c r="K189" s="48">
        <f t="shared" si="99"/>
        <v>85252</v>
      </c>
      <c r="L189" s="48">
        <f t="shared" si="99"/>
        <v>1200</v>
      </c>
      <c r="M189" s="48">
        <f t="shared" si="99"/>
        <v>0</v>
      </c>
      <c r="N189" s="48">
        <f t="shared" si="99"/>
        <v>96152</v>
      </c>
      <c r="O189" s="48">
        <f t="shared" si="99"/>
        <v>0</v>
      </c>
      <c r="P189" s="48">
        <f t="shared" si="99"/>
        <v>182604</v>
      </c>
      <c r="Q189" s="48">
        <f t="shared" si="99"/>
        <v>14774.34</v>
      </c>
      <c r="R189" s="49">
        <f t="shared" si="93"/>
        <v>8.0909180521784849E-2</v>
      </c>
      <c r="S189" s="48">
        <f>SUM(S185:S188)</f>
        <v>32499.799999999996</v>
      </c>
      <c r="T189" s="49">
        <f t="shared" si="94"/>
        <v>0.17797967185822872</v>
      </c>
      <c r="U189" s="48">
        <f>SUM(U185:U188)</f>
        <v>70365</v>
      </c>
      <c r="V189" s="49">
        <f t="shared" si="95"/>
        <v>0.38534205165275681</v>
      </c>
      <c r="W189" s="48">
        <f>SUM(W185:W188)</f>
        <v>163588.12000000002</v>
      </c>
      <c r="X189" s="49">
        <f t="shared" si="96"/>
        <v>0.89586274123239373</v>
      </c>
      <c r="Y189" s="48">
        <f t="shared" si="98"/>
        <v>85252</v>
      </c>
      <c r="Z189" s="48">
        <f>SUM(Z185:Z188)</f>
        <v>85252</v>
      </c>
    </row>
    <row r="190" spans="1:26" ht="13.9" customHeight="1" x14ac:dyDescent="0.25">
      <c r="A190" s="14">
        <v>2</v>
      </c>
      <c r="B190" s="14">
        <v>2</v>
      </c>
      <c r="D190" s="50" t="s">
        <v>177</v>
      </c>
      <c r="E190" s="22" t="s">
        <v>51</v>
      </c>
      <c r="F190" s="22" t="s">
        <v>25</v>
      </c>
      <c r="G190" s="23">
        <v>53456.9</v>
      </c>
      <c r="H190" s="23">
        <v>43295.19</v>
      </c>
      <c r="I190" s="45">
        <v>46100</v>
      </c>
      <c r="J190" s="45">
        <v>39950.800000000003</v>
      </c>
      <c r="K190" s="45">
        <v>47215</v>
      </c>
      <c r="L190" s="45"/>
      <c r="M190" s="45"/>
      <c r="N190" s="45">
        <v>1007</v>
      </c>
      <c r="O190" s="45"/>
      <c r="P190" s="23">
        <f>K190+SUM(L190:O190)</f>
        <v>48222</v>
      </c>
      <c r="Q190" s="45">
        <v>3779.19</v>
      </c>
      <c r="R190" s="46">
        <f t="shared" si="93"/>
        <v>7.8370660694288913E-2</v>
      </c>
      <c r="S190" s="45">
        <v>11691.68</v>
      </c>
      <c r="T190" s="46">
        <f t="shared" si="94"/>
        <v>0.24245531085396707</v>
      </c>
      <c r="U190" s="45">
        <f>23857.97+4492.9</f>
        <v>28350.870000000003</v>
      </c>
      <c r="V190" s="46">
        <f t="shared" si="95"/>
        <v>0.58792397660818718</v>
      </c>
      <c r="W190" s="45">
        <f>23857.97+19420.42</f>
        <v>43278.39</v>
      </c>
      <c r="X190" s="46">
        <f t="shared" si="96"/>
        <v>0.89748226950354604</v>
      </c>
      <c r="Y190" s="23">
        <f t="shared" si="98"/>
        <v>47215</v>
      </c>
      <c r="Z190" s="23">
        <f>Y190</f>
        <v>47215</v>
      </c>
    </row>
    <row r="191" spans="1:26" ht="13.9" customHeight="1" x14ac:dyDescent="0.25">
      <c r="A191" s="14">
        <v>2</v>
      </c>
      <c r="B191" s="14">
        <v>2</v>
      </c>
      <c r="D191" s="84" t="s">
        <v>21</v>
      </c>
      <c r="E191" s="47">
        <v>72</v>
      </c>
      <c r="F191" s="47" t="s">
        <v>25</v>
      </c>
      <c r="G191" s="48">
        <f t="shared" ref="G191:Q191" si="100">SUM(G190:G190)</f>
        <v>53456.9</v>
      </c>
      <c r="H191" s="48">
        <f t="shared" si="100"/>
        <v>43295.19</v>
      </c>
      <c r="I191" s="48">
        <f t="shared" si="100"/>
        <v>46100</v>
      </c>
      <c r="J191" s="48">
        <f t="shared" si="100"/>
        <v>39950.800000000003</v>
      </c>
      <c r="K191" s="48">
        <f t="shared" si="100"/>
        <v>47215</v>
      </c>
      <c r="L191" s="48">
        <f t="shared" si="100"/>
        <v>0</v>
      </c>
      <c r="M191" s="48">
        <f t="shared" si="100"/>
        <v>0</v>
      </c>
      <c r="N191" s="48">
        <f t="shared" si="100"/>
        <v>1007</v>
      </c>
      <c r="O191" s="48">
        <f t="shared" si="100"/>
        <v>0</v>
      </c>
      <c r="P191" s="48">
        <f t="shared" si="100"/>
        <v>48222</v>
      </c>
      <c r="Q191" s="48">
        <f t="shared" si="100"/>
        <v>3779.19</v>
      </c>
      <c r="R191" s="49">
        <f t="shared" si="93"/>
        <v>7.8370660694288913E-2</v>
      </c>
      <c r="S191" s="48">
        <f>SUM(S190:S190)</f>
        <v>11691.68</v>
      </c>
      <c r="T191" s="49">
        <f t="shared" si="94"/>
        <v>0.24245531085396707</v>
      </c>
      <c r="U191" s="48">
        <f>SUM(U190:U190)</f>
        <v>28350.870000000003</v>
      </c>
      <c r="V191" s="49">
        <f t="shared" si="95"/>
        <v>0.58792397660818718</v>
      </c>
      <c r="W191" s="48">
        <f>SUM(W190:W190)</f>
        <v>43278.39</v>
      </c>
      <c r="X191" s="49">
        <f t="shared" si="96"/>
        <v>0.89748226950354604</v>
      </c>
      <c r="Y191" s="48">
        <f>SUM(Y190:Y190)</f>
        <v>47215</v>
      </c>
      <c r="Z191" s="48">
        <f>SUM(Z190:Z190)</f>
        <v>47215</v>
      </c>
    </row>
    <row r="192" spans="1:26" ht="13.9" customHeight="1" x14ac:dyDescent="0.25">
      <c r="A192" s="14">
        <v>2</v>
      </c>
      <c r="B192" s="14">
        <v>2</v>
      </c>
      <c r="D192" s="29"/>
      <c r="E192" s="30"/>
      <c r="F192" s="25" t="s">
        <v>124</v>
      </c>
      <c r="G192" s="26">
        <f t="shared" ref="G192:Q192" si="101">G184+G189+G191</f>
        <v>595083</v>
      </c>
      <c r="H192" s="26">
        <f t="shared" si="101"/>
        <v>649785.83000000007</v>
      </c>
      <c r="I192" s="26">
        <f t="shared" si="101"/>
        <v>724562</v>
      </c>
      <c r="J192" s="26">
        <f t="shared" si="101"/>
        <v>708644.12000000011</v>
      </c>
      <c r="K192" s="26">
        <f t="shared" si="101"/>
        <v>719424</v>
      </c>
      <c r="L192" s="26">
        <f t="shared" si="101"/>
        <v>1200</v>
      </c>
      <c r="M192" s="26">
        <f t="shared" si="101"/>
        <v>0</v>
      </c>
      <c r="N192" s="26">
        <f t="shared" si="101"/>
        <v>99892</v>
      </c>
      <c r="O192" s="26">
        <f t="shared" si="101"/>
        <v>0</v>
      </c>
      <c r="P192" s="26">
        <f t="shared" si="101"/>
        <v>820516</v>
      </c>
      <c r="Q192" s="26">
        <f t="shared" si="101"/>
        <v>124683.79</v>
      </c>
      <c r="R192" s="27">
        <f t="shared" si="93"/>
        <v>0.15195778022610162</v>
      </c>
      <c r="S192" s="26">
        <f>S184+S189+S191</f>
        <v>294509.40000000002</v>
      </c>
      <c r="T192" s="27">
        <f t="shared" si="94"/>
        <v>0.358931940388731</v>
      </c>
      <c r="U192" s="26">
        <f>U184+U189+U191</f>
        <v>485978.55</v>
      </c>
      <c r="V192" s="27">
        <f t="shared" si="95"/>
        <v>0.59228406271175693</v>
      </c>
      <c r="W192" s="26">
        <f>W184+W189+W191</f>
        <v>811628.51</v>
      </c>
      <c r="X192" s="27">
        <f t="shared" si="96"/>
        <v>0.98916841353489759</v>
      </c>
      <c r="Y192" s="26">
        <f>Y184+Y189+Y191</f>
        <v>719424</v>
      </c>
      <c r="Z192" s="26">
        <f>Z184+Z189+Z191</f>
        <v>719424</v>
      </c>
    </row>
    <row r="194" spans="1:26" ht="13.9" customHeight="1" x14ac:dyDescent="0.25">
      <c r="E194" s="51" t="s">
        <v>57</v>
      </c>
      <c r="F194" s="29" t="s">
        <v>180</v>
      </c>
      <c r="G194" s="52">
        <v>1332.27</v>
      </c>
      <c r="H194" s="52">
        <v>5930.27</v>
      </c>
      <c r="I194" s="52">
        <v>5975</v>
      </c>
      <c r="J194" s="52">
        <v>5541.77</v>
      </c>
      <c r="K194" s="52">
        <v>3828</v>
      </c>
      <c r="L194" s="52"/>
      <c r="M194" s="52"/>
      <c r="N194" s="52"/>
      <c r="O194" s="52">
        <v>638</v>
      </c>
      <c r="P194" s="52">
        <f>K194+SUM(L194:O194)</f>
        <v>4466</v>
      </c>
      <c r="Q194" s="52">
        <v>963.24</v>
      </c>
      <c r="R194" s="53">
        <f>Q194/$P194</f>
        <v>0.21568293775190328</v>
      </c>
      <c r="S194" s="52">
        <v>2105.08</v>
      </c>
      <c r="T194" s="53">
        <f>S194/$P194</f>
        <v>0.47135691894312581</v>
      </c>
      <c r="U194" s="52">
        <v>3204.76</v>
      </c>
      <c r="V194" s="53">
        <f>U194/$P194</f>
        <v>0.71759068517689217</v>
      </c>
      <c r="W194" s="52">
        <v>4466.45</v>
      </c>
      <c r="X194" s="54">
        <f>W194/$P194</f>
        <v>1.0001007613076578</v>
      </c>
      <c r="Y194" s="52">
        <f>K194</f>
        <v>3828</v>
      </c>
      <c r="Z194" s="55">
        <f>Y194</f>
        <v>3828</v>
      </c>
    </row>
    <row r="195" spans="1:26" ht="13.9" customHeight="1" x14ac:dyDescent="0.25">
      <c r="E195" s="64"/>
      <c r="F195" s="95" t="s">
        <v>181</v>
      </c>
      <c r="G195" s="66"/>
      <c r="H195" s="66"/>
      <c r="I195" s="96">
        <v>1000</v>
      </c>
      <c r="J195" s="96">
        <v>874.11</v>
      </c>
      <c r="K195" s="96">
        <v>876</v>
      </c>
      <c r="L195" s="96"/>
      <c r="M195" s="96"/>
      <c r="N195" s="96"/>
      <c r="O195" s="96"/>
      <c r="P195" s="96">
        <f>K195+SUM(L195:O195)</f>
        <v>876</v>
      </c>
      <c r="Q195" s="96">
        <v>219</v>
      </c>
      <c r="R195" s="97">
        <f>Q195/$P195</f>
        <v>0.25</v>
      </c>
      <c r="S195" s="96">
        <v>438</v>
      </c>
      <c r="T195" s="97">
        <f>S195/$P195</f>
        <v>0.5</v>
      </c>
      <c r="U195" s="96">
        <v>657</v>
      </c>
      <c r="V195" s="97">
        <f>U195/$P195</f>
        <v>0.75</v>
      </c>
      <c r="W195" s="96">
        <v>876</v>
      </c>
      <c r="X195" s="98">
        <f>W195/$P195</f>
        <v>1</v>
      </c>
      <c r="Y195" s="66">
        <f>K195</f>
        <v>876</v>
      </c>
      <c r="Z195" s="69">
        <f>Y195</f>
        <v>876</v>
      </c>
    </row>
    <row r="197" spans="1:26" ht="13.9" customHeight="1" x14ac:dyDescent="0.25">
      <c r="D197" s="40" t="s">
        <v>182</v>
      </c>
      <c r="E197" s="40"/>
      <c r="F197" s="40"/>
      <c r="G197" s="40"/>
      <c r="H197" s="40"/>
      <c r="I197" s="40"/>
      <c r="J197" s="40"/>
      <c r="K197" s="40"/>
      <c r="L197" s="40"/>
      <c r="M197" s="40"/>
      <c r="N197" s="40"/>
      <c r="O197" s="40"/>
      <c r="P197" s="40"/>
      <c r="Q197" s="40"/>
      <c r="R197" s="41"/>
      <c r="S197" s="40"/>
      <c r="T197" s="41"/>
      <c r="U197" s="40"/>
      <c r="V197" s="41"/>
      <c r="W197" s="40"/>
      <c r="X197" s="41"/>
      <c r="Y197" s="40"/>
      <c r="Z197" s="40"/>
    </row>
    <row r="198" spans="1:26" ht="13.9" customHeight="1" x14ac:dyDescent="0.25">
      <c r="D198" s="20" t="s">
        <v>33</v>
      </c>
      <c r="E198" s="20" t="s">
        <v>34</v>
      </c>
      <c r="F198" s="20" t="s">
        <v>35</v>
      </c>
      <c r="G198" s="20" t="s">
        <v>1</v>
      </c>
      <c r="H198" s="20" t="s">
        <v>2</v>
      </c>
      <c r="I198" s="20" t="s">
        <v>3</v>
      </c>
      <c r="J198" s="20" t="s">
        <v>4</v>
      </c>
      <c r="K198" s="20" t="s">
        <v>5</v>
      </c>
      <c r="L198" s="20" t="s">
        <v>6</v>
      </c>
      <c r="M198" s="20" t="s">
        <v>7</v>
      </c>
      <c r="N198" s="20" t="s">
        <v>8</v>
      </c>
      <c r="O198" s="20" t="s">
        <v>9</v>
      </c>
      <c r="P198" s="20" t="s">
        <v>10</v>
      </c>
      <c r="Q198" s="20" t="s">
        <v>11</v>
      </c>
      <c r="R198" s="21" t="s">
        <v>12</v>
      </c>
      <c r="S198" s="20" t="s">
        <v>13</v>
      </c>
      <c r="T198" s="21" t="s">
        <v>14</v>
      </c>
      <c r="U198" s="20" t="s">
        <v>15</v>
      </c>
      <c r="V198" s="21" t="s">
        <v>16</v>
      </c>
      <c r="W198" s="20" t="s">
        <v>17</v>
      </c>
      <c r="X198" s="21" t="s">
        <v>18</v>
      </c>
      <c r="Y198" s="20" t="s">
        <v>19</v>
      </c>
      <c r="Z198" s="20" t="s">
        <v>20</v>
      </c>
    </row>
    <row r="199" spans="1:26" ht="13.9" customHeight="1" x14ac:dyDescent="0.25">
      <c r="A199" s="14">
        <v>2</v>
      </c>
      <c r="B199" s="14">
        <v>3</v>
      </c>
      <c r="D199" s="79" t="s">
        <v>183</v>
      </c>
      <c r="E199" s="22">
        <v>630</v>
      </c>
      <c r="F199" s="22" t="s">
        <v>131</v>
      </c>
      <c r="G199" s="23">
        <v>966</v>
      </c>
      <c r="H199" s="23">
        <v>973</v>
      </c>
      <c r="I199" s="23">
        <v>973</v>
      </c>
      <c r="J199" s="23">
        <v>998</v>
      </c>
      <c r="K199" s="23">
        <f>príjmy!H95</f>
        <v>1152</v>
      </c>
      <c r="L199" s="23"/>
      <c r="M199" s="23"/>
      <c r="N199" s="23">
        <v>-1152</v>
      </c>
      <c r="O199" s="23"/>
      <c r="P199" s="23">
        <f>K199+SUM(L199:O199)</f>
        <v>0</v>
      </c>
      <c r="Q199" s="23">
        <v>0</v>
      </c>
      <c r="R199" s="24">
        <f>IFERROR(Q199/$P199,0)</f>
        <v>0</v>
      </c>
      <c r="S199" s="23">
        <v>0</v>
      </c>
      <c r="T199" s="24">
        <f>IFERROR(S199/$P199,0)</f>
        <v>0</v>
      </c>
      <c r="U199" s="23">
        <v>0</v>
      </c>
      <c r="V199" s="24">
        <f>IFERROR(U199/$P199,0)</f>
        <v>0</v>
      </c>
      <c r="W199" s="23">
        <v>0</v>
      </c>
      <c r="X199" s="24">
        <f>IFERROR(W199/$P199,0)</f>
        <v>0</v>
      </c>
      <c r="Y199" s="23">
        <f>K199</f>
        <v>1152</v>
      </c>
      <c r="Z199" s="23">
        <f>Y199</f>
        <v>1152</v>
      </c>
    </row>
    <row r="200" spans="1:26" ht="13.9" customHeight="1" x14ac:dyDescent="0.25">
      <c r="A200" s="14">
        <v>2</v>
      </c>
      <c r="B200" s="14">
        <v>3</v>
      </c>
      <c r="D200" s="84" t="s">
        <v>21</v>
      </c>
      <c r="E200" s="47">
        <v>111</v>
      </c>
      <c r="F200" s="47" t="s">
        <v>134</v>
      </c>
      <c r="G200" s="48">
        <f t="shared" ref="G200:Q200" si="102">SUM(G199:G199)</f>
        <v>966</v>
      </c>
      <c r="H200" s="48">
        <f t="shared" si="102"/>
        <v>973</v>
      </c>
      <c r="I200" s="48">
        <f t="shared" si="102"/>
        <v>973</v>
      </c>
      <c r="J200" s="48">
        <f t="shared" si="102"/>
        <v>998</v>
      </c>
      <c r="K200" s="48">
        <f t="shared" si="102"/>
        <v>1152</v>
      </c>
      <c r="L200" s="48">
        <f t="shared" si="102"/>
        <v>0</v>
      </c>
      <c r="M200" s="48">
        <f t="shared" si="102"/>
        <v>0</v>
      </c>
      <c r="N200" s="48">
        <f t="shared" si="102"/>
        <v>-1152</v>
      </c>
      <c r="O200" s="48">
        <f t="shared" si="102"/>
        <v>0</v>
      </c>
      <c r="P200" s="48">
        <f t="shared" si="102"/>
        <v>0</v>
      </c>
      <c r="Q200" s="48">
        <f t="shared" si="102"/>
        <v>0</v>
      </c>
      <c r="R200" s="24">
        <f>IFERROR(Q200/$P200,0)</f>
        <v>0</v>
      </c>
      <c r="S200" s="48">
        <f>SUM(S199:S199)</f>
        <v>0</v>
      </c>
      <c r="T200" s="24">
        <f>IFERROR(S200/$P200,0)</f>
        <v>0</v>
      </c>
      <c r="U200" s="48">
        <f>SUM(U199:U199)</f>
        <v>0</v>
      </c>
      <c r="V200" s="24">
        <f>IFERROR(U200/$P200,0)</f>
        <v>0</v>
      </c>
      <c r="W200" s="48">
        <f>SUM(W199:W199)</f>
        <v>0</v>
      </c>
      <c r="X200" s="24">
        <f>IFERROR(W200/$P200,0)</f>
        <v>0</v>
      </c>
      <c r="Y200" s="48">
        <f>SUM(Y199:Y199)</f>
        <v>1152</v>
      </c>
      <c r="Z200" s="48">
        <f>SUM(Z199:Z199)</f>
        <v>1152</v>
      </c>
    </row>
    <row r="201" spans="1:26" ht="13.9" customHeight="1" x14ac:dyDescent="0.25">
      <c r="A201" s="14">
        <v>2</v>
      </c>
      <c r="B201" s="14">
        <v>3</v>
      </c>
      <c r="D201" s="4" t="s">
        <v>183</v>
      </c>
      <c r="E201" s="22">
        <v>610</v>
      </c>
      <c r="F201" s="22" t="s">
        <v>129</v>
      </c>
      <c r="G201" s="23">
        <v>13355.98</v>
      </c>
      <c r="H201" s="23">
        <v>15460.17</v>
      </c>
      <c r="I201" s="23">
        <v>9680</v>
      </c>
      <c r="J201" s="23">
        <v>6026.95</v>
      </c>
      <c r="K201" s="23">
        <v>7677</v>
      </c>
      <c r="L201" s="23"/>
      <c r="M201" s="23"/>
      <c r="N201" s="23">
        <v>-6188</v>
      </c>
      <c r="O201" s="23"/>
      <c r="P201" s="23">
        <f>K201+SUM(L201:O201)</f>
        <v>1489</v>
      </c>
      <c r="Q201" s="23">
        <v>495.75</v>
      </c>
      <c r="R201" s="24">
        <f>Q201/$P201</f>
        <v>0.33294157152451309</v>
      </c>
      <c r="S201" s="23">
        <v>992.1</v>
      </c>
      <c r="T201" s="24">
        <f>S201/$P201</f>
        <v>0.66628609805238415</v>
      </c>
      <c r="U201" s="23">
        <v>1488.45</v>
      </c>
      <c r="V201" s="24">
        <f>U201/$P201</f>
        <v>0.9996306245802552</v>
      </c>
      <c r="W201" s="23">
        <v>1488.45</v>
      </c>
      <c r="X201" s="24">
        <f>W201/$P201</f>
        <v>0.9996306245802552</v>
      </c>
      <c r="Y201" s="23">
        <v>8373</v>
      </c>
      <c r="Z201" s="23">
        <v>9139</v>
      </c>
    </row>
    <row r="202" spans="1:26" ht="13.9" customHeight="1" x14ac:dyDescent="0.25">
      <c r="A202" s="14">
        <v>2</v>
      </c>
      <c r="B202" s="14">
        <v>3</v>
      </c>
      <c r="D202" s="4"/>
      <c r="E202" s="22">
        <v>620</v>
      </c>
      <c r="F202" s="22" t="s">
        <v>130</v>
      </c>
      <c r="G202" s="23">
        <v>6279.96</v>
      </c>
      <c r="H202" s="23">
        <v>5686.59</v>
      </c>
      <c r="I202" s="23">
        <v>6234</v>
      </c>
      <c r="J202" s="23">
        <v>2283.5700000000002</v>
      </c>
      <c r="K202" s="23">
        <v>5634</v>
      </c>
      <c r="L202" s="23"/>
      <c r="M202" s="23"/>
      <c r="N202" s="23">
        <v>-4892</v>
      </c>
      <c r="O202" s="23"/>
      <c r="P202" s="23">
        <f>K202+SUM(L202:O202)</f>
        <v>742</v>
      </c>
      <c r="Q202" s="23">
        <v>173.15</v>
      </c>
      <c r="R202" s="24">
        <f>Q202/$P202</f>
        <v>0.23335579514824797</v>
      </c>
      <c r="S202" s="23">
        <v>346.52</v>
      </c>
      <c r="T202" s="24">
        <f>S202/$P202</f>
        <v>0.46700808625336926</v>
      </c>
      <c r="U202" s="23">
        <v>629.92999999999995</v>
      </c>
      <c r="V202" s="24">
        <f>U202/$P202</f>
        <v>0.84896226415094334</v>
      </c>
      <c r="W202" s="23">
        <v>629.92999999999995</v>
      </c>
      <c r="X202" s="24">
        <f>W202/$P202</f>
        <v>0.84896226415094334</v>
      </c>
      <c r="Y202" s="23">
        <v>5842</v>
      </c>
      <c r="Z202" s="23">
        <v>6071</v>
      </c>
    </row>
    <row r="203" spans="1:26" ht="13.9" customHeight="1" x14ac:dyDescent="0.25">
      <c r="A203" s="14">
        <v>2</v>
      </c>
      <c r="B203" s="14">
        <v>3</v>
      </c>
      <c r="D203" s="4"/>
      <c r="E203" s="22">
        <v>630</v>
      </c>
      <c r="F203" s="22" t="s">
        <v>131</v>
      </c>
      <c r="G203" s="23">
        <v>9849.68</v>
      </c>
      <c r="H203" s="23">
        <v>5363.93</v>
      </c>
      <c r="I203" s="45">
        <v>23298</v>
      </c>
      <c r="J203" s="45">
        <v>833.71</v>
      </c>
      <c r="K203" s="45">
        <f>10486+11127</f>
        <v>21613</v>
      </c>
      <c r="L203" s="45"/>
      <c r="M203" s="45"/>
      <c r="N203" s="45">
        <v>-7204</v>
      </c>
      <c r="O203" s="45"/>
      <c r="P203" s="45">
        <f>K203+SUM(L203:O203)</f>
        <v>14409</v>
      </c>
      <c r="Q203" s="45">
        <v>5.22</v>
      </c>
      <c r="R203" s="46">
        <f>Q203/$P203</f>
        <v>3.6227357901311678E-4</v>
      </c>
      <c r="S203" s="45">
        <v>11.43</v>
      </c>
      <c r="T203" s="46">
        <f>S203/$P203</f>
        <v>7.9325421611492811E-4</v>
      </c>
      <c r="U203" s="45">
        <v>330.23</v>
      </c>
      <c r="V203" s="46">
        <f>U203/$P203</f>
        <v>2.291831494205011E-2</v>
      </c>
      <c r="W203" s="45">
        <v>328.03</v>
      </c>
      <c r="X203" s="46">
        <f>W203/$P203</f>
        <v>2.2765632590741894E-2</v>
      </c>
      <c r="Y203" s="23">
        <f>10490+11127</f>
        <v>21617</v>
      </c>
      <c r="Z203" s="23">
        <f>10499+11127</f>
        <v>21626</v>
      </c>
    </row>
    <row r="204" spans="1:26" ht="13.9" customHeight="1" x14ac:dyDescent="0.25">
      <c r="A204" s="14">
        <v>2</v>
      </c>
      <c r="B204" s="14">
        <v>3</v>
      </c>
      <c r="D204" s="4"/>
      <c r="E204" s="22">
        <v>640</v>
      </c>
      <c r="F204" s="22" t="s">
        <v>132</v>
      </c>
      <c r="G204" s="23">
        <v>1941.68</v>
      </c>
      <c r="H204" s="23">
        <v>1528.69</v>
      </c>
      <c r="I204" s="23">
        <v>1450</v>
      </c>
      <c r="J204" s="23">
        <v>1490.08</v>
      </c>
      <c r="K204" s="23">
        <v>974</v>
      </c>
      <c r="L204" s="23"/>
      <c r="M204" s="23"/>
      <c r="N204" s="23"/>
      <c r="O204" s="23"/>
      <c r="P204" s="23">
        <f>K204+SUM(L204:O204)</f>
        <v>974</v>
      </c>
      <c r="Q204" s="23">
        <v>0</v>
      </c>
      <c r="R204" s="24">
        <f>Q204/$P204</f>
        <v>0</v>
      </c>
      <c r="S204" s="23">
        <v>0</v>
      </c>
      <c r="T204" s="24">
        <f>S204/$P204</f>
        <v>0</v>
      </c>
      <c r="U204" s="23">
        <v>974.05</v>
      </c>
      <c r="V204" s="24">
        <f>U204/$P204</f>
        <v>1.0000513347022586</v>
      </c>
      <c r="W204" s="23">
        <v>974.05</v>
      </c>
      <c r="X204" s="24">
        <f>W204/$P204</f>
        <v>1.0000513347022586</v>
      </c>
      <c r="Y204" s="23">
        <v>0</v>
      </c>
      <c r="Z204" s="23">
        <v>0</v>
      </c>
    </row>
    <row r="205" spans="1:26" ht="13.9" customHeight="1" x14ac:dyDescent="0.25">
      <c r="A205" s="14">
        <v>2</v>
      </c>
      <c r="B205" s="14">
        <v>3</v>
      </c>
      <c r="D205" s="84" t="s">
        <v>21</v>
      </c>
      <c r="E205" s="47">
        <v>41</v>
      </c>
      <c r="F205" s="47" t="s">
        <v>23</v>
      </c>
      <c r="G205" s="48">
        <f t="shared" ref="G205:Q205" si="103">SUM(G201:G204)</f>
        <v>31427.3</v>
      </c>
      <c r="H205" s="48">
        <f t="shared" si="103"/>
        <v>28039.38</v>
      </c>
      <c r="I205" s="48">
        <f t="shared" si="103"/>
        <v>40662</v>
      </c>
      <c r="J205" s="48">
        <f t="shared" si="103"/>
        <v>10634.31</v>
      </c>
      <c r="K205" s="48">
        <f t="shared" si="103"/>
        <v>35898</v>
      </c>
      <c r="L205" s="48">
        <f t="shared" si="103"/>
        <v>0</v>
      </c>
      <c r="M205" s="48">
        <f t="shared" si="103"/>
        <v>0</v>
      </c>
      <c r="N205" s="48">
        <f t="shared" si="103"/>
        <v>-18284</v>
      </c>
      <c r="O205" s="48">
        <f t="shared" si="103"/>
        <v>0</v>
      </c>
      <c r="P205" s="48">
        <f t="shared" si="103"/>
        <v>17614</v>
      </c>
      <c r="Q205" s="48">
        <f t="shared" si="103"/>
        <v>674.12</v>
      </c>
      <c r="R205" s="49">
        <f>Q205/$P205</f>
        <v>3.8271829226751451E-2</v>
      </c>
      <c r="S205" s="48">
        <f>SUM(S201:S204)</f>
        <v>1350.05</v>
      </c>
      <c r="T205" s="49">
        <f>S205/$P205</f>
        <v>7.6646417622345864E-2</v>
      </c>
      <c r="U205" s="48">
        <f>SUM(U201:U204)</f>
        <v>3422.66</v>
      </c>
      <c r="V205" s="49">
        <f>U205/$P205</f>
        <v>0.19431474963097536</v>
      </c>
      <c r="W205" s="48">
        <f>SUM(W201:W204)</f>
        <v>3420.46</v>
      </c>
      <c r="X205" s="49">
        <f>W205/$P205</f>
        <v>0.19418984898376293</v>
      </c>
      <c r="Y205" s="48">
        <f>SUM(Y201:Y204)</f>
        <v>35832</v>
      </c>
      <c r="Z205" s="48">
        <f>SUM(Z201:Z204)</f>
        <v>36836</v>
      </c>
    </row>
    <row r="206" spans="1:26" ht="13.9" customHeight="1" x14ac:dyDescent="0.25">
      <c r="A206" s="14">
        <v>2</v>
      </c>
      <c r="B206" s="14">
        <v>3</v>
      </c>
      <c r="D206" s="79" t="s">
        <v>183</v>
      </c>
      <c r="E206" s="22">
        <v>640</v>
      </c>
      <c r="F206" s="22" t="s">
        <v>132</v>
      </c>
      <c r="G206" s="23">
        <v>209.37</v>
      </c>
      <c r="H206" s="23">
        <v>220.14</v>
      </c>
      <c r="I206" s="23">
        <v>245</v>
      </c>
      <c r="J206" s="23">
        <v>33.799999999999997</v>
      </c>
      <c r="K206" s="23">
        <v>163</v>
      </c>
      <c r="L206" s="23"/>
      <c r="M206" s="23"/>
      <c r="N206" s="23"/>
      <c r="O206" s="23">
        <v>-163</v>
      </c>
      <c r="P206" s="23">
        <f>K206+SUM(L206:O206)</f>
        <v>0</v>
      </c>
      <c r="Q206" s="23">
        <v>0</v>
      </c>
      <c r="R206" s="24">
        <f>IFERROR(Q206/$P206,0)</f>
        <v>0</v>
      </c>
      <c r="S206" s="23">
        <v>0</v>
      </c>
      <c r="T206" s="24">
        <f>IFERROR(S206/$P206,0)</f>
        <v>0</v>
      </c>
      <c r="U206" s="23">
        <v>0</v>
      </c>
      <c r="V206" s="24">
        <f>IFERROR(U206/$P206,0)</f>
        <v>0</v>
      </c>
      <c r="W206" s="23">
        <v>0</v>
      </c>
      <c r="X206" s="24">
        <f>IFERROR(W206/$P206,0)</f>
        <v>0</v>
      </c>
      <c r="Y206" s="23">
        <f>K206</f>
        <v>163</v>
      </c>
      <c r="Z206" s="23">
        <f>Y206</f>
        <v>163</v>
      </c>
    </row>
    <row r="207" spans="1:26" ht="13.9" customHeight="1" x14ac:dyDescent="0.25">
      <c r="A207" s="14">
        <v>2</v>
      </c>
      <c r="B207" s="14">
        <v>3</v>
      </c>
      <c r="D207" s="84" t="s">
        <v>21</v>
      </c>
      <c r="E207" s="47">
        <v>72</v>
      </c>
      <c r="F207" s="47" t="s">
        <v>25</v>
      </c>
      <c r="G207" s="48">
        <f t="shared" ref="G207:Q207" si="104">SUM(G206:G206)</f>
        <v>209.37</v>
      </c>
      <c r="H207" s="48">
        <f t="shared" si="104"/>
        <v>220.14</v>
      </c>
      <c r="I207" s="48">
        <f t="shared" si="104"/>
        <v>245</v>
      </c>
      <c r="J207" s="48">
        <f t="shared" si="104"/>
        <v>33.799999999999997</v>
      </c>
      <c r="K207" s="48">
        <f t="shared" si="104"/>
        <v>163</v>
      </c>
      <c r="L207" s="48">
        <f t="shared" si="104"/>
        <v>0</v>
      </c>
      <c r="M207" s="48">
        <f t="shared" si="104"/>
        <v>0</v>
      </c>
      <c r="N207" s="48">
        <f t="shared" si="104"/>
        <v>0</v>
      </c>
      <c r="O207" s="48">
        <f t="shared" si="104"/>
        <v>-163</v>
      </c>
      <c r="P207" s="48">
        <f t="shared" si="104"/>
        <v>0</v>
      </c>
      <c r="Q207" s="48">
        <f t="shared" si="104"/>
        <v>0</v>
      </c>
      <c r="R207" s="24">
        <f>IFERROR(Q207/$P207,0)</f>
        <v>0</v>
      </c>
      <c r="S207" s="48">
        <f>SUM(S206:S206)</f>
        <v>0</v>
      </c>
      <c r="T207" s="24">
        <f>IFERROR(S207/$P207,0)</f>
        <v>0</v>
      </c>
      <c r="U207" s="48">
        <f>SUM(U206:U206)</f>
        <v>0</v>
      </c>
      <c r="V207" s="24">
        <f>IFERROR(U207/$P207,0)</f>
        <v>0</v>
      </c>
      <c r="W207" s="48">
        <f>SUM(W206:W206)</f>
        <v>0</v>
      </c>
      <c r="X207" s="24">
        <f>IFERROR(W207/$P207,0)</f>
        <v>0</v>
      </c>
      <c r="Y207" s="48">
        <f>SUM(Y206:Y206)</f>
        <v>163</v>
      </c>
      <c r="Z207" s="48">
        <f>SUM(Z206:Z206)</f>
        <v>163</v>
      </c>
    </row>
    <row r="208" spans="1:26" ht="13.9" customHeight="1" x14ac:dyDescent="0.25">
      <c r="A208" s="14">
        <v>2</v>
      </c>
      <c r="B208" s="14">
        <v>3</v>
      </c>
      <c r="D208" s="29"/>
      <c r="E208" s="30"/>
      <c r="F208" s="25" t="s">
        <v>124</v>
      </c>
      <c r="G208" s="26">
        <f t="shared" ref="G208:Q208" si="105">G200+G205+G207</f>
        <v>32602.67</v>
      </c>
      <c r="H208" s="26">
        <f t="shared" si="105"/>
        <v>29232.52</v>
      </c>
      <c r="I208" s="104">
        <f t="shared" si="105"/>
        <v>41880</v>
      </c>
      <c r="J208" s="104">
        <f t="shared" si="105"/>
        <v>11666.109999999999</v>
      </c>
      <c r="K208" s="104">
        <f t="shared" si="105"/>
        <v>37213</v>
      </c>
      <c r="L208" s="104">
        <f t="shared" si="105"/>
        <v>0</v>
      </c>
      <c r="M208" s="104">
        <f t="shared" si="105"/>
        <v>0</v>
      </c>
      <c r="N208" s="104">
        <f t="shared" si="105"/>
        <v>-19436</v>
      </c>
      <c r="O208" s="104">
        <f t="shared" si="105"/>
        <v>-163</v>
      </c>
      <c r="P208" s="104">
        <f t="shared" si="105"/>
        <v>17614</v>
      </c>
      <c r="Q208" s="104">
        <f t="shared" si="105"/>
        <v>674.12</v>
      </c>
      <c r="R208" s="105">
        <f>Q208/$P208</f>
        <v>3.8271829226751451E-2</v>
      </c>
      <c r="S208" s="104">
        <f>S200+S205+S207</f>
        <v>1350.05</v>
      </c>
      <c r="T208" s="105">
        <f>S208/$P208</f>
        <v>7.6646417622345864E-2</v>
      </c>
      <c r="U208" s="104">
        <f>U200+U205+U207</f>
        <v>3422.66</v>
      </c>
      <c r="V208" s="105">
        <f>U208/$P208</f>
        <v>0.19431474963097536</v>
      </c>
      <c r="W208" s="104">
        <f>W200+W205+W207</f>
        <v>3420.46</v>
      </c>
      <c r="X208" s="105">
        <f>W208/$P208</f>
        <v>0.19418984898376293</v>
      </c>
      <c r="Y208" s="26">
        <f>Y200+Y205+Y207</f>
        <v>37147</v>
      </c>
      <c r="Z208" s="26">
        <f>Z200+Z205+Z207</f>
        <v>38151</v>
      </c>
    </row>
    <row r="210" spans="1:26" ht="13.9" customHeight="1" x14ac:dyDescent="0.25">
      <c r="E210" s="51" t="s">
        <v>57</v>
      </c>
      <c r="F210" s="29" t="s">
        <v>184</v>
      </c>
      <c r="G210" s="52">
        <f>7073.03+1695.15</f>
        <v>8768.18</v>
      </c>
      <c r="H210" s="91">
        <v>3004.16</v>
      </c>
      <c r="I210" s="52">
        <v>12874</v>
      </c>
      <c r="J210" s="52">
        <v>643.54999999999995</v>
      </c>
      <c r="K210" s="91">
        <v>12874</v>
      </c>
      <c r="L210" s="52"/>
      <c r="M210" s="52"/>
      <c r="N210" s="52"/>
      <c r="O210" s="52"/>
      <c r="P210" s="52">
        <f>K210+SUM(L210:O210)</f>
        <v>12874</v>
      </c>
      <c r="Q210" s="52">
        <v>0</v>
      </c>
      <c r="R210" s="53">
        <f>Q210/$P210</f>
        <v>0</v>
      </c>
      <c r="S210" s="52">
        <v>0</v>
      </c>
      <c r="T210" s="53">
        <f>S210/$P210</f>
        <v>0</v>
      </c>
      <c r="U210" s="52">
        <f>ROUND(315.4*1.3495,2)</f>
        <v>425.63</v>
      </c>
      <c r="V210" s="53">
        <f>U210/$P210</f>
        <v>3.306120863756408E-2</v>
      </c>
      <c r="W210" s="52">
        <v>425.63</v>
      </c>
      <c r="X210" s="54">
        <f>W210/$P210</f>
        <v>3.306120863756408E-2</v>
      </c>
      <c r="Y210" s="52">
        <f>K210</f>
        <v>12874</v>
      </c>
      <c r="Z210" s="55">
        <f>Y210</f>
        <v>12874</v>
      </c>
    </row>
    <row r="211" spans="1:26" ht="13.9" customHeight="1" x14ac:dyDescent="0.25">
      <c r="E211" s="64"/>
      <c r="F211" s="95" t="s">
        <v>185</v>
      </c>
      <c r="G211" s="66">
        <v>1874.04</v>
      </c>
      <c r="H211" s="96">
        <v>1452.48</v>
      </c>
      <c r="I211" s="66">
        <v>1450</v>
      </c>
      <c r="J211" s="66">
        <v>1383.6</v>
      </c>
      <c r="K211" s="96">
        <v>974</v>
      </c>
      <c r="L211" s="66"/>
      <c r="M211" s="66"/>
      <c r="N211" s="66"/>
      <c r="O211" s="66"/>
      <c r="P211" s="66">
        <f>K211+SUM(L211:O211)</f>
        <v>974</v>
      </c>
      <c r="Q211" s="66">
        <v>0</v>
      </c>
      <c r="R211" s="67">
        <f>Q211/$P211</f>
        <v>0</v>
      </c>
      <c r="S211" s="66">
        <v>0</v>
      </c>
      <c r="T211" s="67">
        <f>S211/$P211</f>
        <v>0</v>
      </c>
      <c r="U211" s="66">
        <v>974.05</v>
      </c>
      <c r="V211" s="67">
        <f>U211/$P211</f>
        <v>1.0000513347022586</v>
      </c>
      <c r="W211" s="66">
        <v>974.05</v>
      </c>
      <c r="X211" s="68">
        <f>W211/$P211</f>
        <v>1.0000513347022586</v>
      </c>
      <c r="Y211" s="66">
        <f>K211</f>
        <v>974</v>
      </c>
      <c r="Z211" s="69">
        <f>Y211</f>
        <v>974</v>
      </c>
    </row>
    <row r="213" spans="1:26" ht="13.9" customHeight="1" x14ac:dyDescent="0.25">
      <c r="D213" s="31" t="s">
        <v>186</v>
      </c>
      <c r="E213" s="31"/>
      <c r="F213" s="31"/>
      <c r="G213" s="31"/>
      <c r="H213" s="31"/>
      <c r="I213" s="31"/>
      <c r="J213" s="31"/>
      <c r="K213" s="31"/>
      <c r="L213" s="31"/>
      <c r="M213" s="31"/>
      <c r="N213" s="31"/>
      <c r="O213" s="31"/>
      <c r="P213" s="31"/>
      <c r="Q213" s="31"/>
      <c r="R213" s="32"/>
      <c r="S213" s="31"/>
      <c r="T213" s="32"/>
      <c r="U213" s="31"/>
      <c r="V213" s="32"/>
      <c r="W213" s="31"/>
      <c r="X213" s="32"/>
      <c r="Y213" s="31"/>
      <c r="Z213" s="31"/>
    </row>
    <row r="214" spans="1:26" ht="13.9" customHeight="1" x14ac:dyDescent="0.25">
      <c r="D214" s="19"/>
      <c r="E214" s="19"/>
      <c r="F214" s="19"/>
      <c r="G214" s="20" t="s">
        <v>1</v>
      </c>
      <c r="H214" s="20" t="s">
        <v>2</v>
      </c>
      <c r="I214" s="20" t="s">
        <v>3</v>
      </c>
      <c r="J214" s="20" t="s">
        <v>4</v>
      </c>
      <c r="K214" s="20" t="s">
        <v>5</v>
      </c>
      <c r="L214" s="20" t="s">
        <v>6</v>
      </c>
      <c r="M214" s="20" t="s">
        <v>7</v>
      </c>
      <c r="N214" s="20" t="s">
        <v>8</v>
      </c>
      <c r="O214" s="20" t="s">
        <v>9</v>
      </c>
      <c r="P214" s="20" t="s">
        <v>10</v>
      </c>
      <c r="Q214" s="20" t="s">
        <v>11</v>
      </c>
      <c r="R214" s="21" t="s">
        <v>12</v>
      </c>
      <c r="S214" s="20" t="s">
        <v>13</v>
      </c>
      <c r="T214" s="21" t="s">
        <v>14</v>
      </c>
      <c r="U214" s="20" t="s">
        <v>15</v>
      </c>
      <c r="V214" s="21" t="s">
        <v>16</v>
      </c>
      <c r="W214" s="20" t="s">
        <v>17</v>
      </c>
      <c r="X214" s="21" t="s">
        <v>18</v>
      </c>
      <c r="Y214" s="20" t="s">
        <v>19</v>
      </c>
      <c r="Z214" s="20" t="s">
        <v>20</v>
      </c>
    </row>
    <row r="215" spans="1:26" ht="13.9" customHeight="1" x14ac:dyDescent="0.25">
      <c r="A215" s="14">
        <v>3</v>
      </c>
      <c r="D215" s="11" t="s">
        <v>21</v>
      </c>
      <c r="E215" s="34">
        <v>41</v>
      </c>
      <c r="F215" s="34" t="s">
        <v>23</v>
      </c>
      <c r="G215" s="35">
        <f t="shared" ref="G215:Q215" si="106">G225</f>
        <v>51970.42</v>
      </c>
      <c r="H215" s="35">
        <f t="shared" si="106"/>
        <v>51834.960000000006</v>
      </c>
      <c r="I215" s="35">
        <f t="shared" si="106"/>
        <v>63612</v>
      </c>
      <c r="J215" s="35">
        <f t="shared" si="106"/>
        <v>50768.509999999995</v>
      </c>
      <c r="K215" s="35">
        <f t="shared" si="106"/>
        <v>48425</v>
      </c>
      <c r="L215" s="35">
        <f t="shared" si="106"/>
        <v>0</v>
      </c>
      <c r="M215" s="35">
        <f t="shared" si="106"/>
        <v>0</v>
      </c>
      <c r="N215" s="35">
        <f t="shared" si="106"/>
        <v>-2000</v>
      </c>
      <c r="O215" s="35">
        <f t="shared" si="106"/>
        <v>0</v>
      </c>
      <c r="P215" s="35">
        <f t="shared" si="106"/>
        <v>46425</v>
      </c>
      <c r="Q215" s="35">
        <f t="shared" si="106"/>
        <v>7964.0400000000009</v>
      </c>
      <c r="R215" s="36">
        <f>Q215/$P215</f>
        <v>0.17154636510500809</v>
      </c>
      <c r="S215" s="35">
        <f>S225</f>
        <v>15450.23</v>
      </c>
      <c r="T215" s="36">
        <f>S215/$P215</f>
        <v>0.33279978459881526</v>
      </c>
      <c r="U215" s="35">
        <f>U225</f>
        <v>25385.35</v>
      </c>
      <c r="V215" s="36">
        <f>U215/$P215</f>
        <v>0.54680344641895529</v>
      </c>
      <c r="W215" s="35">
        <f>W225</f>
        <v>38483.79</v>
      </c>
      <c r="X215" s="36">
        <f>W215/$P215</f>
        <v>0.82894539579967697</v>
      </c>
      <c r="Y215" s="35">
        <f>Y225</f>
        <v>49906</v>
      </c>
      <c r="Z215" s="35">
        <f>Z225</f>
        <v>51540</v>
      </c>
    </row>
    <row r="216" spans="1:26" ht="13.9" customHeight="1" x14ac:dyDescent="0.25">
      <c r="A216" s="14">
        <v>3</v>
      </c>
      <c r="D216" s="11" t="s">
        <v>21</v>
      </c>
      <c r="E216" s="34">
        <v>72</v>
      </c>
      <c r="F216" s="34" t="s">
        <v>25</v>
      </c>
      <c r="G216" s="35">
        <f t="shared" ref="G216:Q216" si="107">G227</f>
        <v>116.87</v>
      </c>
      <c r="H216" s="35">
        <f t="shared" si="107"/>
        <v>120.23</v>
      </c>
      <c r="I216" s="35">
        <f t="shared" si="107"/>
        <v>127</v>
      </c>
      <c r="J216" s="35">
        <f t="shared" si="107"/>
        <v>141.05000000000001</v>
      </c>
      <c r="K216" s="35">
        <f t="shared" si="107"/>
        <v>141</v>
      </c>
      <c r="L216" s="35">
        <f t="shared" si="107"/>
        <v>0</v>
      </c>
      <c r="M216" s="35">
        <f t="shared" si="107"/>
        <v>0</v>
      </c>
      <c r="N216" s="35">
        <f t="shared" si="107"/>
        <v>0</v>
      </c>
      <c r="O216" s="35">
        <f t="shared" si="107"/>
        <v>25</v>
      </c>
      <c r="P216" s="35">
        <f t="shared" si="107"/>
        <v>166</v>
      </c>
      <c r="Q216" s="35">
        <f t="shared" si="107"/>
        <v>0</v>
      </c>
      <c r="R216" s="36">
        <f>Q216/$P216</f>
        <v>0</v>
      </c>
      <c r="S216" s="35">
        <f>S227</f>
        <v>0</v>
      </c>
      <c r="T216" s="36">
        <f>S216/$P216</f>
        <v>0</v>
      </c>
      <c r="U216" s="35">
        <f>U227</f>
        <v>0</v>
      </c>
      <c r="V216" s="36">
        <f>U216/$P216</f>
        <v>0</v>
      </c>
      <c r="W216" s="35">
        <f>W227</f>
        <v>165.75</v>
      </c>
      <c r="X216" s="36">
        <f>W216/$P216</f>
        <v>0.99849397590361444</v>
      </c>
      <c r="Y216" s="35">
        <f>Y227</f>
        <v>141</v>
      </c>
      <c r="Z216" s="35">
        <f>Z227</f>
        <v>141</v>
      </c>
    </row>
    <row r="217" spans="1:26" ht="13.9" customHeight="1" x14ac:dyDescent="0.25">
      <c r="A217" s="14">
        <v>3</v>
      </c>
      <c r="D217" s="29"/>
      <c r="E217" s="30"/>
      <c r="F217" s="37" t="s">
        <v>124</v>
      </c>
      <c r="G217" s="38">
        <f t="shared" ref="G217:Q217" si="108">SUM(G215:G216)</f>
        <v>52087.29</v>
      </c>
      <c r="H217" s="38">
        <f t="shared" si="108"/>
        <v>51955.19000000001</v>
      </c>
      <c r="I217" s="38">
        <f t="shared" si="108"/>
        <v>63739</v>
      </c>
      <c r="J217" s="38">
        <f t="shared" si="108"/>
        <v>50909.56</v>
      </c>
      <c r="K217" s="38">
        <f t="shared" si="108"/>
        <v>48566</v>
      </c>
      <c r="L217" s="38">
        <f t="shared" si="108"/>
        <v>0</v>
      </c>
      <c r="M217" s="38">
        <f t="shared" si="108"/>
        <v>0</v>
      </c>
      <c r="N217" s="38">
        <f t="shared" si="108"/>
        <v>-2000</v>
      </c>
      <c r="O217" s="38">
        <f t="shared" si="108"/>
        <v>25</v>
      </c>
      <c r="P217" s="38">
        <f t="shared" si="108"/>
        <v>46591</v>
      </c>
      <c r="Q217" s="38">
        <f t="shared" si="108"/>
        <v>7964.0400000000009</v>
      </c>
      <c r="R217" s="39">
        <f>Q217/$P217</f>
        <v>0.17093515915090898</v>
      </c>
      <c r="S217" s="38">
        <f>SUM(S215:S216)</f>
        <v>15450.23</v>
      </c>
      <c r="T217" s="39">
        <f>S217/$P217</f>
        <v>0.33161404563113045</v>
      </c>
      <c r="U217" s="38">
        <f>SUM(U215:U216)</f>
        <v>25385.35</v>
      </c>
      <c r="V217" s="39">
        <f>U217/$P217</f>
        <v>0.54485522955077159</v>
      </c>
      <c r="W217" s="38">
        <f>SUM(W215:W216)</f>
        <v>38649.54</v>
      </c>
      <c r="X217" s="39">
        <f>W217/$P217</f>
        <v>0.82954948380588522</v>
      </c>
      <c r="Y217" s="38">
        <f>SUM(Y215:Y216)</f>
        <v>50047</v>
      </c>
      <c r="Z217" s="38">
        <f>SUM(Z215:Z216)</f>
        <v>51681</v>
      </c>
    </row>
    <row r="219" spans="1:26" ht="13.9" customHeight="1" x14ac:dyDescent="0.25">
      <c r="D219" s="72" t="s">
        <v>187</v>
      </c>
      <c r="E219" s="72"/>
      <c r="F219" s="72"/>
      <c r="G219" s="72"/>
      <c r="H219" s="72"/>
      <c r="I219" s="72"/>
      <c r="J219" s="72"/>
      <c r="K219" s="72"/>
      <c r="L219" s="72"/>
      <c r="M219" s="72"/>
      <c r="N219" s="72"/>
      <c r="O219" s="72"/>
      <c r="P219" s="72"/>
      <c r="Q219" s="72"/>
      <c r="R219" s="73"/>
      <c r="S219" s="72"/>
      <c r="T219" s="73"/>
      <c r="U219" s="72"/>
      <c r="V219" s="73"/>
      <c r="W219" s="72"/>
      <c r="X219" s="73"/>
      <c r="Y219" s="72"/>
      <c r="Z219" s="72"/>
    </row>
    <row r="220" spans="1:26" ht="13.9" customHeight="1" x14ac:dyDescent="0.25">
      <c r="D220" s="20" t="s">
        <v>33</v>
      </c>
      <c r="E220" s="20" t="s">
        <v>34</v>
      </c>
      <c r="F220" s="20" t="s">
        <v>35</v>
      </c>
      <c r="G220" s="20" t="s">
        <v>1</v>
      </c>
      <c r="H220" s="20" t="s">
        <v>2</v>
      </c>
      <c r="I220" s="20" t="s">
        <v>3</v>
      </c>
      <c r="J220" s="20" t="s">
        <v>4</v>
      </c>
      <c r="K220" s="20" t="s">
        <v>5</v>
      </c>
      <c r="L220" s="20" t="s">
        <v>6</v>
      </c>
      <c r="M220" s="20" t="s">
        <v>7</v>
      </c>
      <c r="N220" s="20" t="s">
        <v>8</v>
      </c>
      <c r="O220" s="20" t="s">
        <v>9</v>
      </c>
      <c r="P220" s="20" t="s">
        <v>10</v>
      </c>
      <c r="Q220" s="20" t="s">
        <v>11</v>
      </c>
      <c r="R220" s="21" t="s">
        <v>12</v>
      </c>
      <c r="S220" s="20" t="s">
        <v>13</v>
      </c>
      <c r="T220" s="21" t="s">
        <v>14</v>
      </c>
      <c r="U220" s="20" t="s">
        <v>15</v>
      </c>
      <c r="V220" s="21" t="s">
        <v>16</v>
      </c>
      <c r="W220" s="20" t="s">
        <v>17</v>
      </c>
      <c r="X220" s="21" t="s">
        <v>18</v>
      </c>
      <c r="Y220" s="20" t="s">
        <v>19</v>
      </c>
      <c r="Z220" s="20" t="s">
        <v>20</v>
      </c>
    </row>
    <row r="221" spans="1:26" ht="13.9" customHeight="1" x14ac:dyDescent="0.25">
      <c r="A221" s="14">
        <v>3</v>
      </c>
      <c r="B221" s="14">
        <v>1</v>
      </c>
      <c r="D221" s="10" t="s">
        <v>188</v>
      </c>
      <c r="E221" s="22">
        <v>610</v>
      </c>
      <c r="F221" s="22" t="s">
        <v>129</v>
      </c>
      <c r="G221" s="23">
        <v>11455.43</v>
      </c>
      <c r="H221" s="23">
        <v>12164.84</v>
      </c>
      <c r="I221" s="23">
        <v>11514</v>
      </c>
      <c r="J221" s="23">
        <v>12487.58</v>
      </c>
      <c r="K221" s="23">
        <v>11623</v>
      </c>
      <c r="L221" s="23"/>
      <c r="M221" s="23"/>
      <c r="N221" s="23"/>
      <c r="O221" s="23">
        <v>444</v>
      </c>
      <c r="P221" s="23">
        <f>K221+SUM(L221:O221)</f>
        <v>12067</v>
      </c>
      <c r="Q221" s="23">
        <v>3124.75</v>
      </c>
      <c r="R221" s="24">
        <f t="shared" ref="R221:R228" si="109">Q221/$P221</f>
        <v>0.25895002900472364</v>
      </c>
      <c r="S221" s="23">
        <v>5335.69</v>
      </c>
      <c r="T221" s="24">
        <f t="shared" ref="T221:T228" si="110">S221/$P221</f>
        <v>0.44217203944642408</v>
      </c>
      <c r="U221" s="23">
        <v>8135.2</v>
      </c>
      <c r="V221" s="24">
        <f t="shared" ref="V221:V228" si="111">U221/$P221</f>
        <v>0.67416922184470041</v>
      </c>
      <c r="W221" s="23">
        <v>12067.2</v>
      </c>
      <c r="X221" s="24">
        <f t="shared" ref="X221:X228" si="112">W221/$P221</f>
        <v>1.0000165741277867</v>
      </c>
      <c r="Y221" s="23">
        <v>12714</v>
      </c>
      <c r="Z221" s="23">
        <v>13915</v>
      </c>
    </row>
    <row r="222" spans="1:26" ht="13.9" customHeight="1" x14ac:dyDescent="0.25">
      <c r="A222" s="14">
        <v>3</v>
      </c>
      <c r="B222" s="14">
        <v>1</v>
      </c>
      <c r="D222" s="10"/>
      <c r="E222" s="22">
        <v>620</v>
      </c>
      <c r="F222" s="22" t="s">
        <v>130</v>
      </c>
      <c r="G222" s="23">
        <v>4003.56</v>
      </c>
      <c r="H222" s="23">
        <v>4251.54</v>
      </c>
      <c r="I222" s="23">
        <v>4023</v>
      </c>
      <c r="J222" s="23">
        <v>3965.37</v>
      </c>
      <c r="K222" s="23">
        <v>4062</v>
      </c>
      <c r="L222" s="23"/>
      <c r="M222" s="23"/>
      <c r="N222" s="23"/>
      <c r="O222" s="23">
        <v>156</v>
      </c>
      <c r="P222" s="23">
        <f>K222+SUM(L222:O222)</f>
        <v>4218</v>
      </c>
      <c r="Q222" s="23">
        <v>1041.6400000000001</v>
      </c>
      <c r="R222" s="24">
        <f t="shared" si="109"/>
        <v>0.24695116168800382</v>
      </c>
      <c r="S222" s="23">
        <v>1864.69</v>
      </c>
      <c r="T222" s="24">
        <f t="shared" si="110"/>
        <v>0.44207918444760552</v>
      </c>
      <c r="U222" s="23">
        <v>2843.07</v>
      </c>
      <c r="V222" s="24">
        <f t="shared" si="111"/>
        <v>0.67403271692745381</v>
      </c>
      <c r="W222" s="23">
        <v>4217.28</v>
      </c>
      <c r="X222" s="24">
        <f t="shared" si="112"/>
        <v>0.99982930298719763</v>
      </c>
      <c r="Y222" s="23">
        <v>4443</v>
      </c>
      <c r="Z222" s="23">
        <v>4863</v>
      </c>
    </row>
    <row r="223" spans="1:26" ht="13.9" customHeight="1" x14ac:dyDescent="0.25">
      <c r="A223" s="14">
        <v>3</v>
      </c>
      <c r="B223" s="14">
        <v>1</v>
      </c>
      <c r="D223" s="10"/>
      <c r="E223" s="22">
        <v>630</v>
      </c>
      <c r="F223" s="22" t="s">
        <v>131</v>
      </c>
      <c r="G223" s="23">
        <v>36511.43</v>
      </c>
      <c r="H223" s="23">
        <v>35418.58</v>
      </c>
      <c r="I223" s="23">
        <v>48075</v>
      </c>
      <c r="J223" s="23">
        <v>34315.56</v>
      </c>
      <c r="K223" s="23">
        <f>989+31751</f>
        <v>32740</v>
      </c>
      <c r="L223" s="23"/>
      <c r="M223" s="23"/>
      <c r="N223" s="23">
        <f>-2000-300</f>
        <v>-2300</v>
      </c>
      <c r="O223" s="23">
        <v>-600</v>
      </c>
      <c r="P223" s="23">
        <f>K223+SUM(L223:O223)</f>
        <v>29840</v>
      </c>
      <c r="Q223" s="23">
        <v>3797.65</v>
      </c>
      <c r="R223" s="24">
        <f t="shared" si="109"/>
        <v>0.12726709115281501</v>
      </c>
      <c r="S223" s="23">
        <v>8249.85</v>
      </c>
      <c r="T223" s="24">
        <f t="shared" si="110"/>
        <v>0.27646950402144771</v>
      </c>
      <c r="U223" s="23">
        <v>14407.08</v>
      </c>
      <c r="V223" s="24">
        <f t="shared" si="111"/>
        <v>0.48281099195710453</v>
      </c>
      <c r="W223" s="23">
        <v>21899.31</v>
      </c>
      <c r="X223" s="24">
        <f t="shared" si="112"/>
        <v>0.7338910857908848</v>
      </c>
      <c r="Y223" s="23">
        <f>998+31751</f>
        <v>32749</v>
      </c>
      <c r="Z223" s="23">
        <f>1011+31751</f>
        <v>32762</v>
      </c>
    </row>
    <row r="224" spans="1:26" ht="13.9" customHeight="1" x14ac:dyDescent="0.25">
      <c r="D224" s="10"/>
      <c r="E224" s="22">
        <v>640</v>
      </c>
      <c r="F224" s="22" t="s">
        <v>132</v>
      </c>
      <c r="G224" s="23">
        <v>0</v>
      </c>
      <c r="H224" s="23">
        <v>0</v>
      </c>
      <c r="I224" s="23">
        <v>0</v>
      </c>
      <c r="J224" s="23">
        <v>0</v>
      </c>
      <c r="K224" s="23">
        <v>0</v>
      </c>
      <c r="L224" s="23"/>
      <c r="M224" s="23"/>
      <c r="N224" s="23">
        <v>300</v>
      </c>
      <c r="O224" s="23"/>
      <c r="P224" s="23">
        <f>K224+SUM(L224:O224)</f>
        <v>300</v>
      </c>
      <c r="Q224" s="23">
        <v>0</v>
      </c>
      <c r="R224" s="24">
        <f t="shared" si="109"/>
        <v>0</v>
      </c>
      <c r="S224" s="23">
        <v>0</v>
      </c>
      <c r="T224" s="24">
        <f t="shared" si="110"/>
        <v>0</v>
      </c>
      <c r="U224" s="23">
        <v>0</v>
      </c>
      <c r="V224" s="24">
        <f t="shared" si="111"/>
        <v>0</v>
      </c>
      <c r="W224" s="23">
        <v>300</v>
      </c>
      <c r="X224" s="24">
        <f t="shared" si="112"/>
        <v>1</v>
      </c>
      <c r="Y224" s="23">
        <v>0</v>
      </c>
      <c r="Z224" s="23">
        <v>0</v>
      </c>
    </row>
    <row r="225" spans="1:26" ht="13.9" customHeight="1" x14ac:dyDescent="0.25">
      <c r="A225" s="14">
        <v>3</v>
      </c>
      <c r="B225" s="14">
        <v>1</v>
      </c>
      <c r="D225" s="84" t="s">
        <v>21</v>
      </c>
      <c r="E225" s="47">
        <v>41</v>
      </c>
      <c r="F225" s="47" t="s">
        <v>23</v>
      </c>
      <c r="G225" s="48">
        <f t="shared" ref="G225:Q225" si="113">SUM(G221:G224)</f>
        <v>51970.42</v>
      </c>
      <c r="H225" s="48">
        <f t="shared" si="113"/>
        <v>51834.960000000006</v>
      </c>
      <c r="I225" s="48">
        <f t="shared" si="113"/>
        <v>63612</v>
      </c>
      <c r="J225" s="48">
        <f t="shared" si="113"/>
        <v>50768.509999999995</v>
      </c>
      <c r="K225" s="48">
        <f t="shared" si="113"/>
        <v>48425</v>
      </c>
      <c r="L225" s="48">
        <f t="shared" si="113"/>
        <v>0</v>
      </c>
      <c r="M225" s="48">
        <f t="shared" si="113"/>
        <v>0</v>
      </c>
      <c r="N225" s="48">
        <f t="shared" si="113"/>
        <v>-2000</v>
      </c>
      <c r="O225" s="48">
        <f t="shared" si="113"/>
        <v>0</v>
      </c>
      <c r="P225" s="48">
        <f t="shared" si="113"/>
        <v>46425</v>
      </c>
      <c r="Q225" s="48">
        <f t="shared" si="113"/>
        <v>7964.0400000000009</v>
      </c>
      <c r="R225" s="49">
        <f t="shared" si="109"/>
        <v>0.17154636510500809</v>
      </c>
      <c r="S225" s="48">
        <f>SUM(S221:S224)</f>
        <v>15450.23</v>
      </c>
      <c r="T225" s="49">
        <f t="shared" si="110"/>
        <v>0.33279978459881526</v>
      </c>
      <c r="U225" s="48">
        <f>SUM(U221:U224)</f>
        <v>25385.35</v>
      </c>
      <c r="V225" s="49">
        <f t="shared" si="111"/>
        <v>0.54680344641895529</v>
      </c>
      <c r="W225" s="48">
        <f>SUM(W221:W224)</f>
        <v>38483.79</v>
      </c>
      <c r="X225" s="49">
        <f t="shared" si="112"/>
        <v>0.82894539579967697</v>
      </c>
      <c r="Y225" s="48">
        <f>SUM(Y221:Y224)</f>
        <v>49906</v>
      </c>
      <c r="Z225" s="48">
        <f>SUM(Z221:Z224)</f>
        <v>51540</v>
      </c>
    </row>
    <row r="226" spans="1:26" ht="13.9" customHeight="1" x14ac:dyDescent="0.25">
      <c r="A226" s="14">
        <v>3</v>
      </c>
      <c r="B226" s="14">
        <v>1</v>
      </c>
      <c r="D226" s="79" t="s">
        <v>188</v>
      </c>
      <c r="E226" s="22">
        <v>640</v>
      </c>
      <c r="F226" s="22" t="s">
        <v>132</v>
      </c>
      <c r="G226" s="23">
        <v>116.87</v>
      </c>
      <c r="H226" s="23">
        <v>120.23</v>
      </c>
      <c r="I226" s="23">
        <v>127</v>
      </c>
      <c r="J226" s="23">
        <v>141.05000000000001</v>
      </c>
      <c r="K226" s="23">
        <v>141</v>
      </c>
      <c r="L226" s="23"/>
      <c r="M226" s="23"/>
      <c r="N226" s="23"/>
      <c r="O226" s="23">
        <v>25</v>
      </c>
      <c r="P226" s="23">
        <f>K226+SUM(L226:O226)</f>
        <v>166</v>
      </c>
      <c r="Q226" s="23">
        <v>0</v>
      </c>
      <c r="R226" s="24">
        <f t="shared" si="109"/>
        <v>0</v>
      </c>
      <c r="S226" s="23">
        <v>0</v>
      </c>
      <c r="T226" s="24">
        <f t="shared" si="110"/>
        <v>0</v>
      </c>
      <c r="U226" s="23">
        <v>0</v>
      </c>
      <c r="V226" s="24">
        <f t="shared" si="111"/>
        <v>0</v>
      </c>
      <c r="W226" s="23">
        <v>165.75</v>
      </c>
      <c r="X226" s="24">
        <f t="shared" si="112"/>
        <v>0.99849397590361444</v>
      </c>
      <c r="Y226" s="23">
        <f>K226</f>
        <v>141</v>
      </c>
      <c r="Z226" s="23">
        <f>Y226</f>
        <v>141</v>
      </c>
    </row>
    <row r="227" spans="1:26" ht="13.9" customHeight="1" x14ac:dyDescent="0.25">
      <c r="A227" s="14">
        <v>3</v>
      </c>
      <c r="B227" s="14">
        <v>1</v>
      </c>
      <c r="D227" s="84" t="s">
        <v>21</v>
      </c>
      <c r="E227" s="47">
        <v>72</v>
      </c>
      <c r="F227" s="47" t="s">
        <v>25</v>
      </c>
      <c r="G227" s="48">
        <f t="shared" ref="G227:Q227" si="114">SUM(G226:G226)</f>
        <v>116.87</v>
      </c>
      <c r="H227" s="48">
        <f t="shared" si="114"/>
        <v>120.23</v>
      </c>
      <c r="I227" s="48">
        <f t="shared" si="114"/>
        <v>127</v>
      </c>
      <c r="J227" s="48">
        <f t="shared" si="114"/>
        <v>141.05000000000001</v>
      </c>
      <c r="K227" s="48">
        <f t="shared" si="114"/>
        <v>141</v>
      </c>
      <c r="L227" s="48">
        <f t="shared" si="114"/>
        <v>0</v>
      </c>
      <c r="M227" s="48">
        <f t="shared" si="114"/>
        <v>0</v>
      </c>
      <c r="N227" s="48">
        <f t="shared" si="114"/>
        <v>0</v>
      </c>
      <c r="O227" s="48">
        <f t="shared" si="114"/>
        <v>25</v>
      </c>
      <c r="P227" s="48">
        <f t="shared" si="114"/>
        <v>166</v>
      </c>
      <c r="Q227" s="48">
        <f t="shared" si="114"/>
        <v>0</v>
      </c>
      <c r="R227" s="49">
        <f t="shared" si="109"/>
        <v>0</v>
      </c>
      <c r="S227" s="48">
        <f>SUM(S226:S226)</f>
        <v>0</v>
      </c>
      <c r="T227" s="49">
        <f t="shared" si="110"/>
        <v>0</v>
      </c>
      <c r="U227" s="48">
        <f>SUM(U226:U226)</f>
        <v>0</v>
      </c>
      <c r="V227" s="49">
        <f t="shared" si="111"/>
        <v>0</v>
      </c>
      <c r="W227" s="48">
        <f>SUM(W226:W226)</f>
        <v>165.75</v>
      </c>
      <c r="X227" s="49">
        <f t="shared" si="112"/>
        <v>0.99849397590361444</v>
      </c>
      <c r="Y227" s="48">
        <f>SUM(Y226:Y226)</f>
        <v>141</v>
      </c>
      <c r="Z227" s="48">
        <f>SUM(Z226:Z226)</f>
        <v>141</v>
      </c>
    </row>
    <row r="228" spans="1:26" ht="13.9" customHeight="1" x14ac:dyDescent="0.25">
      <c r="A228" s="14">
        <v>3</v>
      </c>
      <c r="B228" s="14">
        <v>1</v>
      </c>
      <c r="D228" s="106"/>
      <c r="E228" s="30"/>
      <c r="F228" s="25" t="s">
        <v>124</v>
      </c>
      <c r="G228" s="26">
        <f t="shared" ref="G228:Q228" si="115">G225+G227</f>
        <v>52087.29</v>
      </c>
      <c r="H228" s="26">
        <f t="shared" si="115"/>
        <v>51955.19000000001</v>
      </c>
      <c r="I228" s="26">
        <f t="shared" si="115"/>
        <v>63739</v>
      </c>
      <c r="J228" s="26">
        <f t="shared" si="115"/>
        <v>50909.56</v>
      </c>
      <c r="K228" s="26">
        <f t="shared" si="115"/>
        <v>48566</v>
      </c>
      <c r="L228" s="26">
        <f t="shared" si="115"/>
        <v>0</v>
      </c>
      <c r="M228" s="26">
        <f t="shared" si="115"/>
        <v>0</v>
      </c>
      <c r="N228" s="26">
        <f t="shared" si="115"/>
        <v>-2000</v>
      </c>
      <c r="O228" s="26">
        <f t="shared" si="115"/>
        <v>25</v>
      </c>
      <c r="P228" s="26">
        <f t="shared" si="115"/>
        <v>46591</v>
      </c>
      <c r="Q228" s="26">
        <f t="shared" si="115"/>
        <v>7964.0400000000009</v>
      </c>
      <c r="R228" s="27">
        <f t="shared" si="109"/>
        <v>0.17093515915090898</v>
      </c>
      <c r="S228" s="26">
        <f>S225+S227</f>
        <v>15450.23</v>
      </c>
      <c r="T228" s="27">
        <f t="shared" si="110"/>
        <v>0.33161404563113045</v>
      </c>
      <c r="U228" s="26">
        <f>U225+U227</f>
        <v>25385.35</v>
      </c>
      <c r="V228" s="27">
        <f t="shared" si="111"/>
        <v>0.54485522955077159</v>
      </c>
      <c r="W228" s="26">
        <f>W225+W227</f>
        <v>38649.54</v>
      </c>
      <c r="X228" s="27">
        <f t="shared" si="112"/>
        <v>0.82954948380588522</v>
      </c>
      <c r="Y228" s="26">
        <f>Y225+Y227</f>
        <v>50047</v>
      </c>
      <c r="Z228" s="26">
        <f>Z225+Z227</f>
        <v>51681</v>
      </c>
    </row>
    <row r="230" spans="1:26" ht="13.9" customHeight="1" x14ac:dyDescent="0.25">
      <c r="E230" s="51" t="s">
        <v>57</v>
      </c>
      <c r="F230" s="29" t="s">
        <v>61</v>
      </c>
      <c r="G230" s="52">
        <v>11004.29</v>
      </c>
      <c r="H230" s="52">
        <v>13071.88</v>
      </c>
      <c r="I230" s="91">
        <v>15000</v>
      </c>
      <c r="J230" s="91">
        <v>8885.85</v>
      </c>
      <c r="K230" s="91">
        <v>8900</v>
      </c>
      <c r="L230" s="91"/>
      <c r="M230" s="91"/>
      <c r="N230" s="91"/>
      <c r="O230" s="91">
        <v>100</v>
      </c>
      <c r="P230" s="91">
        <f t="shared" ref="P230:P236" si="116">K230+SUM(L230:O230)</f>
        <v>9000</v>
      </c>
      <c r="Q230" s="91">
        <v>1643.93</v>
      </c>
      <c r="R230" s="107">
        <f t="shared" ref="R230:R236" si="117">Q230/$P230</f>
        <v>0.1826588888888889</v>
      </c>
      <c r="S230" s="91">
        <v>3556.28</v>
      </c>
      <c r="T230" s="107">
        <f t="shared" ref="T230:T236" si="118">S230/$P230</f>
        <v>0.39514222222222223</v>
      </c>
      <c r="U230" s="91">
        <v>6968.99</v>
      </c>
      <c r="V230" s="107">
        <f t="shared" ref="V230:V236" si="119">U230/$P230</f>
        <v>0.7743322222222222</v>
      </c>
      <c r="W230" s="91">
        <v>9000.09</v>
      </c>
      <c r="X230" s="108">
        <f t="shared" ref="X230:X236" si="120">W230/$P230</f>
        <v>1.0000100000000001</v>
      </c>
      <c r="Y230" s="52">
        <f t="shared" ref="Y230:Y235" si="121">K230</f>
        <v>8900</v>
      </c>
      <c r="Z230" s="55">
        <f t="shared" ref="Z230:Z236" si="122">Y230</f>
        <v>8900</v>
      </c>
    </row>
    <row r="231" spans="1:26" ht="13.9" customHeight="1" x14ac:dyDescent="0.25">
      <c r="E231" s="56"/>
      <c r="F231" s="92" t="s">
        <v>149</v>
      </c>
      <c r="G231" s="81">
        <v>1834.54</v>
      </c>
      <c r="H231" s="81">
        <v>5757.29</v>
      </c>
      <c r="I231" s="93">
        <v>5757</v>
      </c>
      <c r="J231" s="93">
        <v>1837</v>
      </c>
      <c r="K231" s="93">
        <v>1628</v>
      </c>
      <c r="L231" s="93"/>
      <c r="M231" s="93"/>
      <c r="N231" s="93"/>
      <c r="O231" s="93"/>
      <c r="P231" s="93">
        <f t="shared" si="116"/>
        <v>1628</v>
      </c>
      <c r="Q231" s="93">
        <v>296</v>
      </c>
      <c r="R231" s="94">
        <f t="shared" si="117"/>
        <v>0.18181818181818182</v>
      </c>
      <c r="S231" s="93">
        <v>729.43</v>
      </c>
      <c r="T231" s="94">
        <f t="shared" si="118"/>
        <v>0.4480528255528255</v>
      </c>
      <c r="U231" s="93">
        <v>1134.43</v>
      </c>
      <c r="V231" s="94">
        <f t="shared" si="119"/>
        <v>0.6968243243243244</v>
      </c>
      <c r="W231" s="93">
        <v>1539.43</v>
      </c>
      <c r="X231" s="63">
        <f t="shared" si="120"/>
        <v>0.94559582309582313</v>
      </c>
      <c r="Y231" s="58">
        <f t="shared" si="121"/>
        <v>1628</v>
      </c>
      <c r="Z231" s="60">
        <f t="shared" si="122"/>
        <v>1628</v>
      </c>
    </row>
    <row r="232" spans="1:26" ht="13.9" customHeight="1" x14ac:dyDescent="0.25">
      <c r="E232" s="56"/>
      <c r="F232" s="57" t="s">
        <v>189</v>
      </c>
      <c r="G232" s="58">
        <v>12597.73</v>
      </c>
      <c r="H232" s="58">
        <v>7505.5</v>
      </c>
      <c r="I232" s="61">
        <v>17000</v>
      </c>
      <c r="J232" s="61">
        <v>14033.34</v>
      </c>
      <c r="K232" s="61">
        <v>14000</v>
      </c>
      <c r="L232" s="61"/>
      <c r="M232" s="61">
        <v>-650</v>
      </c>
      <c r="N232" s="61">
        <f>-802-2000-300</f>
        <v>-3102</v>
      </c>
      <c r="O232" s="61">
        <v>-1419</v>
      </c>
      <c r="P232" s="61">
        <f t="shared" si="116"/>
        <v>8829</v>
      </c>
      <c r="Q232" s="61">
        <v>0</v>
      </c>
      <c r="R232" s="62">
        <f t="shared" si="117"/>
        <v>0</v>
      </c>
      <c r="S232" s="61">
        <v>224.8</v>
      </c>
      <c r="T232" s="62">
        <f t="shared" si="118"/>
        <v>2.5461547174085403E-2</v>
      </c>
      <c r="U232" s="61">
        <v>439.18</v>
      </c>
      <c r="V232" s="62">
        <f t="shared" si="119"/>
        <v>4.9742892739834635E-2</v>
      </c>
      <c r="W232" s="61">
        <v>2870.42</v>
      </c>
      <c r="X232" s="63">
        <f t="shared" si="120"/>
        <v>0.32511269679465399</v>
      </c>
      <c r="Y232" s="58">
        <f t="shared" si="121"/>
        <v>14000</v>
      </c>
      <c r="Z232" s="60">
        <f t="shared" si="122"/>
        <v>14000</v>
      </c>
    </row>
    <row r="233" spans="1:26" ht="13.9" customHeight="1" x14ac:dyDescent="0.25">
      <c r="E233" s="56"/>
      <c r="F233" s="14" t="s">
        <v>190</v>
      </c>
      <c r="G233" s="58">
        <v>499.8</v>
      </c>
      <c r="H233" s="58">
        <v>649.49</v>
      </c>
      <c r="I233" s="58">
        <v>650</v>
      </c>
      <c r="J233" s="58">
        <v>779.4</v>
      </c>
      <c r="K233" s="58">
        <v>780</v>
      </c>
      <c r="L233" s="58"/>
      <c r="M233" s="58"/>
      <c r="N233" s="58"/>
      <c r="O233" s="58"/>
      <c r="P233" s="58">
        <f t="shared" si="116"/>
        <v>780</v>
      </c>
      <c r="Q233" s="58">
        <v>0</v>
      </c>
      <c r="R233" s="15">
        <f t="shared" si="117"/>
        <v>0</v>
      </c>
      <c r="S233" s="58">
        <v>0</v>
      </c>
      <c r="T233" s="15">
        <f t="shared" si="118"/>
        <v>0</v>
      </c>
      <c r="U233" s="58">
        <v>129.9</v>
      </c>
      <c r="V233" s="15">
        <f t="shared" si="119"/>
        <v>0.16653846153846155</v>
      </c>
      <c r="W233" s="58">
        <v>129.9</v>
      </c>
      <c r="X233" s="59">
        <f t="shared" si="120"/>
        <v>0.16653846153846155</v>
      </c>
      <c r="Y233" s="58">
        <f t="shared" si="121"/>
        <v>780</v>
      </c>
      <c r="Z233" s="60">
        <f t="shared" si="122"/>
        <v>780</v>
      </c>
    </row>
    <row r="234" spans="1:26" ht="13.9" customHeight="1" x14ac:dyDescent="0.25">
      <c r="E234" s="56"/>
      <c r="F234" s="14" t="s">
        <v>191</v>
      </c>
      <c r="G234" s="58">
        <v>3120</v>
      </c>
      <c r="H234" s="58">
        <v>1980</v>
      </c>
      <c r="I234" s="58">
        <v>2520</v>
      </c>
      <c r="J234" s="58">
        <v>2160</v>
      </c>
      <c r="K234" s="58">
        <v>2160</v>
      </c>
      <c r="L234" s="58"/>
      <c r="M234" s="58"/>
      <c r="N234" s="58"/>
      <c r="O234" s="58"/>
      <c r="P234" s="58">
        <f t="shared" si="116"/>
        <v>2160</v>
      </c>
      <c r="Q234" s="58">
        <v>540</v>
      </c>
      <c r="R234" s="15">
        <f t="shared" si="117"/>
        <v>0.25</v>
      </c>
      <c r="S234" s="58">
        <v>1080</v>
      </c>
      <c r="T234" s="15">
        <f t="shared" si="118"/>
        <v>0.5</v>
      </c>
      <c r="U234" s="58">
        <v>1620</v>
      </c>
      <c r="V234" s="15">
        <f t="shared" si="119"/>
        <v>0.75</v>
      </c>
      <c r="W234" s="58">
        <v>2160</v>
      </c>
      <c r="X234" s="59">
        <f t="shared" si="120"/>
        <v>1</v>
      </c>
      <c r="Y234" s="58">
        <f t="shared" si="121"/>
        <v>2160</v>
      </c>
      <c r="Z234" s="60">
        <f t="shared" si="122"/>
        <v>2160</v>
      </c>
    </row>
    <row r="235" spans="1:26" ht="13.9" customHeight="1" x14ac:dyDescent="0.25">
      <c r="E235" s="56"/>
      <c r="F235" s="14" t="s">
        <v>192</v>
      </c>
      <c r="G235" s="58">
        <v>4312.08</v>
      </c>
      <c r="H235" s="58">
        <v>3781.11</v>
      </c>
      <c r="I235" s="58">
        <v>3800</v>
      </c>
      <c r="J235" s="58">
        <v>2745.97</v>
      </c>
      <c r="K235" s="58">
        <v>2750</v>
      </c>
      <c r="L235" s="58"/>
      <c r="M235" s="58"/>
      <c r="N235" s="58"/>
      <c r="O235" s="58">
        <v>580</v>
      </c>
      <c r="P235" s="58">
        <f t="shared" si="116"/>
        <v>3330</v>
      </c>
      <c r="Q235" s="58">
        <v>1051.93</v>
      </c>
      <c r="R235" s="15">
        <f t="shared" si="117"/>
        <v>0.31589489489489492</v>
      </c>
      <c r="S235" s="58">
        <v>1811.93</v>
      </c>
      <c r="T235" s="15">
        <f t="shared" si="118"/>
        <v>0.54412312312312316</v>
      </c>
      <c r="U235" s="58">
        <v>2571.9299999999998</v>
      </c>
      <c r="V235" s="15">
        <f t="shared" si="119"/>
        <v>0.77235135135135136</v>
      </c>
      <c r="W235" s="58">
        <v>3329.83</v>
      </c>
      <c r="X235" s="59">
        <f t="shared" si="120"/>
        <v>0.99994894894894892</v>
      </c>
      <c r="Y235" s="58">
        <f t="shared" si="121"/>
        <v>2750</v>
      </c>
      <c r="Z235" s="60">
        <f t="shared" si="122"/>
        <v>2750</v>
      </c>
    </row>
    <row r="236" spans="1:26" ht="13.9" customHeight="1" x14ac:dyDescent="0.25">
      <c r="E236" s="64"/>
      <c r="F236" s="95" t="s">
        <v>193</v>
      </c>
      <c r="G236" s="66"/>
      <c r="H236" s="66"/>
      <c r="I236" s="66">
        <v>1000</v>
      </c>
      <c r="J236" s="66">
        <v>292.8</v>
      </c>
      <c r="K236" s="66">
        <v>300</v>
      </c>
      <c r="L236" s="66"/>
      <c r="M236" s="66"/>
      <c r="N236" s="66"/>
      <c r="O236" s="66"/>
      <c r="P236" s="66">
        <f t="shared" si="116"/>
        <v>300</v>
      </c>
      <c r="Q236" s="66">
        <v>0</v>
      </c>
      <c r="R236" s="67">
        <f t="shared" si="117"/>
        <v>0</v>
      </c>
      <c r="S236" s="66">
        <v>0</v>
      </c>
      <c r="T236" s="67">
        <f t="shared" si="118"/>
        <v>0</v>
      </c>
      <c r="U236" s="66">
        <v>0</v>
      </c>
      <c r="V236" s="67">
        <f t="shared" si="119"/>
        <v>0</v>
      </c>
      <c r="W236" s="66">
        <v>0</v>
      </c>
      <c r="X236" s="68">
        <f t="shared" si="120"/>
        <v>0</v>
      </c>
      <c r="Y236" s="66">
        <v>0</v>
      </c>
      <c r="Z236" s="69">
        <f t="shared" si="122"/>
        <v>0</v>
      </c>
    </row>
    <row r="238" spans="1:26" ht="13.9" customHeight="1" x14ac:dyDescent="0.25">
      <c r="D238" s="31" t="s">
        <v>194</v>
      </c>
      <c r="E238" s="31"/>
      <c r="F238" s="31"/>
      <c r="G238" s="31"/>
      <c r="H238" s="31"/>
      <c r="I238" s="31"/>
      <c r="J238" s="31"/>
      <c r="K238" s="31"/>
      <c r="L238" s="31"/>
      <c r="M238" s="31"/>
      <c r="N238" s="31"/>
      <c r="O238" s="31"/>
      <c r="P238" s="31"/>
      <c r="Q238" s="31"/>
      <c r="R238" s="32"/>
      <c r="S238" s="31"/>
      <c r="T238" s="32"/>
      <c r="U238" s="31"/>
      <c r="V238" s="32"/>
      <c r="W238" s="31"/>
      <c r="X238" s="32"/>
      <c r="Y238" s="31"/>
      <c r="Z238" s="31"/>
    </row>
    <row r="239" spans="1:26" ht="13.9" customHeight="1" x14ac:dyDescent="0.25">
      <c r="D239" s="19"/>
      <c r="E239" s="19"/>
      <c r="F239" s="19"/>
      <c r="G239" s="20" t="s">
        <v>1</v>
      </c>
      <c r="H239" s="20" t="s">
        <v>2</v>
      </c>
      <c r="I239" s="20" t="s">
        <v>3</v>
      </c>
      <c r="J239" s="20" t="s">
        <v>4</v>
      </c>
      <c r="K239" s="20" t="s">
        <v>5</v>
      </c>
      <c r="L239" s="20" t="s">
        <v>6</v>
      </c>
      <c r="M239" s="20" t="s">
        <v>7</v>
      </c>
      <c r="N239" s="20" t="s">
        <v>8</v>
      </c>
      <c r="O239" s="20" t="s">
        <v>9</v>
      </c>
      <c r="P239" s="20" t="s">
        <v>10</v>
      </c>
      <c r="Q239" s="20" t="s">
        <v>11</v>
      </c>
      <c r="R239" s="21" t="s">
        <v>12</v>
      </c>
      <c r="S239" s="20" t="s">
        <v>13</v>
      </c>
      <c r="T239" s="21" t="s">
        <v>14</v>
      </c>
      <c r="U239" s="20" t="s">
        <v>15</v>
      </c>
      <c r="V239" s="21" t="s">
        <v>16</v>
      </c>
      <c r="W239" s="20" t="s">
        <v>17</v>
      </c>
      <c r="X239" s="21" t="s">
        <v>18</v>
      </c>
      <c r="Y239" s="20" t="s">
        <v>19</v>
      </c>
      <c r="Z239" s="20" t="s">
        <v>20</v>
      </c>
    </row>
    <row r="240" spans="1:26" ht="13.9" customHeight="1" x14ac:dyDescent="0.25">
      <c r="A240" s="14">
        <v>4</v>
      </c>
      <c r="D240" s="11" t="s">
        <v>21</v>
      </c>
      <c r="E240" s="34">
        <v>111</v>
      </c>
      <c r="F240" s="34" t="s">
        <v>47</v>
      </c>
      <c r="G240" s="35">
        <f t="shared" ref="G240:Q240" si="123">G253+G262</f>
        <v>0</v>
      </c>
      <c r="H240" s="35">
        <f t="shared" si="123"/>
        <v>3093.96</v>
      </c>
      <c r="I240" s="35">
        <f t="shared" si="123"/>
        <v>0</v>
      </c>
      <c r="J240" s="35">
        <f t="shared" si="123"/>
        <v>0</v>
      </c>
      <c r="K240" s="35">
        <f t="shared" si="123"/>
        <v>0</v>
      </c>
      <c r="L240" s="35">
        <f t="shared" si="123"/>
        <v>0</v>
      </c>
      <c r="M240" s="35">
        <f t="shared" si="123"/>
        <v>0</v>
      </c>
      <c r="N240" s="35">
        <f t="shared" si="123"/>
        <v>0</v>
      </c>
      <c r="O240" s="35">
        <f t="shared" si="123"/>
        <v>0</v>
      </c>
      <c r="P240" s="35">
        <f t="shared" si="123"/>
        <v>0</v>
      </c>
      <c r="Q240" s="35">
        <f t="shared" si="123"/>
        <v>0</v>
      </c>
      <c r="R240" s="36">
        <f>IFERROR(Q240/$P240,0)</f>
        <v>0</v>
      </c>
      <c r="S240" s="35">
        <f>S253+S262</f>
        <v>0</v>
      </c>
      <c r="T240" s="36">
        <f>IFERROR(S240/$P240,0)</f>
        <v>0</v>
      </c>
      <c r="U240" s="35">
        <f>U253+U262</f>
        <v>0</v>
      </c>
      <c r="V240" s="36">
        <f>IFERROR(U240/$P240,0)</f>
        <v>0</v>
      </c>
      <c r="W240" s="35">
        <f>W253+W262</f>
        <v>0</v>
      </c>
      <c r="X240" s="36">
        <f>IFERROR(W240/$P240,0)</f>
        <v>0</v>
      </c>
      <c r="Y240" s="35">
        <f>Y253+Y262</f>
        <v>0</v>
      </c>
      <c r="Z240" s="35">
        <f>Z253+Z262</f>
        <v>0</v>
      </c>
    </row>
    <row r="241" spans="1:26" ht="13.9" customHeight="1" x14ac:dyDescent="0.25">
      <c r="A241" s="14">
        <v>4</v>
      </c>
      <c r="D241" s="11"/>
      <c r="E241" s="34">
        <v>41</v>
      </c>
      <c r="F241" s="34" t="s">
        <v>23</v>
      </c>
      <c r="G241" s="35">
        <f t="shared" ref="G241:Q241" si="124">G248+G256+G267</f>
        <v>61568.91</v>
      </c>
      <c r="H241" s="35">
        <f t="shared" si="124"/>
        <v>87449.38</v>
      </c>
      <c r="I241" s="35">
        <f t="shared" si="124"/>
        <v>92925</v>
      </c>
      <c r="J241" s="35">
        <f t="shared" si="124"/>
        <v>104972.76000000001</v>
      </c>
      <c r="K241" s="35">
        <f t="shared" si="124"/>
        <v>140704</v>
      </c>
      <c r="L241" s="35">
        <f t="shared" si="124"/>
        <v>0</v>
      </c>
      <c r="M241" s="35">
        <f t="shared" si="124"/>
        <v>-571</v>
      </c>
      <c r="N241" s="35">
        <f t="shared" si="124"/>
        <v>0</v>
      </c>
      <c r="O241" s="35">
        <f t="shared" si="124"/>
        <v>145</v>
      </c>
      <c r="P241" s="35">
        <f t="shared" si="124"/>
        <v>140278</v>
      </c>
      <c r="Q241" s="35">
        <f t="shared" si="124"/>
        <v>21607.98</v>
      </c>
      <c r="R241" s="36">
        <f>Q241/$P241</f>
        <v>0.15403684112975663</v>
      </c>
      <c r="S241" s="35">
        <f>S248+S256+S267</f>
        <v>86413.42</v>
      </c>
      <c r="T241" s="36">
        <f>S241/$P241</f>
        <v>0.61601548353982805</v>
      </c>
      <c r="U241" s="35">
        <f>U248+U256+U267</f>
        <v>109246.25</v>
      </c>
      <c r="V241" s="36">
        <f>U241/$P241</f>
        <v>0.77878391479775877</v>
      </c>
      <c r="W241" s="35">
        <f>W248+W256+W267</f>
        <v>135671.96000000002</v>
      </c>
      <c r="X241" s="36">
        <f>W241/$P241</f>
        <v>0.96716491538231242</v>
      </c>
      <c r="Y241" s="35">
        <f>Y248+Y256+Y267</f>
        <v>100864</v>
      </c>
      <c r="Z241" s="35">
        <f>Z248+Z256+Z267</f>
        <v>103802</v>
      </c>
    </row>
    <row r="242" spans="1:26" ht="13.9" customHeight="1" x14ac:dyDescent="0.25">
      <c r="A242" s="14">
        <v>4</v>
      </c>
      <c r="D242" s="11"/>
      <c r="E242" s="34">
        <v>72</v>
      </c>
      <c r="F242" s="34" t="s">
        <v>25</v>
      </c>
      <c r="G242" s="35">
        <f t="shared" ref="G242:Q242" si="125">G269</f>
        <v>0</v>
      </c>
      <c r="H242" s="35">
        <f t="shared" si="125"/>
        <v>159.47</v>
      </c>
      <c r="I242" s="35">
        <f t="shared" si="125"/>
        <v>167</v>
      </c>
      <c r="J242" s="35">
        <f t="shared" si="125"/>
        <v>247.65</v>
      </c>
      <c r="K242" s="35">
        <f t="shared" si="125"/>
        <v>248</v>
      </c>
      <c r="L242" s="35">
        <f t="shared" si="125"/>
        <v>0</v>
      </c>
      <c r="M242" s="35">
        <f t="shared" si="125"/>
        <v>0</v>
      </c>
      <c r="N242" s="35">
        <f t="shared" si="125"/>
        <v>0</v>
      </c>
      <c r="O242" s="35">
        <f t="shared" si="125"/>
        <v>-4</v>
      </c>
      <c r="P242" s="35">
        <f t="shared" si="125"/>
        <v>244</v>
      </c>
      <c r="Q242" s="35">
        <f t="shared" si="125"/>
        <v>0</v>
      </c>
      <c r="R242" s="36">
        <f>Q242/$P242</f>
        <v>0</v>
      </c>
      <c r="S242" s="35">
        <f>S269</f>
        <v>0</v>
      </c>
      <c r="T242" s="36">
        <f>S242/$P242</f>
        <v>0</v>
      </c>
      <c r="U242" s="35">
        <f>U269</f>
        <v>0</v>
      </c>
      <c r="V242" s="36">
        <f>U242/$P242</f>
        <v>0</v>
      </c>
      <c r="W242" s="35">
        <f>W269</f>
        <v>244.5</v>
      </c>
      <c r="X242" s="36">
        <f>W242/$P242</f>
        <v>1.0020491803278688</v>
      </c>
      <c r="Y242" s="35">
        <f>Y269</f>
        <v>248</v>
      </c>
      <c r="Z242" s="35">
        <f>Z269</f>
        <v>248</v>
      </c>
    </row>
    <row r="243" spans="1:26" ht="13.9" customHeight="1" x14ac:dyDescent="0.25">
      <c r="A243" s="14">
        <v>4</v>
      </c>
      <c r="D243" s="29"/>
      <c r="E243" s="30"/>
      <c r="F243" s="37" t="s">
        <v>124</v>
      </c>
      <c r="G243" s="38">
        <f t="shared" ref="G243:Q243" si="126">SUM(G240:G242)</f>
        <v>61568.91</v>
      </c>
      <c r="H243" s="38">
        <f t="shared" si="126"/>
        <v>90702.810000000012</v>
      </c>
      <c r="I243" s="38">
        <f t="shared" si="126"/>
        <v>93092</v>
      </c>
      <c r="J243" s="38">
        <f t="shared" si="126"/>
        <v>105220.41</v>
      </c>
      <c r="K243" s="38">
        <f t="shared" si="126"/>
        <v>140952</v>
      </c>
      <c r="L243" s="38">
        <f t="shared" si="126"/>
        <v>0</v>
      </c>
      <c r="M243" s="38">
        <f t="shared" si="126"/>
        <v>-571</v>
      </c>
      <c r="N243" s="38">
        <f t="shared" si="126"/>
        <v>0</v>
      </c>
      <c r="O243" s="38">
        <f t="shared" si="126"/>
        <v>141</v>
      </c>
      <c r="P243" s="38">
        <f t="shared" si="126"/>
        <v>140522</v>
      </c>
      <c r="Q243" s="38">
        <f t="shared" si="126"/>
        <v>21607.98</v>
      </c>
      <c r="R243" s="39">
        <f>Q243/$P243</f>
        <v>0.1537693741905182</v>
      </c>
      <c r="S243" s="38">
        <f>SUM(S240:S242)</f>
        <v>86413.42</v>
      </c>
      <c r="T243" s="39">
        <f>S243/$P243</f>
        <v>0.61494584477875347</v>
      </c>
      <c r="U243" s="38">
        <f>SUM(U240:U242)</f>
        <v>109246.25</v>
      </c>
      <c r="V243" s="39">
        <f>U243/$P243</f>
        <v>0.77743164771352524</v>
      </c>
      <c r="W243" s="38">
        <f>SUM(W240:W242)</f>
        <v>135916.46000000002</v>
      </c>
      <c r="X243" s="39">
        <f>W243/$P243</f>
        <v>0.96722548782397078</v>
      </c>
      <c r="Y243" s="38">
        <f>SUM(Y240:Y242)</f>
        <v>101112</v>
      </c>
      <c r="Z243" s="38">
        <f>SUM(Z240:Z242)</f>
        <v>104050</v>
      </c>
    </row>
    <row r="245" spans="1:26" ht="13.9" customHeight="1" x14ac:dyDescent="0.25">
      <c r="D245" s="72" t="s">
        <v>195</v>
      </c>
      <c r="E245" s="72"/>
      <c r="F245" s="72"/>
      <c r="G245" s="72"/>
      <c r="H245" s="72"/>
      <c r="I245" s="72"/>
      <c r="J245" s="72"/>
      <c r="K245" s="72"/>
      <c r="L245" s="72"/>
      <c r="M245" s="72"/>
      <c r="N245" s="72"/>
      <c r="O245" s="72"/>
      <c r="P245" s="72"/>
      <c r="Q245" s="72"/>
      <c r="R245" s="73"/>
      <c r="S245" s="72"/>
      <c r="T245" s="73"/>
      <c r="U245" s="72"/>
      <c r="V245" s="73"/>
      <c r="W245" s="72"/>
      <c r="X245" s="73"/>
      <c r="Y245" s="72"/>
      <c r="Z245" s="72"/>
    </row>
    <row r="246" spans="1:26" ht="13.9" customHeight="1" x14ac:dyDescent="0.25">
      <c r="D246" s="20" t="s">
        <v>33</v>
      </c>
      <c r="E246" s="20" t="s">
        <v>34</v>
      </c>
      <c r="F246" s="20" t="s">
        <v>35</v>
      </c>
      <c r="G246" s="20" t="s">
        <v>1</v>
      </c>
      <c r="H246" s="20" t="s">
        <v>2</v>
      </c>
      <c r="I246" s="20" t="s">
        <v>3</v>
      </c>
      <c r="J246" s="20" t="s">
        <v>4</v>
      </c>
      <c r="K246" s="20" t="s">
        <v>5</v>
      </c>
      <c r="L246" s="20" t="s">
        <v>6</v>
      </c>
      <c r="M246" s="20" t="s">
        <v>7</v>
      </c>
      <c r="N246" s="20" t="s">
        <v>8</v>
      </c>
      <c r="O246" s="20" t="s">
        <v>9</v>
      </c>
      <c r="P246" s="20" t="s">
        <v>10</v>
      </c>
      <c r="Q246" s="20" t="s">
        <v>11</v>
      </c>
      <c r="R246" s="21" t="s">
        <v>12</v>
      </c>
      <c r="S246" s="20" t="s">
        <v>13</v>
      </c>
      <c r="T246" s="21" t="s">
        <v>14</v>
      </c>
      <c r="U246" s="20" t="s">
        <v>15</v>
      </c>
      <c r="V246" s="21" t="s">
        <v>16</v>
      </c>
      <c r="W246" s="20" t="s">
        <v>17</v>
      </c>
      <c r="X246" s="21" t="s">
        <v>18</v>
      </c>
      <c r="Y246" s="20" t="s">
        <v>19</v>
      </c>
      <c r="Z246" s="20" t="s">
        <v>20</v>
      </c>
    </row>
    <row r="247" spans="1:26" ht="13.9" customHeight="1" x14ac:dyDescent="0.25">
      <c r="A247" s="14">
        <v>4</v>
      </c>
      <c r="B247" s="14">
        <v>1</v>
      </c>
      <c r="D247" s="83" t="s">
        <v>196</v>
      </c>
      <c r="E247" s="22">
        <v>630</v>
      </c>
      <c r="F247" s="22" t="s">
        <v>131</v>
      </c>
      <c r="G247" s="23">
        <v>58343.26</v>
      </c>
      <c r="H247" s="23">
        <v>50247</v>
      </c>
      <c r="I247" s="45">
        <v>54425</v>
      </c>
      <c r="J247" s="45">
        <v>57460.65</v>
      </c>
      <c r="K247" s="45">
        <v>57669</v>
      </c>
      <c r="L247" s="45"/>
      <c r="M247" s="45"/>
      <c r="N247" s="45"/>
      <c r="O247" s="45">
        <v>1045</v>
      </c>
      <c r="P247" s="45">
        <f>K247+SUM(L247:O247)</f>
        <v>58714</v>
      </c>
      <c r="Q247" s="45">
        <v>13066.23</v>
      </c>
      <c r="R247" s="46">
        <f>Q247/$P247</f>
        <v>0.22254028000136253</v>
      </c>
      <c r="S247" s="45">
        <v>30314.61</v>
      </c>
      <c r="T247" s="46">
        <f>S247/$P247</f>
        <v>0.51630973873352182</v>
      </c>
      <c r="U247" s="45">
        <v>42496.07</v>
      </c>
      <c r="V247" s="46">
        <f>U247/$P247</f>
        <v>0.72378086997990254</v>
      </c>
      <c r="W247" s="45">
        <v>58714.01</v>
      </c>
      <c r="X247" s="46">
        <f>W247/$P247</f>
        <v>1.0000001703171306</v>
      </c>
      <c r="Y247" s="23">
        <f>K247</f>
        <v>57669</v>
      </c>
      <c r="Z247" s="23">
        <f>Y247</f>
        <v>57669</v>
      </c>
    </row>
    <row r="248" spans="1:26" ht="13.9" customHeight="1" x14ac:dyDescent="0.25">
      <c r="A248" s="14">
        <v>4</v>
      </c>
      <c r="B248" s="14">
        <v>1</v>
      </c>
      <c r="D248" s="78" t="s">
        <v>21</v>
      </c>
      <c r="E248" s="25">
        <v>41</v>
      </c>
      <c r="F248" s="25" t="s">
        <v>23</v>
      </c>
      <c r="G248" s="26">
        <f t="shared" ref="G248:Q248" si="127">SUM(G247:G247)</f>
        <v>58343.26</v>
      </c>
      <c r="H248" s="26">
        <f t="shared" si="127"/>
        <v>50247</v>
      </c>
      <c r="I248" s="26">
        <f t="shared" si="127"/>
        <v>54425</v>
      </c>
      <c r="J248" s="26">
        <f t="shared" si="127"/>
        <v>57460.65</v>
      </c>
      <c r="K248" s="26">
        <f t="shared" si="127"/>
        <v>57669</v>
      </c>
      <c r="L248" s="26">
        <f t="shared" si="127"/>
        <v>0</v>
      </c>
      <c r="M248" s="26">
        <f t="shared" si="127"/>
        <v>0</v>
      </c>
      <c r="N248" s="26">
        <f t="shared" si="127"/>
        <v>0</v>
      </c>
      <c r="O248" s="26">
        <f t="shared" si="127"/>
        <v>1045</v>
      </c>
      <c r="P248" s="26">
        <f t="shared" si="127"/>
        <v>58714</v>
      </c>
      <c r="Q248" s="26">
        <f t="shared" si="127"/>
        <v>13066.23</v>
      </c>
      <c r="R248" s="27">
        <f>Q248/$P248</f>
        <v>0.22254028000136253</v>
      </c>
      <c r="S248" s="26">
        <f>SUM(S247:S247)</f>
        <v>30314.61</v>
      </c>
      <c r="T248" s="27">
        <f>S248/$P248</f>
        <v>0.51630973873352182</v>
      </c>
      <c r="U248" s="26">
        <f>SUM(U247:U247)</f>
        <v>42496.07</v>
      </c>
      <c r="V248" s="27">
        <f>U248/$P248</f>
        <v>0.72378086997990254</v>
      </c>
      <c r="W248" s="26">
        <f>SUM(W247:W247)</f>
        <v>58714.01</v>
      </c>
      <c r="X248" s="27">
        <f>W248/$P248</f>
        <v>1.0000001703171306</v>
      </c>
      <c r="Y248" s="26">
        <f>SUM(Y247:Y247)</f>
        <v>57669</v>
      </c>
      <c r="Z248" s="26">
        <f>SUM(Z247:Z247)</f>
        <v>57669</v>
      </c>
    </row>
    <row r="250" spans="1:26" ht="13.9" customHeight="1" x14ac:dyDescent="0.25">
      <c r="D250" s="72" t="s">
        <v>197</v>
      </c>
      <c r="E250" s="72"/>
      <c r="F250" s="72"/>
      <c r="G250" s="72"/>
      <c r="H250" s="72"/>
      <c r="I250" s="72"/>
      <c r="J250" s="72"/>
      <c r="K250" s="72"/>
      <c r="L250" s="72"/>
      <c r="M250" s="72"/>
      <c r="N250" s="72"/>
      <c r="O250" s="72"/>
      <c r="P250" s="72"/>
      <c r="Q250" s="72"/>
      <c r="R250" s="73"/>
      <c r="S250" s="72"/>
      <c r="T250" s="73"/>
      <c r="U250" s="72"/>
      <c r="V250" s="73"/>
      <c r="W250" s="72"/>
      <c r="X250" s="73"/>
      <c r="Y250" s="72"/>
      <c r="Z250" s="72"/>
    </row>
    <row r="251" spans="1:26" ht="13.9" customHeight="1" x14ac:dyDescent="0.25">
      <c r="D251" s="20" t="s">
        <v>33</v>
      </c>
      <c r="E251" s="20" t="s">
        <v>34</v>
      </c>
      <c r="F251" s="20" t="s">
        <v>35</v>
      </c>
      <c r="G251" s="20" t="s">
        <v>1</v>
      </c>
      <c r="H251" s="20" t="s">
        <v>2</v>
      </c>
      <c r="I251" s="20" t="s">
        <v>3</v>
      </c>
      <c r="J251" s="20" t="s">
        <v>4</v>
      </c>
      <c r="K251" s="20" t="s">
        <v>5</v>
      </c>
      <c r="L251" s="20" t="s">
        <v>6</v>
      </c>
      <c r="M251" s="20" t="s">
        <v>7</v>
      </c>
      <c r="N251" s="20" t="s">
        <v>8</v>
      </c>
      <c r="O251" s="20" t="s">
        <v>9</v>
      </c>
      <c r="P251" s="20" t="s">
        <v>10</v>
      </c>
      <c r="Q251" s="20" t="s">
        <v>11</v>
      </c>
      <c r="R251" s="21" t="s">
        <v>12</v>
      </c>
      <c r="S251" s="20" t="s">
        <v>13</v>
      </c>
      <c r="T251" s="21" t="s">
        <v>14</v>
      </c>
      <c r="U251" s="20" t="s">
        <v>15</v>
      </c>
      <c r="V251" s="21" t="s">
        <v>16</v>
      </c>
      <c r="W251" s="20" t="s">
        <v>17</v>
      </c>
      <c r="X251" s="21" t="s">
        <v>18</v>
      </c>
      <c r="Y251" s="20" t="s">
        <v>19</v>
      </c>
      <c r="Z251" s="20" t="s">
        <v>20</v>
      </c>
    </row>
    <row r="252" spans="1:26" ht="13.9" hidden="1" customHeight="1" x14ac:dyDescent="0.25">
      <c r="A252" s="14">
        <v>4</v>
      </c>
      <c r="B252" s="14">
        <v>2</v>
      </c>
      <c r="D252" s="83" t="s">
        <v>196</v>
      </c>
      <c r="E252" s="22">
        <v>630</v>
      </c>
      <c r="F252" s="22" t="s">
        <v>131</v>
      </c>
      <c r="G252" s="23">
        <v>0</v>
      </c>
      <c r="H252" s="23">
        <v>0</v>
      </c>
      <c r="I252" s="23">
        <v>0</v>
      </c>
      <c r="J252" s="23">
        <v>0</v>
      </c>
      <c r="K252" s="23">
        <v>0</v>
      </c>
      <c r="L252" s="23"/>
      <c r="M252" s="23"/>
      <c r="N252" s="23"/>
      <c r="O252" s="23"/>
      <c r="P252" s="23">
        <f>K252+SUM(L252:O252)</f>
        <v>0</v>
      </c>
      <c r="Q252" s="23">
        <v>0</v>
      </c>
      <c r="R252" s="24" t="e">
        <f t="shared" ref="R252:R257" si="128">Q252/$P252</f>
        <v>#DIV/0!</v>
      </c>
      <c r="S252" s="23">
        <v>0</v>
      </c>
      <c r="T252" s="24" t="e">
        <f t="shared" ref="T252:T257" si="129">S252/$P252</f>
        <v>#DIV/0!</v>
      </c>
      <c r="U252" s="23"/>
      <c r="V252" s="24" t="e">
        <f t="shared" ref="V252:V257" si="130">U252/$P252</f>
        <v>#DIV/0!</v>
      </c>
      <c r="W252" s="23"/>
      <c r="X252" s="24" t="e">
        <f t="shared" ref="X252:X257" si="131">W252/$P252</f>
        <v>#DIV/0!</v>
      </c>
      <c r="Y252" s="23">
        <v>0</v>
      </c>
      <c r="Z252" s="23">
        <f>Y252</f>
        <v>0</v>
      </c>
    </row>
    <row r="253" spans="1:26" ht="13.9" hidden="1" customHeight="1" x14ac:dyDescent="0.25">
      <c r="A253" s="14">
        <v>4</v>
      </c>
      <c r="B253" s="14">
        <v>2</v>
      </c>
      <c r="D253" s="84" t="s">
        <v>21</v>
      </c>
      <c r="E253" s="47">
        <v>111</v>
      </c>
      <c r="F253" s="47" t="s">
        <v>134</v>
      </c>
      <c r="G253" s="48">
        <f t="shared" ref="G253:Q253" si="132">SUM(G252:G252)</f>
        <v>0</v>
      </c>
      <c r="H253" s="48">
        <f t="shared" si="132"/>
        <v>0</v>
      </c>
      <c r="I253" s="48">
        <f t="shared" si="132"/>
        <v>0</v>
      </c>
      <c r="J253" s="48">
        <f t="shared" si="132"/>
        <v>0</v>
      </c>
      <c r="K253" s="48">
        <f t="shared" si="132"/>
        <v>0</v>
      </c>
      <c r="L253" s="48">
        <f t="shared" si="132"/>
        <v>0</v>
      </c>
      <c r="M253" s="48">
        <f t="shared" si="132"/>
        <v>0</v>
      </c>
      <c r="N253" s="48">
        <f t="shared" si="132"/>
        <v>0</v>
      </c>
      <c r="O253" s="48">
        <f t="shared" si="132"/>
        <v>0</v>
      </c>
      <c r="P253" s="48">
        <f t="shared" si="132"/>
        <v>0</v>
      </c>
      <c r="Q253" s="48">
        <f t="shared" si="132"/>
        <v>0</v>
      </c>
      <c r="R253" s="49" t="e">
        <f t="shared" si="128"/>
        <v>#DIV/0!</v>
      </c>
      <c r="S253" s="48">
        <f>SUM(S252:S252)</f>
        <v>0</v>
      </c>
      <c r="T253" s="49" t="e">
        <f t="shared" si="129"/>
        <v>#DIV/0!</v>
      </c>
      <c r="U253" s="48">
        <f>SUM(U252:U252)</f>
        <v>0</v>
      </c>
      <c r="V253" s="49" t="e">
        <f t="shared" si="130"/>
        <v>#DIV/0!</v>
      </c>
      <c r="W253" s="48">
        <f>SUM(W252:W252)</f>
        <v>0</v>
      </c>
      <c r="X253" s="49" t="e">
        <f t="shared" si="131"/>
        <v>#DIV/0!</v>
      </c>
      <c r="Y253" s="48">
        <f>SUM(Y252:Y252)</f>
        <v>0</v>
      </c>
      <c r="Z253" s="48">
        <f>SUM(Z252:Z252)</f>
        <v>0</v>
      </c>
    </row>
    <row r="254" spans="1:26" ht="13.9" hidden="1" customHeight="1" x14ac:dyDescent="0.25">
      <c r="A254" s="14">
        <v>4</v>
      </c>
      <c r="B254" s="14">
        <v>2</v>
      </c>
      <c r="D254" s="83" t="s">
        <v>196</v>
      </c>
      <c r="E254" s="22">
        <v>620</v>
      </c>
      <c r="F254" s="22" t="s">
        <v>130</v>
      </c>
      <c r="G254" s="23">
        <v>0</v>
      </c>
      <c r="H254" s="23">
        <v>1142.07</v>
      </c>
      <c r="I254" s="23">
        <v>0</v>
      </c>
      <c r="J254" s="23">
        <v>0</v>
      </c>
      <c r="K254" s="23">
        <v>0</v>
      </c>
      <c r="L254" s="23"/>
      <c r="M254" s="23"/>
      <c r="N254" s="23"/>
      <c r="O254" s="23"/>
      <c r="P254" s="48">
        <f>SUM(P253:P253)</f>
        <v>0</v>
      </c>
      <c r="Q254" s="23">
        <v>0</v>
      </c>
      <c r="R254" s="49" t="e">
        <f t="shared" si="128"/>
        <v>#DIV/0!</v>
      </c>
      <c r="S254" s="23">
        <v>0</v>
      </c>
      <c r="T254" s="49" t="e">
        <f t="shared" si="129"/>
        <v>#DIV/0!</v>
      </c>
      <c r="U254" s="23"/>
      <c r="V254" s="49" t="e">
        <f t="shared" si="130"/>
        <v>#DIV/0!</v>
      </c>
      <c r="W254" s="23"/>
      <c r="X254" s="49" t="e">
        <f t="shared" si="131"/>
        <v>#DIV/0!</v>
      </c>
      <c r="Y254" s="23">
        <v>0</v>
      </c>
      <c r="Z254" s="23">
        <v>0</v>
      </c>
    </row>
    <row r="255" spans="1:26" ht="13.9" customHeight="1" x14ac:dyDescent="0.25">
      <c r="A255" s="14">
        <v>4</v>
      </c>
      <c r="B255" s="14">
        <v>2</v>
      </c>
      <c r="D255" s="83" t="s">
        <v>196</v>
      </c>
      <c r="E255" s="22">
        <v>630</v>
      </c>
      <c r="F255" s="22" t="s">
        <v>131</v>
      </c>
      <c r="G255" s="23">
        <v>0</v>
      </c>
      <c r="H255" s="23">
        <v>4302.96</v>
      </c>
      <c r="I255" s="23">
        <v>545</v>
      </c>
      <c r="J255" s="23">
        <v>515.01</v>
      </c>
      <c r="K255" s="23">
        <v>515</v>
      </c>
      <c r="L255" s="23"/>
      <c r="M255" s="23"/>
      <c r="N255" s="23"/>
      <c r="O255" s="23">
        <v>28</v>
      </c>
      <c r="P255" s="23">
        <f>K255+SUM(L255:O255)</f>
        <v>543</v>
      </c>
      <c r="Q255" s="23">
        <v>215.01</v>
      </c>
      <c r="R255" s="24">
        <f t="shared" si="128"/>
        <v>0.39596685082872929</v>
      </c>
      <c r="S255" s="23">
        <v>215.01</v>
      </c>
      <c r="T255" s="24">
        <f t="shared" si="129"/>
        <v>0.39596685082872929</v>
      </c>
      <c r="U255" s="23">
        <v>215.01</v>
      </c>
      <c r="V255" s="24">
        <f t="shared" si="130"/>
        <v>0.39596685082872929</v>
      </c>
      <c r="W255" s="23">
        <v>543.29</v>
      </c>
      <c r="X255" s="24">
        <f t="shared" si="131"/>
        <v>1.0005340699815837</v>
      </c>
      <c r="Y255" s="23">
        <f>K255</f>
        <v>515</v>
      </c>
      <c r="Z255" s="23">
        <f>Y255</f>
        <v>515</v>
      </c>
    </row>
    <row r="256" spans="1:26" ht="13.9" customHeight="1" x14ac:dyDescent="0.25">
      <c r="A256" s="14">
        <v>4</v>
      </c>
      <c r="B256" s="14">
        <v>2</v>
      </c>
      <c r="D256" s="84" t="s">
        <v>21</v>
      </c>
      <c r="E256" s="47">
        <v>41</v>
      </c>
      <c r="F256" s="47" t="s">
        <v>23</v>
      </c>
      <c r="G256" s="48">
        <f t="shared" ref="G256:Q256" si="133">SUM(G254:G255)</f>
        <v>0</v>
      </c>
      <c r="H256" s="48">
        <f t="shared" si="133"/>
        <v>5445.03</v>
      </c>
      <c r="I256" s="48">
        <f t="shared" si="133"/>
        <v>545</v>
      </c>
      <c r="J256" s="48">
        <f t="shared" si="133"/>
        <v>515.01</v>
      </c>
      <c r="K256" s="48">
        <f t="shared" si="133"/>
        <v>515</v>
      </c>
      <c r="L256" s="48">
        <f t="shared" si="133"/>
        <v>0</v>
      </c>
      <c r="M256" s="48">
        <f t="shared" si="133"/>
        <v>0</v>
      </c>
      <c r="N256" s="48">
        <f t="shared" si="133"/>
        <v>0</v>
      </c>
      <c r="O256" s="48">
        <f t="shared" si="133"/>
        <v>28</v>
      </c>
      <c r="P256" s="48">
        <f t="shared" si="133"/>
        <v>543</v>
      </c>
      <c r="Q256" s="48">
        <f t="shared" si="133"/>
        <v>215.01</v>
      </c>
      <c r="R256" s="49">
        <f t="shared" si="128"/>
        <v>0.39596685082872929</v>
      </c>
      <c r="S256" s="48">
        <f>SUM(S254:S255)</f>
        <v>215.01</v>
      </c>
      <c r="T256" s="49">
        <f t="shared" si="129"/>
        <v>0.39596685082872929</v>
      </c>
      <c r="U256" s="48">
        <f>SUM(U254:U255)</f>
        <v>215.01</v>
      </c>
      <c r="V256" s="49">
        <f t="shared" si="130"/>
        <v>0.39596685082872929</v>
      </c>
      <c r="W256" s="48">
        <f>SUM(W254:W255)</f>
        <v>543.29</v>
      </c>
      <c r="X256" s="49">
        <f t="shared" si="131"/>
        <v>1.0005340699815837</v>
      </c>
      <c r="Y256" s="48">
        <f>SUM(Y254:Y255)</f>
        <v>515</v>
      </c>
      <c r="Z256" s="48">
        <f>SUM(Z254:Z255)</f>
        <v>515</v>
      </c>
    </row>
    <row r="257" spans="1:26" ht="13.9" customHeight="1" x14ac:dyDescent="0.25">
      <c r="A257" s="14">
        <v>4</v>
      </c>
      <c r="B257" s="14">
        <v>2</v>
      </c>
      <c r="D257" s="86"/>
      <c r="E257" s="87"/>
      <c r="F257" s="25" t="s">
        <v>124</v>
      </c>
      <c r="G257" s="26">
        <f t="shared" ref="G257:Q257" si="134">G253+G256</f>
        <v>0</v>
      </c>
      <c r="H257" s="26">
        <f t="shared" si="134"/>
        <v>5445.03</v>
      </c>
      <c r="I257" s="26">
        <f t="shared" si="134"/>
        <v>545</v>
      </c>
      <c r="J257" s="26">
        <f t="shared" si="134"/>
        <v>515.01</v>
      </c>
      <c r="K257" s="26">
        <f t="shared" si="134"/>
        <v>515</v>
      </c>
      <c r="L257" s="26">
        <f t="shared" si="134"/>
        <v>0</v>
      </c>
      <c r="M257" s="26">
        <f t="shared" si="134"/>
        <v>0</v>
      </c>
      <c r="N257" s="26">
        <f t="shared" si="134"/>
        <v>0</v>
      </c>
      <c r="O257" s="26">
        <f t="shared" si="134"/>
        <v>28</v>
      </c>
      <c r="P257" s="26">
        <f t="shared" si="134"/>
        <v>543</v>
      </c>
      <c r="Q257" s="26">
        <f t="shared" si="134"/>
        <v>215.01</v>
      </c>
      <c r="R257" s="27">
        <f t="shared" si="128"/>
        <v>0.39596685082872929</v>
      </c>
      <c r="S257" s="26">
        <f>S253+S256</f>
        <v>215.01</v>
      </c>
      <c r="T257" s="27">
        <f t="shared" si="129"/>
        <v>0.39596685082872929</v>
      </c>
      <c r="U257" s="26">
        <f>U253+U256</f>
        <v>215.01</v>
      </c>
      <c r="V257" s="27">
        <f t="shared" si="130"/>
        <v>0.39596685082872929</v>
      </c>
      <c r="W257" s="26">
        <f>W253+W256</f>
        <v>543.29</v>
      </c>
      <c r="X257" s="27">
        <f t="shared" si="131"/>
        <v>1.0005340699815837</v>
      </c>
      <c r="Y257" s="26">
        <f>Y253+Y256</f>
        <v>515</v>
      </c>
      <c r="Z257" s="26">
        <f>Z253+Z256</f>
        <v>515</v>
      </c>
    </row>
    <row r="259" spans="1:26" ht="13.9" customHeight="1" x14ac:dyDescent="0.25">
      <c r="D259" s="72" t="s">
        <v>198</v>
      </c>
      <c r="E259" s="72"/>
      <c r="F259" s="72"/>
      <c r="G259" s="72"/>
      <c r="H259" s="72"/>
      <c r="I259" s="72"/>
      <c r="J259" s="72"/>
      <c r="K259" s="72"/>
      <c r="L259" s="72"/>
      <c r="M259" s="72"/>
      <c r="N259" s="72"/>
      <c r="O259" s="72"/>
      <c r="P259" s="72"/>
      <c r="Q259" s="72"/>
      <c r="R259" s="73"/>
      <c r="S259" s="72"/>
      <c r="T259" s="73"/>
      <c r="U259" s="72"/>
      <c r="V259" s="73"/>
      <c r="W259" s="72"/>
      <c r="X259" s="73"/>
      <c r="Y259" s="72"/>
      <c r="Z259" s="72"/>
    </row>
    <row r="260" spans="1:26" ht="13.9" customHeight="1" x14ac:dyDescent="0.25">
      <c r="D260" s="20" t="s">
        <v>33</v>
      </c>
      <c r="E260" s="20" t="s">
        <v>34</v>
      </c>
      <c r="F260" s="20" t="s">
        <v>35</v>
      </c>
      <c r="G260" s="20" t="s">
        <v>1</v>
      </c>
      <c r="H260" s="20" t="s">
        <v>2</v>
      </c>
      <c r="I260" s="20" t="s">
        <v>3</v>
      </c>
      <c r="J260" s="20" t="s">
        <v>4</v>
      </c>
      <c r="K260" s="20" t="s">
        <v>5</v>
      </c>
      <c r="L260" s="20" t="s">
        <v>6</v>
      </c>
      <c r="M260" s="20" t="s">
        <v>7</v>
      </c>
      <c r="N260" s="20" t="s">
        <v>8</v>
      </c>
      <c r="O260" s="20" t="s">
        <v>9</v>
      </c>
      <c r="P260" s="20" t="s">
        <v>10</v>
      </c>
      <c r="Q260" s="20" t="s">
        <v>11</v>
      </c>
      <c r="R260" s="21" t="s">
        <v>12</v>
      </c>
      <c r="S260" s="20" t="s">
        <v>13</v>
      </c>
      <c r="T260" s="21" t="s">
        <v>14</v>
      </c>
      <c r="U260" s="20" t="s">
        <v>15</v>
      </c>
      <c r="V260" s="21" t="s">
        <v>16</v>
      </c>
      <c r="W260" s="20" t="s">
        <v>17</v>
      </c>
      <c r="X260" s="21" t="s">
        <v>18</v>
      </c>
      <c r="Y260" s="20" t="s">
        <v>19</v>
      </c>
      <c r="Z260" s="20" t="s">
        <v>20</v>
      </c>
    </row>
    <row r="261" spans="1:26" ht="13.9" hidden="1" customHeight="1" x14ac:dyDescent="0.25">
      <c r="A261" s="14">
        <v>4</v>
      </c>
      <c r="B261" s="14">
        <v>3</v>
      </c>
      <c r="D261" s="83" t="s">
        <v>196</v>
      </c>
      <c r="E261" s="22">
        <v>630</v>
      </c>
      <c r="F261" s="22" t="s">
        <v>131</v>
      </c>
      <c r="G261" s="23">
        <v>0</v>
      </c>
      <c r="H261" s="23">
        <v>3093.96</v>
      </c>
      <c r="I261" s="23">
        <v>0</v>
      </c>
      <c r="J261" s="23">
        <v>0</v>
      </c>
      <c r="K261" s="23">
        <v>0</v>
      </c>
      <c r="L261" s="23"/>
      <c r="M261" s="23"/>
      <c r="N261" s="23"/>
      <c r="O261" s="23"/>
      <c r="P261" s="23">
        <f>K261+SUM(L261:O261)</f>
        <v>0</v>
      </c>
      <c r="Q261" s="23">
        <v>0</v>
      </c>
      <c r="R261" s="24" t="e">
        <f t="shared" ref="R261:R270" si="135">Q261/$P261</f>
        <v>#DIV/0!</v>
      </c>
      <c r="S261" s="23">
        <v>0</v>
      </c>
      <c r="T261" s="24" t="e">
        <f t="shared" ref="T261:T270" si="136">S261/$P261</f>
        <v>#DIV/0!</v>
      </c>
      <c r="U261" s="23"/>
      <c r="V261" s="24" t="e">
        <f t="shared" ref="V261:V270" si="137">U261/$P261</f>
        <v>#DIV/0!</v>
      </c>
      <c r="W261" s="23"/>
      <c r="X261" s="24" t="e">
        <f t="shared" ref="X261:X270" si="138">W261/$P261</f>
        <v>#DIV/0!</v>
      </c>
      <c r="Y261" s="23">
        <v>0</v>
      </c>
      <c r="Z261" s="23">
        <f>Y261</f>
        <v>0</v>
      </c>
    </row>
    <row r="262" spans="1:26" ht="13.9" hidden="1" customHeight="1" x14ac:dyDescent="0.25">
      <c r="A262" s="14">
        <v>4</v>
      </c>
      <c r="B262" s="14">
        <v>3</v>
      </c>
      <c r="D262" s="84" t="s">
        <v>21</v>
      </c>
      <c r="E262" s="47">
        <v>111</v>
      </c>
      <c r="F262" s="47" t="s">
        <v>134</v>
      </c>
      <c r="G262" s="48">
        <f t="shared" ref="G262:Q262" si="139">SUM(G261:G261)</f>
        <v>0</v>
      </c>
      <c r="H262" s="48">
        <f t="shared" si="139"/>
        <v>3093.96</v>
      </c>
      <c r="I262" s="48">
        <f t="shared" si="139"/>
        <v>0</v>
      </c>
      <c r="J262" s="48">
        <f t="shared" si="139"/>
        <v>0</v>
      </c>
      <c r="K262" s="48">
        <f t="shared" si="139"/>
        <v>0</v>
      </c>
      <c r="L262" s="48">
        <f t="shared" si="139"/>
        <v>0</v>
      </c>
      <c r="M262" s="48">
        <f t="shared" si="139"/>
        <v>0</v>
      </c>
      <c r="N262" s="48">
        <f t="shared" si="139"/>
        <v>0</v>
      </c>
      <c r="O262" s="48">
        <f t="shared" si="139"/>
        <v>0</v>
      </c>
      <c r="P262" s="48">
        <f t="shared" si="139"/>
        <v>0</v>
      </c>
      <c r="Q262" s="48">
        <f t="shared" si="139"/>
        <v>0</v>
      </c>
      <c r="R262" s="49" t="e">
        <f t="shared" si="135"/>
        <v>#DIV/0!</v>
      </c>
      <c r="S262" s="48">
        <f>SUM(S261:S261)</f>
        <v>0</v>
      </c>
      <c r="T262" s="49" t="e">
        <f t="shared" si="136"/>
        <v>#DIV/0!</v>
      </c>
      <c r="U262" s="48">
        <f>SUM(U261:U261)</f>
        <v>0</v>
      </c>
      <c r="V262" s="49" t="e">
        <f t="shared" si="137"/>
        <v>#DIV/0!</v>
      </c>
      <c r="W262" s="48">
        <f>SUM(W261:W261)</f>
        <v>0</v>
      </c>
      <c r="X262" s="49" t="e">
        <f t="shared" si="138"/>
        <v>#DIV/0!</v>
      </c>
      <c r="Y262" s="48">
        <f>SUM(Y261:Y261)</f>
        <v>0</v>
      </c>
      <c r="Z262" s="48">
        <f>SUM(Z261:Z261)</f>
        <v>0</v>
      </c>
    </row>
    <row r="263" spans="1:26" ht="13.9" customHeight="1" x14ac:dyDescent="0.25">
      <c r="A263" s="14">
        <v>4</v>
      </c>
      <c r="B263" s="14">
        <v>3</v>
      </c>
      <c r="D263" s="10" t="s">
        <v>196</v>
      </c>
      <c r="E263" s="22">
        <v>610</v>
      </c>
      <c r="F263" s="22" t="s">
        <v>129</v>
      </c>
      <c r="G263" s="23">
        <v>0</v>
      </c>
      <c r="H263" s="23">
        <v>11928.29</v>
      </c>
      <c r="I263" s="23">
        <v>20236</v>
      </c>
      <c r="J263" s="23">
        <v>19051.72</v>
      </c>
      <c r="K263" s="23">
        <f>21051-104</f>
        <v>20947</v>
      </c>
      <c r="L263" s="23"/>
      <c r="M263" s="23"/>
      <c r="N263" s="23"/>
      <c r="O263" s="23">
        <v>-928</v>
      </c>
      <c r="P263" s="23">
        <f>K263+SUM(L263:O263)</f>
        <v>20019</v>
      </c>
      <c r="Q263" s="23">
        <v>4690.5600000000004</v>
      </c>
      <c r="R263" s="24">
        <f t="shared" si="135"/>
        <v>0.23430540986063242</v>
      </c>
      <c r="S263" s="23">
        <v>9559.56</v>
      </c>
      <c r="T263" s="24">
        <f t="shared" si="136"/>
        <v>0.47752435186572756</v>
      </c>
      <c r="U263" s="23">
        <v>14948.51</v>
      </c>
      <c r="V263" s="24">
        <f t="shared" si="137"/>
        <v>0.74671611968629803</v>
      </c>
      <c r="W263" s="23">
        <v>17526.82</v>
      </c>
      <c r="X263" s="24">
        <f t="shared" si="138"/>
        <v>0.87550926619711278</v>
      </c>
      <c r="Y263" s="23">
        <v>23013</v>
      </c>
      <c r="Z263" s="23">
        <v>25172</v>
      </c>
    </row>
    <row r="264" spans="1:26" ht="13.9" customHeight="1" x14ac:dyDescent="0.25">
      <c r="A264" s="14">
        <v>4</v>
      </c>
      <c r="B264" s="14">
        <v>3</v>
      </c>
      <c r="D264" s="10"/>
      <c r="E264" s="22">
        <v>620</v>
      </c>
      <c r="F264" s="22" t="s">
        <v>130</v>
      </c>
      <c r="G264" s="23">
        <v>0</v>
      </c>
      <c r="H264" s="23">
        <v>4168.7700000000004</v>
      </c>
      <c r="I264" s="23">
        <v>7477</v>
      </c>
      <c r="J264" s="23">
        <v>6428.72</v>
      </c>
      <c r="K264" s="23">
        <v>7358</v>
      </c>
      <c r="L264" s="23"/>
      <c r="M264" s="23"/>
      <c r="N264" s="23"/>
      <c r="O264" s="23"/>
      <c r="P264" s="23">
        <f>K264+SUM(L264:O264)</f>
        <v>7358</v>
      </c>
      <c r="Q264" s="23">
        <v>1639.24</v>
      </c>
      <c r="R264" s="24">
        <f t="shared" si="135"/>
        <v>0.22278336504484914</v>
      </c>
      <c r="S264" s="23">
        <v>3340.93</v>
      </c>
      <c r="T264" s="24">
        <f t="shared" si="136"/>
        <v>0.45405409078553954</v>
      </c>
      <c r="U264" s="23">
        <v>5224.29</v>
      </c>
      <c r="V264" s="24">
        <f t="shared" si="137"/>
        <v>0.71001494971459633</v>
      </c>
      <c r="W264" s="23">
        <v>6125.34</v>
      </c>
      <c r="X264" s="24">
        <f t="shared" si="138"/>
        <v>0.83247349823321559</v>
      </c>
      <c r="Y264" s="23">
        <v>8042</v>
      </c>
      <c r="Z264" s="23">
        <v>8797</v>
      </c>
    </row>
    <row r="265" spans="1:26" ht="13.9" customHeight="1" x14ac:dyDescent="0.25">
      <c r="A265" s="14">
        <v>4</v>
      </c>
      <c r="B265" s="14">
        <v>3</v>
      </c>
      <c r="D265" s="10"/>
      <c r="E265" s="22">
        <v>630</v>
      </c>
      <c r="F265" s="22" t="s">
        <v>131</v>
      </c>
      <c r="G265" s="23">
        <v>3225.65</v>
      </c>
      <c r="H265" s="23">
        <v>15575.72</v>
      </c>
      <c r="I265" s="23">
        <v>10242</v>
      </c>
      <c r="J265" s="23">
        <v>21347.38</v>
      </c>
      <c r="K265" s="23">
        <f>1956+9655+42500</f>
        <v>54111</v>
      </c>
      <c r="L265" s="23"/>
      <c r="M265" s="23">
        <v>-571</v>
      </c>
      <c r="N265" s="23"/>
      <c r="O265" s="23"/>
      <c r="P265" s="23">
        <f>K265+SUM(L265:O265)</f>
        <v>53540</v>
      </c>
      <c r="Q265" s="23">
        <v>1894.6</v>
      </c>
      <c r="R265" s="24">
        <f t="shared" si="135"/>
        <v>3.5386626821068357E-2</v>
      </c>
      <c r="S265" s="23">
        <v>42880.97</v>
      </c>
      <c r="T265" s="24">
        <f t="shared" si="136"/>
        <v>0.80091464325737771</v>
      </c>
      <c r="U265" s="23">
        <v>46260.03</v>
      </c>
      <c r="V265" s="24">
        <f t="shared" si="137"/>
        <v>0.86402745610758314</v>
      </c>
      <c r="W265" s="23">
        <v>52660.160000000003</v>
      </c>
      <c r="X265" s="24">
        <f t="shared" si="138"/>
        <v>0.98356667911841622</v>
      </c>
      <c r="Y265" s="23">
        <f>1970+9655</f>
        <v>11625</v>
      </c>
      <c r="Z265" s="23">
        <f>1994+9655</f>
        <v>11649</v>
      </c>
    </row>
    <row r="266" spans="1:26" ht="13.9" customHeight="1" x14ac:dyDescent="0.25">
      <c r="A266" s="14">
        <v>4</v>
      </c>
      <c r="B266" s="14">
        <v>3</v>
      </c>
      <c r="D266" s="10"/>
      <c r="E266" s="22">
        <v>640</v>
      </c>
      <c r="F266" s="22" t="s">
        <v>132</v>
      </c>
      <c r="G266" s="23">
        <v>0</v>
      </c>
      <c r="H266" s="23">
        <v>84.57</v>
      </c>
      <c r="I266" s="23">
        <v>0</v>
      </c>
      <c r="J266" s="23">
        <v>169.28</v>
      </c>
      <c r="K266" s="45">
        <v>104</v>
      </c>
      <c r="L266" s="23"/>
      <c r="M266" s="23"/>
      <c r="N266" s="23"/>
      <c r="O266" s="23"/>
      <c r="P266" s="23">
        <f>K266+SUM(L266:O266)</f>
        <v>104</v>
      </c>
      <c r="Q266" s="23">
        <v>102.34</v>
      </c>
      <c r="R266" s="24">
        <f t="shared" si="135"/>
        <v>0.98403846153846153</v>
      </c>
      <c r="S266" s="23">
        <v>102.34</v>
      </c>
      <c r="T266" s="24">
        <f t="shared" si="136"/>
        <v>0.98403846153846153</v>
      </c>
      <c r="U266" s="23">
        <v>102.34</v>
      </c>
      <c r="V266" s="24">
        <f t="shared" si="137"/>
        <v>0.98403846153846153</v>
      </c>
      <c r="W266" s="23">
        <v>102.34</v>
      </c>
      <c r="X266" s="24">
        <f t="shared" si="138"/>
        <v>0.98403846153846153</v>
      </c>
      <c r="Y266" s="23">
        <v>0</v>
      </c>
      <c r="Z266" s="23">
        <v>0</v>
      </c>
    </row>
    <row r="267" spans="1:26" ht="13.9" customHeight="1" x14ac:dyDescent="0.25">
      <c r="A267" s="14">
        <v>4</v>
      </c>
      <c r="B267" s="14">
        <v>3</v>
      </c>
      <c r="D267" s="84" t="s">
        <v>21</v>
      </c>
      <c r="E267" s="47">
        <v>41</v>
      </c>
      <c r="F267" s="47" t="s">
        <v>23</v>
      </c>
      <c r="G267" s="48">
        <f t="shared" ref="G267:Q267" si="140">SUM(G263:G266)</f>
        <v>3225.65</v>
      </c>
      <c r="H267" s="48">
        <f t="shared" si="140"/>
        <v>31757.35</v>
      </c>
      <c r="I267" s="48">
        <f t="shared" si="140"/>
        <v>37955</v>
      </c>
      <c r="J267" s="48">
        <f t="shared" si="140"/>
        <v>46997.100000000006</v>
      </c>
      <c r="K267" s="48">
        <f t="shared" si="140"/>
        <v>82520</v>
      </c>
      <c r="L267" s="48">
        <f t="shared" si="140"/>
        <v>0</v>
      </c>
      <c r="M267" s="48">
        <f t="shared" si="140"/>
        <v>-571</v>
      </c>
      <c r="N267" s="48">
        <f t="shared" si="140"/>
        <v>0</v>
      </c>
      <c r="O267" s="48">
        <f t="shared" si="140"/>
        <v>-928</v>
      </c>
      <c r="P267" s="48">
        <f t="shared" si="140"/>
        <v>81021</v>
      </c>
      <c r="Q267" s="48">
        <f t="shared" si="140"/>
        <v>8326.74</v>
      </c>
      <c r="R267" s="49">
        <f t="shared" si="135"/>
        <v>0.10277261450734994</v>
      </c>
      <c r="S267" s="48">
        <f>SUM(S263:S266)</f>
        <v>55883.799999999996</v>
      </c>
      <c r="T267" s="49">
        <f t="shared" si="136"/>
        <v>0.68974463410720677</v>
      </c>
      <c r="U267" s="48">
        <f>SUM(U263:U266)</f>
        <v>66535.17</v>
      </c>
      <c r="V267" s="49">
        <f t="shared" si="137"/>
        <v>0.82120894582885917</v>
      </c>
      <c r="W267" s="48">
        <f>SUM(W263:W266)</f>
        <v>76414.66</v>
      </c>
      <c r="X267" s="49">
        <f t="shared" si="138"/>
        <v>0.94314634477481152</v>
      </c>
      <c r="Y267" s="48">
        <f>SUM(Y263:Y266)</f>
        <v>42680</v>
      </c>
      <c r="Z267" s="48">
        <f>SUM(Z263:Z266)</f>
        <v>45618</v>
      </c>
    </row>
    <row r="268" spans="1:26" ht="13.9" customHeight="1" x14ac:dyDescent="0.25">
      <c r="A268" s="14">
        <v>4</v>
      </c>
      <c r="B268" s="14">
        <v>3</v>
      </c>
      <c r="D268" s="83" t="s">
        <v>196</v>
      </c>
      <c r="E268" s="22">
        <v>640</v>
      </c>
      <c r="F268" s="22" t="s">
        <v>132</v>
      </c>
      <c r="G268" s="23">
        <v>0</v>
      </c>
      <c r="H268" s="23">
        <v>159.47</v>
      </c>
      <c r="I268" s="23">
        <v>167</v>
      </c>
      <c r="J268" s="23">
        <v>247.65</v>
      </c>
      <c r="K268" s="23">
        <v>248</v>
      </c>
      <c r="L268" s="23"/>
      <c r="M268" s="23"/>
      <c r="N268" s="23"/>
      <c r="O268" s="23">
        <v>-4</v>
      </c>
      <c r="P268" s="23">
        <f>K268+SUM(L268:O268)</f>
        <v>244</v>
      </c>
      <c r="Q268" s="23">
        <v>0</v>
      </c>
      <c r="R268" s="24">
        <f t="shared" si="135"/>
        <v>0</v>
      </c>
      <c r="S268" s="23">
        <v>0</v>
      </c>
      <c r="T268" s="24">
        <f t="shared" si="136"/>
        <v>0</v>
      </c>
      <c r="U268" s="23">
        <v>0</v>
      </c>
      <c r="V268" s="24">
        <f t="shared" si="137"/>
        <v>0</v>
      </c>
      <c r="W268" s="23">
        <v>244.5</v>
      </c>
      <c r="X268" s="24">
        <f t="shared" si="138"/>
        <v>1.0020491803278688</v>
      </c>
      <c r="Y268" s="23">
        <f>K268</f>
        <v>248</v>
      </c>
      <c r="Z268" s="23">
        <f>Y268</f>
        <v>248</v>
      </c>
    </row>
    <row r="269" spans="1:26" ht="13.9" customHeight="1" x14ac:dyDescent="0.25">
      <c r="A269" s="14">
        <v>4</v>
      </c>
      <c r="B269" s="14">
        <v>3</v>
      </c>
      <c r="D269" s="84" t="s">
        <v>21</v>
      </c>
      <c r="E269" s="47">
        <v>72</v>
      </c>
      <c r="F269" s="47" t="s">
        <v>25</v>
      </c>
      <c r="G269" s="48">
        <f t="shared" ref="G269:Q269" si="141">SUM(G268:G268)</f>
        <v>0</v>
      </c>
      <c r="H269" s="48">
        <f t="shared" si="141"/>
        <v>159.47</v>
      </c>
      <c r="I269" s="48">
        <f t="shared" si="141"/>
        <v>167</v>
      </c>
      <c r="J269" s="48">
        <f t="shared" si="141"/>
        <v>247.65</v>
      </c>
      <c r="K269" s="48">
        <f t="shared" si="141"/>
        <v>248</v>
      </c>
      <c r="L269" s="48">
        <f t="shared" si="141"/>
        <v>0</v>
      </c>
      <c r="M269" s="48">
        <f t="shared" si="141"/>
        <v>0</v>
      </c>
      <c r="N269" s="48">
        <f t="shared" si="141"/>
        <v>0</v>
      </c>
      <c r="O269" s="48">
        <f t="shared" si="141"/>
        <v>-4</v>
      </c>
      <c r="P269" s="48">
        <f t="shared" si="141"/>
        <v>244</v>
      </c>
      <c r="Q269" s="48">
        <f t="shared" si="141"/>
        <v>0</v>
      </c>
      <c r="R269" s="49">
        <f t="shared" si="135"/>
        <v>0</v>
      </c>
      <c r="S269" s="48">
        <f>SUM(S268:S268)</f>
        <v>0</v>
      </c>
      <c r="T269" s="49">
        <f t="shared" si="136"/>
        <v>0</v>
      </c>
      <c r="U269" s="48">
        <f>SUM(U268:U268)</f>
        <v>0</v>
      </c>
      <c r="V269" s="49">
        <f t="shared" si="137"/>
        <v>0</v>
      </c>
      <c r="W269" s="48">
        <f>SUM(W268:W268)</f>
        <v>244.5</v>
      </c>
      <c r="X269" s="49">
        <f t="shared" si="138"/>
        <v>1.0020491803278688</v>
      </c>
      <c r="Y269" s="48">
        <f>SUM(Y268:Y268)</f>
        <v>248</v>
      </c>
      <c r="Z269" s="48">
        <f>SUM(Z268:Z268)</f>
        <v>248</v>
      </c>
    </row>
    <row r="270" spans="1:26" ht="13.9" customHeight="1" x14ac:dyDescent="0.25">
      <c r="A270" s="14">
        <v>4</v>
      </c>
      <c r="B270" s="14">
        <v>3</v>
      </c>
      <c r="D270" s="86"/>
      <c r="E270" s="87"/>
      <c r="F270" s="25" t="s">
        <v>124</v>
      </c>
      <c r="G270" s="26">
        <f t="shared" ref="G270:Q270" si="142">G262+G267+G269</f>
        <v>3225.65</v>
      </c>
      <c r="H270" s="26">
        <f t="shared" si="142"/>
        <v>35010.78</v>
      </c>
      <c r="I270" s="26">
        <f t="shared" si="142"/>
        <v>38122</v>
      </c>
      <c r="J270" s="26">
        <f t="shared" si="142"/>
        <v>47244.750000000007</v>
      </c>
      <c r="K270" s="26">
        <f t="shared" si="142"/>
        <v>82768</v>
      </c>
      <c r="L270" s="26">
        <f t="shared" si="142"/>
        <v>0</v>
      </c>
      <c r="M270" s="26">
        <f t="shared" si="142"/>
        <v>-571</v>
      </c>
      <c r="N270" s="26">
        <f t="shared" si="142"/>
        <v>0</v>
      </c>
      <c r="O270" s="26">
        <f t="shared" si="142"/>
        <v>-932</v>
      </c>
      <c r="P270" s="26">
        <f t="shared" si="142"/>
        <v>81265</v>
      </c>
      <c r="Q270" s="26">
        <f t="shared" si="142"/>
        <v>8326.74</v>
      </c>
      <c r="R270" s="27">
        <f t="shared" si="135"/>
        <v>0.10246403740847843</v>
      </c>
      <c r="S270" s="26">
        <f>S262+S267+S269</f>
        <v>55883.799999999996</v>
      </c>
      <c r="T270" s="27">
        <f t="shared" si="136"/>
        <v>0.68767366024733889</v>
      </c>
      <c r="U270" s="26">
        <f>U262+U267+U269</f>
        <v>66535.17</v>
      </c>
      <c r="V270" s="27">
        <f t="shared" si="137"/>
        <v>0.81874324740047988</v>
      </c>
      <c r="W270" s="26">
        <f>W262+W267+W269</f>
        <v>76659.16</v>
      </c>
      <c r="X270" s="27">
        <f t="shared" si="138"/>
        <v>0.94332320187042396</v>
      </c>
      <c r="Y270" s="26">
        <f>Y262+Y267+Y269</f>
        <v>42928</v>
      </c>
      <c r="Z270" s="26">
        <f>Z262+Z267+Z269</f>
        <v>45866</v>
      </c>
    </row>
    <row r="272" spans="1:26" ht="13.9" customHeight="1" x14ac:dyDescent="0.25">
      <c r="E272" s="51" t="s">
        <v>57</v>
      </c>
      <c r="F272" s="29" t="s">
        <v>149</v>
      </c>
      <c r="G272" s="52">
        <v>20</v>
      </c>
      <c r="H272" s="52">
        <v>392.8</v>
      </c>
      <c r="I272" s="91">
        <v>1000</v>
      </c>
      <c r="J272" s="91">
        <v>11480.96</v>
      </c>
      <c r="K272" s="91">
        <v>473</v>
      </c>
      <c r="L272" s="91"/>
      <c r="M272" s="91"/>
      <c r="N272" s="91"/>
      <c r="O272" s="91"/>
      <c r="P272" s="91">
        <f t="shared" ref="P272:P277" si="143">K272+SUM(L272:O272)</f>
        <v>473</v>
      </c>
      <c r="Q272" s="91">
        <v>86</v>
      </c>
      <c r="R272" s="107">
        <f t="shared" ref="R272:R277" si="144">Q272/$P272</f>
        <v>0.18181818181818182</v>
      </c>
      <c r="S272" s="91">
        <v>215</v>
      </c>
      <c r="T272" s="107">
        <f t="shared" ref="T272:T277" si="145">S272/$P272</f>
        <v>0.45454545454545453</v>
      </c>
      <c r="U272" s="91">
        <v>344</v>
      </c>
      <c r="V272" s="107">
        <f t="shared" ref="V272:V277" si="146">U272/$P272</f>
        <v>0.72727272727272729</v>
      </c>
      <c r="W272" s="91">
        <v>473</v>
      </c>
      <c r="X272" s="108">
        <f t="shared" ref="X272:X277" si="147">W272/$P272</f>
        <v>1</v>
      </c>
      <c r="Y272" s="52">
        <f>K272</f>
        <v>473</v>
      </c>
      <c r="Z272" s="55">
        <f>Y272</f>
        <v>473</v>
      </c>
    </row>
    <row r="273" spans="1:26" ht="13.9" customHeight="1" x14ac:dyDescent="0.25">
      <c r="E273" s="56"/>
      <c r="F273" s="92" t="s">
        <v>153</v>
      </c>
      <c r="G273" s="81"/>
      <c r="H273" s="81">
        <v>1733.62</v>
      </c>
      <c r="I273" s="93">
        <v>100</v>
      </c>
      <c r="J273" s="93">
        <v>1641.45</v>
      </c>
      <c r="K273" s="93">
        <v>1630</v>
      </c>
      <c r="L273" s="93"/>
      <c r="M273" s="93"/>
      <c r="N273" s="93"/>
      <c r="O273" s="93">
        <v>391</v>
      </c>
      <c r="P273" s="93">
        <f t="shared" si="143"/>
        <v>2021</v>
      </c>
      <c r="Q273" s="93">
        <v>269.07</v>
      </c>
      <c r="R273" s="94">
        <f t="shared" si="144"/>
        <v>0.13313706086095992</v>
      </c>
      <c r="S273" s="93">
        <v>269.07</v>
      </c>
      <c r="T273" s="82">
        <f t="shared" si="145"/>
        <v>0.13313706086095992</v>
      </c>
      <c r="U273" s="93">
        <v>290.97000000000003</v>
      </c>
      <c r="V273" s="94">
        <f t="shared" si="146"/>
        <v>0.1439732805541811</v>
      </c>
      <c r="W273" s="93">
        <v>2020.97</v>
      </c>
      <c r="X273" s="59">
        <f t="shared" si="147"/>
        <v>0.99998515586343395</v>
      </c>
      <c r="Y273" s="81"/>
      <c r="Z273" s="60"/>
    </row>
    <row r="274" spans="1:26" ht="13.9" customHeight="1" x14ac:dyDescent="0.25">
      <c r="E274" s="56"/>
      <c r="F274" s="92" t="s">
        <v>199</v>
      </c>
      <c r="G274" s="81"/>
      <c r="H274" s="81"/>
      <c r="I274" s="81">
        <v>3755</v>
      </c>
      <c r="J274" s="81">
        <v>3966</v>
      </c>
      <c r="K274" s="81">
        <v>3966</v>
      </c>
      <c r="L274" s="81"/>
      <c r="M274" s="81"/>
      <c r="N274" s="81"/>
      <c r="O274" s="81">
        <v>267</v>
      </c>
      <c r="P274" s="81">
        <f t="shared" si="143"/>
        <v>4233</v>
      </c>
      <c r="Q274" s="81">
        <v>430.23</v>
      </c>
      <c r="R274" s="82">
        <f t="shared" si="144"/>
        <v>0.10163713678242382</v>
      </c>
      <c r="S274" s="81">
        <v>430.23</v>
      </c>
      <c r="T274" s="82">
        <f t="shared" si="145"/>
        <v>0.10163713678242382</v>
      </c>
      <c r="U274" s="81">
        <v>466.63</v>
      </c>
      <c r="V274" s="82">
        <f t="shared" si="146"/>
        <v>0.11023623907394282</v>
      </c>
      <c r="W274" s="81">
        <v>4232.9799999999996</v>
      </c>
      <c r="X274" s="59">
        <f t="shared" si="147"/>
        <v>0.99999527521852105</v>
      </c>
      <c r="Y274" s="81">
        <f>K274</f>
        <v>3966</v>
      </c>
      <c r="Z274" s="60">
        <f>Y274</f>
        <v>3966</v>
      </c>
    </row>
    <row r="275" spans="1:26" ht="13.9" customHeight="1" x14ac:dyDescent="0.25">
      <c r="E275" s="56"/>
      <c r="F275" s="92" t="s">
        <v>200</v>
      </c>
      <c r="G275" s="81"/>
      <c r="H275" s="81"/>
      <c r="I275" s="93">
        <v>1000</v>
      </c>
      <c r="J275" s="93">
        <v>405</v>
      </c>
      <c r="K275" s="93">
        <v>480</v>
      </c>
      <c r="L275" s="93"/>
      <c r="M275" s="93">
        <v>2000</v>
      </c>
      <c r="N275" s="93"/>
      <c r="O275" s="93">
        <v>95</v>
      </c>
      <c r="P275" s="93">
        <f t="shared" si="143"/>
        <v>2575</v>
      </c>
      <c r="Q275" s="93">
        <v>0</v>
      </c>
      <c r="R275" s="94">
        <f t="shared" si="144"/>
        <v>0</v>
      </c>
      <c r="S275" s="93">
        <v>0</v>
      </c>
      <c r="T275" s="94">
        <f t="shared" si="145"/>
        <v>0</v>
      </c>
      <c r="U275" s="93">
        <v>2358.1999999999998</v>
      </c>
      <c r="V275" s="94">
        <f t="shared" si="146"/>
        <v>0.91580582524271836</v>
      </c>
      <c r="W275" s="93">
        <v>2558.1</v>
      </c>
      <c r="X275" s="63">
        <f t="shared" si="147"/>
        <v>0.99343689320388351</v>
      </c>
      <c r="Y275" s="81">
        <f>K275</f>
        <v>480</v>
      </c>
      <c r="Z275" s="60">
        <f>Y275</f>
        <v>480</v>
      </c>
    </row>
    <row r="276" spans="1:26" ht="13.9" customHeight="1" x14ac:dyDescent="0.25">
      <c r="E276" s="64"/>
      <c r="F276" s="95" t="s">
        <v>201</v>
      </c>
      <c r="G276" s="66"/>
      <c r="H276" s="66"/>
      <c r="I276" s="96"/>
      <c r="J276" s="96"/>
      <c r="K276" s="96">
        <v>42500</v>
      </c>
      <c r="L276" s="96"/>
      <c r="M276" s="96">
        <v>-2571</v>
      </c>
      <c r="N276" s="96"/>
      <c r="O276" s="96"/>
      <c r="P276" s="96">
        <f t="shared" si="143"/>
        <v>39929</v>
      </c>
      <c r="Q276" s="96">
        <v>0</v>
      </c>
      <c r="R276" s="97">
        <f t="shared" si="144"/>
        <v>0</v>
      </c>
      <c r="S276" s="96">
        <v>39928.5</v>
      </c>
      <c r="T276" s="67">
        <f t="shared" si="145"/>
        <v>0.9999874777730472</v>
      </c>
      <c r="U276" s="96">
        <v>39928.5</v>
      </c>
      <c r="V276" s="97">
        <f t="shared" si="146"/>
        <v>0.9999874777730472</v>
      </c>
      <c r="W276" s="96">
        <v>39928.5</v>
      </c>
      <c r="X276" s="68">
        <f t="shared" si="147"/>
        <v>0.9999874777730472</v>
      </c>
      <c r="Y276" s="81"/>
      <c r="Z276" s="60"/>
    </row>
    <row r="277" spans="1:26" ht="13.9" hidden="1" customHeight="1" x14ac:dyDescent="0.25">
      <c r="E277" s="64"/>
      <c r="F277" s="95" t="s">
        <v>202</v>
      </c>
      <c r="G277" s="66"/>
      <c r="H277" s="96">
        <v>3256.8</v>
      </c>
      <c r="I277" s="66"/>
      <c r="J277" s="66">
        <v>0</v>
      </c>
      <c r="K277" s="66"/>
      <c r="L277" s="66"/>
      <c r="M277" s="66"/>
      <c r="N277" s="66"/>
      <c r="O277" s="66"/>
      <c r="P277" s="66">
        <f t="shared" si="143"/>
        <v>0</v>
      </c>
      <c r="Q277" s="66">
        <v>0</v>
      </c>
      <c r="R277" s="67" t="e">
        <f t="shared" si="144"/>
        <v>#DIV/0!</v>
      </c>
      <c r="S277" s="66">
        <v>0</v>
      </c>
      <c r="T277" s="67" t="e">
        <f t="shared" si="145"/>
        <v>#DIV/0!</v>
      </c>
      <c r="U277" s="66"/>
      <c r="V277" s="67" t="e">
        <f t="shared" si="146"/>
        <v>#DIV/0!</v>
      </c>
      <c r="W277" s="66"/>
      <c r="X277" s="68" t="e">
        <f t="shared" si="147"/>
        <v>#DIV/0!</v>
      </c>
      <c r="Y277" s="66"/>
      <c r="Z277" s="69"/>
    </row>
    <row r="279" spans="1:26" ht="13.9" customHeight="1" x14ac:dyDescent="0.25">
      <c r="D279" s="31" t="s">
        <v>203</v>
      </c>
      <c r="E279" s="31"/>
      <c r="F279" s="31"/>
      <c r="G279" s="31"/>
      <c r="H279" s="31"/>
      <c r="I279" s="31"/>
      <c r="J279" s="31"/>
      <c r="K279" s="31"/>
      <c r="L279" s="31"/>
      <c r="M279" s="31"/>
      <c r="N279" s="31"/>
      <c r="O279" s="31"/>
      <c r="P279" s="31"/>
      <c r="Q279" s="31"/>
      <c r="R279" s="32"/>
      <c r="S279" s="31"/>
      <c r="T279" s="32"/>
      <c r="U279" s="31"/>
      <c r="V279" s="32"/>
      <c r="W279" s="31"/>
      <c r="X279" s="32"/>
      <c r="Y279" s="31"/>
      <c r="Z279" s="31"/>
    </row>
    <row r="280" spans="1:26" ht="13.9" customHeight="1" x14ac:dyDescent="0.25">
      <c r="D280" s="20" t="s">
        <v>33</v>
      </c>
      <c r="E280" s="20" t="s">
        <v>34</v>
      </c>
      <c r="F280" s="20" t="s">
        <v>35</v>
      </c>
      <c r="G280" s="20" t="s">
        <v>1</v>
      </c>
      <c r="H280" s="20" t="s">
        <v>2</v>
      </c>
      <c r="I280" s="20" t="s">
        <v>3</v>
      </c>
      <c r="J280" s="20" t="s">
        <v>4</v>
      </c>
      <c r="K280" s="20" t="s">
        <v>5</v>
      </c>
      <c r="L280" s="20" t="s">
        <v>6</v>
      </c>
      <c r="M280" s="20" t="s">
        <v>7</v>
      </c>
      <c r="N280" s="20" t="s">
        <v>8</v>
      </c>
      <c r="O280" s="20" t="s">
        <v>9</v>
      </c>
      <c r="P280" s="20" t="s">
        <v>10</v>
      </c>
      <c r="Q280" s="20" t="s">
        <v>11</v>
      </c>
      <c r="R280" s="21" t="s">
        <v>12</v>
      </c>
      <c r="S280" s="20" t="s">
        <v>13</v>
      </c>
      <c r="T280" s="21" t="s">
        <v>14</v>
      </c>
      <c r="U280" s="20" t="s">
        <v>15</v>
      </c>
      <c r="V280" s="21" t="s">
        <v>16</v>
      </c>
      <c r="W280" s="20" t="s">
        <v>17</v>
      </c>
      <c r="X280" s="21" t="s">
        <v>18</v>
      </c>
      <c r="Y280" s="20" t="s">
        <v>19</v>
      </c>
      <c r="Z280" s="20" t="s">
        <v>20</v>
      </c>
    </row>
    <row r="281" spans="1:26" ht="13.9" customHeight="1" x14ac:dyDescent="0.25">
      <c r="A281" s="14">
        <v>5</v>
      </c>
      <c r="D281" s="11" t="s">
        <v>21</v>
      </c>
      <c r="E281" s="34">
        <v>111</v>
      </c>
      <c r="F281" s="34" t="s">
        <v>47</v>
      </c>
      <c r="G281" s="35">
        <f t="shared" ref="G281:Q281" si="148">G289+G333</f>
        <v>15776.08</v>
      </c>
      <c r="H281" s="35">
        <f t="shared" si="148"/>
        <v>25039.32</v>
      </c>
      <c r="I281" s="35">
        <f t="shared" si="148"/>
        <v>7254</v>
      </c>
      <c r="J281" s="35">
        <f t="shared" si="148"/>
        <v>3073.4900000000002</v>
      </c>
      <c r="K281" s="35">
        <f t="shared" si="148"/>
        <v>6927</v>
      </c>
      <c r="L281" s="35">
        <f t="shared" si="148"/>
        <v>2000</v>
      </c>
      <c r="M281" s="35">
        <f t="shared" si="148"/>
        <v>1935</v>
      </c>
      <c r="N281" s="35">
        <f t="shared" si="148"/>
        <v>0</v>
      </c>
      <c r="O281" s="35">
        <f t="shared" si="148"/>
        <v>0</v>
      </c>
      <c r="P281" s="35">
        <f t="shared" si="148"/>
        <v>10862</v>
      </c>
      <c r="Q281" s="35">
        <f t="shared" si="148"/>
        <v>6758.09</v>
      </c>
      <c r="R281" s="36">
        <f>Q281/$P281</f>
        <v>0.62217731541152643</v>
      </c>
      <c r="S281" s="35">
        <f>S289+S333</f>
        <v>9475.34</v>
      </c>
      <c r="T281" s="36">
        <f>S281/$P281</f>
        <v>0.87233842754557178</v>
      </c>
      <c r="U281" s="35">
        <f>U289+U333</f>
        <v>9586.09</v>
      </c>
      <c r="V281" s="36">
        <f>U281/$P281</f>
        <v>0.88253452402872401</v>
      </c>
      <c r="W281" s="35">
        <f>W289+W333</f>
        <v>9886.81</v>
      </c>
      <c r="X281" s="36">
        <f>W281/$P281</f>
        <v>0.91022003314306754</v>
      </c>
      <c r="Y281" s="35">
        <f>Y289+Y333</f>
        <v>280</v>
      </c>
      <c r="Z281" s="35">
        <f>Z289+Z333</f>
        <v>280</v>
      </c>
    </row>
    <row r="282" spans="1:26" ht="13.9" customHeight="1" x14ac:dyDescent="0.25">
      <c r="A282" s="14">
        <v>5</v>
      </c>
      <c r="D282" s="11"/>
      <c r="E282" s="34">
        <v>41</v>
      </c>
      <c r="F282" s="34" t="s">
        <v>23</v>
      </c>
      <c r="G282" s="35">
        <f t="shared" ref="G282:Q282" si="149">G290+G334</f>
        <v>40057.089999999997</v>
      </c>
      <c r="H282" s="35">
        <f t="shared" si="149"/>
        <v>31104.1</v>
      </c>
      <c r="I282" s="35">
        <f t="shared" si="149"/>
        <v>29471</v>
      </c>
      <c r="J282" s="35">
        <f t="shared" si="149"/>
        <v>32004.410000000003</v>
      </c>
      <c r="K282" s="35">
        <f t="shared" si="149"/>
        <v>40289</v>
      </c>
      <c r="L282" s="35">
        <f t="shared" si="149"/>
        <v>0</v>
      </c>
      <c r="M282" s="35">
        <f t="shared" si="149"/>
        <v>-1341</v>
      </c>
      <c r="N282" s="35">
        <f t="shared" si="149"/>
        <v>3430</v>
      </c>
      <c r="O282" s="35">
        <f t="shared" si="149"/>
        <v>-3337</v>
      </c>
      <c r="P282" s="35">
        <f t="shared" si="149"/>
        <v>39041</v>
      </c>
      <c r="Q282" s="35">
        <f t="shared" si="149"/>
        <v>5961.65</v>
      </c>
      <c r="R282" s="36">
        <f>Q282/$P282</f>
        <v>0.15270228733895136</v>
      </c>
      <c r="S282" s="35">
        <f>S290+S334</f>
        <v>13074.939999999999</v>
      </c>
      <c r="T282" s="36">
        <f>S282/$P282</f>
        <v>0.33490279449809174</v>
      </c>
      <c r="U282" s="35">
        <f>U290+U334</f>
        <v>23546.37</v>
      </c>
      <c r="V282" s="36">
        <f>U282/$P282</f>
        <v>0.60311902871340384</v>
      </c>
      <c r="W282" s="35">
        <f>W290+W334</f>
        <v>35304.9</v>
      </c>
      <c r="X282" s="36">
        <f>W282/$P282</f>
        <v>0.90430316846392256</v>
      </c>
      <c r="Y282" s="35">
        <f>Y290+Y334</f>
        <v>24341</v>
      </c>
      <c r="Z282" s="35">
        <f>Z290+Z334</f>
        <v>24341</v>
      </c>
    </row>
    <row r="283" spans="1:26" ht="13.9" customHeight="1" x14ac:dyDescent="0.25">
      <c r="A283" s="14">
        <v>5</v>
      </c>
      <c r="D283" s="11"/>
      <c r="E283" s="34">
        <v>71</v>
      </c>
      <c r="F283" s="34" t="s">
        <v>24</v>
      </c>
      <c r="G283" s="35">
        <f t="shared" ref="G283:Q283" si="150">G291</f>
        <v>1400</v>
      </c>
      <c r="H283" s="35">
        <f t="shared" si="150"/>
        <v>1400</v>
      </c>
      <c r="I283" s="35">
        <f t="shared" si="150"/>
        <v>1400</v>
      </c>
      <c r="J283" s="35">
        <f t="shared" si="150"/>
        <v>1400</v>
      </c>
      <c r="K283" s="35">
        <f t="shared" si="150"/>
        <v>3000</v>
      </c>
      <c r="L283" s="35">
        <f t="shared" si="150"/>
        <v>0</v>
      </c>
      <c r="M283" s="35">
        <f t="shared" si="150"/>
        <v>0</v>
      </c>
      <c r="N283" s="35">
        <f t="shared" si="150"/>
        <v>0</v>
      </c>
      <c r="O283" s="35">
        <f t="shared" si="150"/>
        <v>0</v>
      </c>
      <c r="P283" s="35">
        <f t="shared" si="150"/>
        <v>3000</v>
      </c>
      <c r="Q283" s="35">
        <f t="shared" si="150"/>
        <v>0</v>
      </c>
      <c r="R283" s="36">
        <f>Q283/$P283</f>
        <v>0</v>
      </c>
      <c r="S283" s="35">
        <f>S291</f>
        <v>0</v>
      </c>
      <c r="T283" s="36">
        <f>S283/$P283</f>
        <v>0</v>
      </c>
      <c r="U283" s="35">
        <f>U291</f>
        <v>3000</v>
      </c>
      <c r="V283" s="36">
        <f>U283/$P283</f>
        <v>1</v>
      </c>
      <c r="W283" s="35">
        <f>W291</f>
        <v>3000</v>
      </c>
      <c r="X283" s="36">
        <f>W283/$P283</f>
        <v>1</v>
      </c>
      <c r="Y283" s="35">
        <f>Y291</f>
        <v>3000</v>
      </c>
      <c r="Z283" s="35">
        <f>Z291</f>
        <v>3000</v>
      </c>
    </row>
    <row r="284" spans="1:26" ht="13.9" customHeight="1" x14ac:dyDescent="0.25">
      <c r="A284" s="14">
        <v>5</v>
      </c>
      <c r="D284" s="11"/>
      <c r="E284" s="34">
        <v>72</v>
      </c>
      <c r="F284" s="34" t="s">
        <v>25</v>
      </c>
      <c r="G284" s="35">
        <f t="shared" ref="G284:Q284" si="151">G335</f>
        <v>358.78</v>
      </c>
      <c r="H284" s="35">
        <f t="shared" si="151"/>
        <v>303.74</v>
      </c>
      <c r="I284" s="35">
        <f t="shared" si="151"/>
        <v>2</v>
      </c>
      <c r="J284" s="35">
        <f t="shared" si="151"/>
        <v>0</v>
      </c>
      <c r="K284" s="35">
        <f t="shared" si="151"/>
        <v>165</v>
      </c>
      <c r="L284" s="35">
        <f t="shared" si="151"/>
        <v>0</v>
      </c>
      <c r="M284" s="35">
        <f t="shared" si="151"/>
        <v>0</v>
      </c>
      <c r="N284" s="35">
        <f t="shared" si="151"/>
        <v>0</v>
      </c>
      <c r="O284" s="35">
        <f t="shared" si="151"/>
        <v>-165</v>
      </c>
      <c r="P284" s="35">
        <f t="shared" si="151"/>
        <v>0</v>
      </c>
      <c r="Q284" s="35">
        <f t="shared" si="151"/>
        <v>0</v>
      </c>
      <c r="R284" s="36">
        <f>IFERROR(Q284/$P284,0)</f>
        <v>0</v>
      </c>
      <c r="S284" s="35">
        <f>S335</f>
        <v>0</v>
      </c>
      <c r="T284" s="36">
        <f>IFERROR(S284/$P284,0)</f>
        <v>0</v>
      </c>
      <c r="U284" s="35">
        <f>U335</f>
        <v>0</v>
      </c>
      <c r="V284" s="36">
        <f>IFERROR(U284/$P284,0)</f>
        <v>0</v>
      </c>
      <c r="W284" s="35">
        <f>W335</f>
        <v>0</v>
      </c>
      <c r="X284" s="36">
        <f>IFERROR(W284/$P284,0)</f>
        <v>0</v>
      </c>
      <c r="Y284" s="35">
        <f>Y335</f>
        <v>0</v>
      </c>
      <c r="Z284" s="35">
        <f>Z335</f>
        <v>0</v>
      </c>
    </row>
    <row r="285" spans="1:26" ht="13.9" customHeight="1" x14ac:dyDescent="0.25">
      <c r="A285" s="14">
        <v>5</v>
      </c>
      <c r="D285" s="29"/>
      <c r="E285" s="30"/>
      <c r="F285" s="37" t="s">
        <v>124</v>
      </c>
      <c r="G285" s="38">
        <f t="shared" ref="G285:Q285" si="152">SUM(G281:G284)</f>
        <v>57591.95</v>
      </c>
      <c r="H285" s="38">
        <f t="shared" si="152"/>
        <v>57847.159999999996</v>
      </c>
      <c r="I285" s="38">
        <f t="shared" si="152"/>
        <v>38127</v>
      </c>
      <c r="J285" s="38">
        <f t="shared" si="152"/>
        <v>36477.9</v>
      </c>
      <c r="K285" s="38">
        <f t="shared" si="152"/>
        <v>50381</v>
      </c>
      <c r="L285" s="38">
        <f t="shared" si="152"/>
        <v>2000</v>
      </c>
      <c r="M285" s="38">
        <f t="shared" si="152"/>
        <v>594</v>
      </c>
      <c r="N285" s="38">
        <f t="shared" si="152"/>
        <v>3430</v>
      </c>
      <c r="O285" s="38">
        <f t="shared" si="152"/>
        <v>-3502</v>
      </c>
      <c r="P285" s="38">
        <f t="shared" si="152"/>
        <v>52903</v>
      </c>
      <c r="Q285" s="38">
        <f t="shared" si="152"/>
        <v>12719.74</v>
      </c>
      <c r="R285" s="39">
        <f>Q285/$P285</f>
        <v>0.24043513600362929</v>
      </c>
      <c r="S285" s="38">
        <f>SUM(S281:S284)</f>
        <v>22550.28</v>
      </c>
      <c r="T285" s="39">
        <f>S285/$P285</f>
        <v>0.42625711207303929</v>
      </c>
      <c r="U285" s="38">
        <f>SUM(U281:U284)</f>
        <v>36132.46</v>
      </c>
      <c r="V285" s="39">
        <f>U285/$P285</f>
        <v>0.68299453717180503</v>
      </c>
      <c r="W285" s="38">
        <f>SUM(W281:W284)</f>
        <v>48191.71</v>
      </c>
      <c r="X285" s="39">
        <f>W285/$P285</f>
        <v>0.91094474793489966</v>
      </c>
      <c r="Y285" s="38">
        <f>SUM(Y281:Y284)</f>
        <v>27621</v>
      </c>
      <c r="Z285" s="38">
        <f>SUM(Z281:Z284)</f>
        <v>27621</v>
      </c>
    </row>
    <row r="287" spans="1:26" ht="13.9" customHeight="1" x14ac:dyDescent="0.25">
      <c r="D287" s="40" t="s">
        <v>204</v>
      </c>
      <c r="E287" s="40"/>
      <c r="F287" s="40"/>
      <c r="G287" s="40"/>
      <c r="H287" s="40"/>
      <c r="I287" s="40"/>
      <c r="J287" s="40"/>
      <c r="K287" s="40"/>
      <c r="L287" s="40"/>
      <c r="M287" s="40"/>
      <c r="N287" s="40"/>
      <c r="O287" s="40"/>
      <c r="P287" s="40"/>
      <c r="Q287" s="40"/>
      <c r="R287" s="41"/>
      <c r="S287" s="40"/>
      <c r="T287" s="41"/>
      <c r="U287" s="40"/>
      <c r="V287" s="41"/>
      <c r="W287" s="40"/>
      <c r="X287" s="41"/>
      <c r="Y287" s="40"/>
      <c r="Z287" s="40"/>
    </row>
    <row r="288" spans="1:26" ht="13.9" customHeight="1" x14ac:dyDescent="0.25">
      <c r="D288" s="109"/>
      <c r="E288" s="109"/>
      <c r="F288" s="109"/>
      <c r="G288" s="20" t="s">
        <v>1</v>
      </c>
      <c r="H288" s="20" t="s">
        <v>2</v>
      </c>
      <c r="I288" s="20" t="s">
        <v>3</v>
      </c>
      <c r="J288" s="20" t="s">
        <v>4</v>
      </c>
      <c r="K288" s="20" t="s">
        <v>5</v>
      </c>
      <c r="L288" s="20" t="s">
        <v>6</v>
      </c>
      <c r="M288" s="20" t="s">
        <v>7</v>
      </c>
      <c r="N288" s="20" t="s">
        <v>8</v>
      </c>
      <c r="O288" s="20" t="s">
        <v>9</v>
      </c>
      <c r="P288" s="20" t="s">
        <v>10</v>
      </c>
      <c r="Q288" s="20" t="s">
        <v>11</v>
      </c>
      <c r="R288" s="21" t="s">
        <v>12</v>
      </c>
      <c r="S288" s="20" t="s">
        <v>13</v>
      </c>
      <c r="T288" s="21" t="s">
        <v>14</v>
      </c>
      <c r="U288" s="20" t="s">
        <v>15</v>
      </c>
      <c r="V288" s="21" t="s">
        <v>16</v>
      </c>
      <c r="W288" s="20" t="s">
        <v>17</v>
      </c>
      <c r="X288" s="21" t="s">
        <v>18</v>
      </c>
      <c r="Y288" s="20" t="s">
        <v>19</v>
      </c>
      <c r="Z288" s="20" t="s">
        <v>20</v>
      </c>
    </row>
    <row r="289" spans="1:26" ht="13.9" customHeight="1" x14ac:dyDescent="0.25">
      <c r="A289" s="14">
        <v>5</v>
      </c>
      <c r="B289" s="14">
        <v>1</v>
      </c>
      <c r="D289" s="12" t="s">
        <v>21</v>
      </c>
      <c r="E289" s="22">
        <v>111</v>
      </c>
      <c r="F289" s="22" t="s">
        <v>47</v>
      </c>
      <c r="G289" s="23">
        <f t="shared" ref="G289:Q289" si="153">G310</f>
        <v>210</v>
      </c>
      <c r="H289" s="23">
        <f t="shared" si="153"/>
        <v>3412.57</v>
      </c>
      <c r="I289" s="23">
        <f t="shared" si="153"/>
        <v>252</v>
      </c>
      <c r="J289" s="23">
        <f t="shared" si="153"/>
        <v>3073.4900000000002</v>
      </c>
      <c r="K289" s="23">
        <f t="shared" si="153"/>
        <v>6927</v>
      </c>
      <c r="L289" s="23">
        <f t="shared" si="153"/>
        <v>2000</v>
      </c>
      <c r="M289" s="23">
        <f t="shared" si="153"/>
        <v>1935</v>
      </c>
      <c r="N289" s="23">
        <f t="shared" si="153"/>
        <v>0</v>
      </c>
      <c r="O289" s="23">
        <f t="shared" si="153"/>
        <v>0</v>
      </c>
      <c r="P289" s="23">
        <f t="shared" si="153"/>
        <v>10862</v>
      </c>
      <c r="Q289" s="23">
        <f t="shared" si="153"/>
        <v>6758.09</v>
      </c>
      <c r="R289" s="24">
        <f>Q289/$P289</f>
        <v>0.62217731541152643</v>
      </c>
      <c r="S289" s="23">
        <f>S310</f>
        <v>9475.34</v>
      </c>
      <c r="T289" s="24">
        <f>S289/$P289</f>
        <v>0.87233842754557178</v>
      </c>
      <c r="U289" s="23">
        <f>U310</f>
        <v>9586.09</v>
      </c>
      <c r="V289" s="24">
        <f>U289/$P289</f>
        <v>0.88253452402872401</v>
      </c>
      <c r="W289" s="23">
        <f>W310</f>
        <v>9886.81</v>
      </c>
      <c r="X289" s="24">
        <f>W289/$P289</f>
        <v>0.91022003314306754</v>
      </c>
      <c r="Y289" s="23">
        <f>Y310</f>
        <v>280</v>
      </c>
      <c r="Z289" s="23">
        <f>Y289</f>
        <v>280</v>
      </c>
    </row>
    <row r="290" spans="1:26" ht="13.9" customHeight="1" x14ac:dyDescent="0.25">
      <c r="A290" s="14">
        <v>5</v>
      </c>
      <c r="B290" s="14">
        <v>1</v>
      </c>
      <c r="D290" s="12"/>
      <c r="E290" s="22">
        <v>41</v>
      </c>
      <c r="F290" s="22" t="s">
        <v>23</v>
      </c>
      <c r="G290" s="23">
        <f t="shared" ref="G290:Q290" si="154">G298+G312+G321+G329</f>
        <v>18580.23</v>
      </c>
      <c r="H290" s="23">
        <f t="shared" si="154"/>
        <v>21340.98</v>
      </c>
      <c r="I290" s="23">
        <f t="shared" si="154"/>
        <v>21998</v>
      </c>
      <c r="J290" s="23">
        <f t="shared" si="154"/>
        <v>23146.410000000003</v>
      </c>
      <c r="K290" s="23">
        <f t="shared" si="154"/>
        <v>20136</v>
      </c>
      <c r="L290" s="23">
        <f t="shared" si="154"/>
        <v>0</v>
      </c>
      <c r="M290" s="23">
        <f t="shared" si="154"/>
        <v>-1500</v>
      </c>
      <c r="N290" s="23">
        <f t="shared" si="154"/>
        <v>0</v>
      </c>
      <c r="O290" s="23">
        <f t="shared" si="154"/>
        <v>1187</v>
      </c>
      <c r="P290" s="23">
        <f t="shared" si="154"/>
        <v>19823</v>
      </c>
      <c r="Q290" s="23">
        <f t="shared" si="154"/>
        <v>2921</v>
      </c>
      <c r="R290" s="24">
        <f>Q290/$P290</f>
        <v>0.1473540836402159</v>
      </c>
      <c r="S290" s="23">
        <f>S298+S312+S321+S329</f>
        <v>6866.3899999999994</v>
      </c>
      <c r="T290" s="24">
        <f>S290/$P290</f>
        <v>0.34638500731473537</v>
      </c>
      <c r="U290" s="23">
        <f>U298+U312+U321+U329</f>
        <v>14374.55</v>
      </c>
      <c r="V290" s="24">
        <f>U290/$P290</f>
        <v>0.72514503354688997</v>
      </c>
      <c r="W290" s="23">
        <f>W298+W312+W321+W329</f>
        <v>19675.580000000002</v>
      </c>
      <c r="X290" s="24">
        <f>W290/$P290</f>
        <v>0.99256318417999301</v>
      </c>
      <c r="Y290" s="23">
        <f>Y298+Y312+Y321+Y329</f>
        <v>18636</v>
      </c>
      <c r="Z290" s="23">
        <f>Z298+Z312+Z321+Z329</f>
        <v>18636</v>
      </c>
    </row>
    <row r="291" spans="1:26" ht="13.9" customHeight="1" x14ac:dyDescent="0.25">
      <c r="A291" s="14">
        <v>5</v>
      </c>
      <c r="B291" s="14">
        <v>1</v>
      </c>
      <c r="D291" s="12"/>
      <c r="E291" s="22">
        <v>71</v>
      </c>
      <c r="F291" s="22" t="s">
        <v>24</v>
      </c>
      <c r="G291" s="23">
        <f t="shared" ref="G291:Q291" si="155">G300</f>
        <v>1400</v>
      </c>
      <c r="H291" s="23">
        <f t="shared" si="155"/>
        <v>1400</v>
      </c>
      <c r="I291" s="23">
        <f t="shared" si="155"/>
        <v>1400</v>
      </c>
      <c r="J291" s="23">
        <f t="shared" si="155"/>
        <v>1400</v>
      </c>
      <c r="K291" s="23">
        <f t="shared" si="155"/>
        <v>3000</v>
      </c>
      <c r="L291" s="23">
        <f t="shared" si="155"/>
        <v>0</v>
      </c>
      <c r="M291" s="23">
        <f t="shared" si="155"/>
        <v>0</v>
      </c>
      <c r="N291" s="23">
        <f t="shared" si="155"/>
        <v>0</v>
      </c>
      <c r="O291" s="23">
        <f t="shared" si="155"/>
        <v>0</v>
      </c>
      <c r="P291" s="23">
        <f t="shared" si="155"/>
        <v>3000</v>
      </c>
      <c r="Q291" s="23">
        <f t="shared" si="155"/>
        <v>0</v>
      </c>
      <c r="R291" s="24">
        <f>Q291/$P291</f>
        <v>0</v>
      </c>
      <c r="S291" s="23">
        <f>S300</f>
        <v>0</v>
      </c>
      <c r="T291" s="24">
        <f>S291/$P291</f>
        <v>0</v>
      </c>
      <c r="U291" s="23">
        <f>U300</f>
        <v>3000</v>
      </c>
      <c r="V291" s="24">
        <f>U291/$P291</f>
        <v>1</v>
      </c>
      <c r="W291" s="23">
        <f>W300</f>
        <v>3000</v>
      </c>
      <c r="X291" s="24">
        <f>W291/$P291</f>
        <v>1</v>
      </c>
      <c r="Y291" s="23">
        <f>Y300</f>
        <v>3000</v>
      </c>
      <c r="Z291" s="23">
        <f>Z300</f>
        <v>3000</v>
      </c>
    </row>
    <row r="292" spans="1:26" ht="13.9" customHeight="1" x14ac:dyDescent="0.25">
      <c r="A292" s="14">
        <v>5</v>
      </c>
      <c r="B292" s="14">
        <v>1</v>
      </c>
      <c r="D292" s="29"/>
      <c r="E292" s="30"/>
      <c r="F292" s="25" t="s">
        <v>124</v>
      </c>
      <c r="G292" s="26">
        <f t="shared" ref="G292:Q292" si="156">SUM(G289:G291)</f>
        <v>20190.23</v>
      </c>
      <c r="H292" s="26">
        <f t="shared" si="156"/>
        <v>26153.55</v>
      </c>
      <c r="I292" s="26">
        <f t="shared" si="156"/>
        <v>23650</v>
      </c>
      <c r="J292" s="26">
        <f t="shared" si="156"/>
        <v>27619.900000000005</v>
      </c>
      <c r="K292" s="26">
        <f t="shared" si="156"/>
        <v>30063</v>
      </c>
      <c r="L292" s="26">
        <f t="shared" si="156"/>
        <v>2000</v>
      </c>
      <c r="M292" s="26">
        <f t="shared" si="156"/>
        <v>435</v>
      </c>
      <c r="N292" s="26">
        <f t="shared" si="156"/>
        <v>0</v>
      </c>
      <c r="O292" s="26">
        <f t="shared" si="156"/>
        <v>1187</v>
      </c>
      <c r="P292" s="26">
        <f t="shared" si="156"/>
        <v>33685</v>
      </c>
      <c r="Q292" s="26">
        <f t="shared" si="156"/>
        <v>9679.09</v>
      </c>
      <c r="R292" s="27">
        <f>Q292/$P292</f>
        <v>0.28734124981445747</v>
      </c>
      <c r="S292" s="26">
        <f>SUM(S289:S291)</f>
        <v>16341.73</v>
      </c>
      <c r="T292" s="27">
        <f>S292/$P292</f>
        <v>0.48513373905299095</v>
      </c>
      <c r="U292" s="26">
        <f>SUM(U289:U291)</f>
        <v>26960.639999999999</v>
      </c>
      <c r="V292" s="27">
        <f>U292/$P292</f>
        <v>0.80037524120528425</v>
      </c>
      <c r="W292" s="26">
        <f>SUM(W289:W291)</f>
        <v>32562.39</v>
      </c>
      <c r="X292" s="27">
        <f>W292/$P292</f>
        <v>0.96667329671960811</v>
      </c>
      <c r="Y292" s="26">
        <f>SUM(Y289:Y291)</f>
        <v>21916</v>
      </c>
      <c r="Z292" s="26">
        <f>SUM(Z289:Z291)</f>
        <v>21916</v>
      </c>
    </row>
    <row r="294" spans="1:26" ht="13.9" customHeight="1" x14ac:dyDescent="0.25">
      <c r="D294" s="72" t="s">
        <v>205</v>
      </c>
      <c r="E294" s="72"/>
      <c r="F294" s="72"/>
      <c r="G294" s="72"/>
      <c r="H294" s="72"/>
      <c r="I294" s="72"/>
      <c r="J294" s="72"/>
      <c r="K294" s="72"/>
      <c r="L294" s="72"/>
      <c r="M294" s="72"/>
      <c r="N294" s="72"/>
      <c r="O294" s="72"/>
      <c r="P294" s="72"/>
      <c r="Q294" s="72"/>
      <c r="R294" s="73"/>
      <c r="S294" s="72"/>
      <c r="T294" s="73"/>
      <c r="U294" s="72"/>
      <c r="V294" s="73"/>
      <c r="W294" s="72"/>
      <c r="X294" s="73"/>
      <c r="Y294" s="72"/>
      <c r="Z294" s="72"/>
    </row>
    <row r="295" spans="1:26" ht="13.9" customHeight="1" x14ac:dyDescent="0.25">
      <c r="D295" s="20" t="s">
        <v>33</v>
      </c>
      <c r="E295" s="20" t="s">
        <v>34</v>
      </c>
      <c r="F295" s="20" t="s">
        <v>35</v>
      </c>
      <c r="G295" s="20" t="s">
        <v>1</v>
      </c>
      <c r="H295" s="20" t="s">
        <v>2</v>
      </c>
      <c r="I295" s="20" t="s">
        <v>3</v>
      </c>
      <c r="J295" s="20" t="s">
        <v>4</v>
      </c>
      <c r="K295" s="20" t="s">
        <v>5</v>
      </c>
      <c r="L295" s="20" t="s">
        <v>6</v>
      </c>
      <c r="M295" s="20" t="s">
        <v>7</v>
      </c>
      <c r="N295" s="20" t="s">
        <v>8</v>
      </c>
      <c r="O295" s="20" t="s">
        <v>9</v>
      </c>
      <c r="P295" s="20" t="s">
        <v>10</v>
      </c>
      <c r="Q295" s="20" t="s">
        <v>11</v>
      </c>
      <c r="R295" s="21" t="s">
        <v>12</v>
      </c>
      <c r="S295" s="20" t="s">
        <v>13</v>
      </c>
      <c r="T295" s="21" t="s">
        <v>14</v>
      </c>
      <c r="U295" s="20" t="s">
        <v>15</v>
      </c>
      <c r="V295" s="21" t="s">
        <v>16</v>
      </c>
      <c r="W295" s="20" t="s">
        <v>17</v>
      </c>
      <c r="X295" s="21" t="s">
        <v>18</v>
      </c>
      <c r="Y295" s="20" t="s">
        <v>19</v>
      </c>
      <c r="Z295" s="20" t="s">
        <v>20</v>
      </c>
    </row>
    <row r="296" spans="1:26" ht="13.9" customHeight="1" x14ac:dyDescent="0.25">
      <c r="A296" s="14">
        <v>5</v>
      </c>
      <c r="B296" s="14">
        <v>1</v>
      </c>
      <c r="C296" s="14">
        <v>1</v>
      </c>
      <c r="D296" s="4" t="s">
        <v>206</v>
      </c>
      <c r="E296" s="22">
        <v>630</v>
      </c>
      <c r="F296" s="22" t="s">
        <v>131</v>
      </c>
      <c r="G296" s="23">
        <v>1645.54</v>
      </c>
      <c r="H296" s="23">
        <v>1140.77</v>
      </c>
      <c r="I296" s="23">
        <v>2293</v>
      </c>
      <c r="J296" s="23">
        <v>2038.71</v>
      </c>
      <c r="K296" s="23">
        <v>1918</v>
      </c>
      <c r="L296" s="23"/>
      <c r="M296" s="23"/>
      <c r="N296" s="23"/>
      <c r="O296" s="23"/>
      <c r="P296" s="23">
        <f>K296+SUM(L296:O296)</f>
        <v>1918</v>
      </c>
      <c r="Q296" s="23">
        <v>57.23</v>
      </c>
      <c r="R296" s="24">
        <f t="shared" ref="R296:R301" si="157">Q296/$P296</f>
        <v>2.9838373305526588E-2</v>
      </c>
      <c r="S296" s="23">
        <v>286.61</v>
      </c>
      <c r="T296" s="24">
        <f t="shared" ref="T296:T301" si="158">S296/$P296</f>
        <v>0.14943169968717415</v>
      </c>
      <c r="U296" s="23">
        <v>1568.16</v>
      </c>
      <c r="V296" s="24">
        <f t="shared" ref="V296:V301" si="159">U296/$P296</f>
        <v>0.81760166840458814</v>
      </c>
      <c r="W296" s="23">
        <v>1837.4</v>
      </c>
      <c r="X296" s="24">
        <f t="shared" ref="X296:X301" si="160">W296/$P296</f>
        <v>0.95797705943691347</v>
      </c>
      <c r="Y296" s="23">
        <f>K296</f>
        <v>1918</v>
      </c>
      <c r="Z296" s="23">
        <f>Y296</f>
        <v>1918</v>
      </c>
    </row>
    <row r="297" spans="1:26" ht="13.9" customHeight="1" x14ac:dyDescent="0.25">
      <c r="A297" s="14">
        <v>5</v>
      </c>
      <c r="B297" s="14">
        <v>1</v>
      </c>
      <c r="C297" s="14">
        <v>1</v>
      </c>
      <c r="D297" s="4"/>
      <c r="E297" s="22">
        <v>640</v>
      </c>
      <c r="F297" s="22" t="s">
        <v>132</v>
      </c>
      <c r="G297" s="23">
        <v>2000</v>
      </c>
      <c r="H297" s="23">
        <v>1920</v>
      </c>
      <c r="I297" s="45">
        <v>1420</v>
      </c>
      <c r="J297" s="45">
        <v>1420</v>
      </c>
      <c r="K297" s="45">
        <f>1420+1150</f>
        <v>2570</v>
      </c>
      <c r="L297" s="45"/>
      <c r="M297" s="45"/>
      <c r="N297" s="45"/>
      <c r="O297" s="45"/>
      <c r="P297" s="45">
        <f>K297+SUM(L297:O297)</f>
        <v>2570</v>
      </c>
      <c r="Q297" s="45">
        <v>0</v>
      </c>
      <c r="R297" s="46">
        <f t="shared" si="157"/>
        <v>0</v>
      </c>
      <c r="S297" s="45">
        <v>0</v>
      </c>
      <c r="T297" s="46">
        <f t="shared" si="158"/>
        <v>0</v>
      </c>
      <c r="U297" s="45">
        <v>2570</v>
      </c>
      <c r="V297" s="46">
        <f t="shared" si="159"/>
        <v>1</v>
      </c>
      <c r="W297" s="45">
        <v>2570</v>
      </c>
      <c r="X297" s="46">
        <f t="shared" si="160"/>
        <v>1</v>
      </c>
      <c r="Y297" s="23">
        <f>K297</f>
        <v>2570</v>
      </c>
      <c r="Z297" s="23">
        <f>Y297</f>
        <v>2570</v>
      </c>
    </row>
    <row r="298" spans="1:26" ht="13.9" customHeight="1" x14ac:dyDescent="0.25">
      <c r="A298" s="14">
        <v>5</v>
      </c>
      <c r="B298" s="14">
        <v>1</v>
      </c>
      <c r="C298" s="14">
        <v>1</v>
      </c>
      <c r="D298" s="84" t="s">
        <v>21</v>
      </c>
      <c r="E298" s="47">
        <v>41</v>
      </c>
      <c r="F298" s="47" t="s">
        <v>23</v>
      </c>
      <c r="G298" s="48">
        <f t="shared" ref="G298:Q298" si="161">SUM(G296:G297)</f>
        <v>3645.54</v>
      </c>
      <c r="H298" s="48">
        <f t="shared" si="161"/>
        <v>3060.77</v>
      </c>
      <c r="I298" s="48">
        <f t="shared" si="161"/>
        <v>3713</v>
      </c>
      <c r="J298" s="48">
        <f t="shared" si="161"/>
        <v>3458.71</v>
      </c>
      <c r="K298" s="48">
        <f t="shared" si="161"/>
        <v>4488</v>
      </c>
      <c r="L298" s="48">
        <f t="shared" si="161"/>
        <v>0</v>
      </c>
      <c r="M298" s="48">
        <f t="shared" si="161"/>
        <v>0</v>
      </c>
      <c r="N298" s="48">
        <f t="shared" si="161"/>
        <v>0</v>
      </c>
      <c r="O298" s="48">
        <f t="shared" si="161"/>
        <v>0</v>
      </c>
      <c r="P298" s="48">
        <f t="shared" si="161"/>
        <v>4488</v>
      </c>
      <c r="Q298" s="48">
        <f t="shared" si="161"/>
        <v>57.23</v>
      </c>
      <c r="R298" s="49">
        <f t="shared" si="157"/>
        <v>1.2751782531194295E-2</v>
      </c>
      <c r="S298" s="48">
        <f>SUM(S296:S297)</f>
        <v>286.61</v>
      </c>
      <c r="T298" s="49">
        <f t="shared" si="158"/>
        <v>6.3861408199643491E-2</v>
      </c>
      <c r="U298" s="48">
        <f>SUM(U296:U297)</f>
        <v>4138.16</v>
      </c>
      <c r="V298" s="49">
        <f t="shared" si="159"/>
        <v>0.92204991087344024</v>
      </c>
      <c r="W298" s="48">
        <f>SUM(W296:W297)</f>
        <v>4407.3999999999996</v>
      </c>
      <c r="X298" s="49">
        <f t="shared" si="160"/>
        <v>0.98204099821746871</v>
      </c>
      <c r="Y298" s="48">
        <f>SUM(Y296:Y297)</f>
        <v>4488</v>
      </c>
      <c r="Z298" s="48">
        <f>SUM(Z296:Z297)</f>
        <v>4488</v>
      </c>
    </row>
    <row r="299" spans="1:26" ht="13.9" customHeight="1" x14ac:dyDescent="0.25">
      <c r="A299" s="14">
        <v>5</v>
      </c>
      <c r="B299" s="14">
        <v>1</v>
      </c>
      <c r="C299" s="14">
        <v>1</v>
      </c>
      <c r="D299" s="79" t="s">
        <v>206</v>
      </c>
      <c r="E299" s="22">
        <v>630</v>
      </c>
      <c r="F299" s="22" t="s">
        <v>131</v>
      </c>
      <c r="G299" s="23">
        <v>1400</v>
      </c>
      <c r="H299" s="23">
        <v>1400</v>
      </c>
      <c r="I299" s="23">
        <v>1400</v>
      </c>
      <c r="J299" s="23">
        <v>1400</v>
      </c>
      <c r="K299" s="23">
        <f>príjmy!H122</f>
        <v>3000</v>
      </c>
      <c r="L299" s="23"/>
      <c r="M299" s="23"/>
      <c r="N299" s="23"/>
      <c r="O299" s="23"/>
      <c r="P299" s="23">
        <f>K299+SUM(L299:O299)</f>
        <v>3000</v>
      </c>
      <c r="Q299" s="23">
        <v>0</v>
      </c>
      <c r="R299" s="24">
        <f t="shared" si="157"/>
        <v>0</v>
      </c>
      <c r="S299" s="23">
        <v>0</v>
      </c>
      <c r="T299" s="24">
        <f t="shared" si="158"/>
        <v>0</v>
      </c>
      <c r="U299" s="23">
        <v>3000</v>
      </c>
      <c r="V299" s="24">
        <f t="shared" si="159"/>
        <v>1</v>
      </c>
      <c r="W299" s="23">
        <v>3000</v>
      </c>
      <c r="X299" s="24">
        <f t="shared" si="160"/>
        <v>1</v>
      </c>
      <c r="Y299" s="23">
        <f>príjmy!V122</f>
        <v>3000</v>
      </c>
      <c r="Z299" s="23">
        <f>príjmy!W122</f>
        <v>3000</v>
      </c>
    </row>
    <row r="300" spans="1:26" ht="13.9" customHeight="1" x14ac:dyDescent="0.25">
      <c r="A300" s="14">
        <v>5</v>
      </c>
      <c r="B300" s="14">
        <v>1</v>
      </c>
      <c r="C300" s="14">
        <v>1</v>
      </c>
      <c r="D300" s="84" t="s">
        <v>21</v>
      </c>
      <c r="E300" s="47">
        <v>71</v>
      </c>
      <c r="F300" s="47" t="s">
        <v>24</v>
      </c>
      <c r="G300" s="48">
        <f t="shared" ref="G300:Q300" si="162">SUM(G299:G299)</f>
        <v>1400</v>
      </c>
      <c r="H300" s="48">
        <f t="shared" si="162"/>
        <v>1400</v>
      </c>
      <c r="I300" s="48">
        <f t="shared" si="162"/>
        <v>1400</v>
      </c>
      <c r="J300" s="48">
        <f t="shared" si="162"/>
        <v>1400</v>
      </c>
      <c r="K300" s="48">
        <f t="shared" si="162"/>
        <v>3000</v>
      </c>
      <c r="L300" s="48">
        <f t="shared" si="162"/>
        <v>0</v>
      </c>
      <c r="M300" s="48">
        <f t="shared" si="162"/>
        <v>0</v>
      </c>
      <c r="N300" s="48">
        <f t="shared" si="162"/>
        <v>0</v>
      </c>
      <c r="O300" s="48">
        <f t="shared" si="162"/>
        <v>0</v>
      </c>
      <c r="P300" s="48">
        <f t="shared" si="162"/>
        <v>3000</v>
      </c>
      <c r="Q300" s="48">
        <f t="shared" si="162"/>
        <v>0</v>
      </c>
      <c r="R300" s="49">
        <f t="shared" si="157"/>
        <v>0</v>
      </c>
      <c r="S300" s="48">
        <f>SUM(S299:S299)</f>
        <v>0</v>
      </c>
      <c r="T300" s="49">
        <f t="shared" si="158"/>
        <v>0</v>
      </c>
      <c r="U300" s="48">
        <f>SUM(U299:U299)</f>
        <v>3000</v>
      </c>
      <c r="V300" s="49">
        <f t="shared" si="159"/>
        <v>1</v>
      </c>
      <c r="W300" s="48">
        <f>SUM(W299:W299)</f>
        <v>3000</v>
      </c>
      <c r="X300" s="49">
        <f t="shared" si="160"/>
        <v>1</v>
      </c>
      <c r="Y300" s="48">
        <f>SUM(Y299:Y299)</f>
        <v>3000</v>
      </c>
      <c r="Z300" s="48">
        <f>SUM(Z299:Z299)</f>
        <v>3000</v>
      </c>
    </row>
    <row r="301" spans="1:26" ht="13.9" customHeight="1" x14ac:dyDescent="0.25">
      <c r="A301" s="14">
        <v>5</v>
      </c>
      <c r="B301" s="14">
        <v>1</v>
      </c>
      <c r="C301" s="14">
        <v>1</v>
      </c>
      <c r="D301" s="106"/>
      <c r="E301" s="30"/>
      <c r="F301" s="25" t="s">
        <v>124</v>
      </c>
      <c r="G301" s="26">
        <f t="shared" ref="G301:Q301" si="163">G298+G300</f>
        <v>5045.54</v>
      </c>
      <c r="H301" s="26">
        <f t="shared" si="163"/>
        <v>4460.7700000000004</v>
      </c>
      <c r="I301" s="26">
        <f t="shared" si="163"/>
        <v>5113</v>
      </c>
      <c r="J301" s="26">
        <f t="shared" si="163"/>
        <v>4858.71</v>
      </c>
      <c r="K301" s="26">
        <f t="shared" si="163"/>
        <v>7488</v>
      </c>
      <c r="L301" s="26">
        <f t="shared" si="163"/>
        <v>0</v>
      </c>
      <c r="M301" s="26">
        <f t="shared" si="163"/>
        <v>0</v>
      </c>
      <c r="N301" s="26">
        <f t="shared" si="163"/>
        <v>0</v>
      </c>
      <c r="O301" s="26">
        <f t="shared" si="163"/>
        <v>0</v>
      </c>
      <c r="P301" s="26">
        <f t="shared" si="163"/>
        <v>7488</v>
      </c>
      <c r="Q301" s="26">
        <f t="shared" si="163"/>
        <v>57.23</v>
      </c>
      <c r="R301" s="27">
        <f t="shared" si="157"/>
        <v>7.6428952991452991E-3</v>
      </c>
      <c r="S301" s="26">
        <f>S298+S300</f>
        <v>286.61</v>
      </c>
      <c r="T301" s="27">
        <f t="shared" si="158"/>
        <v>3.8275908119658121E-2</v>
      </c>
      <c r="U301" s="26">
        <f>U298+U300</f>
        <v>7138.16</v>
      </c>
      <c r="V301" s="27">
        <f t="shared" si="159"/>
        <v>0.95327991452991456</v>
      </c>
      <c r="W301" s="26">
        <f>W298+W300</f>
        <v>7407.4</v>
      </c>
      <c r="X301" s="27">
        <f t="shared" si="160"/>
        <v>0.98923611111111109</v>
      </c>
      <c r="Y301" s="26">
        <f>Y298+Y300</f>
        <v>7488</v>
      </c>
      <c r="Z301" s="26">
        <f>Z298+Z300</f>
        <v>7488</v>
      </c>
    </row>
    <row r="303" spans="1:26" ht="13.9" customHeight="1" x14ac:dyDescent="0.25">
      <c r="E303" s="110" t="s">
        <v>57</v>
      </c>
      <c r="F303" s="111" t="s">
        <v>149</v>
      </c>
      <c r="G303" s="112">
        <v>979</v>
      </c>
      <c r="H303" s="112">
        <v>803</v>
      </c>
      <c r="I303" s="113">
        <v>803</v>
      </c>
      <c r="J303" s="113">
        <v>220</v>
      </c>
      <c r="K303" s="113">
        <v>242</v>
      </c>
      <c r="L303" s="113"/>
      <c r="M303" s="113"/>
      <c r="N303" s="113"/>
      <c r="O303" s="113"/>
      <c r="P303" s="113">
        <f>K303+SUM(L303:O303)</f>
        <v>242</v>
      </c>
      <c r="Q303" s="113">
        <v>44</v>
      </c>
      <c r="R303" s="114">
        <f>Q303/$P303</f>
        <v>0.18181818181818182</v>
      </c>
      <c r="S303" s="113">
        <v>110</v>
      </c>
      <c r="T303" s="114">
        <f>S303/$P303</f>
        <v>0.45454545454545453</v>
      </c>
      <c r="U303" s="113">
        <v>176</v>
      </c>
      <c r="V303" s="114">
        <f>U303/$P303</f>
        <v>0.72727272727272729</v>
      </c>
      <c r="W303" s="113">
        <v>242</v>
      </c>
      <c r="X303" s="115">
        <f>W303/$P303</f>
        <v>1</v>
      </c>
      <c r="Y303" s="113">
        <f>K303</f>
        <v>242</v>
      </c>
      <c r="Z303" s="116">
        <f>Y303</f>
        <v>242</v>
      </c>
    </row>
    <row r="305" spans="1:26" ht="13.9" customHeight="1" x14ac:dyDescent="0.25">
      <c r="D305" s="72" t="s">
        <v>207</v>
      </c>
      <c r="E305" s="72"/>
      <c r="F305" s="72"/>
      <c r="G305" s="72"/>
      <c r="H305" s="72"/>
      <c r="I305" s="72"/>
      <c r="J305" s="72"/>
      <c r="K305" s="72"/>
      <c r="L305" s="72"/>
      <c r="M305" s="72"/>
      <c r="N305" s="72"/>
      <c r="O305" s="72"/>
      <c r="P305" s="72"/>
      <c r="Q305" s="72"/>
      <c r="R305" s="73"/>
      <c r="S305" s="72"/>
      <c r="T305" s="73"/>
      <c r="U305" s="72"/>
      <c r="V305" s="73"/>
      <c r="W305" s="72"/>
      <c r="X305" s="73"/>
      <c r="Y305" s="72"/>
      <c r="Z305" s="72"/>
    </row>
    <row r="306" spans="1:26" ht="13.9" customHeight="1" x14ac:dyDescent="0.25">
      <c r="D306" s="20" t="s">
        <v>33</v>
      </c>
      <c r="E306" s="20" t="s">
        <v>34</v>
      </c>
      <c r="F306" s="20" t="s">
        <v>35</v>
      </c>
      <c r="G306" s="20" t="s">
        <v>1</v>
      </c>
      <c r="H306" s="20" t="s">
        <v>2</v>
      </c>
      <c r="I306" s="20" t="s">
        <v>3</v>
      </c>
      <c r="J306" s="20" t="s">
        <v>4</v>
      </c>
      <c r="K306" s="20" t="s">
        <v>5</v>
      </c>
      <c r="L306" s="20" t="s">
        <v>6</v>
      </c>
      <c r="M306" s="20" t="s">
        <v>7</v>
      </c>
      <c r="N306" s="20" t="s">
        <v>8</v>
      </c>
      <c r="O306" s="20" t="s">
        <v>9</v>
      </c>
      <c r="P306" s="20" t="s">
        <v>10</v>
      </c>
      <c r="Q306" s="20" t="s">
        <v>11</v>
      </c>
      <c r="R306" s="21" t="s">
        <v>12</v>
      </c>
      <c r="S306" s="20" t="s">
        <v>13</v>
      </c>
      <c r="T306" s="21" t="s">
        <v>14</v>
      </c>
      <c r="U306" s="20" t="s">
        <v>15</v>
      </c>
      <c r="V306" s="21" t="s">
        <v>16</v>
      </c>
      <c r="W306" s="20" t="s">
        <v>17</v>
      </c>
      <c r="X306" s="21" t="s">
        <v>18</v>
      </c>
      <c r="Y306" s="20" t="s">
        <v>19</v>
      </c>
      <c r="Z306" s="20" t="s">
        <v>20</v>
      </c>
    </row>
    <row r="307" spans="1:26" ht="13.9" customHeight="1" x14ac:dyDescent="0.25">
      <c r="A307" s="14">
        <v>5</v>
      </c>
      <c r="B307" s="14">
        <v>1</v>
      </c>
      <c r="C307" s="14">
        <v>2</v>
      </c>
      <c r="D307" s="10" t="s">
        <v>208</v>
      </c>
      <c r="E307" s="22">
        <v>610</v>
      </c>
      <c r="F307" s="22" t="s">
        <v>129</v>
      </c>
      <c r="G307" s="23">
        <v>0</v>
      </c>
      <c r="H307" s="23">
        <v>213.96</v>
      </c>
      <c r="I307" s="23">
        <v>0</v>
      </c>
      <c r="J307" s="23">
        <v>0</v>
      </c>
      <c r="K307" s="23">
        <v>0</v>
      </c>
      <c r="L307" s="23"/>
      <c r="M307" s="23"/>
      <c r="N307" s="23"/>
      <c r="O307" s="23">
        <v>223</v>
      </c>
      <c r="P307" s="23">
        <f>K307+SUM(L307:O307)</f>
        <v>223</v>
      </c>
      <c r="Q307" s="23">
        <v>0</v>
      </c>
      <c r="R307" s="24">
        <f>Q307/$P307</f>
        <v>0</v>
      </c>
      <c r="S307" s="23">
        <v>0</v>
      </c>
      <c r="T307" s="24">
        <f>S307/$P307</f>
        <v>0</v>
      </c>
      <c r="U307" s="23">
        <v>0</v>
      </c>
      <c r="V307" s="24">
        <f>U307/$P307</f>
        <v>0</v>
      </c>
      <c r="W307" s="23">
        <v>222.86</v>
      </c>
      <c r="X307" s="24">
        <f>W307/$P307</f>
        <v>0.99937219730941707</v>
      </c>
      <c r="Y307" s="23">
        <f>K307</f>
        <v>0</v>
      </c>
      <c r="Z307" s="23">
        <f>Y307</f>
        <v>0</v>
      </c>
    </row>
    <row r="308" spans="1:26" ht="13.9" customHeight="1" x14ac:dyDescent="0.25">
      <c r="A308" s="14">
        <v>5</v>
      </c>
      <c r="B308" s="14">
        <v>1</v>
      </c>
      <c r="C308" s="14">
        <v>2</v>
      </c>
      <c r="D308" s="10" t="s">
        <v>208</v>
      </c>
      <c r="E308" s="22">
        <v>620</v>
      </c>
      <c r="F308" s="22" t="s">
        <v>130</v>
      </c>
      <c r="G308" s="23">
        <v>51.55</v>
      </c>
      <c r="H308" s="23">
        <v>136.21</v>
      </c>
      <c r="I308" s="23">
        <v>63</v>
      </c>
      <c r="J308" s="23">
        <v>68.73</v>
      </c>
      <c r="K308" s="23">
        <v>69</v>
      </c>
      <c r="L308" s="23"/>
      <c r="M308" s="23"/>
      <c r="N308" s="23"/>
      <c r="O308" s="23">
        <v>9</v>
      </c>
      <c r="P308" s="23">
        <f>K308+SUM(L308:O308)</f>
        <v>78</v>
      </c>
      <c r="Q308" s="23">
        <v>0</v>
      </c>
      <c r="R308" s="24">
        <f>Q308/$P308</f>
        <v>0</v>
      </c>
      <c r="S308" s="23">
        <v>0</v>
      </c>
      <c r="T308" s="24">
        <f>S308/$P308</f>
        <v>0</v>
      </c>
      <c r="U308" s="23">
        <v>0</v>
      </c>
      <c r="V308" s="24">
        <f>U308/$P308</f>
        <v>0</v>
      </c>
      <c r="W308" s="23">
        <v>77.86</v>
      </c>
      <c r="X308" s="24">
        <f>W308/$P308</f>
        <v>0.99820512820512819</v>
      </c>
      <c r="Y308" s="23">
        <f>K308</f>
        <v>69</v>
      </c>
      <c r="Z308" s="23">
        <f>Y308</f>
        <v>69</v>
      </c>
    </row>
    <row r="309" spans="1:26" ht="13.9" customHeight="1" x14ac:dyDescent="0.25">
      <c r="A309" s="14">
        <v>5</v>
      </c>
      <c r="B309" s="14">
        <v>1</v>
      </c>
      <c r="C309" s="14">
        <v>2</v>
      </c>
      <c r="D309" s="10" t="s">
        <v>208</v>
      </c>
      <c r="E309" s="22">
        <v>630</v>
      </c>
      <c r="F309" s="22" t="s">
        <v>131</v>
      </c>
      <c r="G309" s="23">
        <v>158.44999999999999</v>
      </c>
      <c r="H309" s="23">
        <v>3062.4</v>
      </c>
      <c r="I309" s="23">
        <v>189</v>
      </c>
      <c r="J309" s="23">
        <v>3004.76</v>
      </c>
      <c r="K309" s="23">
        <f>príjmy!H111-K308</f>
        <v>6858</v>
      </c>
      <c r="L309" s="23">
        <v>2000</v>
      </c>
      <c r="M309" s="23">
        <v>1935</v>
      </c>
      <c r="N309" s="23"/>
      <c r="O309" s="23">
        <v>-232</v>
      </c>
      <c r="P309" s="23">
        <f>K309+SUM(L309:O309)</f>
        <v>10561</v>
      </c>
      <c r="Q309" s="23">
        <v>6758.09</v>
      </c>
      <c r="R309" s="24">
        <f>Q309/$P309</f>
        <v>0.63991004639712146</v>
      </c>
      <c r="S309" s="23">
        <v>9475.34</v>
      </c>
      <c r="T309" s="24">
        <f>S309/$P309</f>
        <v>0.89720102263043278</v>
      </c>
      <c r="U309" s="23">
        <v>9586.09</v>
      </c>
      <c r="V309" s="24">
        <f>U309/$P309</f>
        <v>0.90768771896600697</v>
      </c>
      <c r="W309" s="23">
        <v>9586.09</v>
      </c>
      <c r="X309" s="24">
        <f>W309/$P309</f>
        <v>0.90768771896600697</v>
      </c>
      <c r="Y309" s="23">
        <v>211</v>
      </c>
      <c r="Z309" s="23">
        <f>Y309</f>
        <v>211</v>
      </c>
    </row>
    <row r="310" spans="1:26" ht="13.9" customHeight="1" x14ac:dyDescent="0.25">
      <c r="A310" s="14">
        <v>5</v>
      </c>
      <c r="B310" s="14">
        <v>1</v>
      </c>
      <c r="C310" s="14">
        <v>2</v>
      </c>
      <c r="D310" s="84" t="s">
        <v>21</v>
      </c>
      <c r="E310" s="47">
        <v>111</v>
      </c>
      <c r="F310" s="47" t="s">
        <v>134</v>
      </c>
      <c r="G310" s="48">
        <f t="shared" ref="G310:Q310" si="164">SUM(G307:G309)</f>
        <v>210</v>
      </c>
      <c r="H310" s="48">
        <f t="shared" si="164"/>
        <v>3412.57</v>
      </c>
      <c r="I310" s="48">
        <f t="shared" si="164"/>
        <v>252</v>
      </c>
      <c r="J310" s="48">
        <f t="shared" si="164"/>
        <v>3073.4900000000002</v>
      </c>
      <c r="K310" s="48">
        <f t="shared" si="164"/>
        <v>6927</v>
      </c>
      <c r="L310" s="48">
        <f t="shared" si="164"/>
        <v>2000</v>
      </c>
      <c r="M310" s="48">
        <f t="shared" si="164"/>
        <v>1935</v>
      </c>
      <c r="N310" s="48">
        <f t="shared" si="164"/>
        <v>0</v>
      </c>
      <c r="O310" s="48">
        <f t="shared" si="164"/>
        <v>0</v>
      </c>
      <c r="P310" s="48">
        <f t="shared" si="164"/>
        <v>10862</v>
      </c>
      <c r="Q310" s="48">
        <f t="shared" si="164"/>
        <v>6758.09</v>
      </c>
      <c r="R310" s="49">
        <f>Q310/$P310</f>
        <v>0.62217731541152643</v>
      </c>
      <c r="S310" s="48">
        <f>SUM(S307:S309)</f>
        <v>9475.34</v>
      </c>
      <c r="T310" s="49">
        <f>S310/$P310</f>
        <v>0.87233842754557178</v>
      </c>
      <c r="U310" s="48">
        <f>SUM(U307:U309)</f>
        <v>9586.09</v>
      </c>
      <c r="V310" s="49">
        <f>U310/$P310</f>
        <v>0.88253452402872401</v>
      </c>
      <c r="W310" s="48">
        <f>SUM(W307:W309)</f>
        <v>9886.81</v>
      </c>
      <c r="X310" s="49">
        <f>W310/$P310</f>
        <v>0.91022003314306754</v>
      </c>
      <c r="Y310" s="48">
        <f>SUM(Y307:Y309)</f>
        <v>280</v>
      </c>
      <c r="Z310" s="48">
        <f>SUM(Z307:Z309)</f>
        <v>280</v>
      </c>
    </row>
    <row r="311" spans="1:26" ht="13.9" customHeight="1" x14ac:dyDescent="0.25">
      <c r="A311" s="14">
        <v>5</v>
      </c>
      <c r="B311" s="14">
        <v>1</v>
      </c>
      <c r="C311" s="14">
        <v>2</v>
      </c>
      <c r="D311" s="83" t="s">
        <v>208</v>
      </c>
      <c r="E311" s="22">
        <v>630</v>
      </c>
      <c r="F311" s="22" t="s">
        <v>131</v>
      </c>
      <c r="G311" s="23">
        <v>0</v>
      </c>
      <c r="H311" s="23">
        <v>0</v>
      </c>
      <c r="I311" s="23">
        <v>0</v>
      </c>
      <c r="J311" s="23">
        <v>3272</v>
      </c>
      <c r="K311" s="23">
        <v>1500</v>
      </c>
      <c r="L311" s="23"/>
      <c r="M311" s="23">
        <v>-1500</v>
      </c>
      <c r="N311" s="23"/>
      <c r="O311" s="23"/>
      <c r="P311" s="23">
        <f>K311+SUM(L311:O311)</f>
        <v>0</v>
      </c>
      <c r="Q311" s="23">
        <v>0</v>
      </c>
      <c r="R311" s="24">
        <f>IFERROR(Q311/$P311,0)</f>
        <v>0</v>
      </c>
      <c r="S311" s="23">
        <v>0</v>
      </c>
      <c r="T311" s="24">
        <f>IFERROR(S311/$P311,0)</f>
        <v>0</v>
      </c>
      <c r="U311" s="23">
        <v>0</v>
      </c>
      <c r="V311" s="24">
        <f>IFERROR(U311/$P311,0)</f>
        <v>0</v>
      </c>
      <c r="W311" s="23">
        <v>0</v>
      </c>
      <c r="X311" s="24">
        <f>IFERROR(W311/$P311,0)</f>
        <v>0</v>
      </c>
      <c r="Y311" s="23">
        <v>0</v>
      </c>
      <c r="Z311" s="23">
        <f>Y311</f>
        <v>0</v>
      </c>
    </row>
    <row r="312" spans="1:26" ht="13.9" customHeight="1" x14ac:dyDescent="0.25">
      <c r="A312" s="14">
        <v>5</v>
      </c>
      <c r="B312" s="14">
        <v>1</v>
      </c>
      <c r="C312" s="14">
        <v>2</v>
      </c>
      <c r="D312" s="84" t="s">
        <v>21</v>
      </c>
      <c r="E312" s="47">
        <v>41</v>
      </c>
      <c r="F312" s="47" t="s">
        <v>23</v>
      </c>
      <c r="G312" s="48">
        <f>SUM(G311:G311)</f>
        <v>0</v>
      </c>
      <c r="H312" s="48">
        <f>SUM(H311:H311)</f>
        <v>0</v>
      </c>
      <c r="I312" s="48">
        <f t="shared" ref="I312:Q312" si="165">SUM(I311)</f>
        <v>0</v>
      </c>
      <c r="J312" s="48">
        <f t="shared" si="165"/>
        <v>3272</v>
      </c>
      <c r="K312" s="48">
        <f t="shared" si="165"/>
        <v>1500</v>
      </c>
      <c r="L312" s="48">
        <f t="shared" si="165"/>
        <v>0</v>
      </c>
      <c r="M312" s="48">
        <f t="shared" si="165"/>
        <v>-1500</v>
      </c>
      <c r="N312" s="48">
        <f t="shared" si="165"/>
        <v>0</v>
      </c>
      <c r="O312" s="48">
        <f t="shared" si="165"/>
        <v>0</v>
      </c>
      <c r="P312" s="48">
        <f t="shared" si="165"/>
        <v>0</v>
      </c>
      <c r="Q312" s="48">
        <f t="shared" si="165"/>
        <v>0</v>
      </c>
      <c r="R312" s="24">
        <f>IFERROR(Q312/$P312,0)</f>
        <v>0</v>
      </c>
      <c r="S312" s="48">
        <f>SUM(S311)</f>
        <v>0</v>
      </c>
      <c r="T312" s="24">
        <f>IFERROR(S312/$P312,0)</f>
        <v>0</v>
      </c>
      <c r="U312" s="48">
        <f>SUM(U311)</f>
        <v>0</v>
      </c>
      <c r="V312" s="24">
        <f>IFERROR(U312/$P312,0)</f>
        <v>0</v>
      </c>
      <c r="W312" s="48">
        <f>SUM(W311)</f>
        <v>0</v>
      </c>
      <c r="X312" s="24">
        <f>IFERROR(W312/$P312,0)</f>
        <v>0</v>
      </c>
      <c r="Y312" s="48">
        <f>SUM(Y311:Y311)</f>
        <v>0</v>
      </c>
      <c r="Z312" s="48">
        <f>SUM(Z311:Z311)</f>
        <v>0</v>
      </c>
    </row>
    <row r="313" spans="1:26" ht="13.9" customHeight="1" x14ac:dyDescent="0.25">
      <c r="A313" s="14">
        <v>5</v>
      </c>
      <c r="B313" s="14">
        <v>1</v>
      </c>
      <c r="C313" s="14">
        <v>2</v>
      </c>
      <c r="D313" s="29"/>
      <c r="E313" s="30"/>
      <c r="F313" s="25" t="s">
        <v>124</v>
      </c>
      <c r="G313" s="26">
        <f t="shared" ref="G313:Q313" si="166">G310+G312</f>
        <v>210</v>
      </c>
      <c r="H313" s="26">
        <f t="shared" si="166"/>
        <v>3412.57</v>
      </c>
      <c r="I313" s="26">
        <f t="shared" si="166"/>
        <v>252</v>
      </c>
      <c r="J313" s="26">
        <f t="shared" si="166"/>
        <v>6345.49</v>
      </c>
      <c r="K313" s="26">
        <f t="shared" si="166"/>
        <v>8427</v>
      </c>
      <c r="L313" s="26">
        <f t="shared" si="166"/>
        <v>2000</v>
      </c>
      <c r="M313" s="26">
        <f t="shared" si="166"/>
        <v>435</v>
      </c>
      <c r="N313" s="26">
        <f t="shared" si="166"/>
        <v>0</v>
      </c>
      <c r="O313" s="26">
        <f t="shared" si="166"/>
        <v>0</v>
      </c>
      <c r="P313" s="26">
        <f t="shared" si="166"/>
        <v>10862</v>
      </c>
      <c r="Q313" s="26">
        <f t="shared" si="166"/>
        <v>6758.09</v>
      </c>
      <c r="R313" s="27">
        <f>Q313/$P313</f>
        <v>0.62217731541152643</v>
      </c>
      <c r="S313" s="26">
        <f>S310+S312</f>
        <v>9475.34</v>
      </c>
      <c r="T313" s="27">
        <f>S313/$P313</f>
        <v>0.87233842754557178</v>
      </c>
      <c r="U313" s="26">
        <f>U310+U312</f>
        <v>9586.09</v>
      </c>
      <c r="V313" s="27">
        <f>U313/$P313</f>
        <v>0.88253452402872401</v>
      </c>
      <c r="W313" s="26">
        <f>W310+W312</f>
        <v>9886.81</v>
      </c>
      <c r="X313" s="27">
        <f>W313/$P313</f>
        <v>0.91022003314306754</v>
      </c>
      <c r="Y313" s="26">
        <f>Y310+Y312</f>
        <v>280</v>
      </c>
      <c r="Z313" s="26">
        <f>Z310+Z312</f>
        <v>280</v>
      </c>
    </row>
    <row r="315" spans="1:26" ht="13.9" customHeight="1" x14ac:dyDescent="0.25">
      <c r="E315" s="110" t="s">
        <v>57</v>
      </c>
      <c r="F315" s="111" t="s">
        <v>209</v>
      </c>
      <c r="G315" s="112"/>
      <c r="H315" s="112">
        <v>3161.48</v>
      </c>
      <c r="I315" s="113"/>
      <c r="J315" s="113">
        <v>6065.52</v>
      </c>
      <c r="K315" s="112">
        <f>K313-280</f>
        <v>8147</v>
      </c>
      <c r="L315" s="113"/>
      <c r="M315" s="113">
        <v>1935</v>
      </c>
      <c r="N315" s="113"/>
      <c r="O315" s="113">
        <v>479</v>
      </c>
      <c r="P315" s="113">
        <f>K315+SUM(L315:O315)</f>
        <v>10561</v>
      </c>
      <c r="Q315" s="113">
        <v>6758.09</v>
      </c>
      <c r="R315" s="114">
        <f>Q315/$P315</f>
        <v>0.63991004639712146</v>
      </c>
      <c r="S315" s="113">
        <v>9475.34</v>
      </c>
      <c r="T315" s="114">
        <f>S315/$P315</f>
        <v>0.89720102263043278</v>
      </c>
      <c r="U315" s="113">
        <v>9586.09</v>
      </c>
      <c r="V315" s="114">
        <f>U315/$P315</f>
        <v>0.90768771896600697</v>
      </c>
      <c r="W315" s="113">
        <v>9586.09</v>
      </c>
      <c r="X315" s="115">
        <f>W315/$P315</f>
        <v>0.90768771896600697</v>
      </c>
      <c r="Y315" s="113"/>
      <c r="Z315" s="116"/>
    </row>
    <row r="317" spans="1:26" ht="13.9" customHeight="1" x14ac:dyDescent="0.25">
      <c r="D317" s="72" t="s">
        <v>210</v>
      </c>
      <c r="E317" s="72"/>
      <c r="F317" s="72"/>
      <c r="G317" s="72"/>
      <c r="H317" s="72"/>
      <c r="I317" s="72"/>
      <c r="J317" s="72"/>
      <c r="K317" s="72"/>
      <c r="L317" s="72"/>
      <c r="M317" s="72"/>
      <c r="N317" s="72"/>
      <c r="O317" s="72"/>
      <c r="P317" s="72"/>
      <c r="Q317" s="72"/>
      <c r="R317" s="73"/>
      <c r="S317" s="72"/>
      <c r="T317" s="73"/>
      <c r="U317" s="72"/>
      <c r="V317" s="73"/>
      <c r="W317" s="72"/>
      <c r="X317" s="73"/>
      <c r="Y317" s="72"/>
      <c r="Z317" s="72"/>
    </row>
    <row r="318" spans="1:26" ht="13.9" customHeight="1" x14ac:dyDescent="0.25">
      <c r="D318" s="20" t="s">
        <v>33</v>
      </c>
      <c r="E318" s="20" t="s">
        <v>34</v>
      </c>
      <c r="F318" s="20" t="s">
        <v>35</v>
      </c>
      <c r="G318" s="20" t="s">
        <v>1</v>
      </c>
      <c r="H318" s="20" t="s">
        <v>2</v>
      </c>
      <c r="I318" s="20" t="s">
        <v>3</v>
      </c>
      <c r="J318" s="20" t="s">
        <v>4</v>
      </c>
      <c r="K318" s="20" t="s">
        <v>5</v>
      </c>
      <c r="L318" s="20" t="s">
        <v>6</v>
      </c>
      <c r="M318" s="20" t="s">
        <v>7</v>
      </c>
      <c r="N318" s="20" t="s">
        <v>8</v>
      </c>
      <c r="O318" s="20" t="s">
        <v>9</v>
      </c>
      <c r="P318" s="20" t="s">
        <v>10</v>
      </c>
      <c r="Q318" s="20" t="s">
        <v>11</v>
      </c>
      <c r="R318" s="21" t="s">
        <v>12</v>
      </c>
      <c r="S318" s="20" t="s">
        <v>13</v>
      </c>
      <c r="T318" s="21" t="s">
        <v>14</v>
      </c>
      <c r="U318" s="20" t="s">
        <v>15</v>
      </c>
      <c r="V318" s="21" t="s">
        <v>16</v>
      </c>
      <c r="W318" s="20" t="s">
        <v>17</v>
      </c>
      <c r="X318" s="21" t="s">
        <v>18</v>
      </c>
      <c r="Y318" s="20" t="s">
        <v>19</v>
      </c>
      <c r="Z318" s="20" t="s">
        <v>20</v>
      </c>
    </row>
    <row r="319" spans="1:26" ht="13.9" customHeight="1" x14ac:dyDescent="0.25">
      <c r="A319" s="14">
        <v>5</v>
      </c>
      <c r="B319" s="14">
        <v>1</v>
      </c>
      <c r="C319" s="14">
        <v>3</v>
      </c>
      <c r="D319" s="4" t="s">
        <v>211</v>
      </c>
      <c r="E319" s="22">
        <v>620</v>
      </c>
      <c r="F319" s="22" t="s">
        <v>130</v>
      </c>
      <c r="G319" s="23">
        <v>1170.71</v>
      </c>
      <c r="H319" s="23">
        <v>1469.35</v>
      </c>
      <c r="I319" s="23">
        <v>1470</v>
      </c>
      <c r="J319" s="23">
        <v>1405.35</v>
      </c>
      <c r="K319" s="23">
        <v>330</v>
      </c>
      <c r="L319" s="23"/>
      <c r="M319" s="23"/>
      <c r="N319" s="23"/>
      <c r="O319" s="23"/>
      <c r="P319" s="23">
        <f>K319+SUM(L319:O319)</f>
        <v>330</v>
      </c>
      <c r="Q319" s="23">
        <v>117.08</v>
      </c>
      <c r="R319" s="24">
        <f>Q319/$P319</f>
        <v>0.35478787878787876</v>
      </c>
      <c r="S319" s="23">
        <v>188.21</v>
      </c>
      <c r="T319" s="24">
        <f>S319/$P319</f>
        <v>0.57033333333333336</v>
      </c>
      <c r="U319" s="23">
        <v>259.33999999999997</v>
      </c>
      <c r="V319" s="24">
        <f>U319/$P319</f>
        <v>0.78587878787878784</v>
      </c>
      <c r="W319" s="23">
        <v>330.47</v>
      </c>
      <c r="X319" s="24">
        <f>W319/$P319</f>
        <v>1.0014242424242425</v>
      </c>
      <c r="Y319" s="23">
        <f>K319</f>
        <v>330</v>
      </c>
      <c r="Z319" s="23">
        <f>Y319</f>
        <v>330</v>
      </c>
    </row>
    <row r="320" spans="1:26" ht="13.9" customHeight="1" x14ac:dyDescent="0.25">
      <c r="A320" s="14">
        <v>5</v>
      </c>
      <c r="B320" s="14">
        <v>1</v>
      </c>
      <c r="C320" s="14">
        <v>3</v>
      </c>
      <c r="D320" s="4"/>
      <c r="E320" s="22">
        <v>630</v>
      </c>
      <c r="F320" s="22" t="s">
        <v>131</v>
      </c>
      <c r="G320" s="23">
        <v>13708.98</v>
      </c>
      <c r="H320" s="23">
        <v>16673.96</v>
      </c>
      <c r="I320" s="23">
        <v>16675</v>
      </c>
      <c r="J320" s="23">
        <v>14950.95</v>
      </c>
      <c r="K320" s="23">
        <v>13758</v>
      </c>
      <c r="L320" s="23"/>
      <c r="M320" s="23"/>
      <c r="N320" s="23"/>
      <c r="O320" s="23"/>
      <c r="P320" s="23">
        <f>K320+SUM(L320:O320)</f>
        <v>13758</v>
      </c>
      <c r="Q320" s="23">
        <v>2746.69</v>
      </c>
      <c r="R320" s="24">
        <f>Q320/$P320</f>
        <v>0.19964311673208315</v>
      </c>
      <c r="S320" s="23">
        <v>6332.17</v>
      </c>
      <c r="T320" s="24">
        <f>S320/$P320</f>
        <v>0.46025367059165578</v>
      </c>
      <c r="U320" s="23">
        <v>9917.65</v>
      </c>
      <c r="V320" s="24">
        <f>U320/$P320</f>
        <v>0.72086422445122833</v>
      </c>
      <c r="W320" s="23">
        <v>13690.99</v>
      </c>
      <c r="X320" s="24">
        <f>W320/$P320</f>
        <v>0.9951293792702427</v>
      </c>
      <c r="Y320" s="23">
        <f>K320</f>
        <v>13758</v>
      </c>
      <c r="Z320" s="23">
        <f>Y320</f>
        <v>13758</v>
      </c>
    </row>
    <row r="321" spans="1:26" ht="13.9" customHeight="1" x14ac:dyDescent="0.25">
      <c r="A321" s="14">
        <v>5</v>
      </c>
      <c r="B321" s="14">
        <v>1</v>
      </c>
      <c r="C321" s="14">
        <v>3</v>
      </c>
      <c r="D321" s="78" t="s">
        <v>21</v>
      </c>
      <c r="E321" s="25">
        <v>41</v>
      </c>
      <c r="F321" s="25" t="s">
        <v>23</v>
      </c>
      <c r="G321" s="26">
        <f t="shared" ref="G321:Q321" si="167">SUM(G319:G320)</f>
        <v>14879.689999999999</v>
      </c>
      <c r="H321" s="26">
        <f t="shared" si="167"/>
        <v>18143.309999999998</v>
      </c>
      <c r="I321" s="26">
        <f t="shared" si="167"/>
        <v>18145</v>
      </c>
      <c r="J321" s="26">
        <f t="shared" si="167"/>
        <v>16356.300000000001</v>
      </c>
      <c r="K321" s="26">
        <f t="shared" si="167"/>
        <v>14088</v>
      </c>
      <c r="L321" s="26">
        <f t="shared" si="167"/>
        <v>0</v>
      </c>
      <c r="M321" s="26">
        <f t="shared" si="167"/>
        <v>0</v>
      </c>
      <c r="N321" s="26">
        <f t="shared" si="167"/>
        <v>0</v>
      </c>
      <c r="O321" s="26">
        <f t="shared" si="167"/>
        <v>0</v>
      </c>
      <c r="P321" s="26">
        <f t="shared" si="167"/>
        <v>14088</v>
      </c>
      <c r="Q321" s="26">
        <f t="shared" si="167"/>
        <v>2863.77</v>
      </c>
      <c r="R321" s="27">
        <f>Q321/$P321</f>
        <v>0.20327725724020443</v>
      </c>
      <c r="S321" s="26">
        <f>SUM(S319:S320)</f>
        <v>6520.38</v>
      </c>
      <c r="T321" s="27">
        <f>S321/$P321</f>
        <v>0.4628321976149915</v>
      </c>
      <c r="U321" s="26">
        <f>SUM(U319:U320)</f>
        <v>10176.99</v>
      </c>
      <c r="V321" s="27">
        <f>U321/$P321</f>
        <v>0.72238713798977849</v>
      </c>
      <c r="W321" s="26">
        <f>SUM(W319:W320)</f>
        <v>14021.46</v>
      </c>
      <c r="X321" s="27">
        <f>W321/$P321</f>
        <v>0.99527683134582612</v>
      </c>
      <c r="Y321" s="26">
        <f>SUM(Y319:Y320)</f>
        <v>14088</v>
      </c>
      <c r="Z321" s="26">
        <f>SUM(Z319:Z320)</f>
        <v>14088</v>
      </c>
    </row>
    <row r="323" spans="1:26" ht="13.9" customHeight="1" x14ac:dyDescent="0.25">
      <c r="E323" s="51" t="s">
        <v>57</v>
      </c>
      <c r="F323" s="29" t="s">
        <v>149</v>
      </c>
      <c r="G323" s="52">
        <v>9713</v>
      </c>
      <c r="H323" s="52">
        <v>10894.97</v>
      </c>
      <c r="I323" s="52">
        <v>10895</v>
      </c>
      <c r="J323" s="52">
        <v>10021</v>
      </c>
      <c r="K323" s="52">
        <v>9702</v>
      </c>
      <c r="L323" s="52"/>
      <c r="M323" s="52"/>
      <c r="N323" s="52"/>
      <c r="O323" s="52"/>
      <c r="P323" s="52">
        <f>K323+SUM(L323:O323)</f>
        <v>9702</v>
      </c>
      <c r="Q323" s="52">
        <v>1764</v>
      </c>
      <c r="R323" s="53">
        <f>Q323/$P323</f>
        <v>0.18181818181818182</v>
      </c>
      <c r="S323" s="52">
        <v>4410</v>
      </c>
      <c r="T323" s="53">
        <f>S323/$P323</f>
        <v>0.45454545454545453</v>
      </c>
      <c r="U323" s="52">
        <v>7056</v>
      </c>
      <c r="V323" s="53">
        <f>U323/$P323</f>
        <v>0.72727272727272729</v>
      </c>
      <c r="W323" s="52">
        <v>9702</v>
      </c>
      <c r="X323" s="54">
        <f>W323/$P323</f>
        <v>1</v>
      </c>
      <c r="Y323" s="52">
        <f>K323</f>
        <v>9702</v>
      </c>
      <c r="Z323" s="55">
        <f>Y323</f>
        <v>9702</v>
      </c>
    </row>
    <row r="324" spans="1:26" ht="13.9" customHeight="1" x14ac:dyDescent="0.25">
      <c r="E324" s="64"/>
      <c r="F324" s="95" t="s">
        <v>212</v>
      </c>
      <c r="G324" s="66">
        <v>4520.8100000000004</v>
      </c>
      <c r="H324" s="66">
        <v>5674.52</v>
      </c>
      <c r="I324" s="66">
        <v>5675</v>
      </c>
      <c r="J324" s="66">
        <v>5681.79</v>
      </c>
      <c r="K324" s="66">
        <v>4131</v>
      </c>
      <c r="L324" s="66"/>
      <c r="M324" s="66"/>
      <c r="N324" s="66"/>
      <c r="O324" s="66"/>
      <c r="P324" s="66">
        <f>K324+SUM(L324:O324)</f>
        <v>4131</v>
      </c>
      <c r="Q324" s="66">
        <v>1099.77</v>
      </c>
      <c r="R324" s="67">
        <f>Q324/$P324</f>
        <v>0.2662236746550472</v>
      </c>
      <c r="S324" s="66">
        <v>2110.38</v>
      </c>
      <c r="T324" s="67">
        <f>S324/$P324</f>
        <v>0.51086419753086421</v>
      </c>
      <c r="U324" s="66">
        <f>2861.65+U319</f>
        <v>3120.9900000000002</v>
      </c>
      <c r="V324" s="67">
        <f>U324/$P324</f>
        <v>0.75550472040668126</v>
      </c>
      <c r="W324" s="66">
        <v>4131.6000000000004</v>
      </c>
      <c r="X324" s="68">
        <f>W324/$P324</f>
        <v>1.0001452432824982</v>
      </c>
      <c r="Y324" s="66">
        <f>K324</f>
        <v>4131</v>
      </c>
      <c r="Z324" s="69">
        <f>Y324</f>
        <v>4131</v>
      </c>
    </row>
    <row r="326" spans="1:26" ht="13.9" customHeight="1" x14ac:dyDescent="0.25">
      <c r="D326" s="72" t="s">
        <v>213</v>
      </c>
      <c r="E326" s="72"/>
      <c r="F326" s="72"/>
      <c r="G326" s="72"/>
      <c r="H326" s="72"/>
      <c r="I326" s="72"/>
      <c r="J326" s="72"/>
      <c r="K326" s="72"/>
      <c r="L326" s="72"/>
      <c r="M326" s="72"/>
      <c r="N326" s="72"/>
      <c r="O326" s="72"/>
      <c r="P326" s="72"/>
      <c r="Q326" s="72"/>
      <c r="R326" s="73"/>
      <c r="S326" s="72"/>
      <c r="T326" s="73"/>
      <c r="U326" s="72"/>
      <c r="V326" s="73"/>
      <c r="W326" s="72"/>
      <c r="X326" s="73"/>
      <c r="Y326" s="72"/>
      <c r="Z326" s="72"/>
    </row>
    <row r="327" spans="1:26" ht="13.9" customHeight="1" x14ac:dyDescent="0.25">
      <c r="D327" s="20" t="s">
        <v>33</v>
      </c>
      <c r="E327" s="20" t="s">
        <v>34</v>
      </c>
      <c r="F327" s="20" t="s">
        <v>35</v>
      </c>
      <c r="G327" s="20" t="s">
        <v>1</v>
      </c>
      <c r="H327" s="20" t="s">
        <v>2</v>
      </c>
      <c r="I327" s="20" t="s">
        <v>3</v>
      </c>
      <c r="J327" s="20" t="s">
        <v>4</v>
      </c>
      <c r="K327" s="20" t="s">
        <v>5</v>
      </c>
      <c r="L327" s="20" t="s">
        <v>6</v>
      </c>
      <c r="M327" s="20" t="s">
        <v>7</v>
      </c>
      <c r="N327" s="20" t="s">
        <v>8</v>
      </c>
      <c r="O327" s="20" t="s">
        <v>9</v>
      </c>
      <c r="P327" s="20" t="s">
        <v>10</v>
      </c>
      <c r="Q327" s="20" t="s">
        <v>11</v>
      </c>
      <c r="R327" s="21" t="s">
        <v>12</v>
      </c>
      <c r="S327" s="20" t="s">
        <v>13</v>
      </c>
      <c r="T327" s="21" t="s">
        <v>14</v>
      </c>
      <c r="U327" s="20" t="s">
        <v>15</v>
      </c>
      <c r="V327" s="21" t="s">
        <v>16</v>
      </c>
      <c r="W327" s="20" t="s">
        <v>17</v>
      </c>
      <c r="X327" s="21" t="s">
        <v>18</v>
      </c>
      <c r="Y327" s="20" t="s">
        <v>19</v>
      </c>
      <c r="Z327" s="20" t="s">
        <v>20</v>
      </c>
    </row>
    <row r="328" spans="1:26" ht="13.9" customHeight="1" x14ac:dyDescent="0.25">
      <c r="A328" s="14">
        <v>5</v>
      </c>
      <c r="B328" s="14">
        <v>1</v>
      </c>
      <c r="C328" s="14">
        <v>4</v>
      </c>
      <c r="D328" s="83" t="s">
        <v>214</v>
      </c>
      <c r="E328" s="22">
        <v>630</v>
      </c>
      <c r="F328" s="22" t="s">
        <v>131</v>
      </c>
      <c r="G328" s="23">
        <v>55</v>
      </c>
      <c r="H328" s="23">
        <v>136.9</v>
      </c>
      <c r="I328" s="23">
        <v>140</v>
      </c>
      <c r="J328" s="23">
        <v>59.4</v>
      </c>
      <c r="K328" s="23">
        <v>60</v>
      </c>
      <c r="L328" s="23"/>
      <c r="M328" s="23"/>
      <c r="N328" s="23"/>
      <c r="O328" s="23">
        <v>1187</v>
      </c>
      <c r="P328" s="23">
        <f>K328+SUM(L328:O328)</f>
        <v>1247</v>
      </c>
      <c r="Q328" s="23">
        <v>0</v>
      </c>
      <c r="R328" s="24">
        <f>Q328/$P328</f>
        <v>0</v>
      </c>
      <c r="S328" s="23">
        <v>59.4</v>
      </c>
      <c r="T328" s="24">
        <f>S328/$P328</f>
        <v>4.7634322373696872E-2</v>
      </c>
      <c r="U328" s="23">
        <v>59.4</v>
      </c>
      <c r="V328" s="24">
        <f>U328/$P328</f>
        <v>4.7634322373696872E-2</v>
      </c>
      <c r="W328" s="23">
        <v>1246.72</v>
      </c>
      <c r="X328" s="24">
        <f>W328/$P328</f>
        <v>0.99977546110665605</v>
      </c>
      <c r="Y328" s="23">
        <f>K328</f>
        <v>60</v>
      </c>
      <c r="Z328" s="23">
        <f>Y328</f>
        <v>60</v>
      </c>
    </row>
    <row r="329" spans="1:26" ht="13.9" customHeight="1" x14ac:dyDescent="0.25">
      <c r="A329" s="14">
        <v>5</v>
      </c>
      <c r="B329" s="14">
        <v>1</v>
      </c>
      <c r="C329" s="14">
        <v>4</v>
      </c>
      <c r="D329" s="78" t="s">
        <v>21</v>
      </c>
      <c r="E329" s="25">
        <v>41</v>
      </c>
      <c r="F329" s="25" t="s">
        <v>23</v>
      </c>
      <c r="G329" s="26">
        <f t="shared" ref="G329:Q329" si="168">SUM(G328:G328)</f>
        <v>55</v>
      </c>
      <c r="H329" s="26">
        <f t="shared" si="168"/>
        <v>136.9</v>
      </c>
      <c r="I329" s="26">
        <f t="shared" si="168"/>
        <v>140</v>
      </c>
      <c r="J329" s="26">
        <f t="shared" si="168"/>
        <v>59.4</v>
      </c>
      <c r="K329" s="26">
        <f t="shared" si="168"/>
        <v>60</v>
      </c>
      <c r="L329" s="26">
        <f t="shared" si="168"/>
        <v>0</v>
      </c>
      <c r="M329" s="26">
        <f t="shared" si="168"/>
        <v>0</v>
      </c>
      <c r="N329" s="26">
        <f t="shared" si="168"/>
        <v>0</v>
      </c>
      <c r="O329" s="26">
        <f t="shared" si="168"/>
        <v>1187</v>
      </c>
      <c r="P329" s="26">
        <f t="shared" si="168"/>
        <v>1247</v>
      </c>
      <c r="Q329" s="26">
        <f t="shared" si="168"/>
        <v>0</v>
      </c>
      <c r="R329" s="27">
        <f>Q329/$P329</f>
        <v>0</v>
      </c>
      <c r="S329" s="26">
        <f>SUM(S328:S328)</f>
        <v>59.4</v>
      </c>
      <c r="T329" s="27">
        <f>S329/$P329</f>
        <v>4.7634322373696872E-2</v>
      </c>
      <c r="U329" s="26">
        <f>SUM(U328:U328)</f>
        <v>59.4</v>
      </c>
      <c r="V329" s="27">
        <f>U329/$P329</f>
        <v>4.7634322373696872E-2</v>
      </c>
      <c r="W329" s="26">
        <f>SUM(W328:W328)</f>
        <v>1246.72</v>
      </c>
      <c r="X329" s="27">
        <f>W329/$P329</f>
        <v>0.99977546110665605</v>
      </c>
      <c r="Y329" s="26">
        <f>SUM(Y328:Y328)</f>
        <v>60</v>
      </c>
      <c r="Z329" s="26">
        <f>SUM(Z328:Z328)</f>
        <v>60</v>
      </c>
    </row>
    <row r="331" spans="1:26" ht="13.9" customHeight="1" x14ac:dyDescent="0.25">
      <c r="D331" s="40" t="s">
        <v>215</v>
      </c>
      <c r="E331" s="40"/>
      <c r="F331" s="40"/>
      <c r="G331" s="40"/>
      <c r="H331" s="40"/>
      <c r="I331" s="40"/>
      <c r="J331" s="40"/>
      <c r="K331" s="40"/>
      <c r="L331" s="40"/>
      <c r="M331" s="40"/>
      <c r="N331" s="40"/>
      <c r="O331" s="40"/>
      <c r="P331" s="40"/>
      <c r="Q331" s="40"/>
      <c r="R331" s="41"/>
      <c r="S331" s="40"/>
      <c r="T331" s="41"/>
      <c r="U331" s="40"/>
      <c r="V331" s="41"/>
      <c r="W331" s="40"/>
      <c r="X331" s="41"/>
      <c r="Y331" s="40"/>
      <c r="Z331" s="40"/>
    </row>
    <row r="332" spans="1:26" ht="13.9" customHeight="1" x14ac:dyDescent="0.25">
      <c r="D332" s="109"/>
      <c r="E332" s="109"/>
      <c r="F332" s="109"/>
      <c r="G332" s="20" t="s">
        <v>1</v>
      </c>
      <c r="H332" s="20" t="s">
        <v>2</v>
      </c>
      <c r="I332" s="20" t="s">
        <v>3</v>
      </c>
      <c r="J332" s="20" t="s">
        <v>4</v>
      </c>
      <c r="K332" s="20" t="s">
        <v>5</v>
      </c>
      <c r="L332" s="20" t="s">
        <v>6</v>
      </c>
      <c r="M332" s="20" t="s">
        <v>7</v>
      </c>
      <c r="N332" s="20" t="s">
        <v>8</v>
      </c>
      <c r="O332" s="20" t="s">
        <v>9</v>
      </c>
      <c r="P332" s="20" t="s">
        <v>10</v>
      </c>
      <c r="Q332" s="20" t="s">
        <v>11</v>
      </c>
      <c r="R332" s="21" t="s">
        <v>12</v>
      </c>
      <c r="S332" s="20" t="s">
        <v>13</v>
      </c>
      <c r="T332" s="21" t="s">
        <v>14</v>
      </c>
      <c r="U332" s="20" t="s">
        <v>15</v>
      </c>
      <c r="V332" s="21" t="s">
        <v>16</v>
      </c>
      <c r="W332" s="20" t="s">
        <v>17</v>
      </c>
      <c r="X332" s="21" t="s">
        <v>18</v>
      </c>
      <c r="Y332" s="20" t="s">
        <v>19</v>
      </c>
      <c r="Z332" s="20" t="s">
        <v>20</v>
      </c>
    </row>
    <row r="333" spans="1:26" ht="13.9" customHeight="1" x14ac:dyDescent="0.25">
      <c r="A333" s="14">
        <v>5</v>
      </c>
      <c r="B333" s="14">
        <v>2</v>
      </c>
      <c r="D333" s="13" t="s">
        <v>21</v>
      </c>
      <c r="E333" s="117" t="s">
        <v>138</v>
      </c>
      <c r="F333" s="22" t="s">
        <v>47</v>
      </c>
      <c r="G333" s="23">
        <f t="shared" ref="G333:Q333" si="169">G359</f>
        <v>15566.08</v>
      </c>
      <c r="H333" s="23">
        <f t="shared" si="169"/>
        <v>21626.75</v>
      </c>
      <c r="I333" s="23">
        <f t="shared" si="169"/>
        <v>7002</v>
      </c>
      <c r="J333" s="23">
        <f t="shared" si="169"/>
        <v>0</v>
      </c>
      <c r="K333" s="23">
        <f t="shared" si="169"/>
        <v>0</v>
      </c>
      <c r="L333" s="23">
        <f t="shared" si="169"/>
        <v>0</v>
      </c>
      <c r="M333" s="23">
        <f t="shared" si="169"/>
        <v>0</v>
      </c>
      <c r="N333" s="23">
        <f t="shared" si="169"/>
        <v>0</v>
      </c>
      <c r="O333" s="23">
        <f t="shared" si="169"/>
        <v>0</v>
      </c>
      <c r="P333" s="23">
        <f t="shared" si="169"/>
        <v>0</v>
      </c>
      <c r="Q333" s="23">
        <f t="shared" si="169"/>
        <v>0</v>
      </c>
      <c r="R333" s="24">
        <f>IFERROR(Q333/$P333,0)</f>
        <v>0</v>
      </c>
      <c r="S333" s="23">
        <f>S359</f>
        <v>0</v>
      </c>
      <c r="T333" s="24">
        <f>IFERROR(S333/$P333,0)</f>
        <v>0</v>
      </c>
      <c r="U333" s="23">
        <f>U359</f>
        <v>0</v>
      </c>
      <c r="V333" s="24">
        <f>IFERROR(U333/$P333,0)</f>
        <v>0</v>
      </c>
      <c r="W333" s="23">
        <f>W359</f>
        <v>0</v>
      </c>
      <c r="X333" s="24">
        <f>IFERROR(W333/$P333,0)</f>
        <v>0</v>
      </c>
      <c r="Y333" s="23">
        <f>Y359</f>
        <v>0</v>
      </c>
      <c r="Z333" s="23">
        <f>Z359</f>
        <v>0</v>
      </c>
    </row>
    <row r="334" spans="1:26" ht="13.9" customHeight="1" x14ac:dyDescent="0.25">
      <c r="A334" s="14">
        <v>5</v>
      </c>
      <c r="B334" s="14">
        <v>2</v>
      </c>
      <c r="D334" s="13" t="s">
        <v>21</v>
      </c>
      <c r="E334" s="22">
        <v>41</v>
      </c>
      <c r="F334" s="22" t="s">
        <v>23</v>
      </c>
      <c r="G334" s="23">
        <f t="shared" ref="G334:Q334" si="170">G341+G351+G364</f>
        <v>21476.86</v>
      </c>
      <c r="H334" s="23">
        <f t="shared" si="170"/>
        <v>9763.119999999999</v>
      </c>
      <c r="I334" s="23">
        <f t="shared" si="170"/>
        <v>7473</v>
      </c>
      <c r="J334" s="23">
        <f t="shared" si="170"/>
        <v>8858</v>
      </c>
      <c r="K334" s="23">
        <f t="shared" si="170"/>
        <v>20153</v>
      </c>
      <c r="L334" s="23">
        <f t="shared" si="170"/>
        <v>0</v>
      </c>
      <c r="M334" s="23">
        <f t="shared" si="170"/>
        <v>159</v>
      </c>
      <c r="N334" s="23">
        <f t="shared" si="170"/>
        <v>3430</v>
      </c>
      <c r="O334" s="23">
        <f t="shared" si="170"/>
        <v>-4524</v>
      </c>
      <c r="P334" s="23">
        <f t="shared" si="170"/>
        <v>19218</v>
      </c>
      <c r="Q334" s="23">
        <f t="shared" si="170"/>
        <v>3040.65</v>
      </c>
      <c r="R334" s="24">
        <f>Q334/$P334</f>
        <v>0.15821885732126131</v>
      </c>
      <c r="S334" s="23">
        <f>S341+S351+S364</f>
        <v>6208.5499999999993</v>
      </c>
      <c r="T334" s="24">
        <f>S334/$P334</f>
        <v>0.32305911124986986</v>
      </c>
      <c r="U334" s="23">
        <f>U341+U351+U364</f>
        <v>9171.82</v>
      </c>
      <c r="V334" s="24">
        <f>U334/$P334</f>
        <v>0.47725153501925277</v>
      </c>
      <c r="W334" s="23">
        <f>W341+W351+W364</f>
        <v>15629.32</v>
      </c>
      <c r="X334" s="24">
        <f>W334/$P334</f>
        <v>0.81326464772609008</v>
      </c>
      <c r="Y334" s="23">
        <f>Y341+Y351+Y364</f>
        <v>5705</v>
      </c>
      <c r="Z334" s="23">
        <f>Z341+Z351+Z364</f>
        <v>5705</v>
      </c>
    </row>
    <row r="335" spans="1:26" ht="13.9" customHeight="1" x14ac:dyDescent="0.25">
      <c r="A335" s="14">
        <v>5</v>
      </c>
      <c r="B335" s="14">
        <v>2</v>
      </c>
      <c r="D335" s="13" t="s">
        <v>21</v>
      </c>
      <c r="E335" s="22">
        <v>72</v>
      </c>
      <c r="F335" s="22" t="s">
        <v>25</v>
      </c>
      <c r="G335" s="23">
        <f t="shared" ref="G335:Q335" si="171">G366</f>
        <v>358.78</v>
      </c>
      <c r="H335" s="23">
        <f t="shared" si="171"/>
        <v>303.74</v>
      </c>
      <c r="I335" s="23">
        <f t="shared" si="171"/>
        <v>2</v>
      </c>
      <c r="J335" s="23">
        <f t="shared" si="171"/>
        <v>0</v>
      </c>
      <c r="K335" s="23">
        <f t="shared" si="171"/>
        <v>165</v>
      </c>
      <c r="L335" s="23">
        <f t="shared" si="171"/>
        <v>0</v>
      </c>
      <c r="M335" s="23">
        <f t="shared" si="171"/>
        <v>0</v>
      </c>
      <c r="N335" s="23">
        <f t="shared" si="171"/>
        <v>0</v>
      </c>
      <c r="O335" s="23">
        <f t="shared" si="171"/>
        <v>-165</v>
      </c>
      <c r="P335" s="23">
        <f t="shared" si="171"/>
        <v>0</v>
      </c>
      <c r="Q335" s="23">
        <f t="shared" si="171"/>
        <v>0</v>
      </c>
      <c r="R335" s="24">
        <f>IFERROR(Q335/$P335,0)</f>
        <v>0</v>
      </c>
      <c r="S335" s="23">
        <f>S366</f>
        <v>0</v>
      </c>
      <c r="T335" s="24">
        <f>IFERROR(S335/$P335,0)</f>
        <v>0</v>
      </c>
      <c r="U335" s="23">
        <f>U366</f>
        <v>0</v>
      </c>
      <c r="V335" s="24">
        <f>IFERROR(U335/$P335,0)</f>
        <v>0</v>
      </c>
      <c r="W335" s="23">
        <f>W366</f>
        <v>0</v>
      </c>
      <c r="X335" s="24">
        <f>IFERROR(W335/$P335,0)</f>
        <v>0</v>
      </c>
      <c r="Y335" s="23">
        <f>Y366</f>
        <v>0</v>
      </c>
      <c r="Z335" s="23">
        <f>Z366</f>
        <v>0</v>
      </c>
    </row>
    <row r="336" spans="1:26" ht="13.9" customHeight="1" x14ac:dyDescent="0.25">
      <c r="A336" s="14">
        <v>5</v>
      </c>
      <c r="B336" s="14">
        <v>2</v>
      </c>
      <c r="D336" s="29"/>
      <c r="E336" s="30"/>
      <c r="F336" s="25" t="s">
        <v>124</v>
      </c>
      <c r="G336" s="26">
        <f t="shared" ref="G336:Q336" si="172">SUM(G333:G335)</f>
        <v>37401.72</v>
      </c>
      <c r="H336" s="26">
        <f t="shared" si="172"/>
        <v>31693.61</v>
      </c>
      <c r="I336" s="26">
        <f t="shared" si="172"/>
        <v>14477</v>
      </c>
      <c r="J336" s="26">
        <f t="shared" si="172"/>
        <v>8858</v>
      </c>
      <c r="K336" s="26">
        <f t="shared" si="172"/>
        <v>20318</v>
      </c>
      <c r="L336" s="26">
        <f t="shared" si="172"/>
        <v>0</v>
      </c>
      <c r="M336" s="26">
        <f t="shared" si="172"/>
        <v>159</v>
      </c>
      <c r="N336" s="26">
        <f t="shared" si="172"/>
        <v>3430</v>
      </c>
      <c r="O336" s="26">
        <f t="shared" si="172"/>
        <v>-4689</v>
      </c>
      <c r="P336" s="26">
        <f t="shared" si="172"/>
        <v>19218</v>
      </c>
      <c r="Q336" s="26">
        <f t="shared" si="172"/>
        <v>3040.65</v>
      </c>
      <c r="R336" s="27">
        <f>Q336/$P336</f>
        <v>0.15821885732126131</v>
      </c>
      <c r="S336" s="26">
        <f>SUM(S333:S335)</f>
        <v>6208.5499999999993</v>
      </c>
      <c r="T336" s="27">
        <f>S336/$P336</f>
        <v>0.32305911124986986</v>
      </c>
      <c r="U336" s="26">
        <f>SUM(U333:U335)</f>
        <v>9171.82</v>
      </c>
      <c r="V336" s="27">
        <f>U336/$P336</f>
        <v>0.47725153501925277</v>
      </c>
      <c r="W336" s="26">
        <f>SUM(W333:W335)</f>
        <v>15629.32</v>
      </c>
      <c r="X336" s="27">
        <f>W336/$P336</f>
        <v>0.81326464772609008</v>
      </c>
      <c r="Y336" s="26">
        <f>SUM(Y333:Y335)</f>
        <v>5705</v>
      </c>
      <c r="Z336" s="26">
        <f>SUM(Z333:Z335)</f>
        <v>5705</v>
      </c>
    </row>
    <row r="338" spans="1:26" ht="13.9" customHeight="1" x14ac:dyDescent="0.25">
      <c r="D338" s="72" t="s">
        <v>216</v>
      </c>
      <c r="E338" s="72"/>
      <c r="F338" s="72"/>
      <c r="G338" s="72"/>
      <c r="H338" s="72"/>
      <c r="I338" s="72"/>
      <c r="J338" s="72"/>
      <c r="K338" s="72"/>
      <c r="L338" s="72"/>
      <c r="M338" s="72"/>
      <c r="N338" s="72"/>
      <c r="O338" s="72"/>
      <c r="P338" s="72"/>
      <c r="Q338" s="72"/>
      <c r="R338" s="73"/>
      <c r="S338" s="72"/>
      <c r="T338" s="73"/>
      <c r="U338" s="72"/>
      <c r="V338" s="73"/>
      <c r="W338" s="72"/>
      <c r="X338" s="73"/>
      <c r="Y338" s="72"/>
      <c r="Z338" s="72"/>
    </row>
    <row r="339" spans="1:26" ht="13.9" customHeight="1" x14ac:dyDescent="0.25">
      <c r="D339" s="20" t="s">
        <v>33</v>
      </c>
      <c r="E339" s="20" t="s">
        <v>34</v>
      </c>
      <c r="F339" s="20" t="s">
        <v>35</v>
      </c>
      <c r="G339" s="20" t="s">
        <v>1</v>
      </c>
      <c r="H339" s="20" t="s">
        <v>2</v>
      </c>
      <c r="I339" s="20" t="s">
        <v>3</v>
      </c>
      <c r="J339" s="20" t="s">
        <v>4</v>
      </c>
      <c r="K339" s="20" t="s">
        <v>5</v>
      </c>
      <c r="L339" s="20" t="s">
        <v>6</v>
      </c>
      <c r="M339" s="20" t="s">
        <v>7</v>
      </c>
      <c r="N339" s="20" t="s">
        <v>8</v>
      </c>
      <c r="O339" s="20" t="s">
        <v>9</v>
      </c>
      <c r="P339" s="20" t="s">
        <v>10</v>
      </c>
      <c r="Q339" s="20" t="s">
        <v>11</v>
      </c>
      <c r="R339" s="21" t="s">
        <v>12</v>
      </c>
      <c r="S339" s="20" t="s">
        <v>13</v>
      </c>
      <c r="T339" s="21" t="s">
        <v>14</v>
      </c>
      <c r="U339" s="20" t="s">
        <v>15</v>
      </c>
      <c r="V339" s="21" t="s">
        <v>16</v>
      </c>
      <c r="W339" s="20" t="s">
        <v>17</v>
      </c>
      <c r="X339" s="21" t="s">
        <v>18</v>
      </c>
      <c r="Y339" s="20" t="s">
        <v>19</v>
      </c>
      <c r="Z339" s="20" t="s">
        <v>20</v>
      </c>
    </row>
    <row r="340" spans="1:26" ht="13.9" customHeight="1" x14ac:dyDescent="0.25">
      <c r="A340" s="14">
        <v>5</v>
      </c>
      <c r="B340" s="14">
        <v>2</v>
      </c>
      <c r="C340" s="14">
        <v>1</v>
      </c>
      <c r="D340" s="50" t="s">
        <v>217</v>
      </c>
      <c r="E340" s="22">
        <v>630</v>
      </c>
      <c r="F340" s="22" t="s">
        <v>131</v>
      </c>
      <c r="G340" s="23">
        <v>4368.3100000000004</v>
      </c>
      <c r="H340" s="23">
        <v>3009.25</v>
      </c>
      <c r="I340" s="23">
        <v>3730</v>
      </c>
      <c r="J340" s="23">
        <v>8666.7000000000007</v>
      </c>
      <c r="K340" s="23">
        <v>5155</v>
      </c>
      <c r="L340" s="23"/>
      <c r="M340" s="23"/>
      <c r="N340" s="23">
        <v>1190</v>
      </c>
      <c r="O340" s="23"/>
      <c r="P340" s="23">
        <f>K340+SUM(L340:O340)</f>
        <v>6345</v>
      </c>
      <c r="Q340" s="23">
        <v>2940.65</v>
      </c>
      <c r="R340" s="24">
        <f>Q340/$P340</f>
        <v>0.4634594168636722</v>
      </c>
      <c r="S340" s="23">
        <v>3577.55</v>
      </c>
      <c r="T340" s="24">
        <f>S340/$P340</f>
        <v>0.56383766745468877</v>
      </c>
      <c r="U340" s="23">
        <v>3796.07</v>
      </c>
      <c r="V340" s="24">
        <f>U340/$P340</f>
        <v>0.59827738376674544</v>
      </c>
      <c r="W340" s="23">
        <v>5979.45</v>
      </c>
      <c r="X340" s="24">
        <f>W340/$P340</f>
        <v>0.94238770685579198</v>
      </c>
      <c r="Y340" s="23">
        <f>K340</f>
        <v>5155</v>
      </c>
      <c r="Z340" s="23">
        <f>Y340</f>
        <v>5155</v>
      </c>
    </row>
    <row r="341" spans="1:26" ht="13.9" customHeight="1" x14ac:dyDescent="0.25">
      <c r="A341" s="14">
        <v>5</v>
      </c>
      <c r="B341" s="14">
        <v>2</v>
      </c>
      <c r="C341" s="14">
        <v>1</v>
      </c>
      <c r="D341" s="78" t="s">
        <v>21</v>
      </c>
      <c r="E341" s="25">
        <v>41</v>
      </c>
      <c r="F341" s="25" t="s">
        <v>23</v>
      </c>
      <c r="G341" s="26">
        <f t="shared" ref="G341:Q341" si="173">SUM(G340:G340)</f>
        <v>4368.3100000000004</v>
      </c>
      <c r="H341" s="26">
        <f t="shared" si="173"/>
        <v>3009.25</v>
      </c>
      <c r="I341" s="26">
        <f t="shared" si="173"/>
        <v>3730</v>
      </c>
      <c r="J341" s="26">
        <f t="shared" si="173"/>
        <v>8666.7000000000007</v>
      </c>
      <c r="K341" s="26">
        <f t="shared" si="173"/>
        <v>5155</v>
      </c>
      <c r="L341" s="26">
        <f t="shared" si="173"/>
        <v>0</v>
      </c>
      <c r="M341" s="26">
        <f t="shared" si="173"/>
        <v>0</v>
      </c>
      <c r="N341" s="26">
        <f t="shared" si="173"/>
        <v>1190</v>
      </c>
      <c r="O341" s="26">
        <f t="shared" si="173"/>
        <v>0</v>
      </c>
      <c r="P341" s="26">
        <f t="shared" si="173"/>
        <v>6345</v>
      </c>
      <c r="Q341" s="26">
        <f t="shared" si="173"/>
        <v>2940.65</v>
      </c>
      <c r="R341" s="27">
        <f>Q341/$P341</f>
        <v>0.4634594168636722</v>
      </c>
      <c r="S341" s="26">
        <f>SUM(S340:S340)</f>
        <v>3577.55</v>
      </c>
      <c r="T341" s="27">
        <f>S341/$P341</f>
        <v>0.56383766745468877</v>
      </c>
      <c r="U341" s="26">
        <f>SUM(U340:U340)</f>
        <v>3796.07</v>
      </c>
      <c r="V341" s="27">
        <f>U341/$P341</f>
        <v>0.59827738376674544</v>
      </c>
      <c r="W341" s="26">
        <f>SUM(W340:W340)</f>
        <v>5979.45</v>
      </c>
      <c r="X341" s="27">
        <f>W341/$P341</f>
        <v>0.94238770685579198</v>
      </c>
      <c r="Y341" s="26">
        <f>SUM(Y340:Y340)</f>
        <v>5155</v>
      </c>
      <c r="Z341" s="26">
        <f>SUM(Z340:Z340)</f>
        <v>5155</v>
      </c>
    </row>
    <row r="343" spans="1:26" ht="13.9" customHeight="1" x14ac:dyDescent="0.25">
      <c r="E343" s="51" t="s">
        <v>57</v>
      </c>
      <c r="F343" s="29" t="s">
        <v>218</v>
      </c>
      <c r="G343" s="52">
        <v>1219.1500000000001</v>
      </c>
      <c r="H343" s="52">
        <v>1643.49</v>
      </c>
      <c r="I343" s="52">
        <v>1710</v>
      </c>
      <c r="J343" s="52">
        <v>1146.46</v>
      </c>
      <c r="K343" s="52">
        <v>1155</v>
      </c>
      <c r="L343" s="52"/>
      <c r="M343" s="52"/>
      <c r="N343" s="52"/>
      <c r="O343" s="52">
        <v>288</v>
      </c>
      <c r="P343" s="52">
        <f>K343+SUM(L343:O343)</f>
        <v>1443</v>
      </c>
      <c r="Q343" s="52">
        <v>367.37</v>
      </c>
      <c r="R343" s="53">
        <f>Q343/$P343</f>
        <v>0.25458766458766457</v>
      </c>
      <c r="S343" s="52">
        <v>367.37</v>
      </c>
      <c r="T343" s="53">
        <f>S343/$P343</f>
        <v>0.25458766458766457</v>
      </c>
      <c r="U343" s="52">
        <v>367.37</v>
      </c>
      <c r="V343" s="53">
        <f>U343/$P343</f>
        <v>0.25458766458766457</v>
      </c>
      <c r="W343" s="52">
        <v>1309.3499999999999</v>
      </c>
      <c r="X343" s="54">
        <f>W343/$P343</f>
        <v>0.90738045738045736</v>
      </c>
      <c r="Y343" s="52">
        <f>K343</f>
        <v>1155</v>
      </c>
      <c r="Z343" s="55">
        <f>Y343</f>
        <v>1155</v>
      </c>
    </row>
    <row r="344" spans="1:26" ht="13.9" customHeight="1" x14ac:dyDescent="0.25">
      <c r="E344" s="56"/>
      <c r="F344" s="57" t="s">
        <v>219</v>
      </c>
      <c r="G344" s="58">
        <v>53.53</v>
      </c>
      <c r="H344" s="58">
        <v>625.91</v>
      </c>
      <c r="I344" s="58">
        <v>715</v>
      </c>
      <c r="J344" s="58">
        <v>30</v>
      </c>
      <c r="K344" s="58">
        <v>500</v>
      </c>
      <c r="L344" s="58"/>
      <c r="M344" s="58">
        <v>-210</v>
      </c>
      <c r="N344" s="58">
        <v>-219</v>
      </c>
      <c r="O344" s="58"/>
      <c r="P344" s="58">
        <f>K344+SUM(L344:O344)</f>
        <v>71</v>
      </c>
      <c r="Q344" s="58">
        <v>0</v>
      </c>
      <c r="R344" s="15">
        <f>Q344/$P344</f>
        <v>0</v>
      </c>
      <c r="S344" s="58">
        <v>0</v>
      </c>
      <c r="T344" s="15">
        <f>S344/$P344</f>
        <v>0</v>
      </c>
      <c r="U344" s="58">
        <v>0</v>
      </c>
      <c r="V344" s="15">
        <f>U344/$P344</f>
        <v>0</v>
      </c>
      <c r="W344" s="58">
        <v>0</v>
      </c>
      <c r="X344" s="59">
        <f>W344/$P344</f>
        <v>0</v>
      </c>
      <c r="Y344" s="58">
        <f>K344</f>
        <v>500</v>
      </c>
      <c r="Z344" s="60">
        <f>Y344</f>
        <v>500</v>
      </c>
    </row>
    <row r="345" spans="1:26" ht="13.9" customHeight="1" x14ac:dyDescent="0.25">
      <c r="E345" s="56"/>
      <c r="F345" s="57" t="s">
        <v>220</v>
      </c>
      <c r="G345" s="61">
        <v>1095.95</v>
      </c>
      <c r="H345" s="61">
        <v>0</v>
      </c>
      <c r="I345" s="58">
        <v>500</v>
      </c>
      <c r="J345" s="58">
        <v>5490.24</v>
      </c>
      <c r="K345" s="58">
        <v>3000</v>
      </c>
      <c r="L345" s="58"/>
      <c r="M345" s="58">
        <v>210</v>
      </c>
      <c r="N345" s="58">
        <f>219+1190</f>
        <v>1409</v>
      </c>
      <c r="O345" s="58">
        <v>51</v>
      </c>
      <c r="P345" s="58">
        <f>K345+SUM(L345:O345)</f>
        <v>4670</v>
      </c>
      <c r="Q345" s="58">
        <v>2573.2800000000002</v>
      </c>
      <c r="R345" s="15">
        <f>Q345/$P345</f>
        <v>0.55102355460385444</v>
      </c>
      <c r="S345" s="58">
        <v>3210.18</v>
      </c>
      <c r="T345" s="15">
        <f>S345/$P345</f>
        <v>0.68740471092077082</v>
      </c>
      <c r="U345" s="58">
        <v>3428.7</v>
      </c>
      <c r="V345" s="15">
        <f>U345/$P345</f>
        <v>0.73419700214132755</v>
      </c>
      <c r="W345" s="58">
        <v>4670.1000000000004</v>
      </c>
      <c r="X345" s="59">
        <f>W345/$P345</f>
        <v>1.0000214132762313</v>
      </c>
      <c r="Y345" s="58">
        <f>K345</f>
        <v>3000</v>
      </c>
      <c r="Z345" s="60">
        <f>Y345</f>
        <v>3000</v>
      </c>
    </row>
    <row r="346" spans="1:26" ht="13.9" customHeight="1" x14ac:dyDescent="0.25">
      <c r="E346" s="64"/>
      <c r="F346" s="95" t="s">
        <v>221</v>
      </c>
      <c r="G346" s="66">
        <v>1999.68</v>
      </c>
      <c r="H346" s="66">
        <v>445.85</v>
      </c>
      <c r="I346" s="66">
        <v>510</v>
      </c>
      <c r="J346" s="66">
        <v>0</v>
      </c>
      <c r="K346" s="66">
        <v>500</v>
      </c>
      <c r="L346" s="66"/>
      <c r="M346" s="66"/>
      <c r="N346" s="66"/>
      <c r="O346" s="66">
        <v>-339</v>
      </c>
      <c r="P346" s="66">
        <f>K346+SUM(L346:O346)</f>
        <v>161</v>
      </c>
      <c r="Q346" s="66">
        <v>0</v>
      </c>
      <c r="R346" s="67">
        <f>Q346/$P346</f>
        <v>0</v>
      </c>
      <c r="S346" s="66">
        <v>0</v>
      </c>
      <c r="T346" s="67">
        <f>S346/$P346</f>
        <v>0</v>
      </c>
      <c r="U346" s="66">
        <v>0</v>
      </c>
      <c r="V346" s="67">
        <f>U346/$P346</f>
        <v>0</v>
      </c>
      <c r="W346" s="66">
        <v>0</v>
      </c>
      <c r="X346" s="68">
        <f>W346/$P346</f>
        <v>0</v>
      </c>
      <c r="Y346" s="66">
        <f>K346</f>
        <v>500</v>
      </c>
      <c r="Z346" s="69">
        <f>Y346</f>
        <v>500</v>
      </c>
    </row>
    <row r="347" spans="1:26" ht="13.9" customHeight="1" x14ac:dyDescent="0.25">
      <c r="G347" s="58"/>
      <c r="H347" s="58"/>
      <c r="I347" s="58"/>
      <c r="J347" s="58"/>
      <c r="K347" s="58"/>
      <c r="L347" s="58"/>
      <c r="M347" s="58"/>
      <c r="N347" s="58"/>
      <c r="O347" s="58"/>
      <c r="P347" s="58"/>
      <c r="Q347" s="58"/>
      <c r="S347" s="58"/>
      <c r="U347" s="58"/>
      <c r="W347" s="58"/>
      <c r="Y347" s="58"/>
      <c r="Z347" s="58"/>
    </row>
    <row r="348" spans="1:26" ht="13.9" customHeight="1" x14ac:dyDescent="0.25">
      <c r="D348" s="72" t="s">
        <v>222</v>
      </c>
      <c r="E348" s="72"/>
      <c r="F348" s="72"/>
      <c r="G348" s="72"/>
      <c r="H348" s="72"/>
      <c r="I348" s="72"/>
      <c r="J348" s="72"/>
      <c r="K348" s="72"/>
      <c r="L348" s="72"/>
      <c r="M348" s="72"/>
      <c r="N348" s="72"/>
      <c r="O348" s="72"/>
      <c r="P348" s="72"/>
      <c r="Q348" s="72"/>
      <c r="R348" s="73"/>
      <c r="S348" s="72"/>
      <c r="T348" s="73"/>
      <c r="U348" s="72"/>
      <c r="V348" s="73"/>
      <c r="W348" s="72"/>
      <c r="X348" s="73"/>
      <c r="Y348" s="72"/>
      <c r="Z348" s="72"/>
    </row>
    <row r="349" spans="1:26" ht="13.9" customHeight="1" x14ac:dyDescent="0.25">
      <c r="D349" s="20" t="s">
        <v>33</v>
      </c>
      <c r="E349" s="20" t="s">
        <v>34</v>
      </c>
      <c r="F349" s="20" t="s">
        <v>35</v>
      </c>
      <c r="G349" s="20" t="s">
        <v>1</v>
      </c>
      <c r="H349" s="20" t="s">
        <v>2</v>
      </c>
      <c r="I349" s="20" t="s">
        <v>3</v>
      </c>
      <c r="J349" s="20" t="s">
        <v>4</v>
      </c>
      <c r="K349" s="20" t="s">
        <v>5</v>
      </c>
      <c r="L349" s="20" t="s">
        <v>6</v>
      </c>
      <c r="M349" s="20" t="s">
        <v>7</v>
      </c>
      <c r="N349" s="20" t="s">
        <v>8</v>
      </c>
      <c r="O349" s="20" t="s">
        <v>9</v>
      </c>
      <c r="P349" s="20" t="s">
        <v>10</v>
      </c>
      <c r="Q349" s="20" t="s">
        <v>11</v>
      </c>
      <c r="R349" s="21" t="s">
        <v>12</v>
      </c>
      <c r="S349" s="20" t="s">
        <v>13</v>
      </c>
      <c r="T349" s="21" t="s">
        <v>14</v>
      </c>
      <c r="U349" s="20" t="s">
        <v>15</v>
      </c>
      <c r="V349" s="21" t="s">
        <v>16</v>
      </c>
      <c r="W349" s="20" t="s">
        <v>17</v>
      </c>
      <c r="X349" s="21" t="s">
        <v>18</v>
      </c>
      <c r="Y349" s="20" t="s">
        <v>19</v>
      </c>
      <c r="Z349" s="20" t="s">
        <v>20</v>
      </c>
    </row>
    <row r="350" spans="1:26" ht="13.9" customHeight="1" x14ac:dyDescent="0.25">
      <c r="A350" s="14">
        <v>5</v>
      </c>
      <c r="B350" s="14">
        <v>2</v>
      </c>
      <c r="C350" s="14">
        <v>2</v>
      </c>
      <c r="D350" s="83" t="s">
        <v>223</v>
      </c>
      <c r="E350" s="22">
        <v>630</v>
      </c>
      <c r="F350" s="22" t="s">
        <v>131</v>
      </c>
      <c r="G350" s="23">
        <v>467.84</v>
      </c>
      <c r="H350" s="23">
        <v>1557.46</v>
      </c>
      <c r="I350" s="23">
        <v>1195</v>
      </c>
      <c r="J350" s="23">
        <v>52.9</v>
      </c>
      <c r="K350" s="23">
        <v>550</v>
      </c>
      <c r="L350" s="23"/>
      <c r="M350" s="23">
        <v>159</v>
      </c>
      <c r="N350" s="23">
        <f>2000+240</f>
        <v>2240</v>
      </c>
      <c r="O350" s="23">
        <v>282</v>
      </c>
      <c r="P350" s="23">
        <f>K350+SUM(L350:O350)</f>
        <v>3231</v>
      </c>
      <c r="Q350" s="23">
        <v>100</v>
      </c>
      <c r="R350" s="24">
        <f>Q350/$P350</f>
        <v>3.0950170225936241E-2</v>
      </c>
      <c r="S350" s="23">
        <v>408.14</v>
      </c>
      <c r="T350" s="24">
        <f>S350/$P350</f>
        <v>0.12632002476013618</v>
      </c>
      <c r="U350" s="23">
        <v>628.57000000000005</v>
      </c>
      <c r="V350" s="24">
        <f>U350/$P350</f>
        <v>0.19454348498916746</v>
      </c>
      <c r="W350" s="23">
        <v>3231.23</v>
      </c>
      <c r="X350" s="24">
        <f>W350/$P350</f>
        <v>1.0000711853915196</v>
      </c>
      <c r="Y350" s="23">
        <f>K350</f>
        <v>550</v>
      </c>
      <c r="Z350" s="23">
        <f>Y350</f>
        <v>550</v>
      </c>
    </row>
    <row r="351" spans="1:26" ht="13.9" customHeight="1" x14ac:dyDescent="0.25">
      <c r="A351" s="14">
        <v>5</v>
      </c>
      <c r="B351" s="14">
        <v>2</v>
      </c>
      <c r="C351" s="14">
        <v>2</v>
      </c>
      <c r="D351" s="78" t="s">
        <v>21</v>
      </c>
      <c r="E351" s="25">
        <v>41</v>
      </c>
      <c r="F351" s="25" t="s">
        <v>23</v>
      </c>
      <c r="G351" s="26">
        <f t="shared" ref="G351:Q351" si="174">SUM(G350:G350)</f>
        <v>467.84</v>
      </c>
      <c r="H351" s="26">
        <f t="shared" si="174"/>
        <v>1557.46</v>
      </c>
      <c r="I351" s="26">
        <f t="shared" si="174"/>
        <v>1195</v>
      </c>
      <c r="J351" s="26">
        <f t="shared" si="174"/>
        <v>52.9</v>
      </c>
      <c r="K351" s="26">
        <f t="shared" si="174"/>
        <v>550</v>
      </c>
      <c r="L351" s="26">
        <f t="shared" si="174"/>
        <v>0</v>
      </c>
      <c r="M351" s="26">
        <f t="shared" si="174"/>
        <v>159</v>
      </c>
      <c r="N351" s="26">
        <f t="shared" si="174"/>
        <v>2240</v>
      </c>
      <c r="O351" s="26">
        <f t="shared" si="174"/>
        <v>282</v>
      </c>
      <c r="P351" s="26">
        <f t="shared" si="174"/>
        <v>3231</v>
      </c>
      <c r="Q351" s="26">
        <f t="shared" si="174"/>
        <v>100</v>
      </c>
      <c r="R351" s="27">
        <f>Q351/$P351</f>
        <v>3.0950170225936241E-2</v>
      </c>
      <c r="S351" s="26">
        <f>SUM(S350:S350)</f>
        <v>408.14</v>
      </c>
      <c r="T351" s="27">
        <f>S351/$P351</f>
        <v>0.12632002476013618</v>
      </c>
      <c r="U351" s="26">
        <f>SUM(U350:U350)</f>
        <v>628.57000000000005</v>
      </c>
      <c r="V351" s="27">
        <f>U351/$P351</f>
        <v>0.19454348498916746</v>
      </c>
      <c r="W351" s="26">
        <f>SUM(W350:W350)</f>
        <v>3231.23</v>
      </c>
      <c r="X351" s="27">
        <f>W351/$P351</f>
        <v>1.0000711853915196</v>
      </c>
      <c r="Y351" s="26">
        <f>SUM(Y350:Y350)</f>
        <v>550</v>
      </c>
      <c r="Z351" s="26">
        <f>SUM(Z350:Z350)</f>
        <v>550</v>
      </c>
    </row>
    <row r="353" spans="1:26" ht="13.9" customHeight="1" x14ac:dyDescent="0.25">
      <c r="E353" s="110" t="s">
        <v>57</v>
      </c>
      <c r="F353" s="111" t="s">
        <v>224</v>
      </c>
      <c r="G353" s="112"/>
      <c r="H353" s="112"/>
      <c r="I353" s="113"/>
      <c r="J353" s="113"/>
      <c r="K353" s="113">
        <v>550</v>
      </c>
      <c r="L353" s="113"/>
      <c r="M353" s="113"/>
      <c r="N353" s="113"/>
      <c r="O353" s="113"/>
      <c r="P353" s="113">
        <f>K353+SUM(L353:O353)</f>
        <v>550</v>
      </c>
      <c r="Q353" s="113">
        <v>100</v>
      </c>
      <c r="R353" s="114">
        <f>Q353/$P353</f>
        <v>0.18181818181818182</v>
      </c>
      <c r="S353" s="113">
        <v>250</v>
      </c>
      <c r="T353" s="114">
        <f>S353/$P353</f>
        <v>0.45454545454545453</v>
      </c>
      <c r="U353" s="113">
        <v>400</v>
      </c>
      <c r="V353" s="114">
        <f>U353/$P353</f>
        <v>0.72727272727272729</v>
      </c>
      <c r="W353" s="113">
        <v>550</v>
      </c>
      <c r="X353" s="115">
        <f>W353/$P353</f>
        <v>1</v>
      </c>
      <c r="Y353" s="113">
        <f>K353</f>
        <v>550</v>
      </c>
      <c r="Z353" s="116">
        <f>Y353</f>
        <v>550</v>
      </c>
    </row>
    <row r="355" spans="1:26" ht="13.9" customHeight="1" x14ac:dyDescent="0.25">
      <c r="D355" s="72" t="s">
        <v>225</v>
      </c>
      <c r="E355" s="72"/>
      <c r="F355" s="72"/>
      <c r="G355" s="72"/>
      <c r="H355" s="72"/>
      <c r="I355" s="72"/>
      <c r="J355" s="72"/>
      <c r="K355" s="72"/>
      <c r="L355" s="72"/>
      <c r="M355" s="72"/>
      <c r="N355" s="72"/>
      <c r="O355" s="72"/>
      <c r="P355" s="72"/>
      <c r="Q355" s="72"/>
      <c r="R355" s="73"/>
      <c r="S355" s="72"/>
      <c r="T355" s="73"/>
      <c r="U355" s="72"/>
      <c r="V355" s="73"/>
      <c r="W355" s="72"/>
      <c r="X355" s="73"/>
      <c r="Y355" s="72"/>
      <c r="Z355" s="72"/>
    </row>
    <row r="356" spans="1:26" ht="13.9" customHeight="1" x14ac:dyDescent="0.25">
      <c r="D356" s="20" t="s">
        <v>33</v>
      </c>
      <c r="E356" s="20" t="s">
        <v>34</v>
      </c>
      <c r="F356" s="20" t="s">
        <v>35</v>
      </c>
      <c r="G356" s="20" t="s">
        <v>1</v>
      </c>
      <c r="H356" s="20" t="s">
        <v>2</v>
      </c>
      <c r="I356" s="20" t="s">
        <v>3</v>
      </c>
      <c r="J356" s="20" t="s">
        <v>4</v>
      </c>
      <c r="K356" s="20" t="s">
        <v>5</v>
      </c>
      <c r="L356" s="20" t="s">
        <v>6</v>
      </c>
      <c r="M356" s="20" t="s">
        <v>7</v>
      </c>
      <c r="N356" s="20" t="s">
        <v>8</v>
      </c>
      <c r="O356" s="20" t="s">
        <v>9</v>
      </c>
      <c r="P356" s="20" t="s">
        <v>10</v>
      </c>
      <c r="Q356" s="20" t="s">
        <v>11</v>
      </c>
      <c r="R356" s="21" t="s">
        <v>12</v>
      </c>
      <c r="S356" s="20" t="s">
        <v>13</v>
      </c>
      <c r="T356" s="21" t="s">
        <v>14</v>
      </c>
      <c r="U356" s="20" t="s">
        <v>15</v>
      </c>
      <c r="V356" s="21" t="s">
        <v>16</v>
      </c>
      <c r="W356" s="20" t="s">
        <v>17</v>
      </c>
      <c r="X356" s="21" t="s">
        <v>18</v>
      </c>
      <c r="Y356" s="20" t="s">
        <v>19</v>
      </c>
      <c r="Z356" s="20" t="s">
        <v>20</v>
      </c>
    </row>
    <row r="357" spans="1:26" ht="13.9" hidden="1" customHeight="1" x14ac:dyDescent="0.25">
      <c r="A357" s="14">
        <v>5</v>
      </c>
      <c r="B357" s="14">
        <v>2</v>
      </c>
      <c r="C357" s="14">
        <v>3</v>
      </c>
      <c r="D357" s="4" t="s">
        <v>223</v>
      </c>
      <c r="E357" s="22">
        <v>610</v>
      </c>
      <c r="F357" s="22" t="s">
        <v>129</v>
      </c>
      <c r="G357" s="23">
        <v>10268.1</v>
      </c>
      <c r="H357" s="23">
        <v>15965.95</v>
      </c>
      <c r="I357" s="23">
        <v>5189</v>
      </c>
      <c r="J357" s="23">
        <v>0</v>
      </c>
      <c r="K357" s="23">
        <v>0</v>
      </c>
      <c r="L357" s="23"/>
      <c r="M357" s="23"/>
      <c r="N357" s="23"/>
      <c r="O357" s="23"/>
      <c r="P357" s="23">
        <f>K357+SUM(L357:O357)</f>
        <v>0</v>
      </c>
      <c r="Q357" s="23">
        <v>0</v>
      </c>
      <c r="R357" s="24" t="e">
        <f t="shared" ref="R357:R364" si="175">Q357/$P357</f>
        <v>#DIV/0!</v>
      </c>
      <c r="S357" s="23">
        <v>0</v>
      </c>
      <c r="T357" s="24" t="e">
        <f t="shared" ref="T357:T364" si="176">S357/$P357</f>
        <v>#DIV/0!</v>
      </c>
      <c r="U357" s="23"/>
      <c r="V357" s="24" t="e">
        <f t="shared" ref="V357:V364" si="177">U357/$P357</f>
        <v>#DIV/0!</v>
      </c>
      <c r="W357" s="23"/>
      <c r="X357" s="24" t="e">
        <f t="shared" ref="X357:X364" si="178">W357/$P357</f>
        <v>#DIV/0!</v>
      </c>
      <c r="Y357" s="23">
        <v>0</v>
      </c>
      <c r="Z357" s="23">
        <f>Y357</f>
        <v>0</v>
      </c>
    </row>
    <row r="358" spans="1:26" ht="13.9" hidden="1" customHeight="1" x14ac:dyDescent="0.25">
      <c r="A358" s="14">
        <v>5</v>
      </c>
      <c r="B358" s="14">
        <v>2</v>
      </c>
      <c r="C358" s="14">
        <v>3</v>
      </c>
      <c r="D358" s="4"/>
      <c r="E358" s="22">
        <v>620</v>
      </c>
      <c r="F358" s="22" t="s">
        <v>130</v>
      </c>
      <c r="G358" s="23">
        <v>5297.98</v>
      </c>
      <c r="H358" s="23">
        <v>5660.8</v>
      </c>
      <c r="I358" s="23">
        <v>1813</v>
      </c>
      <c r="J358" s="23">
        <v>0</v>
      </c>
      <c r="K358" s="23">
        <v>0</v>
      </c>
      <c r="L358" s="23"/>
      <c r="M358" s="23"/>
      <c r="N358" s="23"/>
      <c r="O358" s="23"/>
      <c r="P358" s="23">
        <f>K358+SUM(L358:O358)</f>
        <v>0</v>
      </c>
      <c r="Q358" s="23">
        <v>0</v>
      </c>
      <c r="R358" s="24" t="e">
        <f t="shared" si="175"/>
        <v>#DIV/0!</v>
      </c>
      <c r="S358" s="23">
        <v>0</v>
      </c>
      <c r="T358" s="24" t="e">
        <f t="shared" si="176"/>
        <v>#DIV/0!</v>
      </c>
      <c r="U358" s="23"/>
      <c r="V358" s="24" t="e">
        <f t="shared" si="177"/>
        <v>#DIV/0!</v>
      </c>
      <c r="W358" s="23"/>
      <c r="X358" s="24" t="e">
        <f t="shared" si="178"/>
        <v>#DIV/0!</v>
      </c>
      <c r="Y358" s="23">
        <v>0</v>
      </c>
      <c r="Z358" s="23">
        <f>Y358</f>
        <v>0</v>
      </c>
    </row>
    <row r="359" spans="1:26" ht="13.9" hidden="1" customHeight="1" x14ac:dyDescent="0.25">
      <c r="A359" s="14">
        <v>5</v>
      </c>
      <c r="B359" s="14">
        <v>2</v>
      </c>
      <c r="C359" s="14">
        <v>3</v>
      </c>
      <c r="D359" s="118" t="s">
        <v>21</v>
      </c>
      <c r="E359" s="85" t="s">
        <v>138</v>
      </c>
      <c r="F359" s="47" t="s">
        <v>226</v>
      </c>
      <c r="G359" s="48">
        <f t="shared" ref="G359:Q359" si="179">SUM(G357:G358)</f>
        <v>15566.08</v>
      </c>
      <c r="H359" s="48">
        <f t="shared" si="179"/>
        <v>21626.75</v>
      </c>
      <c r="I359" s="48">
        <f t="shared" si="179"/>
        <v>7002</v>
      </c>
      <c r="J359" s="48">
        <f t="shared" si="179"/>
        <v>0</v>
      </c>
      <c r="K359" s="48">
        <f t="shared" si="179"/>
        <v>0</v>
      </c>
      <c r="L359" s="48">
        <f t="shared" si="179"/>
        <v>0</v>
      </c>
      <c r="M359" s="48">
        <f t="shared" si="179"/>
        <v>0</v>
      </c>
      <c r="N359" s="48">
        <f t="shared" si="179"/>
        <v>0</v>
      </c>
      <c r="O359" s="48">
        <f t="shared" si="179"/>
        <v>0</v>
      </c>
      <c r="P359" s="48">
        <f t="shared" si="179"/>
        <v>0</v>
      </c>
      <c r="Q359" s="48">
        <f t="shared" si="179"/>
        <v>0</v>
      </c>
      <c r="R359" s="49" t="e">
        <f t="shared" si="175"/>
        <v>#DIV/0!</v>
      </c>
      <c r="S359" s="48">
        <f>SUM(S357:S358)</f>
        <v>0</v>
      </c>
      <c r="T359" s="49" t="e">
        <f t="shared" si="176"/>
        <v>#DIV/0!</v>
      </c>
      <c r="U359" s="48">
        <f>SUM(U357:U358)</f>
        <v>0</v>
      </c>
      <c r="V359" s="49" t="e">
        <f t="shared" si="177"/>
        <v>#DIV/0!</v>
      </c>
      <c r="W359" s="48">
        <f>SUM(W357:W358)</f>
        <v>0</v>
      </c>
      <c r="X359" s="49" t="e">
        <f t="shared" si="178"/>
        <v>#DIV/0!</v>
      </c>
      <c r="Y359" s="48">
        <f>SUM(Y357:Y358)</f>
        <v>0</v>
      </c>
      <c r="Z359" s="48">
        <f>SUM(Z357:Z358)</f>
        <v>0</v>
      </c>
    </row>
    <row r="360" spans="1:26" ht="13.9" customHeight="1" x14ac:dyDescent="0.25">
      <c r="A360" s="14">
        <v>5</v>
      </c>
      <c r="B360" s="14">
        <v>2</v>
      </c>
      <c r="C360" s="14">
        <v>3</v>
      </c>
      <c r="D360" s="4" t="s">
        <v>223</v>
      </c>
      <c r="E360" s="22">
        <v>610</v>
      </c>
      <c r="F360" s="22" t="s">
        <v>129</v>
      </c>
      <c r="G360" s="23">
        <v>11699.58</v>
      </c>
      <c r="H360" s="23">
        <v>2118.69</v>
      </c>
      <c r="I360" s="23">
        <v>1382</v>
      </c>
      <c r="J360" s="23">
        <v>101.64</v>
      </c>
      <c r="K360" s="23">
        <v>10074</v>
      </c>
      <c r="L360" s="23"/>
      <c r="M360" s="23"/>
      <c r="N360" s="23"/>
      <c r="O360" s="23">
        <v>-2000</v>
      </c>
      <c r="P360" s="23">
        <f>K360+SUM(L360:O360)</f>
        <v>8074</v>
      </c>
      <c r="Q360" s="23">
        <v>0</v>
      </c>
      <c r="R360" s="24">
        <f t="shared" si="175"/>
        <v>0</v>
      </c>
      <c r="S360" s="23">
        <v>1714.18</v>
      </c>
      <c r="T360" s="24">
        <f t="shared" si="176"/>
        <v>0.21230864503344068</v>
      </c>
      <c r="U360" s="23">
        <v>3663.43</v>
      </c>
      <c r="V360" s="24">
        <f t="shared" si="177"/>
        <v>0.45373173148377505</v>
      </c>
      <c r="W360" s="23">
        <v>4962.93</v>
      </c>
      <c r="X360" s="24">
        <f t="shared" si="178"/>
        <v>0.6146804557839981</v>
      </c>
      <c r="Y360" s="23">
        <v>0</v>
      </c>
      <c r="Z360" s="23">
        <f>Y360</f>
        <v>0</v>
      </c>
    </row>
    <row r="361" spans="1:26" ht="13.9" customHeight="1" x14ac:dyDescent="0.25">
      <c r="A361" s="14">
        <v>5</v>
      </c>
      <c r="B361" s="14">
        <v>2</v>
      </c>
      <c r="C361" s="14">
        <v>3</v>
      </c>
      <c r="D361" s="4"/>
      <c r="E361" s="22">
        <v>620</v>
      </c>
      <c r="F361" s="22" t="s">
        <v>130</v>
      </c>
      <c r="G361" s="23">
        <v>2326.9499999999998</v>
      </c>
      <c r="H361" s="23">
        <v>670.17</v>
      </c>
      <c r="I361" s="23">
        <v>482</v>
      </c>
      <c r="J361" s="23">
        <v>35.479999999999997</v>
      </c>
      <c r="K361" s="23">
        <v>3118</v>
      </c>
      <c r="L361" s="23"/>
      <c r="M361" s="23"/>
      <c r="N361" s="23"/>
      <c r="O361" s="23">
        <v>-1705</v>
      </c>
      <c r="P361" s="23">
        <f>K361+SUM(L361:O361)</f>
        <v>1413</v>
      </c>
      <c r="Q361" s="23">
        <v>0</v>
      </c>
      <c r="R361" s="24">
        <f t="shared" si="175"/>
        <v>0</v>
      </c>
      <c r="S361" s="23">
        <v>491.02</v>
      </c>
      <c r="T361" s="24">
        <f t="shared" si="176"/>
        <v>0.34750176928520876</v>
      </c>
      <c r="U361" s="23">
        <v>1043.53</v>
      </c>
      <c r="V361" s="24">
        <f t="shared" si="177"/>
        <v>0.73852087756546358</v>
      </c>
      <c r="W361" s="23">
        <v>1411.87</v>
      </c>
      <c r="X361" s="24">
        <f t="shared" si="178"/>
        <v>0.99920028308563336</v>
      </c>
      <c r="Y361" s="23">
        <v>0</v>
      </c>
      <c r="Z361" s="23">
        <f>Y361</f>
        <v>0</v>
      </c>
    </row>
    <row r="362" spans="1:26" ht="13.9" customHeight="1" x14ac:dyDescent="0.25">
      <c r="A362" s="14">
        <v>5</v>
      </c>
      <c r="B362" s="14">
        <v>2</v>
      </c>
      <c r="C362" s="14">
        <v>3</v>
      </c>
      <c r="D362" s="4"/>
      <c r="E362" s="22">
        <v>630</v>
      </c>
      <c r="F362" s="22" t="s">
        <v>131</v>
      </c>
      <c r="G362" s="23">
        <v>2614.1799999999998</v>
      </c>
      <c r="H362" s="23">
        <v>2209.13</v>
      </c>
      <c r="I362" s="23">
        <v>684</v>
      </c>
      <c r="J362" s="23">
        <v>1.28</v>
      </c>
      <c r="K362" s="23">
        <v>1256</v>
      </c>
      <c r="L362" s="23"/>
      <c r="M362" s="23"/>
      <c r="N362" s="23"/>
      <c r="O362" s="23">
        <v>-1101</v>
      </c>
      <c r="P362" s="23">
        <f>K362+SUM(L362:O362)</f>
        <v>155</v>
      </c>
      <c r="Q362" s="23">
        <v>0</v>
      </c>
      <c r="R362" s="24">
        <f t="shared" si="175"/>
        <v>0</v>
      </c>
      <c r="S362" s="23">
        <v>17.66</v>
      </c>
      <c r="T362" s="24">
        <f t="shared" si="176"/>
        <v>0.11393548387096775</v>
      </c>
      <c r="U362" s="23">
        <v>40.22</v>
      </c>
      <c r="V362" s="24">
        <f t="shared" si="177"/>
        <v>0.25948387096774195</v>
      </c>
      <c r="W362" s="23">
        <v>43.84</v>
      </c>
      <c r="X362" s="24">
        <f t="shared" si="178"/>
        <v>0.28283870967741936</v>
      </c>
      <c r="Y362" s="23">
        <v>0</v>
      </c>
      <c r="Z362" s="23">
        <f>Y362</f>
        <v>0</v>
      </c>
    </row>
    <row r="363" spans="1:26" ht="13.9" hidden="1" customHeight="1" x14ac:dyDescent="0.25">
      <c r="A363" s="14">
        <v>5</v>
      </c>
      <c r="B363" s="14">
        <v>2</v>
      </c>
      <c r="C363" s="14">
        <v>3</v>
      </c>
      <c r="D363" s="4"/>
      <c r="E363" s="22">
        <v>640</v>
      </c>
      <c r="F363" s="22" t="s">
        <v>132</v>
      </c>
      <c r="G363" s="23">
        <v>0</v>
      </c>
      <c r="H363" s="23">
        <v>198.42</v>
      </c>
      <c r="I363" s="23">
        <v>0</v>
      </c>
      <c r="J363" s="23">
        <v>0</v>
      </c>
      <c r="K363" s="23">
        <v>0</v>
      </c>
      <c r="L363" s="23"/>
      <c r="M363" s="23"/>
      <c r="N363" s="23"/>
      <c r="O363" s="23"/>
      <c r="P363" s="23">
        <f>K363+SUM(L363:O363)</f>
        <v>0</v>
      </c>
      <c r="Q363" s="23">
        <v>0</v>
      </c>
      <c r="R363" s="24" t="e">
        <f t="shared" si="175"/>
        <v>#DIV/0!</v>
      </c>
      <c r="S363" s="23">
        <v>0</v>
      </c>
      <c r="T363" s="24" t="e">
        <f t="shared" si="176"/>
        <v>#DIV/0!</v>
      </c>
      <c r="U363" s="23"/>
      <c r="V363" s="24" t="e">
        <f t="shared" si="177"/>
        <v>#DIV/0!</v>
      </c>
      <c r="W363" s="23"/>
      <c r="X363" s="24" t="e">
        <f t="shared" si="178"/>
        <v>#DIV/0!</v>
      </c>
      <c r="Y363" s="23">
        <v>0</v>
      </c>
      <c r="Z363" s="23">
        <f>Y363</f>
        <v>0</v>
      </c>
    </row>
    <row r="364" spans="1:26" ht="13.9" customHeight="1" x14ac:dyDescent="0.25">
      <c r="A364" s="14">
        <v>5</v>
      </c>
      <c r="B364" s="14">
        <v>2</v>
      </c>
      <c r="C364" s="14">
        <v>3</v>
      </c>
      <c r="D364" s="118" t="s">
        <v>21</v>
      </c>
      <c r="E364" s="47">
        <v>41</v>
      </c>
      <c r="F364" s="47" t="s">
        <v>23</v>
      </c>
      <c r="G364" s="48">
        <f t="shared" ref="G364:Q364" si="180">SUM(G360:G363)</f>
        <v>16640.71</v>
      </c>
      <c r="H364" s="48">
        <f t="shared" si="180"/>
        <v>5196.41</v>
      </c>
      <c r="I364" s="48">
        <f t="shared" si="180"/>
        <v>2548</v>
      </c>
      <c r="J364" s="48">
        <f t="shared" si="180"/>
        <v>138.4</v>
      </c>
      <c r="K364" s="48">
        <f t="shared" si="180"/>
        <v>14448</v>
      </c>
      <c r="L364" s="48">
        <f t="shared" si="180"/>
        <v>0</v>
      </c>
      <c r="M364" s="48">
        <f t="shared" si="180"/>
        <v>0</v>
      </c>
      <c r="N364" s="48">
        <f t="shared" si="180"/>
        <v>0</v>
      </c>
      <c r="O364" s="48">
        <f t="shared" si="180"/>
        <v>-4806</v>
      </c>
      <c r="P364" s="48">
        <f t="shared" si="180"/>
        <v>9642</v>
      </c>
      <c r="Q364" s="48">
        <f t="shared" si="180"/>
        <v>0</v>
      </c>
      <c r="R364" s="49">
        <f t="shared" si="175"/>
        <v>0</v>
      </c>
      <c r="S364" s="48">
        <f>SUM(S360:S363)</f>
        <v>2222.8599999999997</v>
      </c>
      <c r="T364" s="49">
        <f t="shared" si="176"/>
        <v>0.23053930719767679</v>
      </c>
      <c r="U364" s="48">
        <f>SUM(U360:U363)</f>
        <v>4747.18</v>
      </c>
      <c r="V364" s="49">
        <f t="shared" si="177"/>
        <v>0.49234391205144162</v>
      </c>
      <c r="W364" s="48">
        <f>SUM(W360:W363)</f>
        <v>6418.64</v>
      </c>
      <c r="X364" s="49">
        <f t="shared" si="178"/>
        <v>0.66569591371084835</v>
      </c>
      <c r="Y364" s="48">
        <f>SUM(Y360:Y363)</f>
        <v>0</v>
      </c>
      <c r="Z364" s="48">
        <f>SUM(Z360:Z363)</f>
        <v>0</v>
      </c>
    </row>
    <row r="365" spans="1:26" ht="13.9" customHeight="1" x14ac:dyDescent="0.25">
      <c r="A365" s="14">
        <v>5</v>
      </c>
      <c r="B365" s="14">
        <v>2</v>
      </c>
      <c r="C365" s="14">
        <v>3</v>
      </c>
      <c r="D365" s="119" t="s">
        <v>223</v>
      </c>
      <c r="E365" s="22">
        <v>640</v>
      </c>
      <c r="F365" s="22" t="s">
        <v>132</v>
      </c>
      <c r="G365" s="23">
        <v>358.78</v>
      </c>
      <c r="H365" s="23">
        <v>303.74</v>
      </c>
      <c r="I365" s="23">
        <v>2</v>
      </c>
      <c r="J365" s="23">
        <v>0</v>
      </c>
      <c r="K365" s="23">
        <v>165</v>
      </c>
      <c r="L365" s="23"/>
      <c r="M365" s="23"/>
      <c r="N365" s="23"/>
      <c r="O365" s="23">
        <v>-165</v>
      </c>
      <c r="P365" s="23">
        <f>K365+SUM(L365:O365)</f>
        <v>0</v>
      </c>
      <c r="Q365" s="23">
        <v>0</v>
      </c>
      <c r="R365" s="24">
        <f>IFERROR(Q365/$P365,0)</f>
        <v>0</v>
      </c>
      <c r="S365" s="23">
        <v>0</v>
      </c>
      <c r="T365" s="24">
        <f>IFERROR(S365/$P365,0)</f>
        <v>0</v>
      </c>
      <c r="U365" s="23">
        <v>0</v>
      </c>
      <c r="V365" s="24">
        <f>IFERROR(U365/$P365,0)</f>
        <v>0</v>
      </c>
      <c r="W365" s="23">
        <v>0</v>
      </c>
      <c r="X365" s="24">
        <f>IFERROR(W365/$P365,0)</f>
        <v>0</v>
      </c>
      <c r="Y365" s="23">
        <v>0</v>
      </c>
      <c r="Z365" s="23">
        <v>0</v>
      </c>
    </row>
    <row r="366" spans="1:26" ht="13.9" customHeight="1" x14ac:dyDescent="0.25">
      <c r="A366" s="14">
        <v>5</v>
      </c>
      <c r="B366" s="14">
        <v>2</v>
      </c>
      <c r="C366" s="14">
        <v>3</v>
      </c>
      <c r="D366" s="118" t="s">
        <v>21</v>
      </c>
      <c r="E366" s="47">
        <v>72</v>
      </c>
      <c r="F366" s="47" t="s">
        <v>25</v>
      </c>
      <c r="G366" s="48">
        <f t="shared" ref="G366:Q366" si="181">SUM(G365:G365)</f>
        <v>358.78</v>
      </c>
      <c r="H366" s="48">
        <f t="shared" si="181"/>
        <v>303.74</v>
      </c>
      <c r="I366" s="48">
        <f t="shared" si="181"/>
        <v>2</v>
      </c>
      <c r="J366" s="48">
        <f t="shared" si="181"/>
        <v>0</v>
      </c>
      <c r="K366" s="48">
        <f t="shared" si="181"/>
        <v>165</v>
      </c>
      <c r="L366" s="48">
        <f t="shared" si="181"/>
        <v>0</v>
      </c>
      <c r="M366" s="48">
        <f t="shared" si="181"/>
        <v>0</v>
      </c>
      <c r="N366" s="48">
        <f t="shared" si="181"/>
        <v>0</v>
      </c>
      <c r="O366" s="48">
        <f t="shared" si="181"/>
        <v>-165</v>
      </c>
      <c r="P366" s="48">
        <f t="shared" si="181"/>
        <v>0</v>
      </c>
      <c r="Q366" s="48">
        <f t="shared" si="181"/>
        <v>0</v>
      </c>
      <c r="R366" s="24">
        <f>IFERROR(Q366/$P366,0)</f>
        <v>0</v>
      </c>
      <c r="S366" s="48">
        <f>SUM(S365:S365)</f>
        <v>0</v>
      </c>
      <c r="T366" s="24">
        <f>IFERROR(S366/$P366,0)</f>
        <v>0</v>
      </c>
      <c r="U366" s="48">
        <f>SUM(U365:U365)</f>
        <v>0</v>
      </c>
      <c r="V366" s="24">
        <f>IFERROR(U366/$P366,0)</f>
        <v>0</v>
      </c>
      <c r="W366" s="48">
        <f>SUM(W365:W365)</f>
        <v>0</v>
      </c>
      <c r="X366" s="24">
        <f>IFERROR(W366/$P366,0)</f>
        <v>0</v>
      </c>
      <c r="Y366" s="48">
        <f>SUM(Y365:Y365)</f>
        <v>0</v>
      </c>
      <c r="Z366" s="48">
        <f>SUM(Z365:Z365)</f>
        <v>0</v>
      </c>
    </row>
    <row r="367" spans="1:26" ht="13.9" customHeight="1" x14ac:dyDescent="0.25">
      <c r="A367" s="14">
        <v>5</v>
      </c>
      <c r="B367" s="14">
        <v>2</v>
      </c>
      <c r="C367" s="14">
        <v>3</v>
      </c>
      <c r="D367" s="29"/>
      <c r="E367" s="30"/>
      <c r="F367" s="25" t="s">
        <v>124</v>
      </c>
      <c r="G367" s="26">
        <f t="shared" ref="G367:Q367" si="182">G359+G364+G366</f>
        <v>32565.57</v>
      </c>
      <c r="H367" s="26">
        <f t="shared" si="182"/>
        <v>27126.9</v>
      </c>
      <c r="I367" s="26">
        <f t="shared" si="182"/>
        <v>9552</v>
      </c>
      <c r="J367" s="26">
        <f t="shared" si="182"/>
        <v>138.4</v>
      </c>
      <c r="K367" s="26">
        <f t="shared" si="182"/>
        <v>14613</v>
      </c>
      <c r="L367" s="26">
        <f t="shared" si="182"/>
        <v>0</v>
      </c>
      <c r="M367" s="26">
        <f t="shared" si="182"/>
        <v>0</v>
      </c>
      <c r="N367" s="26">
        <f t="shared" si="182"/>
        <v>0</v>
      </c>
      <c r="O367" s="26">
        <f t="shared" si="182"/>
        <v>-4971</v>
      </c>
      <c r="P367" s="26">
        <f t="shared" si="182"/>
        <v>9642</v>
      </c>
      <c r="Q367" s="26">
        <f t="shared" si="182"/>
        <v>0</v>
      </c>
      <c r="R367" s="27">
        <f>Q367/$P367</f>
        <v>0</v>
      </c>
      <c r="S367" s="26">
        <f>S359+S364+S366</f>
        <v>2222.8599999999997</v>
      </c>
      <c r="T367" s="27">
        <f>S367/$P367</f>
        <v>0.23053930719767679</v>
      </c>
      <c r="U367" s="26">
        <f>U359+U364+U366</f>
        <v>4747.18</v>
      </c>
      <c r="V367" s="27">
        <f>U367/$P367</f>
        <v>0.49234391205144162</v>
      </c>
      <c r="W367" s="26">
        <f>W359+W364+W366</f>
        <v>6418.64</v>
      </c>
      <c r="X367" s="27">
        <f>W367/$P367</f>
        <v>0.66569591371084835</v>
      </c>
      <c r="Y367" s="26">
        <f>Y359+Y364+Y366</f>
        <v>0</v>
      </c>
      <c r="Z367" s="26">
        <f>Z359+Z364+Z366</f>
        <v>0</v>
      </c>
    </row>
    <row r="369" spans="1:26" ht="13.9" customHeight="1" x14ac:dyDescent="0.25">
      <c r="D369" s="31" t="s">
        <v>227</v>
      </c>
      <c r="E369" s="31"/>
      <c r="F369" s="31"/>
      <c r="G369" s="31"/>
      <c r="H369" s="31"/>
      <c r="I369" s="31"/>
      <c r="J369" s="31"/>
      <c r="K369" s="31"/>
      <c r="L369" s="31"/>
      <c r="M369" s="31"/>
      <c r="N369" s="31"/>
      <c r="O369" s="31"/>
      <c r="P369" s="31"/>
      <c r="Q369" s="31"/>
      <c r="R369" s="32"/>
      <c r="S369" s="31"/>
      <c r="T369" s="32"/>
      <c r="U369" s="31"/>
      <c r="V369" s="32"/>
      <c r="W369" s="31"/>
      <c r="X369" s="32"/>
      <c r="Y369" s="31"/>
      <c r="Z369" s="31"/>
    </row>
    <row r="370" spans="1:26" ht="13.9" customHeight="1" x14ac:dyDescent="0.25">
      <c r="D370" s="19"/>
      <c r="E370" s="19"/>
      <c r="F370" s="19"/>
      <c r="G370" s="20" t="s">
        <v>1</v>
      </c>
      <c r="H370" s="20" t="s">
        <v>2</v>
      </c>
      <c r="I370" s="20" t="s">
        <v>3</v>
      </c>
      <c r="J370" s="20" t="s">
        <v>4</v>
      </c>
      <c r="K370" s="20" t="s">
        <v>5</v>
      </c>
      <c r="L370" s="20" t="s">
        <v>6</v>
      </c>
      <c r="M370" s="20" t="s">
        <v>7</v>
      </c>
      <c r="N370" s="20" t="s">
        <v>8</v>
      </c>
      <c r="O370" s="20" t="s">
        <v>9</v>
      </c>
      <c r="P370" s="20" t="s">
        <v>10</v>
      </c>
      <c r="Q370" s="20" t="s">
        <v>11</v>
      </c>
      <c r="R370" s="21" t="s">
        <v>12</v>
      </c>
      <c r="S370" s="20" t="s">
        <v>13</v>
      </c>
      <c r="T370" s="21" t="s">
        <v>14</v>
      </c>
      <c r="U370" s="20" t="s">
        <v>15</v>
      </c>
      <c r="V370" s="21" t="s">
        <v>16</v>
      </c>
      <c r="W370" s="20" t="s">
        <v>17</v>
      </c>
      <c r="X370" s="21" t="s">
        <v>18</v>
      </c>
      <c r="Y370" s="20" t="s">
        <v>19</v>
      </c>
      <c r="Z370" s="20" t="s">
        <v>20</v>
      </c>
    </row>
    <row r="371" spans="1:26" ht="13.9" customHeight="1" x14ac:dyDescent="0.25">
      <c r="A371" s="14">
        <v>6</v>
      </c>
      <c r="D371" s="11" t="s">
        <v>21</v>
      </c>
      <c r="E371" s="34">
        <v>111</v>
      </c>
      <c r="F371" s="34" t="s">
        <v>134</v>
      </c>
      <c r="G371" s="35">
        <f t="shared" ref="G371:Q371" si="183">G377</f>
        <v>0</v>
      </c>
      <c r="H371" s="35">
        <f t="shared" si="183"/>
        <v>1625</v>
      </c>
      <c r="I371" s="35">
        <f t="shared" si="183"/>
        <v>0</v>
      </c>
      <c r="J371" s="35">
        <f t="shared" si="183"/>
        <v>366.13</v>
      </c>
      <c r="K371" s="35">
        <f t="shared" si="183"/>
        <v>0</v>
      </c>
      <c r="L371" s="35">
        <f t="shared" si="183"/>
        <v>0</v>
      </c>
      <c r="M371" s="35">
        <f t="shared" si="183"/>
        <v>0</v>
      </c>
      <c r="N371" s="35">
        <f t="shared" si="183"/>
        <v>0</v>
      </c>
      <c r="O371" s="35">
        <f t="shared" si="183"/>
        <v>0</v>
      </c>
      <c r="P371" s="35">
        <f t="shared" si="183"/>
        <v>0</v>
      </c>
      <c r="Q371" s="35">
        <f t="shared" si="183"/>
        <v>0</v>
      </c>
      <c r="R371" s="36">
        <f>IFERROR(Q371/$P371,0)</f>
        <v>0</v>
      </c>
      <c r="S371" s="35">
        <f>S377</f>
        <v>0</v>
      </c>
      <c r="T371" s="36">
        <f>IFERROR(S371/$P371,0)</f>
        <v>0</v>
      </c>
      <c r="U371" s="35">
        <f>U377</f>
        <v>0</v>
      </c>
      <c r="V371" s="36">
        <f>IFERROR(U371/$P371,0)</f>
        <v>0</v>
      </c>
      <c r="W371" s="35">
        <f>W377</f>
        <v>0</v>
      </c>
      <c r="X371" s="36">
        <f>IFERROR(W371/$P371,0)</f>
        <v>0</v>
      </c>
      <c r="Y371" s="35">
        <f>Y377</f>
        <v>0</v>
      </c>
      <c r="Z371" s="35">
        <f>Z377</f>
        <v>0</v>
      </c>
    </row>
    <row r="372" spans="1:26" ht="13.9" customHeight="1" x14ac:dyDescent="0.25">
      <c r="A372" s="14">
        <v>6</v>
      </c>
      <c r="D372" s="11" t="s">
        <v>21</v>
      </c>
      <c r="E372" s="34">
        <v>41</v>
      </c>
      <c r="F372" s="34" t="s">
        <v>23</v>
      </c>
      <c r="G372" s="35">
        <f t="shared" ref="G372:Q372" si="184">G378+G406+G441</f>
        <v>42079.43</v>
      </c>
      <c r="H372" s="35">
        <f t="shared" si="184"/>
        <v>45752.649999999994</v>
      </c>
      <c r="I372" s="35">
        <f t="shared" si="184"/>
        <v>40225</v>
      </c>
      <c r="J372" s="35">
        <f t="shared" si="184"/>
        <v>28532.59</v>
      </c>
      <c r="K372" s="35">
        <f t="shared" si="184"/>
        <v>37031</v>
      </c>
      <c r="L372" s="35">
        <f t="shared" si="184"/>
        <v>0</v>
      </c>
      <c r="M372" s="35">
        <f t="shared" si="184"/>
        <v>150</v>
      </c>
      <c r="N372" s="35">
        <f t="shared" si="184"/>
        <v>-1925</v>
      </c>
      <c r="O372" s="35">
        <f t="shared" si="184"/>
        <v>1396</v>
      </c>
      <c r="P372" s="35">
        <f t="shared" si="184"/>
        <v>36652</v>
      </c>
      <c r="Q372" s="35">
        <f t="shared" si="184"/>
        <v>1704.77</v>
      </c>
      <c r="R372" s="36">
        <f>Q372/$P372</f>
        <v>4.6512332205609519E-2</v>
      </c>
      <c r="S372" s="35">
        <f>S378+S406+S441</f>
        <v>10664.869999999999</v>
      </c>
      <c r="T372" s="36">
        <f>S372/$P372</f>
        <v>0.29097648150169153</v>
      </c>
      <c r="U372" s="35">
        <f>U378+U406+U441</f>
        <v>25388</v>
      </c>
      <c r="V372" s="36">
        <f>U372/$P372</f>
        <v>0.6926770708283313</v>
      </c>
      <c r="W372" s="35">
        <f>W378+W406+W441</f>
        <v>30235.88</v>
      </c>
      <c r="X372" s="36">
        <f>W372/$P372</f>
        <v>0.82494488704572744</v>
      </c>
      <c r="Y372" s="35">
        <f>Y378+Y406+Y441</f>
        <v>33531</v>
      </c>
      <c r="Z372" s="35">
        <f>Z378+Z406+Z441</f>
        <v>33531</v>
      </c>
    </row>
    <row r="373" spans="1:26" ht="13.9" customHeight="1" x14ac:dyDescent="0.25">
      <c r="A373" s="14">
        <v>6</v>
      </c>
      <c r="D373" s="29"/>
      <c r="E373" s="30"/>
      <c r="F373" s="37" t="s">
        <v>124</v>
      </c>
      <c r="G373" s="38">
        <f t="shared" ref="G373:Q373" si="185">SUM(G371:G372)</f>
        <v>42079.43</v>
      </c>
      <c r="H373" s="38">
        <f t="shared" si="185"/>
        <v>47377.649999999994</v>
      </c>
      <c r="I373" s="38">
        <f t="shared" si="185"/>
        <v>40225</v>
      </c>
      <c r="J373" s="38">
        <f t="shared" si="185"/>
        <v>28898.720000000001</v>
      </c>
      <c r="K373" s="38">
        <f t="shared" si="185"/>
        <v>37031</v>
      </c>
      <c r="L373" s="38">
        <f t="shared" si="185"/>
        <v>0</v>
      </c>
      <c r="M373" s="38">
        <f t="shared" si="185"/>
        <v>150</v>
      </c>
      <c r="N373" s="38">
        <f t="shared" si="185"/>
        <v>-1925</v>
      </c>
      <c r="O373" s="38">
        <f t="shared" si="185"/>
        <v>1396</v>
      </c>
      <c r="P373" s="38">
        <f t="shared" si="185"/>
        <v>36652</v>
      </c>
      <c r="Q373" s="38">
        <f t="shared" si="185"/>
        <v>1704.77</v>
      </c>
      <c r="R373" s="39">
        <f>Q373/$P373</f>
        <v>4.6512332205609519E-2</v>
      </c>
      <c r="S373" s="38">
        <f>SUM(S371:S372)</f>
        <v>10664.869999999999</v>
      </c>
      <c r="T373" s="39">
        <f>S373/$P373</f>
        <v>0.29097648150169153</v>
      </c>
      <c r="U373" s="38">
        <f>SUM(U371:U372)</f>
        <v>25388</v>
      </c>
      <c r="V373" s="39">
        <f>U373/$P373</f>
        <v>0.6926770708283313</v>
      </c>
      <c r="W373" s="38">
        <f>SUM(W371:W372)</f>
        <v>30235.88</v>
      </c>
      <c r="X373" s="39">
        <f>W373/$P373</f>
        <v>0.82494488704572744</v>
      </c>
      <c r="Y373" s="38">
        <f>SUM(Y371:Y372)</f>
        <v>33531</v>
      </c>
      <c r="Z373" s="38">
        <f>SUM(Z371:Z372)</f>
        <v>33531</v>
      </c>
    </row>
    <row r="375" spans="1:26" ht="13.9" customHeight="1" x14ac:dyDescent="0.25">
      <c r="D375" s="40" t="s">
        <v>228</v>
      </c>
      <c r="E375" s="40"/>
      <c r="F375" s="40"/>
      <c r="G375" s="40"/>
      <c r="H375" s="40"/>
      <c r="I375" s="40"/>
      <c r="J375" s="40"/>
      <c r="K375" s="40"/>
      <c r="L375" s="40"/>
      <c r="M375" s="40"/>
      <c r="N375" s="40"/>
      <c r="O375" s="40"/>
      <c r="P375" s="40"/>
      <c r="Q375" s="40"/>
      <c r="R375" s="41"/>
      <c r="S375" s="40"/>
      <c r="T375" s="41"/>
      <c r="U375" s="40"/>
      <c r="V375" s="41"/>
      <c r="W375" s="40"/>
      <c r="X375" s="41"/>
      <c r="Y375" s="40"/>
      <c r="Z375" s="40"/>
    </row>
    <row r="376" spans="1:26" ht="13.9" customHeight="1" x14ac:dyDescent="0.25">
      <c r="D376" s="109"/>
      <c r="E376" s="109"/>
      <c r="F376" s="109"/>
      <c r="G376" s="20" t="s">
        <v>1</v>
      </c>
      <c r="H376" s="20" t="s">
        <v>2</v>
      </c>
      <c r="I376" s="20" t="s">
        <v>3</v>
      </c>
      <c r="J376" s="20" t="s">
        <v>4</v>
      </c>
      <c r="K376" s="20" t="s">
        <v>5</v>
      </c>
      <c r="L376" s="20" t="s">
        <v>6</v>
      </c>
      <c r="M376" s="20" t="s">
        <v>7</v>
      </c>
      <c r="N376" s="20" t="s">
        <v>8</v>
      </c>
      <c r="O376" s="20" t="s">
        <v>9</v>
      </c>
      <c r="P376" s="20" t="s">
        <v>10</v>
      </c>
      <c r="Q376" s="20" t="s">
        <v>11</v>
      </c>
      <c r="R376" s="21" t="s">
        <v>12</v>
      </c>
      <c r="S376" s="20" t="s">
        <v>13</v>
      </c>
      <c r="T376" s="21" t="s">
        <v>14</v>
      </c>
      <c r="U376" s="20" t="s">
        <v>15</v>
      </c>
      <c r="V376" s="21" t="s">
        <v>16</v>
      </c>
      <c r="W376" s="20" t="s">
        <v>17</v>
      </c>
      <c r="X376" s="21" t="s">
        <v>18</v>
      </c>
      <c r="Y376" s="20" t="s">
        <v>19</v>
      </c>
      <c r="Z376" s="20" t="s">
        <v>20</v>
      </c>
    </row>
    <row r="377" spans="1:26" ht="13.9" customHeight="1" x14ac:dyDescent="0.25">
      <c r="A377" s="14">
        <v>6</v>
      </c>
      <c r="B377" s="14">
        <v>1</v>
      </c>
      <c r="D377" s="12" t="s">
        <v>21</v>
      </c>
      <c r="E377" s="22">
        <v>111</v>
      </c>
      <c r="F377" s="22" t="s">
        <v>134</v>
      </c>
      <c r="G377" s="23">
        <f t="shared" ref="G377:Q377" si="186">G384</f>
        <v>0</v>
      </c>
      <c r="H377" s="23">
        <f t="shared" si="186"/>
        <v>1625</v>
      </c>
      <c r="I377" s="23">
        <f t="shared" si="186"/>
        <v>0</v>
      </c>
      <c r="J377" s="23">
        <f t="shared" si="186"/>
        <v>366.13</v>
      </c>
      <c r="K377" s="23">
        <f t="shared" si="186"/>
        <v>0</v>
      </c>
      <c r="L377" s="23">
        <f t="shared" si="186"/>
        <v>0</v>
      </c>
      <c r="M377" s="23">
        <f t="shared" si="186"/>
        <v>0</v>
      </c>
      <c r="N377" s="23">
        <f t="shared" si="186"/>
        <v>0</v>
      </c>
      <c r="O377" s="23">
        <f t="shared" si="186"/>
        <v>0</v>
      </c>
      <c r="P377" s="23">
        <f t="shared" si="186"/>
        <v>0</v>
      </c>
      <c r="Q377" s="23">
        <f t="shared" si="186"/>
        <v>0</v>
      </c>
      <c r="R377" s="24">
        <f>IFERROR(Q377/$P377,0)</f>
        <v>0</v>
      </c>
      <c r="S377" s="23">
        <f>S384</f>
        <v>0</v>
      </c>
      <c r="T377" s="24">
        <f>IFERROR(S377/$P377,0)</f>
        <v>0</v>
      </c>
      <c r="U377" s="23">
        <f>U384</f>
        <v>0</v>
      </c>
      <c r="V377" s="24">
        <f>IFERROR(U377/$P377,0)</f>
        <v>0</v>
      </c>
      <c r="W377" s="23">
        <f>W384</f>
        <v>0</v>
      </c>
      <c r="X377" s="24">
        <f>IFERROR(W377/$P377,0)</f>
        <v>0</v>
      </c>
      <c r="Y377" s="23">
        <f>Y384</f>
        <v>0</v>
      </c>
      <c r="Z377" s="23">
        <f>Z384</f>
        <v>0</v>
      </c>
    </row>
    <row r="378" spans="1:26" ht="13.9" customHeight="1" x14ac:dyDescent="0.25">
      <c r="A378" s="14">
        <v>6</v>
      </c>
      <c r="B378" s="14">
        <v>1</v>
      </c>
      <c r="D378" s="12" t="s">
        <v>21</v>
      </c>
      <c r="E378" s="22">
        <v>41</v>
      </c>
      <c r="F378" s="22" t="s">
        <v>23</v>
      </c>
      <c r="G378" s="23">
        <f t="shared" ref="G378:Q378" si="187">G388+G396</f>
        <v>9275.4699999999993</v>
      </c>
      <c r="H378" s="23">
        <f t="shared" si="187"/>
        <v>10099.93</v>
      </c>
      <c r="I378" s="23">
        <f t="shared" si="187"/>
        <v>9214</v>
      </c>
      <c r="J378" s="23">
        <f t="shared" si="187"/>
        <v>7928.45</v>
      </c>
      <c r="K378" s="23">
        <f t="shared" si="187"/>
        <v>10972</v>
      </c>
      <c r="L378" s="23">
        <f t="shared" si="187"/>
        <v>0</v>
      </c>
      <c r="M378" s="23">
        <f t="shared" si="187"/>
        <v>150</v>
      </c>
      <c r="N378" s="23">
        <f t="shared" si="187"/>
        <v>75</v>
      </c>
      <c r="O378" s="23">
        <f t="shared" si="187"/>
        <v>0</v>
      </c>
      <c r="P378" s="23">
        <f t="shared" si="187"/>
        <v>11197</v>
      </c>
      <c r="Q378" s="23">
        <f t="shared" si="187"/>
        <v>84</v>
      </c>
      <c r="R378" s="24">
        <f>Q378/$P378</f>
        <v>7.50200946682147E-3</v>
      </c>
      <c r="S378" s="23">
        <f>S388+S396</f>
        <v>4060.17</v>
      </c>
      <c r="T378" s="24">
        <f>S378/$P378</f>
        <v>0.36261230686791107</v>
      </c>
      <c r="U378" s="23">
        <f>U388+U396</f>
        <v>9803.17</v>
      </c>
      <c r="V378" s="24">
        <f>U378/$P378</f>
        <v>0.87551754934357418</v>
      </c>
      <c r="W378" s="23">
        <f>W388+W396</f>
        <v>9945.57</v>
      </c>
      <c r="X378" s="24">
        <f>W378/$P378</f>
        <v>0.88823524158256673</v>
      </c>
      <c r="Y378" s="23">
        <f>Y388+Y396</f>
        <v>10972</v>
      </c>
      <c r="Z378" s="23">
        <f>Z388+Z396</f>
        <v>10972</v>
      </c>
    </row>
    <row r="379" spans="1:26" ht="13.9" customHeight="1" x14ac:dyDescent="0.25">
      <c r="A379" s="14">
        <v>6</v>
      </c>
      <c r="B379" s="14">
        <v>1</v>
      </c>
      <c r="D379" s="29"/>
      <c r="E379" s="30"/>
      <c r="F379" s="25" t="s">
        <v>124</v>
      </c>
      <c r="G379" s="26">
        <f t="shared" ref="G379:Q379" si="188">SUM(G377:G378)</f>
        <v>9275.4699999999993</v>
      </c>
      <c r="H379" s="26">
        <f t="shared" si="188"/>
        <v>11724.93</v>
      </c>
      <c r="I379" s="26">
        <f t="shared" si="188"/>
        <v>9214</v>
      </c>
      <c r="J379" s="26">
        <f t="shared" si="188"/>
        <v>8294.58</v>
      </c>
      <c r="K379" s="26">
        <f t="shared" si="188"/>
        <v>10972</v>
      </c>
      <c r="L379" s="26">
        <f t="shared" si="188"/>
        <v>0</v>
      </c>
      <c r="M379" s="26">
        <f t="shared" si="188"/>
        <v>150</v>
      </c>
      <c r="N379" s="26">
        <f t="shared" si="188"/>
        <v>75</v>
      </c>
      <c r="O379" s="26">
        <f t="shared" si="188"/>
        <v>0</v>
      </c>
      <c r="P379" s="26">
        <f t="shared" si="188"/>
        <v>11197</v>
      </c>
      <c r="Q379" s="26">
        <f t="shared" si="188"/>
        <v>84</v>
      </c>
      <c r="R379" s="27">
        <f>Q379/$P379</f>
        <v>7.50200946682147E-3</v>
      </c>
      <c r="S379" s="26">
        <f>SUM(S377:S378)</f>
        <v>4060.17</v>
      </c>
      <c r="T379" s="27">
        <f>S379/$P379</f>
        <v>0.36261230686791107</v>
      </c>
      <c r="U379" s="26">
        <f>SUM(U377:U378)</f>
        <v>9803.17</v>
      </c>
      <c r="V379" s="27">
        <f>U379/$P379</f>
        <v>0.87551754934357418</v>
      </c>
      <c r="W379" s="26">
        <f>SUM(W377:W378)</f>
        <v>9945.57</v>
      </c>
      <c r="X379" s="27">
        <f>W379/$P379</f>
        <v>0.88823524158256673</v>
      </c>
      <c r="Y379" s="26">
        <f>SUM(Y377:Y378)</f>
        <v>10972</v>
      </c>
      <c r="Z379" s="26">
        <f>SUM(Z377:Z378)</f>
        <v>10972</v>
      </c>
    </row>
    <row r="381" spans="1:26" ht="13.9" customHeight="1" x14ac:dyDescent="0.25">
      <c r="D381" s="72" t="s">
        <v>229</v>
      </c>
      <c r="E381" s="72"/>
      <c r="F381" s="72"/>
      <c r="G381" s="72"/>
      <c r="H381" s="72"/>
      <c r="I381" s="72"/>
      <c r="J381" s="72"/>
      <c r="K381" s="72"/>
      <c r="L381" s="72"/>
      <c r="M381" s="72"/>
      <c r="N381" s="72"/>
      <c r="O381" s="72"/>
      <c r="P381" s="72"/>
      <c r="Q381" s="72"/>
      <c r="R381" s="73"/>
      <c r="S381" s="72"/>
      <c r="T381" s="73"/>
      <c r="U381" s="72"/>
      <c r="V381" s="73"/>
      <c r="W381" s="72"/>
      <c r="X381" s="73"/>
      <c r="Y381" s="72"/>
      <c r="Z381" s="72"/>
    </row>
    <row r="382" spans="1:26" ht="13.9" customHeight="1" x14ac:dyDescent="0.25">
      <c r="D382" s="20" t="s">
        <v>33</v>
      </c>
      <c r="E382" s="20" t="s">
        <v>34</v>
      </c>
      <c r="F382" s="20" t="s">
        <v>35</v>
      </c>
      <c r="G382" s="20" t="s">
        <v>1</v>
      </c>
      <c r="H382" s="20" t="s">
        <v>2</v>
      </c>
      <c r="I382" s="20" t="s">
        <v>3</v>
      </c>
      <c r="J382" s="20" t="s">
        <v>4</v>
      </c>
      <c r="K382" s="20" t="s">
        <v>5</v>
      </c>
      <c r="L382" s="20" t="s">
        <v>6</v>
      </c>
      <c r="M382" s="20" t="s">
        <v>7</v>
      </c>
      <c r="N382" s="20" t="s">
        <v>8</v>
      </c>
      <c r="O382" s="20" t="s">
        <v>9</v>
      </c>
      <c r="P382" s="20" t="s">
        <v>10</v>
      </c>
      <c r="Q382" s="20" t="s">
        <v>11</v>
      </c>
      <c r="R382" s="21" t="s">
        <v>12</v>
      </c>
      <c r="S382" s="20" t="s">
        <v>13</v>
      </c>
      <c r="T382" s="21" t="s">
        <v>14</v>
      </c>
      <c r="U382" s="20" t="s">
        <v>15</v>
      </c>
      <c r="V382" s="21" t="s">
        <v>16</v>
      </c>
      <c r="W382" s="20" t="s">
        <v>17</v>
      </c>
      <c r="X382" s="21" t="s">
        <v>18</v>
      </c>
      <c r="Y382" s="20" t="s">
        <v>19</v>
      </c>
      <c r="Z382" s="20" t="s">
        <v>20</v>
      </c>
    </row>
    <row r="383" spans="1:26" ht="13.9" hidden="1" customHeight="1" x14ac:dyDescent="0.25">
      <c r="A383" s="14">
        <v>6</v>
      </c>
      <c r="B383" s="14">
        <v>1</v>
      </c>
      <c r="C383" s="14">
        <v>1</v>
      </c>
      <c r="D383" s="83" t="s">
        <v>230</v>
      </c>
      <c r="E383" s="22">
        <v>630</v>
      </c>
      <c r="F383" s="22" t="s">
        <v>131</v>
      </c>
      <c r="G383" s="23">
        <v>0</v>
      </c>
      <c r="H383" s="23">
        <v>1625</v>
      </c>
      <c r="I383" s="23">
        <v>0</v>
      </c>
      <c r="J383" s="23">
        <v>366.13</v>
      </c>
      <c r="K383" s="23">
        <v>0</v>
      </c>
      <c r="L383" s="23"/>
      <c r="M383" s="23"/>
      <c r="N383" s="23"/>
      <c r="O383" s="23"/>
      <c r="P383" s="23">
        <f>K383+SUM(L383:O383)</f>
        <v>0</v>
      </c>
      <c r="Q383" s="23">
        <v>0</v>
      </c>
      <c r="R383" s="24" t="e">
        <f t="shared" ref="R383:R389" si="189">Q383/$P383</f>
        <v>#DIV/0!</v>
      </c>
      <c r="S383" s="23">
        <v>0</v>
      </c>
      <c r="T383" s="24" t="e">
        <f t="shared" ref="T383:T389" si="190">S383/$P383</f>
        <v>#DIV/0!</v>
      </c>
      <c r="U383" s="23"/>
      <c r="V383" s="24" t="e">
        <f t="shared" ref="V383:V389" si="191">U383/$P383</f>
        <v>#DIV/0!</v>
      </c>
      <c r="W383" s="23"/>
      <c r="X383" s="24" t="e">
        <f t="shared" ref="X383:X389" si="192">W383/$P383</f>
        <v>#DIV/0!</v>
      </c>
      <c r="Y383" s="23">
        <v>0</v>
      </c>
      <c r="Z383" s="23">
        <f>Y383</f>
        <v>0</v>
      </c>
    </row>
    <row r="384" spans="1:26" ht="13.9" hidden="1" customHeight="1" x14ac:dyDescent="0.25">
      <c r="A384" s="14">
        <v>6</v>
      </c>
      <c r="B384" s="14">
        <v>1</v>
      </c>
      <c r="C384" s="14">
        <v>1</v>
      </c>
      <c r="D384" s="84" t="s">
        <v>21</v>
      </c>
      <c r="E384" s="85" t="s">
        <v>231</v>
      </c>
      <c r="F384" s="47" t="s">
        <v>134</v>
      </c>
      <c r="G384" s="48">
        <f t="shared" ref="G384:Q384" si="193">SUM(G383:G383)</f>
        <v>0</v>
      </c>
      <c r="H384" s="48">
        <f t="shared" si="193"/>
        <v>1625</v>
      </c>
      <c r="I384" s="48">
        <f t="shared" si="193"/>
        <v>0</v>
      </c>
      <c r="J384" s="48">
        <f t="shared" si="193"/>
        <v>366.13</v>
      </c>
      <c r="K384" s="48">
        <f t="shared" si="193"/>
        <v>0</v>
      </c>
      <c r="L384" s="48">
        <f t="shared" si="193"/>
        <v>0</v>
      </c>
      <c r="M384" s="48">
        <f t="shared" si="193"/>
        <v>0</v>
      </c>
      <c r="N384" s="48">
        <f t="shared" si="193"/>
        <v>0</v>
      </c>
      <c r="O384" s="48">
        <f t="shared" si="193"/>
        <v>0</v>
      </c>
      <c r="P384" s="48">
        <f t="shared" si="193"/>
        <v>0</v>
      </c>
      <c r="Q384" s="48">
        <f t="shared" si="193"/>
        <v>0</v>
      </c>
      <c r="R384" s="49" t="e">
        <f t="shared" si="189"/>
        <v>#DIV/0!</v>
      </c>
      <c r="S384" s="48">
        <f>SUM(S383:S383)</f>
        <v>0</v>
      </c>
      <c r="T384" s="49" t="e">
        <f t="shared" si="190"/>
        <v>#DIV/0!</v>
      </c>
      <c r="U384" s="48">
        <f>SUM(U383:U383)</f>
        <v>0</v>
      </c>
      <c r="V384" s="49" t="e">
        <f t="shared" si="191"/>
        <v>#DIV/0!</v>
      </c>
      <c r="W384" s="48">
        <f>SUM(W383:W383)</f>
        <v>0</v>
      </c>
      <c r="X384" s="49" t="e">
        <f t="shared" si="192"/>
        <v>#DIV/0!</v>
      </c>
      <c r="Y384" s="48">
        <f>SUM(Y383:Y383)</f>
        <v>0</v>
      </c>
      <c r="Z384" s="48">
        <f>SUM(Z383:Z383)</f>
        <v>0</v>
      </c>
    </row>
    <row r="385" spans="1:26" ht="13.9" hidden="1" customHeight="1" x14ac:dyDescent="0.25">
      <c r="A385" s="14">
        <v>6</v>
      </c>
      <c r="B385" s="14">
        <v>1</v>
      </c>
      <c r="C385" s="14">
        <v>1</v>
      </c>
      <c r="D385" s="50" t="s">
        <v>230</v>
      </c>
      <c r="E385" s="22">
        <v>620</v>
      </c>
      <c r="F385" s="22" t="s">
        <v>130</v>
      </c>
      <c r="G385" s="23">
        <v>0</v>
      </c>
      <c r="H385" s="23">
        <v>108.24</v>
      </c>
      <c r="I385" s="23">
        <v>109</v>
      </c>
      <c r="J385" s="23">
        <v>0</v>
      </c>
      <c r="K385" s="23">
        <v>0</v>
      </c>
      <c r="L385" s="23"/>
      <c r="M385" s="23"/>
      <c r="N385" s="23"/>
      <c r="O385" s="23"/>
      <c r="P385" s="23">
        <f>K385+SUM(L385:O385)</f>
        <v>0</v>
      </c>
      <c r="Q385" s="23">
        <v>0</v>
      </c>
      <c r="R385" s="24" t="e">
        <f t="shared" si="189"/>
        <v>#DIV/0!</v>
      </c>
      <c r="S385" s="23">
        <v>0</v>
      </c>
      <c r="T385" s="24" t="e">
        <f t="shared" si="190"/>
        <v>#DIV/0!</v>
      </c>
      <c r="U385" s="23"/>
      <c r="V385" s="24" t="e">
        <f t="shared" si="191"/>
        <v>#DIV/0!</v>
      </c>
      <c r="W385" s="23"/>
      <c r="X385" s="24" t="e">
        <f t="shared" si="192"/>
        <v>#DIV/0!</v>
      </c>
      <c r="Y385" s="23">
        <f>K385</f>
        <v>0</v>
      </c>
      <c r="Z385" s="23">
        <f>Y385</f>
        <v>0</v>
      </c>
    </row>
    <row r="386" spans="1:26" ht="13.9" customHeight="1" x14ac:dyDescent="0.25">
      <c r="A386" s="14">
        <v>6</v>
      </c>
      <c r="B386" s="14">
        <v>1</v>
      </c>
      <c r="C386" s="14">
        <v>1</v>
      </c>
      <c r="D386" s="4" t="s">
        <v>230</v>
      </c>
      <c r="E386" s="22">
        <v>630</v>
      </c>
      <c r="F386" s="22" t="s">
        <v>131</v>
      </c>
      <c r="G386" s="23">
        <v>2275.4699999999998</v>
      </c>
      <c r="H386" s="23">
        <v>2841.69</v>
      </c>
      <c r="I386" s="23">
        <v>3105</v>
      </c>
      <c r="J386" s="23">
        <v>1628.45</v>
      </c>
      <c r="K386" s="23">
        <v>1222</v>
      </c>
      <c r="L386" s="23"/>
      <c r="M386" s="23">
        <v>150</v>
      </c>
      <c r="N386" s="23">
        <f>59+16</f>
        <v>75</v>
      </c>
      <c r="O386" s="23"/>
      <c r="P386" s="23">
        <f>K386+SUM(L386:O386)</f>
        <v>1447</v>
      </c>
      <c r="Q386" s="23">
        <v>84</v>
      </c>
      <c r="R386" s="24">
        <f t="shared" si="189"/>
        <v>5.8051140290255702E-2</v>
      </c>
      <c r="S386" s="23">
        <v>1060.17</v>
      </c>
      <c r="T386" s="24">
        <f t="shared" si="190"/>
        <v>0.73266758811333799</v>
      </c>
      <c r="U386" s="23">
        <v>1303.17</v>
      </c>
      <c r="V386" s="24">
        <f t="shared" si="191"/>
        <v>0.90060124395300623</v>
      </c>
      <c r="W386" s="23">
        <v>1445.57</v>
      </c>
      <c r="X386" s="24">
        <f t="shared" si="192"/>
        <v>0.99901174844505869</v>
      </c>
      <c r="Y386" s="23">
        <f>K386</f>
        <v>1222</v>
      </c>
      <c r="Z386" s="23">
        <f>Y386</f>
        <v>1222</v>
      </c>
    </row>
    <row r="387" spans="1:26" ht="13.9" customHeight="1" x14ac:dyDescent="0.25">
      <c r="A387" s="14">
        <v>6</v>
      </c>
      <c r="B387" s="14">
        <v>1</v>
      </c>
      <c r="C387" s="14">
        <v>1</v>
      </c>
      <c r="D387" s="4" t="s">
        <v>230</v>
      </c>
      <c r="E387" s="22">
        <v>640</v>
      </c>
      <c r="F387" s="22" t="s">
        <v>132</v>
      </c>
      <c r="G387" s="23">
        <v>5800</v>
      </c>
      <c r="H387" s="23">
        <v>5450</v>
      </c>
      <c r="I387" s="23">
        <v>4500</v>
      </c>
      <c r="J387" s="23">
        <v>4800</v>
      </c>
      <c r="K387" s="23">
        <v>5000</v>
      </c>
      <c r="L387" s="23"/>
      <c r="M387" s="23"/>
      <c r="N387" s="23"/>
      <c r="O387" s="23"/>
      <c r="P387" s="23">
        <f>K387+SUM(L387:O387)</f>
        <v>5000</v>
      </c>
      <c r="Q387" s="23">
        <v>0</v>
      </c>
      <c r="R387" s="24">
        <f t="shared" si="189"/>
        <v>0</v>
      </c>
      <c r="S387" s="23">
        <v>0</v>
      </c>
      <c r="T387" s="24">
        <f t="shared" si="190"/>
        <v>0</v>
      </c>
      <c r="U387" s="23">
        <v>5000</v>
      </c>
      <c r="V387" s="24">
        <f t="shared" si="191"/>
        <v>1</v>
      </c>
      <c r="W387" s="23">
        <v>5000</v>
      </c>
      <c r="X387" s="24">
        <f t="shared" si="192"/>
        <v>1</v>
      </c>
      <c r="Y387" s="23">
        <f>K387</f>
        <v>5000</v>
      </c>
      <c r="Z387" s="23">
        <f>Y387</f>
        <v>5000</v>
      </c>
    </row>
    <row r="388" spans="1:26" ht="13.9" customHeight="1" x14ac:dyDescent="0.25">
      <c r="A388" s="14">
        <v>6</v>
      </c>
      <c r="B388" s="14">
        <v>1</v>
      </c>
      <c r="C388" s="14">
        <v>1</v>
      </c>
      <c r="D388" s="84" t="s">
        <v>21</v>
      </c>
      <c r="E388" s="47">
        <v>41</v>
      </c>
      <c r="F388" s="47" t="s">
        <v>23</v>
      </c>
      <c r="G388" s="48">
        <f t="shared" ref="G388:Q388" si="194">SUM(G385:G387)</f>
        <v>8075.4699999999993</v>
      </c>
      <c r="H388" s="48">
        <f t="shared" si="194"/>
        <v>8399.93</v>
      </c>
      <c r="I388" s="48">
        <f t="shared" si="194"/>
        <v>7714</v>
      </c>
      <c r="J388" s="48">
        <f t="shared" si="194"/>
        <v>6428.45</v>
      </c>
      <c r="K388" s="48">
        <f t="shared" si="194"/>
        <v>6222</v>
      </c>
      <c r="L388" s="48">
        <f t="shared" si="194"/>
        <v>0</v>
      </c>
      <c r="M388" s="48">
        <f t="shared" si="194"/>
        <v>150</v>
      </c>
      <c r="N388" s="48">
        <f t="shared" si="194"/>
        <v>75</v>
      </c>
      <c r="O388" s="48">
        <f t="shared" si="194"/>
        <v>0</v>
      </c>
      <c r="P388" s="48">
        <f t="shared" si="194"/>
        <v>6447</v>
      </c>
      <c r="Q388" s="48">
        <f t="shared" si="194"/>
        <v>84</v>
      </c>
      <c r="R388" s="49">
        <f t="shared" si="189"/>
        <v>1.3029315960912053E-2</v>
      </c>
      <c r="S388" s="48">
        <f>SUM(S385:S387)</f>
        <v>1060.17</v>
      </c>
      <c r="T388" s="49">
        <f t="shared" si="190"/>
        <v>0.1644439274080968</v>
      </c>
      <c r="U388" s="48">
        <f>SUM(U385:U387)</f>
        <v>6303.17</v>
      </c>
      <c r="V388" s="49">
        <f t="shared" si="191"/>
        <v>0.97769039863502405</v>
      </c>
      <c r="W388" s="48">
        <f>SUM(W385:W387)</f>
        <v>6445.57</v>
      </c>
      <c r="X388" s="49">
        <f t="shared" si="192"/>
        <v>0.99977819140685587</v>
      </c>
      <c r="Y388" s="48">
        <f>SUM(Y385:Y387)</f>
        <v>6222</v>
      </c>
      <c r="Z388" s="48">
        <f>SUM(Z385:Z387)</f>
        <v>6222</v>
      </c>
    </row>
    <row r="389" spans="1:26" ht="13.9" customHeight="1" x14ac:dyDescent="0.25">
      <c r="A389" s="14">
        <v>6</v>
      </c>
      <c r="B389" s="14">
        <v>1</v>
      </c>
      <c r="C389" s="14">
        <v>1</v>
      </c>
      <c r="D389" s="86"/>
      <c r="E389" s="87"/>
      <c r="F389" s="25" t="s">
        <v>124</v>
      </c>
      <c r="G389" s="26">
        <f t="shared" ref="G389:Q389" si="195">G384+G388</f>
        <v>8075.4699999999993</v>
      </c>
      <c r="H389" s="26">
        <f t="shared" si="195"/>
        <v>10024.93</v>
      </c>
      <c r="I389" s="26">
        <f t="shared" si="195"/>
        <v>7714</v>
      </c>
      <c r="J389" s="26">
        <f t="shared" si="195"/>
        <v>6794.58</v>
      </c>
      <c r="K389" s="26">
        <f t="shared" si="195"/>
        <v>6222</v>
      </c>
      <c r="L389" s="26">
        <f t="shared" si="195"/>
        <v>0</v>
      </c>
      <c r="M389" s="26">
        <f t="shared" si="195"/>
        <v>150</v>
      </c>
      <c r="N389" s="26">
        <f t="shared" si="195"/>
        <v>75</v>
      </c>
      <c r="O389" s="26">
        <f t="shared" si="195"/>
        <v>0</v>
      </c>
      <c r="P389" s="26">
        <f t="shared" si="195"/>
        <v>6447</v>
      </c>
      <c r="Q389" s="26">
        <f t="shared" si="195"/>
        <v>84</v>
      </c>
      <c r="R389" s="27">
        <f t="shared" si="189"/>
        <v>1.3029315960912053E-2</v>
      </c>
      <c r="S389" s="26">
        <f>S384+S388</f>
        <v>1060.17</v>
      </c>
      <c r="T389" s="27">
        <f t="shared" si="190"/>
        <v>0.1644439274080968</v>
      </c>
      <c r="U389" s="26">
        <f>U384+U388</f>
        <v>6303.17</v>
      </c>
      <c r="V389" s="27">
        <f t="shared" si="191"/>
        <v>0.97769039863502405</v>
      </c>
      <c r="W389" s="26">
        <f>W384+W388</f>
        <v>6445.57</v>
      </c>
      <c r="X389" s="27">
        <f t="shared" si="192"/>
        <v>0.99977819140685587</v>
      </c>
      <c r="Y389" s="26">
        <f>Y384+Y388</f>
        <v>6222</v>
      </c>
      <c r="Z389" s="26">
        <f>Z384+Z388</f>
        <v>6222</v>
      </c>
    </row>
    <row r="391" spans="1:26" ht="13.9" customHeight="1" x14ac:dyDescent="0.25">
      <c r="E391" s="110" t="s">
        <v>57</v>
      </c>
      <c r="F391" s="111" t="s">
        <v>149</v>
      </c>
      <c r="G391" s="112">
        <v>308</v>
      </c>
      <c r="H391" s="112">
        <v>380.76</v>
      </c>
      <c r="I391" s="112">
        <v>700</v>
      </c>
      <c r="J391" s="112">
        <v>869</v>
      </c>
      <c r="K391" s="112">
        <v>462</v>
      </c>
      <c r="L391" s="112"/>
      <c r="M391" s="112"/>
      <c r="N391" s="112"/>
      <c r="O391" s="112"/>
      <c r="P391" s="112">
        <f>K391+SUM(L391:O391)</f>
        <v>462</v>
      </c>
      <c r="Q391" s="112">
        <v>84</v>
      </c>
      <c r="R391" s="120">
        <f>Q391/$P391</f>
        <v>0.18181818181818182</v>
      </c>
      <c r="S391" s="112">
        <v>210</v>
      </c>
      <c r="T391" s="120">
        <f>S391/$P391</f>
        <v>0.45454545454545453</v>
      </c>
      <c r="U391" s="112">
        <v>336</v>
      </c>
      <c r="V391" s="120">
        <f>U391/$P391</f>
        <v>0.72727272727272729</v>
      </c>
      <c r="W391" s="112">
        <v>462</v>
      </c>
      <c r="X391" s="121">
        <f>W391/$P391</f>
        <v>1</v>
      </c>
      <c r="Y391" s="113">
        <f>K391</f>
        <v>462</v>
      </c>
      <c r="Z391" s="116">
        <f>Y391</f>
        <v>462</v>
      </c>
    </row>
    <row r="393" spans="1:26" ht="13.9" customHeight="1" x14ac:dyDescent="0.25">
      <c r="D393" s="72" t="s">
        <v>232</v>
      </c>
      <c r="E393" s="72"/>
      <c r="F393" s="72"/>
      <c r="G393" s="72"/>
      <c r="H393" s="72"/>
      <c r="I393" s="72"/>
      <c r="J393" s="72"/>
      <c r="K393" s="72"/>
      <c r="L393" s="72"/>
      <c r="M393" s="72"/>
      <c r="N393" s="72"/>
      <c r="O393" s="72"/>
      <c r="P393" s="72"/>
      <c r="Q393" s="72"/>
      <c r="R393" s="73"/>
      <c r="S393" s="72"/>
      <c r="T393" s="73"/>
      <c r="U393" s="72"/>
      <c r="V393" s="73"/>
      <c r="W393" s="72"/>
      <c r="X393" s="73"/>
      <c r="Y393" s="72"/>
      <c r="Z393" s="72"/>
    </row>
    <row r="394" spans="1:26" ht="13.9" customHeight="1" x14ac:dyDescent="0.25">
      <c r="D394" s="20" t="s">
        <v>33</v>
      </c>
      <c r="E394" s="20" t="s">
        <v>34</v>
      </c>
      <c r="F394" s="20" t="s">
        <v>35</v>
      </c>
      <c r="G394" s="20" t="s">
        <v>1</v>
      </c>
      <c r="H394" s="20" t="s">
        <v>2</v>
      </c>
      <c r="I394" s="20" t="s">
        <v>3</v>
      </c>
      <c r="J394" s="20" t="s">
        <v>4</v>
      </c>
      <c r="K394" s="20" t="s">
        <v>5</v>
      </c>
      <c r="L394" s="20" t="s">
        <v>6</v>
      </c>
      <c r="M394" s="20" t="s">
        <v>7</v>
      </c>
      <c r="N394" s="20" t="s">
        <v>8</v>
      </c>
      <c r="O394" s="20" t="s">
        <v>9</v>
      </c>
      <c r="P394" s="20" t="s">
        <v>10</v>
      </c>
      <c r="Q394" s="20" t="s">
        <v>11</v>
      </c>
      <c r="R394" s="21" t="s">
        <v>12</v>
      </c>
      <c r="S394" s="20" t="s">
        <v>13</v>
      </c>
      <c r="T394" s="21" t="s">
        <v>14</v>
      </c>
      <c r="U394" s="20" t="s">
        <v>15</v>
      </c>
      <c r="V394" s="21" t="s">
        <v>16</v>
      </c>
      <c r="W394" s="20" t="s">
        <v>17</v>
      </c>
      <c r="X394" s="21" t="s">
        <v>18</v>
      </c>
      <c r="Y394" s="20" t="s">
        <v>19</v>
      </c>
      <c r="Z394" s="20" t="s">
        <v>20</v>
      </c>
    </row>
    <row r="395" spans="1:26" ht="13.9" customHeight="1" x14ac:dyDescent="0.25">
      <c r="A395" s="14">
        <v>6</v>
      </c>
      <c r="B395" s="14">
        <v>1</v>
      </c>
      <c r="C395" s="14">
        <v>2</v>
      </c>
      <c r="D395" s="83" t="s">
        <v>230</v>
      </c>
      <c r="E395" s="22">
        <v>640</v>
      </c>
      <c r="F395" s="22" t="s">
        <v>132</v>
      </c>
      <c r="G395" s="23">
        <v>1200</v>
      </c>
      <c r="H395" s="23">
        <v>1700</v>
      </c>
      <c r="I395" s="23">
        <f>SUM(I398:I401)</f>
        <v>1500</v>
      </c>
      <c r="J395" s="23">
        <v>1500</v>
      </c>
      <c r="K395" s="23">
        <f>SUM(K398:K401)</f>
        <v>4750</v>
      </c>
      <c r="L395" s="23"/>
      <c r="M395" s="23"/>
      <c r="N395" s="23"/>
      <c r="O395" s="23"/>
      <c r="P395" s="23">
        <f>K395+SUM(L395:O395)</f>
        <v>4750</v>
      </c>
      <c r="Q395" s="23">
        <v>0</v>
      </c>
      <c r="R395" s="24">
        <f>Q395/$P395</f>
        <v>0</v>
      </c>
      <c r="S395" s="23">
        <v>3000</v>
      </c>
      <c r="T395" s="24">
        <f>S395/$P395</f>
        <v>0.63157894736842102</v>
      </c>
      <c r="U395" s="23">
        <v>3500</v>
      </c>
      <c r="V395" s="24">
        <f>U395/$P395</f>
        <v>0.73684210526315785</v>
      </c>
      <c r="W395" s="23">
        <v>3500</v>
      </c>
      <c r="X395" s="24">
        <f>W395/$P395</f>
        <v>0.73684210526315785</v>
      </c>
      <c r="Y395" s="23">
        <f>SUM(Y398:Y401)</f>
        <v>4750</v>
      </c>
      <c r="Z395" s="23">
        <f>SUM(Z398:Z401)</f>
        <v>4750</v>
      </c>
    </row>
    <row r="396" spans="1:26" ht="13.9" customHeight="1" x14ac:dyDescent="0.25">
      <c r="A396" s="14">
        <v>6</v>
      </c>
      <c r="B396" s="14">
        <v>1</v>
      </c>
      <c r="C396" s="14">
        <v>2</v>
      </c>
      <c r="D396" s="78" t="s">
        <v>21</v>
      </c>
      <c r="E396" s="25">
        <v>41</v>
      </c>
      <c r="F396" s="25" t="s">
        <v>23</v>
      </c>
      <c r="G396" s="26">
        <f t="shared" ref="G396:Q396" si="196">SUM(G395:G395)</f>
        <v>1200</v>
      </c>
      <c r="H396" s="26">
        <f t="shared" si="196"/>
        <v>1700</v>
      </c>
      <c r="I396" s="26">
        <f t="shared" si="196"/>
        <v>1500</v>
      </c>
      <c r="J396" s="26">
        <f t="shared" si="196"/>
        <v>1500</v>
      </c>
      <c r="K396" s="26">
        <f t="shared" si="196"/>
        <v>4750</v>
      </c>
      <c r="L396" s="26">
        <f t="shared" si="196"/>
        <v>0</v>
      </c>
      <c r="M396" s="26">
        <f t="shared" si="196"/>
        <v>0</v>
      </c>
      <c r="N396" s="26">
        <f t="shared" si="196"/>
        <v>0</v>
      </c>
      <c r="O396" s="26">
        <f t="shared" si="196"/>
        <v>0</v>
      </c>
      <c r="P396" s="26">
        <f t="shared" si="196"/>
        <v>4750</v>
      </c>
      <c r="Q396" s="26">
        <f t="shared" si="196"/>
        <v>0</v>
      </c>
      <c r="R396" s="27">
        <f>Q396/$P396</f>
        <v>0</v>
      </c>
      <c r="S396" s="26">
        <f>SUM(S395:S395)</f>
        <v>3000</v>
      </c>
      <c r="T396" s="27">
        <f>S396/$P396</f>
        <v>0.63157894736842102</v>
      </c>
      <c r="U396" s="26">
        <f>SUM(U395:U395)</f>
        <v>3500</v>
      </c>
      <c r="V396" s="27">
        <f>U396/$P396</f>
        <v>0.73684210526315785</v>
      </c>
      <c r="W396" s="26">
        <f>SUM(W395:W395)</f>
        <v>3500</v>
      </c>
      <c r="X396" s="27">
        <f>W396/$P396</f>
        <v>0.73684210526315785</v>
      </c>
      <c r="Y396" s="26">
        <f>SUM(Y395:Y395)</f>
        <v>4750</v>
      </c>
      <c r="Z396" s="26">
        <f>SUM(Z395:Z395)</f>
        <v>4750</v>
      </c>
    </row>
    <row r="398" spans="1:26" ht="13.9" customHeight="1" x14ac:dyDescent="0.25">
      <c r="E398" s="51" t="s">
        <v>57</v>
      </c>
      <c r="F398" s="29" t="s">
        <v>233</v>
      </c>
      <c r="G398" s="52">
        <v>1200</v>
      </c>
      <c r="H398" s="52">
        <v>1000</v>
      </c>
      <c r="I398" s="52">
        <v>500</v>
      </c>
      <c r="J398" s="52">
        <v>500</v>
      </c>
      <c r="K398" s="52">
        <v>1000</v>
      </c>
      <c r="L398" s="52"/>
      <c r="M398" s="52"/>
      <c r="N398" s="52"/>
      <c r="O398" s="52"/>
      <c r="P398" s="52">
        <f>K398+SUM(L398:O398)</f>
        <v>1000</v>
      </c>
      <c r="Q398" s="52">
        <v>0</v>
      </c>
      <c r="R398" s="53">
        <f>Q398/$P398</f>
        <v>0</v>
      </c>
      <c r="S398" s="52">
        <v>0</v>
      </c>
      <c r="T398" s="53">
        <f>S398/$P398</f>
        <v>0</v>
      </c>
      <c r="U398" s="52">
        <v>500</v>
      </c>
      <c r="V398" s="53">
        <f>U398/$P398</f>
        <v>0.5</v>
      </c>
      <c r="W398" s="52">
        <v>500</v>
      </c>
      <c r="X398" s="54">
        <f>W398/$P398</f>
        <v>0.5</v>
      </c>
      <c r="Y398" s="52">
        <f>K398</f>
        <v>1000</v>
      </c>
      <c r="Z398" s="55">
        <f>Y398</f>
        <v>1000</v>
      </c>
    </row>
    <row r="399" spans="1:26" ht="13.9" hidden="1" customHeight="1" x14ac:dyDescent="0.25">
      <c r="E399" s="56"/>
      <c r="F399" s="80" t="s">
        <v>234</v>
      </c>
      <c r="G399" s="81">
        <v>0</v>
      </c>
      <c r="H399" s="81">
        <v>700</v>
      </c>
      <c r="I399" s="81">
        <v>0</v>
      </c>
      <c r="J399" s="81">
        <v>0</v>
      </c>
      <c r="K399" s="81">
        <v>0</v>
      </c>
      <c r="L399" s="81"/>
      <c r="M399" s="81"/>
      <c r="N399" s="81"/>
      <c r="O399" s="81"/>
      <c r="P399" s="81">
        <f>K399+SUM(L399:O399)</f>
        <v>0</v>
      </c>
      <c r="Q399" s="81">
        <v>0</v>
      </c>
      <c r="R399" s="82" t="e">
        <f>Q399/$P399</f>
        <v>#DIV/0!</v>
      </c>
      <c r="S399" s="81">
        <v>0</v>
      </c>
      <c r="T399" s="82" t="e">
        <f>S399/$P399</f>
        <v>#DIV/0!</v>
      </c>
      <c r="U399" s="81"/>
      <c r="V399" s="82" t="e">
        <f>U399/$P399</f>
        <v>#DIV/0!</v>
      </c>
      <c r="W399" s="81"/>
      <c r="X399" s="59" t="e">
        <f>W399/$P399</f>
        <v>#DIV/0!</v>
      </c>
      <c r="Y399" s="81">
        <f>K399</f>
        <v>0</v>
      </c>
      <c r="Z399" s="60">
        <f>Y399</f>
        <v>0</v>
      </c>
    </row>
    <row r="400" spans="1:26" ht="13.9" customHeight="1" x14ac:dyDescent="0.25">
      <c r="E400" s="56"/>
      <c r="F400" s="80" t="s">
        <v>235</v>
      </c>
      <c r="G400" s="81"/>
      <c r="H400" s="81"/>
      <c r="I400" s="81"/>
      <c r="J400" s="81"/>
      <c r="K400" s="81">
        <v>3000</v>
      </c>
      <c r="L400" s="81"/>
      <c r="M400" s="81"/>
      <c r="N400" s="81"/>
      <c r="O400" s="81"/>
      <c r="P400" s="81">
        <f>K400+SUM(L400:O400)</f>
        <v>3000</v>
      </c>
      <c r="Q400" s="81">
        <v>0</v>
      </c>
      <c r="R400" s="82">
        <f>Q400/$P400</f>
        <v>0</v>
      </c>
      <c r="S400" s="81">
        <v>3000</v>
      </c>
      <c r="T400" s="82">
        <f>S400/$P400</f>
        <v>1</v>
      </c>
      <c r="U400" s="81">
        <v>3000</v>
      </c>
      <c r="V400" s="82">
        <f>U400/$P400</f>
        <v>1</v>
      </c>
      <c r="W400" s="81">
        <v>3000</v>
      </c>
      <c r="X400" s="59">
        <f>W400/$P400</f>
        <v>1</v>
      </c>
      <c r="Y400" s="81">
        <f>K400</f>
        <v>3000</v>
      </c>
      <c r="Z400" s="60">
        <f>Y400</f>
        <v>3000</v>
      </c>
    </row>
    <row r="401" spans="1:26" ht="13.9" customHeight="1" x14ac:dyDescent="0.25">
      <c r="E401" s="64"/>
      <c r="F401" s="65" t="s">
        <v>236</v>
      </c>
      <c r="G401" s="66"/>
      <c r="H401" s="66"/>
      <c r="I401" s="66">
        <v>1000</v>
      </c>
      <c r="J401" s="66">
        <v>1000</v>
      </c>
      <c r="K401" s="66">
        <v>750</v>
      </c>
      <c r="L401" s="66"/>
      <c r="M401" s="66"/>
      <c r="N401" s="66"/>
      <c r="O401" s="66"/>
      <c r="P401" s="66">
        <f>K401+SUM(L401:O401)</f>
        <v>750</v>
      </c>
      <c r="Q401" s="66">
        <v>0</v>
      </c>
      <c r="R401" s="67">
        <f>Q401/$P401</f>
        <v>0</v>
      </c>
      <c r="S401" s="66">
        <v>0</v>
      </c>
      <c r="T401" s="67">
        <f>S401/$P401</f>
        <v>0</v>
      </c>
      <c r="U401" s="66">
        <v>0</v>
      </c>
      <c r="V401" s="67">
        <f>U401/$P401</f>
        <v>0</v>
      </c>
      <c r="W401" s="66">
        <v>0</v>
      </c>
      <c r="X401" s="68">
        <f>W401/$P401</f>
        <v>0</v>
      </c>
      <c r="Y401" s="66">
        <f>K401</f>
        <v>750</v>
      </c>
      <c r="Z401" s="69">
        <f>Y401</f>
        <v>750</v>
      </c>
    </row>
    <row r="403" spans="1:26" ht="13.9" customHeight="1" x14ac:dyDescent="0.25">
      <c r="D403" s="40" t="s">
        <v>237</v>
      </c>
      <c r="E403" s="40"/>
      <c r="F403" s="40"/>
      <c r="G403" s="40"/>
      <c r="H403" s="40"/>
      <c r="I403" s="40"/>
      <c r="J403" s="40"/>
      <c r="K403" s="40"/>
      <c r="L403" s="40"/>
      <c r="M403" s="40"/>
      <c r="N403" s="40"/>
      <c r="O403" s="40"/>
      <c r="P403" s="40"/>
      <c r="Q403" s="40"/>
      <c r="R403" s="41"/>
      <c r="S403" s="40"/>
      <c r="T403" s="41"/>
      <c r="U403" s="40"/>
      <c r="V403" s="41"/>
      <c r="W403" s="40"/>
      <c r="X403" s="41"/>
      <c r="Y403" s="40"/>
      <c r="Z403" s="40"/>
    </row>
    <row r="404" spans="1:26" ht="13.9" customHeight="1" x14ac:dyDescent="0.25">
      <c r="D404" s="109"/>
      <c r="E404" s="109"/>
      <c r="F404" s="109"/>
      <c r="G404" s="20" t="s">
        <v>1</v>
      </c>
      <c r="H404" s="20" t="s">
        <v>2</v>
      </c>
      <c r="I404" s="20" t="s">
        <v>3</v>
      </c>
      <c r="J404" s="20" t="s">
        <v>4</v>
      </c>
      <c r="K404" s="20" t="s">
        <v>5</v>
      </c>
      <c r="L404" s="20" t="s">
        <v>6</v>
      </c>
      <c r="M404" s="20" t="s">
        <v>7</v>
      </c>
      <c r="N404" s="20" t="s">
        <v>8</v>
      </c>
      <c r="O404" s="20" t="s">
        <v>9</v>
      </c>
      <c r="P404" s="20" t="s">
        <v>10</v>
      </c>
      <c r="Q404" s="20" t="s">
        <v>11</v>
      </c>
      <c r="R404" s="21" t="s">
        <v>12</v>
      </c>
      <c r="S404" s="20" t="s">
        <v>13</v>
      </c>
      <c r="T404" s="21" t="s">
        <v>14</v>
      </c>
      <c r="U404" s="20" t="s">
        <v>15</v>
      </c>
      <c r="V404" s="21" t="s">
        <v>16</v>
      </c>
      <c r="W404" s="20" t="s">
        <v>17</v>
      </c>
      <c r="X404" s="21" t="s">
        <v>18</v>
      </c>
      <c r="Y404" s="20" t="s">
        <v>19</v>
      </c>
      <c r="Z404" s="20" t="s">
        <v>20</v>
      </c>
    </row>
    <row r="405" spans="1:26" ht="13.9" customHeight="1" x14ac:dyDescent="0.25">
      <c r="A405" s="14">
        <v>6</v>
      </c>
      <c r="B405" s="14">
        <v>2</v>
      </c>
      <c r="D405" s="122" t="s">
        <v>21</v>
      </c>
      <c r="E405" s="123">
        <v>41</v>
      </c>
      <c r="F405" s="123" t="s">
        <v>23</v>
      </c>
      <c r="G405" s="23">
        <f t="shared" ref="G405:O405" si="197">G412+G425+G436</f>
        <v>22839.24</v>
      </c>
      <c r="H405" s="23">
        <f t="shared" si="197"/>
        <v>24504.28</v>
      </c>
      <c r="I405" s="23">
        <f t="shared" si="197"/>
        <v>19436</v>
      </c>
      <c r="J405" s="23">
        <f t="shared" si="197"/>
        <v>7219.8700000000008</v>
      </c>
      <c r="K405" s="23">
        <f t="shared" si="197"/>
        <v>11962</v>
      </c>
      <c r="L405" s="23">
        <f t="shared" si="197"/>
        <v>0</v>
      </c>
      <c r="M405" s="23">
        <f t="shared" si="197"/>
        <v>0</v>
      </c>
      <c r="N405" s="23">
        <f t="shared" si="197"/>
        <v>-2000</v>
      </c>
      <c r="O405" s="23">
        <f t="shared" si="197"/>
        <v>1396</v>
      </c>
      <c r="P405" s="23">
        <f>K405+SUM(L405:O405)</f>
        <v>11358</v>
      </c>
      <c r="Q405" s="23">
        <f>Q412+Q425+Q436</f>
        <v>1000.1400000000001</v>
      </c>
      <c r="R405" s="24">
        <f>Q405/$P405</f>
        <v>8.805599577390387E-2</v>
      </c>
      <c r="S405" s="23">
        <f>S412+S425+S436</f>
        <v>1969.0800000000002</v>
      </c>
      <c r="T405" s="24">
        <f>S405/$P405</f>
        <v>0.17336502905441101</v>
      </c>
      <c r="U405" s="23">
        <f>U412+U425+U436</f>
        <v>6073.85</v>
      </c>
      <c r="V405" s="24">
        <f>U405/$P405</f>
        <v>0.53476404296531077</v>
      </c>
      <c r="W405" s="23">
        <f>W412+W425+W436</f>
        <v>10350.09</v>
      </c>
      <c r="X405" s="24">
        <f>W405/$P405</f>
        <v>0.91125990491283682</v>
      </c>
      <c r="Y405" s="23">
        <f>Y412+Y425+Y436</f>
        <v>11962</v>
      </c>
      <c r="Z405" s="23">
        <f>Z412+Z425+Z436</f>
        <v>11962</v>
      </c>
    </row>
    <row r="406" spans="1:26" ht="13.9" customHeight="1" x14ac:dyDescent="0.25">
      <c r="A406" s="14">
        <v>6</v>
      </c>
      <c r="B406" s="14">
        <v>2</v>
      </c>
      <c r="D406" s="29"/>
      <c r="E406" s="30"/>
      <c r="F406" s="25" t="s">
        <v>124</v>
      </c>
      <c r="G406" s="26">
        <f t="shared" ref="G406:Q406" si="198">SUM(G405:G405)</f>
        <v>22839.24</v>
      </c>
      <c r="H406" s="26">
        <f t="shared" si="198"/>
        <v>24504.28</v>
      </c>
      <c r="I406" s="26">
        <f t="shared" si="198"/>
        <v>19436</v>
      </c>
      <c r="J406" s="26">
        <f t="shared" si="198"/>
        <v>7219.8700000000008</v>
      </c>
      <c r="K406" s="26">
        <f t="shared" si="198"/>
        <v>11962</v>
      </c>
      <c r="L406" s="26">
        <f t="shared" si="198"/>
        <v>0</v>
      </c>
      <c r="M406" s="26">
        <f t="shared" si="198"/>
        <v>0</v>
      </c>
      <c r="N406" s="26">
        <f t="shared" si="198"/>
        <v>-2000</v>
      </c>
      <c r="O406" s="26">
        <f t="shared" si="198"/>
        <v>1396</v>
      </c>
      <c r="P406" s="26">
        <f t="shared" si="198"/>
        <v>11358</v>
      </c>
      <c r="Q406" s="26">
        <f t="shared" si="198"/>
        <v>1000.1400000000001</v>
      </c>
      <c r="R406" s="27">
        <f>Q406/$P406</f>
        <v>8.805599577390387E-2</v>
      </c>
      <c r="S406" s="26">
        <f>SUM(S405:S405)</f>
        <v>1969.0800000000002</v>
      </c>
      <c r="T406" s="27">
        <f>S406/$P406</f>
        <v>0.17336502905441101</v>
      </c>
      <c r="U406" s="26">
        <f>SUM(U405:U405)</f>
        <v>6073.85</v>
      </c>
      <c r="V406" s="27">
        <f>U406/$P406</f>
        <v>0.53476404296531077</v>
      </c>
      <c r="W406" s="26">
        <f>SUM(W405:W405)</f>
        <v>10350.09</v>
      </c>
      <c r="X406" s="27">
        <f>W406/$P406</f>
        <v>0.91125990491283682</v>
      </c>
      <c r="Y406" s="26">
        <f>SUM(Y405:Y405)</f>
        <v>11962</v>
      </c>
      <c r="Z406" s="26">
        <f>SUM(Z405:Z405)</f>
        <v>11962</v>
      </c>
    </row>
    <row r="408" spans="1:26" ht="13.9" customHeight="1" x14ac:dyDescent="0.25">
      <c r="D408" s="72" t="s">
        <v>238</v>
      </c>
      <c r="E408" s="72"/>
      <c r="F408" s="72"/>
      <c r="G408" s="72"/>
      <c r="H408" s="72"/>
      <c r="I408" s="72"/>
      <c r="J408" s="72"/>
      <c r="K408" s="72"/>
      <c r="L408" s="72"/>
      <c r="M408" s="72"/>
      <c r="N408" s="72"/>
      <c r="O408" s="72"/>
      <c r="P408" s="72"/>
      <c r="Q408" s="72"/>
      <c r="R408" s="73"/>
      <c r="S408" s="72"/>
      <c r="T408" s="73"/>
      <c r="U408" s="72"/>
      <c r="V408" s="73"/>
      <c r="W408" s="72"/>
      <c r="X408" s="73"/>
      <c r="Y408" s="72"/>
      <c r="Z408" s="72"/>
    </row>
    <row r="409" spans="1:26" ht="13.9" customHeight="1" x14ac:dyDescent="0.25">
      <c r="D409" s="20" t="s">
        <v>33</v>
      </c>
      <c r="E409" s="20" t="s">
        <v>34</v>
      </c>
      <c r="F409" s="20" t="s">
        <v>35</v>
      </c>
      <c r="G409" s="20" t="s">
        <v>1</v>
      </c>
      <c r="H409" s="20" t="s">
        <v>2</v>
      </c>
      <c r="I409" s="20" t="s">
        <v>3</v>
      </c>
      <c r="J409" s="20" t="s">
        <v>4</v>
      </c>
      <c r="K409" s="20" t="s">
        <v>5</v>
      </c>
      <c r="L409" s="20" t="s">
        <v>6</v>
      </c>
      <c r="M409" s="20" t="s">
        <v>7</v>
      </c>
      <c r="N409" s="20" t="s">
        <v>8</v>
      </c>
      <c r="O409" s="20" t="s">
        <v>9</v>
      </c>
      <c r="P409" s="20" t="s">
        <v>10</v>
      </c>
      <c r="Q409" s="20" t="s">
        <v>11</v>
      </c>
      <c r="R409" s="21" t="s">
        <v>12</v>
      </c>
      <c r="S409" s="20" t="s">
        <v>13</v>
      </c>
      <c r="T409" s="21" t="s">
        <v>14</v>
      </c>
      <c r="U409" s="20" t="s">
        <v>15</v>
      </c>
      <c r="V409" s="21" t="s">
        <v>16</v>
      </c>
      <c r="W409" s="20" t="s">
        <v>17</v>
      </c>
      <c r="X409" s="21" t="s">
        <v>18</v>
      </c>
      <c r="Y409" s="20" t="s">
        <v>19</v>
      </c>
      <c r="Z409" s="20" t="s">
        <v>20</v>
      </c>
    </row>
    <row r="410" spans="1:26" ht="13.9" hidden="1" customHeight="1" x14ac:dyDescent="0.25">
      <c r="A410" s="14">
        <v>6</v>
      </c>
      <c r="B410" s="14">
        <v>2</v>
      </c>
      <c r="C410" s="14">
        <v>1</v>
      </c>
      <c r="D410" s="83" t="s">
        <v>239</v>
      </c>
      <c r="E410" s="22">
        <v>620</v>
      </c>
      <c r="F410" s="22" t="s">
        <v>130</v>
      </c>
      <c r="G410" s="23">
        <v>302.52</v>
      </c>
      <c r="H410" s="23">
        <v>26.19</v>
      </c>
      <c r="I410" s="23">
        <v>0</v>
      </c>
      <c r="J410" s="23">
        <v>0</v>
      </c>
      <c r="K410" s="23">
        <v>0</v>
      </c>
      <c r="L410" s="23"/>
      <c r="M410" s="23"/>
      <c r="N410" s="23"/>
      <c r="O410" s="23"/>
      <c r="P410" s="23">
        <f>K410+SUM(L410:O410)</f>
        <v>0</v>
      </c>
      <c r="Q410" s="23">
        <v>0</v>
      </c>
      <c r="R410" s="24" t="e">
        <f>Q410/$P410</f>
        <v>#DIV/0!</v>
      </c>
      <c r="S410" s="23">
        <v>0</v>
      </c>
      <c r="T410" s="24" t="e">
        <f>S410/$P410</f>
        <v>#DIV/0!</v>
      </c>
      <c r="U410" s="23">
        <v>0</v>
      </c>
      <c r="V410" s="24" t="e">
        <f>U410/$P410</f>
        <v>#DIV/0!</v>
      </c>
      <c r="W410" s="23"/>
      <c r="X410" s="24" t="e">
        <f>W410/$P410</f>
        <v>#DIV/0!</v>
      </c>
      <c r="Y410" s="23">
        <v>0</v>
      </c>
      <c r="Z410" s="23">
        <f>Y410</f>
        <v>0</v>
      </c>
    </row>
    <row r="411" spans="1:26" ht="13.9" customHeight="1" x14ac:dyDescent="0.25">
      <c r="A411" s="14">
        <v>6</v>
      </c>
      <c r="B411" s="14">
        <v>2</v>
      </c>
      <c r="C411" s="14">
        <v>1</v>
      </c>
      <c r="D411" s="83" t="s">
        <v>239</v>
      </c>
      <c r="E411" s="22">
        <v>630</v>
      </c>
      <c r="F411" s="22" t="s">
        <v>131</v>
      </c>
      <c r="G411" s="23">
        <v>4632.76</v>
      </c>
      <c r="H411" s="23">
        <v>6836.82</v>
      </c>
      <c r="I411" s="45">
        <v>3128</v>
      </c>
      <c r="J411" s="45">
        <v>3085</v>
      </c>
      <c r="K411" s="45">
        <v>1545</v>
      </c>
      <c r="L411" s="45"/>
      <c r="M411" s="45"/>
      <c r="N411" s="45"/>
      <c r="O411" s="45"/>
      <c r="P411" s="45">
        <f>K411+SUM(L411:O411)</f>
        <v>1545</v>
      </c>
      <c r="Q411" s="45">
        <v>297</v>
      </c>
      <c r="R411" s="46">
        <f>Q411/$P411</f>
        <v>0.19223300970873786</v>
      </c>
      <c r="S411" s="45">
        <v>662.86</v>
      </c>
      <c r="T411" s="46">
        <f>S411/$P411</f>
        <v>0.42903559870550162</v>
      </c>
      <c r="U411" s="45">
        <v>917.99</v>
      </c>
      <c r="V411" s="46">
        <f>U411/$P411</f>
        <v>0.59416828478964401</v>
      </c>
      <c r="W411" s="45">
        <v>1166.99</v>
      </c>
      <c r="X411" s="46">
        <f>W411/$P411</f>
        <v>0.7553333333333333</v>
      </c>
      <c r="Y411" s="45">
        <f>K411</f>
        <v>1545</v>
      </c>
      <c r="Z411" s="45">
        <f>Y411</f>
        <v>1545</v>
      </c>
    </row>
    <row r="412" spans="1:26" ht="13.9" customHeight="1" x14ac:dyDescent="0.25">
      <c r="A412" s="14">
        <v>6</v>
      </c>
      <c r="B412" s="14">
        <v>2</v>
      </c>
      <c r="C412" s="14">
        <v>1</v>
      </c>
      <c r="D412" s="78" t="s">
        <v>21</v>
      </c>
      <c r="E412" s="25">
        <v>41</v>
      </c>
      <c r="F412" s="25" t="s">
        <v>23</v>
      </c>
      <c r="G412" s="26">
        <f t="shared" ref="G412:Q412" si="199">SUM(G410:G411)</f>
        <v>4935.2800000000007</v>
      </c>
      <c r="H412" s="26">
        <f t="shared" si="199"/>
        <v>6863.0099999999993</v>
      </c>
      <c r="I412" s="26">
        <f t="shared" si="199"/>
        <v>3128</v>
      </c>
      <c r="J412" s="26">
        <f t="shared" si="199"/>
        <v>3085</v>
      </c>
      <c r="K412" s="26">
        <f t="shared" si="199"/>
        <v>1545</v>
      </c>
      <c r="L412" s="26">
        <f t="shared" si="199"/>
        <v>0</v>
      </c>
      <c r="M412" s="26">
        <f t="shared" si="199"/>
        <v>0</v>
      </c>
      <c r="N412" s="26">
        <f t="shared" si="199"/>
        <v>0</v>
      </c>
      <c r="O412" s="26">
        <f t="shared" si="199"/>
        <v>0</v>
      </c>
      <c r="P412" s="26">
        <f t="shared" si="199"/>
        <v>1545</v>
      </c>
      <c r="Q412" s="26">
        <f t="shared" si="199"/>
        <v>297</v>
      </c>
      <c r="R412" s="27">
        <f>Q412/$P412</f>
        <v>0.19223300970873786</v>
      </c>
      <c r="S412" s="26">
        <f>SUM(S410:S411)</f>
        <v>662.86</v>
      </c>
      <c r="T412" s="27">
        <f>S412/$P412</f>
        <v>0.42903559870550162</v>
      </c>
      <c r="U412" s="26">
        <f>SUM(U410:U411)</f>
        <v>917.99</v>
      </c>
      <c r="V412" s="27">
        <f>U412/$P412</f>
        <v>0.59416828478964401</v>
      </c>
      <c r="W412" s="26">
        <f>SUM(W410:W411)</f>
        <v>1166.99</v>
      </c>
      <c r="X412" s="27">
        <f>W412/$P412</f>
        <v>0.7553333333333333</v>
      </c>
      <c r="Y412" s="26">
        <f>SUM(Y410:Y411)</f>
        <v>1545</v>
      </c>
      <c r="Z412" s="26">
        <f>SUM(Z410:Z411)</f>
        <v>1545</v>
      </c>
    </row>
    <row r="414" spans="1:26" ht="13.9" customHeight="1" x14ac:dyDescent="0.25">
      <c r="E414" s="51" t="s">
        <v>57</v>
      </c>
      <c r="F414" s="29" t="s">
        <v>149</v>
      </c>
      <c r="G414" s="52">
        <v>803</v>
      </c>
      <c r="H414" s="52">
        <v>1017.94</v>
      </c>
      <c r="I414" s="52">
        <v>1018</v>
      </c>
      <c r="J414" s="52">
        <v>979</v>
      </c>
      <c r="K414" s="52">
        <v>759</v>
      </c>
      <c r="L414" s="52"/>
      <c r="M414" s="52"/>
      <c r="N414" s="52"/>
      <c r="O414" s="52"/>
      <c r="P414" s="52">
        <f>K414+SUM(L414:O414)</f>
        <v>759</v>
      </c>
      <c r="Q414" s="52">
        <v>138</v>
      </c>
      <c r="R414" s="53">
        <f>Q414/$P414</f>
        <v>0.18181818181818182</v>
      </c>
      <c r="S414" s="52">
        <v>333.07</v>
      </c>
      <c r="T414" s="53">
        <f>S414/$P414</f>
        <v>0.43882740447957841</v>
      </c>
      <c r="U414" s="52">
        <v>429.2</v>
      </c>
      <c r="V414" s="53">
        <f>U414/$P414</f>
        <v>0.56548089591567852</v>
      </c>
      <c r="W414" s="52">
        <v>519.20000000000005</v>
      </c>
      <c r="X414" s="54">
        <f>W414/$P414</f>
        <v>0.68405797101449284</v>
      </c>
      <c r="Y414" s="52">
        <f>K414</f>
        <v>759</v>
      </c>
      <c r="Z414" s="55">
        <f>Y414</f>
        <v>759</v>
      </c>
    </row>
    <row r="415" spans="1:26" ht="13.9" customHeight="1" x14ac:dyDescent="0.25">
      <c r="E415" s="64"/>
      <c r="F415" s="65" t="s">
        <v>150</v>
      </c>
      <c r="G415" s="66">
        <v>1608</v>
      </c>
      <c r="H415" s="66">
        <v>1920.12</v>
      </c>
      <c r="I415" s="66">
        <v>1920</v>
      </c>
      <c r="J415" s="66">
        <v>1956</v>
      </c>
      <c r="K415" s="66">
        <v>636</v>
      </c>
      <c r="L415" s="66"/>
      <c r="M415" s="66"/>
      <c r="N415" s="66"/>
      <c r="O415" s="66"/>
      <c r="P415" s="66">
        <f>K415+SUM(L415:O415)</f>
        <v>636</v>
      </c>
      <c r="Q415" s="66">
        <v>159</v>
      </c>
      <c r="R415" s="67">
        <f>Q415/$P415</f>
        <v>0.25</v>
      </c>
      <c r="S415" s="66">
        <v>318</v>
      </c>
      <c r="T415" s="67">
        <f>S415/$P415</f>
        <v>0.5</v>
      </c>
      <c r="U415" s="66">
        <v>477</v>
      </c>
      <c r="V415" s="67">
        <f>U415/$P415</f>
        <v>0.75</v>
      </c>
      <c r="W415" s="66">
        <v>636</v>
      </c>
      <c r="X415" s="68">
        <f>W415/$P415</f>
        <v>1</v>
      </c>
      <c r="Y415" s="58">
        <f>K415</f>
        <v>636</v>
      </c>
      <c r="Z415" s="60">
        <f>Y415</f>
        <v>636</v>
      </c>
    </row>
    <row r="416" spans="1:26" ht="13.9" hidden="1" customHeight="1" x14ac:dyDescent="0.25">
      <c r="E416" s="56"/>
      <c r="F416" s="57" t="s">
        <v>240</v>
      </c>
      <c r="G416" s="58"/>
      <c r="H416" s="58">
        <v>1300.2</v>
      </c>
      <c r="I416" s="58">
        <v>0</v>
      </c>
      <c r="J416" s="58">
        <v>0</v>
      </c>
      <c r="K416" s="58">
        <v>0</v>
      </c>
      <c r="L416" s="58"/>
      <c r="M416" s="58"/>
      <c r="N416" s="58"/>
      <c r="O416" s="58"/>
      <c r="P416" s="58">
        <f>K416+SUM(L416:O416)</f>
        <v>0</v>
      </c>
      <c r="Q416" s="58">
        <v>0</v>
      </c>
      <c r="R416" s="15" t="e">
        <f>Q416/$P416</f>
        <v>#DIV/0!</v>
      </c>
      <c r="S416" s="58">
        <v>0</v>
      </c>
      <c r="T416" s="15" t="e">
        <f>S416/$P416</f>
        <v>#DIV/0!</v>
      </c>
      <c r="U416" s="58"/>
      <c r="V416" s="15" t="e">
        <f>U416/$P416</f>
        <v>#DIV/0!</v>
      </c>
      <c r="W416" s="58"/>
      <c r="X416" s="59" t="e">
        <f>W416/$P416</f>
        <v>#DIV/0!</v>
      </c>
      <c r="Y416" s="58">
        <f>K416</f>
        <v>0</v>
      </c>
      <c r="Z416" s="60">
        <f>Y416</f>
        <v>0</v>
      </c>
    </row>
    <row r="417" spans="1:26" ht="13.9" hidden="1" customHeight="1" x14ac:dyDescent="0.25">
      <c r="E417" s="56"/>
      <c r="F417" s="57" t="s">
        <v>241</v>
      </c>
      <c r="G417" s="58"/>
      <c r="H417" s="58">
        <v>2160</v>
      </c>
      <c r="I417" s="58">
        <v>0</v>
      </c>
      <c r="J417" s="58">
        <v>0</v>
      </c>
      <c r="K417" s="58">
        <v>0</v>
      </c>
      <c r="L417" s="58"/>
      <c r="M417" s="58"/>
      <c r="N417" s="58"/>
      <c r="O417" s="58"/>
      <c r="P417" s="58">
        <f>K417+SUM(L417:O417)</f>
        <v>0</v>
      </c>
      <c r="Q417" s="58">
        <v>0</v>
      </c>
      <c r="R417" s="15" t="e">
        <f>Q417/$P417</f>
        <v>#DIV/0!</v>
      </c>
      <c r="S417" s="58">
        <v>0</v>
      </c>
      <c r="T417" s="15" t="e">
        <f>S417/$P417</f>
        <v>#DIV/0!</v>
      </c>
      <c r="U417" s="58"/>
      <c r="V417" s="15" t="e">
        <f>U417/$P417</f>
        <v>#DIV/0!</v>
      </c>
      <c r="W417" s="58"/>
      <c r="X417" s="59" t="e">
        <f>W417/$P417</f>
        <v>#DIV/0!</v>
      </c>
      <c r="Y417" s="58">
        <f>K417</f>
        <v>0</v>
      </c>
      <c r="Z417" s="60">
        <f>Y417</f>
        <v>0</v>
      </c>
    </row>
    <row r="418" spans="1:26" ht="13.9" hidden="1" customHeight="1" x14ac:dyDescent="0.25">
      <c r="E418" s="64"/>
      <c r="F418" s="95" t="s">
        <v>242</v>
      </c>
      <c r="G418" s="66">
        <v>1850.52</v>
      </c>
      <c r="H418" s="66">
        <v>278.63</v>
      </c>
      <c r="I418" s="66">
        <v>0</v>
      </c>
      <c r="J418" s="66">
        <v>0</v>
      </c>
      <c r="K418" s="66">
        <v>0</v>
      </c>
      <c r="L418" s="66"/>
      <c r="M418" s="66"/>
      <c r="N418" s="66"/>
      <c r="O418" s="66"/>
      <c r="P418" s="66">
        <f>K418+SUM(L418:O418)</f>
        <v>0</v>
      </c>
      <c r="Q418" s="66">
        <v>0</v>
      </c>
      <c r="R418" s="67" t="e">
        <f>Q418/$P418</f>
        <v>#DIV/0!</v>
      </c>
      <c r="S418" s="66">
        <v>0</v>
      </c>
      <c r="T418" s="67" t="e">
        <f>S418/$P418</f>
        <v>#DIV/0!</v>
      </c>
      <c r="U418" s="66"/>
      <c r="V418" s="67" t="e">
        <f>U418/$P418</f>
        <v>#DIV/0!</v>
      </c>
      <c r="W418" s="66"/>
      <c r="X418" s="68" t="e">
        <f>W418/$P418</f>
        <v>#DIV/0!</v>
      </c>
      <c r="Y418" s="66">
        <f>K418</f>
        <v>0</v>
      </c>
      <c r="Z418" s="69">
        <f>Y418</f>
        <v>0</v>
      </c>
    </row>
    <row r="420" spans="1:26" ht="13.9" customHeight="1" x14ac:dyDescent="0.25">
      <c r="D420" s="72" t="s">
        <v>243</v>
      </c>
      <c r="E420" s="72"/>
      <c r="F420" s="72"/>
      <c r="G420" s="72"/>
      <c r="H420" s="72"/>
      <c r="I420" s="72"/>
      <c r="J420" s="72"/>
      <c r="K420" s="72"/>
      <c r="L420" s="72"/>
      <c r="M420" s="72"/>
      <c r="N420" s="72"/>
      <c r="O420" s="72"/>
      <c r="P420" s="72"/>
      <c r="Q420" s="72"/>
      <c r="R420" s="73"/>
      <c r="S420" s="72"/>
      <c r="T420" s="73"/>
      <c r="U420" s="72"/>
      <c r="V420" s="73"/>
      <c r="W420" s="72"/>
      <c r="X420" s="73"/>
      <c r="Y420" s="72"/>
      <c r="Z420" s="72"/>
    </row>
    <row r="421" spans="1:26" ht="13.9" customHeight="1" x14ac:dyDescent="0.25">
      <c r="D421" s="20" t="s">
        <v>33</v>
      </c>
      <c r="E421" s="20" t="s">
        <v>34</v>
      </c>
      <c r="F421" s="20" t="s">
        <v>35</v>
      </c>
      <c r="G421" s="20" t="s">
        <v>1</v>
      </c>
      <c r="H421" s="20" t="s">
        <v>2</v>
      </c>
      <c r="I421" s="20" t="s">
        <v>3</v>
      </c>
      <c r="J421" s="20" t="s">
        <v>4</v>
      </c>
      <c r="K421" s="20" t="s">
        <v>5</v>
      </c>
      <c r="L421" s="20" t="s">
        <v>6</v>
      </c>
      <c r="M421" s="20" t="s">
        <v>7</v>
      </c>
      <c r="N421" s="20" t="s">
        <v>8</v>
      </c>
      <c r="O421" s="20" t="s">
        <v>9</v>
      </c>
      <c r="P421" s="20" t="s">
        <v>10</v>
      </c>
      <c r="Q421" s="20" t="s">
        <v>11</v>
      </c>
      <c r="R421" s="21" t="s">
        <v>12</v>
      </c>
      <c r="S421" s="20" t="s">
        <v>13</v>
      </c>
      <c r="T421" s="21" t="s">
        <v>14</v>
      </c>
      <c r="U421" s="20" t="s">
        <v>15</v>
      </c>
      <c r="V421" s="21" t="s">
        <v>16</v>
      </c>
      <c r="W421" s="20" t="s">
        <v>17</v>
      </c>
      <c r="X421" s="21" t="s">
        <v>18</v>
      </c>
      <c r="Y421" s="20" t="s">
        <v>19</v>
      </c>
      <c r="Z421" s="20" t="s">
        <v>20</v>
      </c>
    </row>
    <row r="422" spans="1:26" ht="13.9" hidden="1" customHeight="1" x14ac:dyDescent="0.25">
      <c r="A422" s="14">
        <v>6</v>
      </c>
      <c r="B422" s="14">
        <v>2</v>
      </c>
      <c r="C422" s="14">
        <v>2</v>
      </c>
      <c r="D422" s="83" t="s">
        <v>239</v>
      </c>
      <c r="E422" s="22">
        <v>620</v>
      </c>
      <c r="F422" s="22" t="s">
        <v>130</v>
      </c>
      <c r="G422" s="23">
        <v>113.17</v>
      </c>
      <c r="H422" s="23">
        <v>122.1</v>
      </c>
      <c r="I422" s="23">
        <v>125</v>
      </c>
      <c r="J422" s="23">
        <v>11.15</v>
      </c>
      <c r="K422" s="23">
        <v>0</v>
      </c>
      <c r="L422" s="23"/>
      <c r="M422" s="23"/>
      <c r="N422" s="23"/>
      <c r="O422" s="23"/>
      <c r="P422" s="23">
        <f>K422+SUM(L422:O422)</f>
        <v>0</v>
      </c>
      <c r="Q422" s="23">
        <v>0</v>
      </c>
      <c r="R422" s="24" t="e">
        <f>Q422/$P422</f>
        <v>#DIV/0!</v>
      </c>
      <c r="S422" s="23">
        <v>0</v>
      </c>
      <c r="T422" s="24" t="e">
        <f>S422/$P422</f>
        <v>#DIV/0!</v>
      </c>
      <c r="U422" s="23"/>
      <c r="V422" s="24" t="e">
        <f>U422/$P422</f>
        <v>#DIV/0!</v>
      </c>
      <c r="W422" s="23"/>
      <c r="X422" s="24" t="e">
        <f>W422/$P422</f>
        <v>#DIV/0!</v>
      </c>
      <c r="Y422" s="23">
        <f>K422</f>
        <v>0</v>
      </c>
      <c r="Z422" s="23">
        <f>Y422</f>
        <v>0</v>
      </c>
    </row>
    <row r="423" spans="1:26" ht="13.9" customHeight="1" x14ac:dyDescent="0.25">
      <c r="A423" s="14">
        <v>6</v>
      </c>
      <c r="B423" s="14">
        <v>2</v>
      </c>
      <c r="C423" s="14">
        <v>2</v>
      </c>
      <c r="D423" s="4" t="s">
        <v>239</v>
      </c>
      <c r="E423" s="22">
        <v>630</v>
      </c>
      <c r="F423" s="22" t="s">
        <v>131</v>
      </c>
      <c r="G423" s="23">
        <v>7878.75</v>
      </c>
      <c r="H423" s="23">
        <v>9036</v>
      </c>
      <c r="I423" s="23">
        <v>9695</v>
      </c>
      <c r="J423" s="23">
        <v>1852.86</v>
      </c>
      <c r="K423" s="23">
        <v>4924</v>
      </c>
      <c r="L423" s="23"/>
      <c r="M423" s="23"/>
      <c r="N423" s="23"/>
      <c r="O423" s="23">
        <v>1396</v>
      </c>
      <c r="P423" s="23">
        <f>K423+SUM(L423:O423)</f>
        <v>6320</v>
      </c>
      <c r="Q423" s="23">
        <v>0</v>
      </c>
      <c r="R423" s="24">
        <f>Q423/$P423</f>
        <v>0</v>
      </c>
      <c r="S423" s="23">
        <v>43.1</v>
      </c>
      <c r="T423" s="24">
        <f>S423/$P423</f>
        <v>6.8196202531645572E-3</v>
      </c>
      <c r="U423" s="23">
        <v>3043.1</v>
      </c>
      <c r="V423" s="24">
        <f>U423/$P423</f>
        <v>0.48150316455696202</v>
      </c>
      <c r="W423" s="23">
        <v>6320.3</v>
      </c>
      <c r="X423" s="24">
        <f>W423/$P423</f>
        <v>1.0000474683544305</v>
      </c>
      <c r="Y423" s="23">
        <f>K423</f>
        <v>4924</v>
      </c>
      <c r="Z423" s="23">
        <f>Y423</f>
        <v>4924</v>
      </c>
    </row>
    <row r="424" spans="1:26" ht="13.9" customHeight="1" x14ac:dyDescent="0.25">
      <c r="A424" s="14">
        <v>6</v>
      </c>
      <c r="B424" s="14">
        <v>2</v>
      </c>
      <c r="C424" s="14">
        <v>2</v>
      </c>
      <c r="D424" s="4" t="s">
        <v>239</v>
      </c>
      <c r="E424" s="22">
        <v>640</v>
      </c>
      <c r="F424" s="22" t="s">
        <v>132</v>
      </c>
      <c r="G424" s="23">
        <v>4850</v>
      </c>
      <c r="H424" s="23">
        <v>4350</v>
      </c>
      <c r="I424" s="23">
        <v>2650</v>
      </c>
      <c r="J424" s="23">
        <v>0</v>
      </c>
      <c r="K424" s="23">
        <v>2650</v>
      </c>
      <c r="L424" s="23"/>
      <c r="M424" s="23"/>
      <c r="N424" s="23">
        <v>-2000</v>
      </c>
      <c r="O424" s="23"/>
      <c r="P424" s="23">
        <f>K424+SUM(L424:O424)</f>
        <v>650</v>
      </c>
      <c r="Q424" s="23">
        <v>0</v>
      </c>
      <c r="R424" s="24">
        <f>Q424/$P424</f>
        <v>0</v>
      </c>
      <c r="S424" s="23">
        <v>0</v>
      </c>
      <c r="T424" s="24">
        <f>S424/$P424</f>
        <v>0</v>
      </c>
      <c r="U424" s="23">
        <v>150</v>
      </c>
      <c r="V424" s="24">
        <f>U424/$P424</f>
        <v>0.23076923076923078</v>
      </c>
      <c r="W424" s="23">
        <v>150</v>
      </c>
      <c r="X424" s="24">
        <f>W424/$P424</f>
        <v>0.23076923076923078</v>
      </c>
      <c r="Y424" s="23">
        <f>K424</f>
        <v>2650</v>
      </c>
      <c r="Z424" s="23">
        <f>Y424</f>
        <v>2650</v>
      </c>
    </row>
    <row r="425" spans="1:26" ht="13.9" customHeight="1" x14ac:dyDescent="0.25">
      <c r="A425" s="14">
        <v>6</v>
      </c>
      <c r="B425" s="14">
        <v>2</v>
      </c>
      <c r="C425" s="14">
        <v>2</v>
      </c>
      <c r="D425" s="78" t="s">
        <v>21</v>
      </c>
      <c r="E425" s="25">
        <v>41</v>
      </c>
      <c r="F425" s="25" t="s">
        <v>23</v>
      </c>
      <c r="G425" s="26">
        <f t="shared" ref="G425:Q425" si="200">SUM(G422:G424)</f>
        <v>12841.92</v>
      </c>
      <c r="H425" s="26">
        <f t="shared" si="200"/>
        <v>13508.1</v>
      </c>
      <c r="I425" s="26">
        <f t="shared" si="200"/>
        <v>12470</v>
      </c>
      <c r="J425" s="26">
        <f t="shared" si="200"/>
        <v>1864.01</v>
      </c>
      <c r="K425" s="26">
        <f t="shared" si="200"/>
        <v>7574</v>
      </c>
      <c r="L425" s="26">
        <f t="shared" si="200"/>
        <v>0</v>
      </c>
      <c r="M425" s="26">
        <f t="shared" si="200"/>
        <v>0</v>
      </c>
      <c r="N425" s="26">
        <f t="shared" si="200"/>
        <v>-2000</v>
      </c>
      <c r="O425" s="26">
        <f t="shared" si="200"/>
        <v>1396</v>
      </c>
      <c r="P425" s="26">
        <f t="shared" si="200"/>
        <v>6970</v>
      </c>
      <c r="Q425" s="26">
        <f t="shared" si="200"/>
        <v>0</v>
      </c>
      <c r="R425" s="27">
        <f>Q425/$P425</f>
        <v>0</v>
      </c>
      <c r="S425" s="26">
        <f>SUM(S422:S424)</f>
        <v>43.1</v>
      </c>
      <c r="T425" s="27">
        <f>S425/$P425</f>
        <v>6.1836441893830703E-3</v>
      </c>
      <c r="U425" s="26">
        <f>SUM(U422:U424)</f>
        <v>3193.1</v>
      </c>
      <c r="V425" s="27">
        <f>U425/$P425</f>
        <v>0.45812051649928265</v>
      </c>
      <c r="W425" s="26">
        <f>SUM(W422:W424)</f>
        <v>6470.3</v>
      </c>
      <c r="X425" s="27">
        <f>W425/$P425</f>
        <v>0.92830703012912485</v>
      </c>
      <c r="Y425" s="26">
        <f>SUM(Y422:Y424)</f>
        <v>7574</v>
      </c>
      <c r="Z425" s="26">
        <f>SUM(Z422:Z424)</f>
        <v>7574</v>
      </c>
    </row>
    <row r="427" spans="1:26" ht="13.9" customHeight="1" x14ac:dyDescent="0.25">
      <c r="E427" s="51" t="s">
        <v>57</v>
      </c>
      <c r="F427" s="29" t="s">
        <v>244</v>
      </c>
      <c r="G427" s="52">
        <v>4000</v>
      </c>
      <c r="H427" s="52">
        <v>4000</v>
      </c>
      <c r="I427" s="52">
        <v>2500</v>
      </c>
      <c r="J427" s="52">
        <v>0</v>
      </c>
      <c r="K427" s="52">
        <v>2500</v>
      </c>
      <c r="L427" s="52"/>
      <c r="M427" s="52"/>
      <c r="N427" s="52">
        <v>-2000</v>
      </c>
      <c r="O427" s="52"/>
      <c r="P427" s="52">
        <f>K427+SUM(L427:O427)</f>
        <v>500</v>
      </c>
      <c r="Q427" s="52">
        <v>0</v>
      </c>
      <c r="R427" s="53">
        <f>Q427/$P427</f>
        <v>0</v>
      </c>
      <c r="S427" s="52">
        <v>0</v>
      </c>
      <c r="T427" s="53">
        <f>S427/$P427</f>
        <v>0</v>
      </c>
      <c r="U427" s="52">
        <v>0</v>
      </c>
      <c r="V427" s="53">
        <f>U427/$P427</f>
        <v>0</v>
      </c>
      <c r="W427" s="52">
        <v>0</v>
      </c>
      <c r="X427" s="54">
        <f>W427/$P427</f>
        <v>0</v>
      </c>
      <c r="Y427" s="52">
        <f>K427</f>
        <v>2500</v>
      </c>
      <c r="Z427" s="55">
        <f>Y427</f>
        <v>2500</v>
      </c>
    </row>
    <row r="428" spans="1:26" ht="13.9" customHeight="1" x14ac:dyDescent="0.25">
      <c r="E428" s="56"/>
      <c r="F428" s="14" t="s">
        <v>245</v>
      </c>
      <c r="G428" s="58">
        <v>850</v>
      </c>
      <c r="H428" s="58">
        <v>350</v>
      </c>
      <c r="I428" s="58">
        <v>150</v>
      </c>
      <c r="J428" s="58">
        <v>0</v>
      </c>
      <c r="K428" s="58">
        <v>150</v>
      </c>
      <c r="L428" s="58"/>
      <c r="M428" s="58"/>
      <c r="N428" s="58"/>
      <c r="O428" s="58"/>
      <c r="P428" s="58">
        <f>K428+SUM(L428:O428)</f>
        <v>150</v>
      </c>
      <c r="Q428" s="58">
        <v>0</v>
      </c>
      <c r="R428" s="15">
        <f>Q428/$P428</f>
        <v>0</v>
      </c>
      <c r="S428" s="58">
        <v>0</v>
      </c>
      <c r="T428" s="15">
        <f>S428/$P428</f>
        <v>0</v>
      </c>
      <c r="U428" s="58">
        <v>150</v>
      </c>
      <c r="V428" s="15">
        <f>U428/$P428</f>
        <v>1</v>
      </c>
      <c r="W428" s="58">
        <v>150</v>
      </c>
      <c r="X428" s="59">
        <f>W428/$P428</f>
        <v>1</v>
      </c>
      <c r="Y428" s="58">
        <f>K428</f>
        <v>150</v>
      </c>
      <c r="Z428" s="60">
        <f>Y428</f>
        <v>150</v>
      </c>
    </row>
    <row r="429" spans="1:26" ht="13.9" customHeight="1" x14ac:dyDescent="0.25">
      <c r="E429" s="56"/>
      <c r="F429" s="14" t="s">
        <v>246</v>
      </c>
      <c r="G429" s="58">
        <v>4104.3999999999996</v>
      </c>
      <c r="H429" s="58">
        <v>4510.2299999999996</v>
      </c>
      <c r="I429" s="61">
        <v>5000</v>
      </c>
      <c r="J429" s="61">
        <v>0</v>
      </c>
      <c r="K429" s="61">
        <v>3000</v>
      </c>
      <c r="L429" s="61"/>
      <c r="M429" s="61"/>
      <c r="N429" s="61">
        <v>163</v>
      </c>
      <c r="O429" s="61"/>
      <c r="P429" s="61">
        <f>K429+SUM(L429:O429)</f>
        <v>3163</v>
      </c>
      <c r="Q429" s="61">
        <v>0</v>
      </c>
      <c r="R429" s="62">
        <f>Q429/$P429</f>
        <v>0</v>
      </c>
      <c r="S429" s="61">
        <v>0</v>
      </c>
      <c r="T429" s="62">
        <f>S429/$P429</f>
        <v>0</v>
      </c>
      <c r="U429" s="61">
        <v>3000</v>
      </c>
      <c r="V429" s="62">
        <f>U429/$P429</f>
        <v>0.94846664558963012</v>
      </c>
      <c r="W429" s="61">
        <v>3163.2</v>
      </c>
      <c r="X429" s="63">
        <f>W429/$P429</f>
        <v>1.000063231109706</v>
      </c>
      <c r="Y429" s="58">
        <f>K429</f>
        <v>3000</v>
      </c>
      <c r="Z429" s="60">
        <f>Y429</f>
        <v>3000</v>
      </c>
    </row>
    <row r="430" spans="1:26" ht="13.9" customHeight="1" x14ac:dyDescent="0.25">
      <c r="E430" s="64"/>
      <c r="F430" s="95" t="s">
        <v>247</v>
      </c>
      <c r="G430" s="96">
        <v>3887.52</v>
      </c>
      <c r="H430" s="96">
        <v>3027.59</v>
      </c>
      <c r="I430" s="96">
        <v>4200</v>
      </c>
      <c r="J430" s="96">
        <v>0</v>
      </c>
      <c r="K430" s="96">
        <v>1000</v>
      </c>
      <c r="L430" s="96"/>
      <c r="M430" s="96"/>
      <c r="N430" s="96">
        <v>177</v>
      </c>
      <c r="O430" s="96"/>
      <c r="P430" s="96">
        <f>K430+SUM(L430:O430)</f>
        <v>1177</v>
      </c>
      <c r="Q430" s="96">
        <v>0</v>
      </c>
      <c r="R430" s="97">
        <f>Q430/$P430</f>
        <v>0</v>
      </c>
      <c r="S430" s="96">
        <v>43.1</v>
      </c>
      <c r="T430" s="97">
        <f>S430/$P430</f>
        <v>3.661852166525064E-2</v>
      </c>
      <c r="U430" s="96">
        <v>43.1</v>
      </c>
      <c r="V430" s="97">
        <f>U430/$P430</f>
        <v>3.661852166525064E-2</v>
      </c>
      <c r="W430" s="96">
        <v>1177.0999999999999</v>
      </c>
      <c r="X430" s="98">
        <f>W430/$P430</f>
        <v>1.0000849617672047</v>
      </c>
      <c r="Y430" s="96">
        <f>K430</f>
        <v>1000</v>
      </c>
      <c r="Z430" s="69">
        <f>Y430</f>
        <v>1000</v>
      </c>
    </row>
    <row r="432" spans="1:26" ht="13.9" customHeight="1" x14ac:dyDescent="0.25">
      <c r="D432" s="72" t="s">
        <v>248</v>
      </c>
      <c r="E432" s="72"/>
      <c r="F432" s="72"/>
      <c r="G432" s="72"/>
      <c r="H432" s="72"/>
      <c r="I432" s="72"/>
      <c r="J432" s="72"/>
      <c r="K432" s="72"/>
      <c r="L432" s="72"/>
      <c r="M432" s="72"/>
      <c r="N432" s="72"/>
      <c r="O432" s="72"/>
      <c r="P432" s="72"/>
      <c r="Q432" s="72"/>
      <c r="R432" s="73"/>
      <c r="S432" s="72"/>
      <c r="T432" s="73"/>
      <c r="U432" s="72"/>
      <c r="V432" s="73"/>
      <c r="W432" s="72"/>
      <c r="X432" s="73"/>
      <c r="Y432" s="72"/>
      <c r="Z432" s="72"/>
    </row>
    <row r="433" spans="1:26" ht="13.9" customHeight="1" x14ac:dyDescent="0.25">
      <c r="D433" s="20" t="s">
        <v>33</v>
      </c>
      <c r="E433" s="20" t="s">
        <v>34</v>
      </c>
      <c r="F433" s="20" t="s">
        <v>35</v>
      </c>
      <c r="G433" s="20" t="s">
        <v>1</v>
      </c>
      <c r="H433" s="20" t="s">
        <v>2</v>
      </c>
      <c r="I433" s="20" t="s">
        <v>3</v>
      </c>
      <c r="J433" s="20" t="s">
        <v>4</v>
      </c>
      <c r="K433" s="20" t="s">
        <v>5</v>
      </c>
      <c r="L433" s="20" t="s">
        <v>6</v>
      </c>
      <c r="M433" s="20" t="s">
        <v>7</v>
      </c>
      <c r="N433" s="20" t="s">
        <v>8</v>
      </c>
      <c r="O433" s="20" t="s">
        <v>9</v>
      </c>
      <c r="P433" s="20" t="s">
        <v>10</v>
      </c>
      <c r="Q433" s="20" t="s">
        <v>11</v>
      </c>
      <c r="R433" s="21" t="s">
        <v>12</v>
      </c>
      <c r="S433" s="20" t="s">
        <v>13</v>
      </c>
      <c r="T433" s="21" t="s">
        <v>14</v>
      </c>
      <c r="U433" s="20" t="s">
        <v>15</v>
      </c>
      <c r="V433" s="21" t="s">
        <v>16</v>
      </c>
      <c r="W433" s="20" t="s">
        <v>17</v>
      </c>
      <c r="X433" s="21" t="s">
        <v>18</v>
      </c>
      <c r="Y433" s="20" t="s">
        <v>19</v>
      </c>
      <c r="Z433" s="20" t="s">
        <v>20</v>
      </c>
    </row>
    <row r="434" spans="1:26" ht="13.9" customHeight="1" x14ac:dyDescent="0.25">
      <c r="A434" s="14">
        <v>6</v>
      </c>
      <c r="B434" s="14">
        <v>2</v>
      </c>
      <c r="C434" s="14">
        <v>3</v>
      </c>
      <c r="D434" s="10" t="s">
        <v>239</v>
      </c>
      <c r="E434" s="22">
        <v>620</v>
      </c>
      <c r="F434" s="22" t="s">
        <v>130</v>
      </c>
      <c r="G434" s="23">
        <v>566.70000000000005</v>
      </c>
      <c r="H434" s="23">
        <v>188.24</v>
      </c>
      <c r="I434" s="23">
        <v>138</v>
      </c>
      <c r="J434" s="23">
        <v>21.27</v>
      </c>
      <c r="K434" s="23">
        <v>17</v>
      </c>
      <c r="L434" s="23"/>
      <c r="M434" s="23"/>
      <c r="N434" s="23"/>
      <c r="O434" s="23"/>
      <c r="P434" s="23">
        <f>K434+SUM(L434:O434)</f>
        <v>17</v>
      </c>
      <c r="Q434" s="23">
        <v>3.94</v>
      </c>
      <c r="R434" s="24">
        <f>Q434/$P434</f>
        <v>0.23176470588235293</v>
      </c>
      <c r="S434" s="23">
        <v>8.3800000000000008</v>
      </c>
      <c r="T434" s="24">
        <f>S434/$P434</f>
        <v>0.49294117647058827</v>
      </c>
      <c r="U434" s="23">
        <v>12.82</v>
      </c>
      <c r="V434" s="24">
        <f>U434/$P434</f>
        <v>0.75411764705882356</v>
      </c>
      <c r="W434" s="23">
        <v>17.260000000000002</v>
      </c>
      <c r="X434" s="24">
        <f>W434/$P434</f>
        <v>1.0152941176470589</v>
      </c>
      <c r="Y434" s="23">
        <f>K434</f>
        <v>17</v>
      </c>
      <c r="Z434" s="23">
        <f>Y434</f>
        <v>17</v>
      </c>
    </row>
    <row r="435" spans="1:26" ht="13.9" customHeight="1" x14ac:dyDescent="0.25">
      <c r="A435" s="14">
        <v>6</v>
      </c>
      <c r="B435" s="14">
        <v>2</v>
      </c>
      <c r="C435" s="14">
        <v>3</v>
      </c>
      <c r="D435" s="10" t="s">
        <v>239</v>
      </c>
      <c r="E435" s="22">
        <v>630</v>
      </c>
      <c r="F435" s="22" t="s">
        <v>131</v>
      </c>
      <c r="G435" s="23">
        <v>4495.34</v>
      </c>
      <c r="H435" s="23">
        <v>3944.93</v>
      </c>
      <c r="I435" s="23">
        <v>3700</v>
      </c>
      <c r="J435" s="23">
        <v>2249.59</v>
      </c>
      <c r="K435" s="23">
        <v>2826</v>
      </c>
      <c r="L435" s="23"/>
      <c r="M435" s="23"/>
      <c r="N435" s="23"/>
      <c r="O435" s="23"/>
      <c r="P435" s="23">
        <f>K435+SUM(L435:O435)</f>
        <v>2826</v>
      </c>
      <c r="Q435" s="23">
        <v>699.2</v>
      </c>
      <c r="R435" s="24">
        <f>Q435/$P435</f>
        <v>0.24741684359518756</v>
      </c>
      <c r="S435" s="23">
        <v>1254.74</v>
      </c>
      <c r="T435" s="24">
        <f>S435/$P435</f>
        <v>0.443998584571833</v>
      </c>
      <c r="U435" s="23">
        <v>1949.94</v>
      </c>
      <c r="V435" s="24">
        <f>U435/$P435</f>
        <v>0.69000000000000006</v>
      </c>
      <c r="W435" s="23">
        <v>2695.54</v>
      </c>
      <c r="X435" s="24">
        <f>W435/$P435</f>
        <v>0.95383581033262566</v>
      </c>
      <c r="Y435" s="23">
        <f>K435</f>
        <v>2826</v>
      </c>
      <c r="Z435" s="23">
        <f>Y435</f>
        <v>2826</v>
      </c>
    </row>
    <row r="436" spans="1:26" ht="13.9" customHeight="1" x14ac:dyDescent="0.25">
      <c r="A436" s="14">
        <v>6</v>
      </c>
      <c r="B436" s="14">
        <v>2</v>
      </c>
      <c r="C436" s="14">
        <v>3</v>
      </c>
      <c r="D436" s="78" t="s">
        <v>21</v>
      </c>
      <c r="E436" s="25">
        <v>41</v>
      </c>
      <c r="F436" s="25" t="s">
        <v>23</v>
      </c>
      <c r="G436" s="26">
        <f t="shared" ref="G436:Q436" si="201">SUM(G434:G435)</f>
        <v>5062.04</v>
      </c>
      <c r="H436" s="26">
        <f t="shared" si="201"/>
        <v>4133.17</v>
      </c>
      <c r="I436" s="26">
        <f t="shared" si="201"/>
        <v>3838</v>
      </c>
      <c r="J436" s="26">
        <f t="shared" si="201"/>
        <v>2270.86</v>
      </c>
      <c r="K436" s="26">
        <f t="shared" si="201"/>
        <v>2843</v>
      </c>
      <c r="L436" s="26">
        <f t="shared" si="201"/>
        <v>0</v>
      </c>
      <c r="M436" s="26">
        <f t="shared" si="201"/>
        <v>0</v>
      </c>
      <c r="N436" s="26">
        <f t="shared" si="201"/>
        <v>0</v>
      </c>
      <c r="O436" s="26">
        <f t="shared" si="201"/>
        <v>0</v>
      </c>
      <c r="P436" s="26">
        <f t="shared" si="201"/>
        <v>2843</v>
      </c>
      <c r="Q436" s="26">
        <f t="shared" si="201"/>
        <v>703.1400000000001</v>
      </c>
      <c r="R436" s="27">
        <f>Q436/$P436</f>
        <v>0.24732325008793532</v>
      </c>
      <c r="S436" s="26">
        <f>SUM(S434:S435)</f>
        <v>1263.1200000000001</v>
      </c>
      <c r="T436" s="27">
        <f>S436/$P436</f>
        <v>0.44429124164614847</v>
      </c>
      <c r="U436" s="26">
        <f>SUM(U434:U435)</f>
        <v>1962.76</v>
      </c>
      <c r="V436" s="27">
        <f>U436/$P436</f>
        <v>0.6903833978192051</v>
      </c>
      <c r="W436" s="26">
        <f>SUM(W434:W435)</f>
        <v>2712.8</v>
      </c>
      <c r="X436" s="27">
        <f>W436/$P436</f>
        <v>0.95420330636651429</v>
      </c>
      <c r="Y436" s="26">
        <f>SUM(Y434:Y435)</f>
        <v>2843</v>
      </c>
      <c r="Z436" s="26">
        <f>SUM(Z434:Z435)</f>
        <v>2843</v>
      </c>
    </row>
    <row r="438" spans="1:26" ht="13.9" customHeight="1" x14ac:dyDescent="0.25">
      <c r="D438" s="40" t="s">
        <v>249</v>
      </c>
      <c r="E438" s="40"/>
      <c r="F438" s="40"/>
      <c r="G438" s="40"/>
      <c r="H438" s="40"/>
      <c r="I438" s="40"/>
      <c r="J438" s="40"/>
      <c r="K438" s="40"/>
      <c r="L438" s="40"/>
      <c r="M438" s="40"/>
      <c r="N438" s="40"/>
      <c r="O438" s="40"/>
      <c r="P438" s="40"/>
      <c r="Q438" s="40"/>
      <c r="R438" s="41"/>
      <c r="S438" s="40"/>
      <c r="T438" s="41"/>
      <c r="U438" s="40"/>
      <c r="V438" s="41"/>
      <c r="W438" s="40"/>
      <c r="X438" s="41"/>
      <c r="Y438" s="40"/>
      <c r="Z438" s="40"/>
    </row>
    <row r="439" spans="1:26" ht="13.9" customHeight="1" x14ac:dyDescent="0.25">
      <c r="D439" s="20"/>
      <c r="E439" s="20"/>
      <c r="F439" s="20"/>
      <c r="G439" s="20" t="s">
        <v>1</v>
      </c>
      <c r="H439" s="20" t="s">
        <v>2</v>
      </c>
      <c r="I439" s="20" t="s">
        <v>3</v>
      </c>
      <c r="J439" s="20" t="s">
        <v>4</v>
      </c>
      <c r="K439" s="20" t="s">
        <v>5</v>
      </c>
      <c r="L439" s="20" t="s">
        <v>6</v>
      </c>
      <c r="M439" s="20" t="s">
        <v>7</v>
      </c>
      <c r="N439" s="20" t="s">
        <v>8</v>
      </c>
      <c r="O439" s="20" t="s">
        <v>9</v>
      </c>
      <c r="P439" s="20" t="s">
        <v>10</v>
      </c>
      <c r="Q439" s="20" t="s">
        <v>11</v>
      </c>
      <c r="R439" s="21" t="s">
        <v>12</v>
      </c>
      <c r="S439" s="20" t="s">
        <v>13</v>
      </c>
      <c r="T439" s="21" t="s">
        <v>14</v>
      </c>
      <c r="U439" s="20" t="s">
        <v>15</v>
      </c>
      <c r="V439" s="21" t="s">
        <v>16</v>
      </c>
      <c r="W439" s="20" t="s">
        <v>17</v>
      </c>
      <c r="X439" s="21" t="s">
        <v>18</v>
      </c>
      <c r="Y439" s="20" t="s">
        <v>19</v>
      </c>
      <c r="Z439" s="20" t="s">
        <v>20</v>
      </c>
    </row>
    <row r="440" spans="1:26" ht="13.9" customHeight="1" x14ac:dyDescent="0.25">
      <c r="A440" s="14">
        <v>6</v>
      </c>
      <c r="B440" s="14">
        <v>3</v>
      </c>
      <c r="D440" s="42" t="s">
        <v>21</v>
      </c>
      <c r="E440" s="22">
        <v>41</v>
      </c>
      <c r="F440" s="22" t="s">
        <v>23</v>
      </c>
      <c r="G440" s="23">
        <f t="shared" ref="G440:Q440" si="202">G447+G457</f>
        <v>9964.7200000000012</v>
      </c>
      <c r="H440" s="23">
        <f t="shared" si="202"/>
        <v>11148.439999999999</v>
      </c>
      <c r="I440" s="23">
        <f t="shared" si="202"/>
        <v>11575</v>
      </c>
      <c r="J440" s="23">
        <f t="shared" si="202"/>
        <v>13384.27</v>
      </c>
      <c r="K440" s="23">
        <f t="shared" si="202"/>
        <v>14097</v>
      </c>
      <c r="L440" s="23">
        <f t="shared" si="202"/>
        <v>0</v>
      </c>
      <c r="M440" s="23">
        <f t="shared" si="202"/>
        <v>0</v>
      </c>
      <c r="N440" s="23">
        <f t="shared" si="202"/>
        <v>0</v>
      </c>
      <c r="O440" s="23">
        <f t="shared" si="202"/>
        <v>0</v>
      </c>
      <c r="P440" s="23">
        <f t="shared" si="202"/>
        <v>14097</v>
      </c>
      <c r="Q440" s="23">
        <f t="shared" si="202"/>
        <v>620.63</v>
      </c>
      <c r="R440" s="24">
        <f>Q440/$P440</f>
        <v>4.4025679222529618E-2</v>
      </c>
      <c r="S440" s="23">
        <f>S447+S457</f>
        <v>4635.62</v>
      </c>
      <c r="T440" s="24">
        <f>S440/$P440</f>
        <v>0.32883734127828618</v>
      </c>
      <c r="U440" s="23">
        <f>U447+U457</f>
        <v>9510.98</v>
      </c>
      <c r="V440" s="24">
        <f>U440/$P440</f>
        <v>0.67468113783074413</v>
      </c>
      <c r="W440" s="23">
        <f>W447+W457</f>
        <v>9940.2200000000012</v>
      </c>
      <c r="X440" s="24">
        <f>W440/$P440</f>
        <v>0.70513016953961849</v>
      </c>
      <c r="Y440" s="23">
        <f>Y447+Y457</f>
        <v>10597</v>
      </c>
      <c r="Z440" s="23">
        <f>Z447+Z457</f>
        <v>10597</v>
      </c>
    </row>
    <row r="441" spans="1:26" ht="13.9" customHeight="1" x14ac:dyDescent="0.25">
      <c r="A441" s="14">
        <v>6</v>
      </c>
      <c r="B441" s="14">
        <v>3</v>
      </c>
      <c r="D441" s="29"/>
      <c r="E441" s="30"/>
      <c r="F441" s="25" t="s">
        <v>124</v>
      </c>
      <c r="G441" s="26">
        <f t="shared" ref="G441:Q441" si="203">SUM(G440:G440)</f>
        <v>9964.7200000000012</v>
      </c>
      <c r="H441" s="26">
        <f t="shared" si="203"/>
        <v>11148.439999999999</v>
      </c>
      <c r="I441" s="26">
        <f t="shared" si="203"/>
        <v>11575</v>
      </c>
      <c r="J441" s="26">
        <f t="shared" si="203"/>
        <v>13384.27</v>
      </c>
      <c r="K441" s="26">
        <f t="shared" si="203"/>
        <v>14097</v>
      </c>
      <c r="L441" s="26">
        <f t="shared" si="203"/>
        <v>0</v>
      </c>
      <c r="M441" s="26">
        <f t="shared" si="203"/>
        <v>0</v>
      </c>
      <c r="N441" s="26">
        <f t="shared" si="203"/>
        <v>0</v>
      </c>
      <c r="O441" s="26">
        <f t="shared" si="203"/>
        <v>0</v>
      </c>
      <c r="P441" s="26">
        <f t="shared" si="203"/>
        <v>14097</v>
      </c>
      <c r="Q441" s="26">
        <f t="shared" si="203"/>
        <v>620.63</v>
      </c>
      <c r="R441" s="27">
        <f>Q441/$P441</f>
        <v>4.4025679222529618E-2</v>
      </c>
      <c r="S441" s="26">
        <f>SUM(S440:S440)</f>
        <v>4635.62</v>
      </c>
      <c r="T441" s="27">
        <f>S441/$P441</f>
        <v>0.32883734127828618</v>
      </c>
      <c r="U441" s="26">
        <f>SUM(U440:U440)</f>
        <v>9510.98</v>
      </c>
      <c r="V441" s="27">
        <f>U441/$P441</f>
        <v>0.67468113783074413</v>
      </c>
      <c r="W441" s="26">
        <f>SUM(W440:W440)</f>
        <v>9940.2200000000012</v>
      </c>
      <c r="X441" s="27">
        <f>W441/$P441</f>
        <v>0.70513016953961849</v>
      </c>
      <c r="Y441" s="26">
        <f>SUM(Y440:Y440)</f>
        <v>10597</v>
      </c>
      <c r="Z441" s="26">
        <f>SUM(Z440:Z440)</f>
        <v>10597</v>
      </c>
    </row>
    <row r="443" spans="1:26" ht="13.9" customHeight="1" x14ac:dyDescent="0.25">
      <c r="D443" s="72" t="s">
        <v>250</v>
      </c>
      <c r="E443" s="72"/>
      <c r="F443" s="72"/>
      <c r="G443" s="72"/>
      <c r="H443" s="72"/>
      <c r="I443" s="72"/>
      <c r="J443" s="72"/>
      <c r="K443" s="72"/>
      <c r="L443" s="72"/>
      <c r="M443" s="72"/>
      <c r="N443" s="72"/>
      <c r="O443" s="72"/>
      <c r="P443" s="72"/>
      <c r="Q443" s="72"/>
      <c r="R443" s="73"/>
      <c r="S443" s="72"/>
      <c r="T443" s="73"/>
      <c r="U443" s="72"/>
      <c r="V443" s="73"/>
      <c r="W443" s="72"/>
      <c r="X443" s="73"/>
      <c r="Y443" s="72"/>
      <c r="Z443" s="72"/>
    </row>
    <row r="444" spans="1:26" ht="13.9" customHeight="1" x14ac:dyDescent="0.25">
      <c r="D444" s="20" t="s">
        <v>33</v>
      </c>
      <c r="E444" s="20" t="s">
        <v>34</v>
      </c>
      <c r="F444" s="20" t="s">
        <v>35</v>
      </c>
      <c r="G444" s="20" t="s">
        <v>1</v>
      </c>
      <c r="H444" s="20" t="s">
        <v>2</v>
      </c>
      <c r="I444" s="20" t="s">
        <v>3</v>
      </c>
      <c r="J444" s="20" t="s">
        <v>4</v>
      </c>
      <c r="K444" s="20" t="s">
        <v>5</v>
      </c>
      <c r="L444" s="20" t="s">
        <v>6</v>
      </c>
      <c r="M444" s="20" t="s">
        <v>7</v>
      </c>
      <c r="N444" s="20" t="s">
        <v>8</v>
      </c>
      <c r="O444" s="20" t="s">
        <v>9</v>
      </c>
      <c r="P444" s="20" t="s">
        <v>10</v>
      </c>
      <c r="Q444" s="20" t="s">
        <v>11</v>
      </c>
      <c r="R444" s="21" t="s">
        <v>12</v>
      </c>
      <c r="S444" s="20" t="s">
        <v>13</v>
      </c>
      <c r="T444" s="21" t="s">
        <v>14</v>
      </c>
      <c r="U444" s="20" t="s">
        <v>15</v>
      </c>
      <c r="V444" s="21" t="s">
        <v>16</v>
      </c>
      <c r="W444" s="20" t="s">
        <v>17</v>
      </c>
      <c r="X444" s="21" t="s">
        <v>18</v>
      </c>
      <c r="Y444" s="20" t="s">
        <v>19</v>
      </c>
      <c r="Z444" s="20" t="s">
        <v>20</v>
      </c>
    </row>
    <row r="445" spans="1:26" ht="13.9" hidden="1" customHeight="1" x14ac:dyDescent="0.25">
      <c r="A445" s="14">
        <v>6</v>
      </c>
      <c r="B445" s="14">
        <v>3</v>
      </c>
      <c r="C445" s="14">
        <v>1</v>
      </c>
      <c r="D445" s="83" t="s">
        <v>251</v>
      </c>
      <c r="E445" s="22">
        <v>620</v>
      </c>
      <c r="F445" s="22" t="s">
        <v>130</v>
      </c>
      <c r="G445" s="23">
        <v>0</v>
      </c>
      <c r="H445" s="23">
        <v>565.57000000000005</v>
      </c>
      <c r="I445" s="45">
        <v>0</v>
      </c>
      <c r="J445" s="45">
        <v>0</v>
      </c>
      <c r="K445" s="45">
        <v>0</v>
      </c>
      <c r="L445" s="45"/>
      <c r="M445" s="45"/>
      <c r="N445" s="45"/>
      <c r="O445" s="45"/>
      <c r="P445" s="45">
        <f>K445+SUM(L445:O445)</f>
        <v>0</v>
      </c>
      <c r="Q445" s="45">
        <v>0</v>
      </c>
      <c r="R445" s="46" t="e">
        <f>Q445/$P445</f>
        <v>#DIV/0!</v>
      </c>
      <c r="S445" s="45">
        <v>0</v>
      </c>
      <c r="T445" s="46" t="e">
        <f>S445/$P445</f>
        <v>#DIV/0!</v>
      </c>
      <c r="U445" s="45">
        <v>0</v>
      </c>
      <c r="V445" s="46" t="e">
        <f>U445/$P445</f>
        <v>#DIV/0!</v>
      </c>
      <c r="W445" s="45"/>
      <c r="X445" s="46" t="e">
        <f>W445/$P445</f>
        <v>#DIV/0!</v>
      </c>
      <c r="Y445" s="23">
        <f>K445</f>
        <v>0</v>
      </c>
      <c r="Z445" s="23">
        <f>Y445</f>
        <v>0</v>
      </c>
    </row>
    <row r="446" spans="1:26" ht="13.9" customHeight="1" x14ac:dyDescent="0.25">
      <c r="A446" s="14">
        <v>6</v>
      </c>
      <c r="B446" s="14">
        <v>3</v>
      </c>
      <c r="C446" s="14">
        <v>1</v>
      </c>
      <c r="D446" s="83" t="s">
        <v>251</v>
      </c>
      <c r="E446" s="22">
        <v>630</v>
      </c>
      <c r="F446" s="22" t="s">
        <v>131</v>
      </c>
      <c r="G446" s="23">
        <v>5564.72</v>
      </c>
      <c r="H446" s="23">
        <v>5770.54</v>
      </c>
      <c r="I446" s="23">
        <v>7075</v>
      </c>
      <c r="J446" s="23">
        <v>8984.27</v>
      </c>
      <c r="K446" s="23">
        <v>8597</v>
      </c>
      <c r="L446" s="23"/>
      <c r="M446" s="23"/>
      <c r="N446" s="23"/>
      <c r="O446" s="23"/>
      <c r="P446" s="23">
        <f>K446+SUM(L446:O446)</f>
        <v>8597</v>
      </c>
      <c r="Q446" s="23">
        <v>420.63</v>
      </c>
      <c r="R446" s="24">
        <f>Q446/$P446</f>
        <v>4.8927532860300105E-2</v>
      </c>
      <c r="S446" s="23">
        <v>2435.62</v>
      </c>
      <c r="T446" s="24">
        <f>S446/$P446</f>
        <v>0.28331045713621028</v>
      </c>
      <c r="U446" s="23">
        <v>4510.9799999999996</v>
      </c>
      <c r="V446" s="24">
        <f>U446/$P446</f>
        <v>0.5247155984645806</v>
      </c>
      <c r="W446" s="23">
        <v>4940.22</v>
      </c>
      <c r="X446" s="24">
        <f>W446/$P446</f>
        <v>0.57464464348028388</v>
      </c>
      <c r="Y446" s="23">
        <v>6597</v>
      </c>
      <c r="Z446" s="23">
        <f>Y446</f>
        <v>6597</v>
      </c>
    </row>
    <row r="447" spans="1:26" ht="13.9" customHeight="1" x14ac:dyDescent="0.25">
      <c r="A447" s="14">
        <v>6</v>
      </c>
      <c r="B447" s="14">
        <v>3</v>
      </c>
      <c r="C447" s="14">
        <v>1</v>
      </c>
      <c r="D447" s="78" t="s">
        <v>21</v>
      </c>
      <c r="E447" s="25">
        <v>41</v>
      </c>
      <c r="F447" s="25" t="s">
        <v>23</v>
      </c>
      <c r="G447" s="26">
        <f t="shared" ref="G447:Q447" si="204">SUM(G445:G446)</f>
        <v>5564.72</v>
      </c>
      <c r="H447" s="26">
        <f t="shared" si="204"/>
        <v>6336.11</v>
      </c>
      <c r="I447" s="26">
        <f t="shared" si="204"/>
        <v>7075</v>
      </c>
      <c r="J447" s="26">
        <f t="shared" si="204"/>
        <v>8984.27</v>
      </c>
      <c r="K447" s="26">
        <f t="shared" si="204"/>
        <v>8597</v>
      </c>
      <c r="L447" s="26">
        <f t="shared" si="204"/>
        <v>0</v>
      </c>
      <c r="M447" s="26">
        <f t="shared" si="204"/>
        <v>0</v>
      </c>
      <c r="N447" s="26">
        <f t="shared" si="204"/>
        <v>0</v>
      </c>
      <c r="O447" s="26">
        <f t="shared" si="204"/>
        <v>0</v>
      </c>
      <c r="P447" s="26">
        <f t="shared" si="204"/>
        <v>8597</v>
      </c>
      <c r="Q447" s="26">
        <f t="shared" si="204"/>
        <v>420.63</v>
      </c>
      <c r="R447" s="27">
        <f>Q447/$P447</f>
        <v>4.8927532860300105E-2</v>
      </c>
      <c r="S447" s="26">
        <f>SUM(S445:S446)</f>
        <v>2435.62</v>
      </c>
      <c r="T447" s="27">
        <f>S447/$P447</f>
        <v>0.28331045713621028</v>
      </c>
      <c r="U447" s="26">
        <f>SUM(U445:U446)</f>
        <v>4510.9799999999996</v>
      </c>
      <c r="V447" s="27">
        <f>U447/$P447</f>
        <v>0.5247155984645806</v>
      </c>
      <c r="W447" s="26">
        <f>SUM(W445:W446)</f>
        <v>4940.22</v>
      </c>
      <c r="X447" s="27">
        <f>W447/$P447</f>
        <v>0.57464464348028388</v>
      </c>
      <c r="Y447" s="26">
        <f>SUM(Y445:Y446)</f>
        <v>6597</v>
      </c>
      <c r="Z447" s="26">
        <f>SUM(Z445:Z446)</f>
        <v>6597</v>
      </c>
    </row>
    <row r="449" spans="1:26" ht="13.9" customHeight="1" x14ac:dyDescent="0.25">
      <c r="E449" s="51" t="s">
        <v>57</v>
      </c>
      <c r="F449" s="29" t="s">
        <v>149</v>
      </c>
      <c r="G449" s="52"/>
      <c r="H449" s="52">
        <v>1000</v>
      </c>
      <c r="I449" s="52">
        <v>1000</v>
      </c>
      <c r="J449" s="52">
        <v>1298</v>
      </c>
      <c r="K449" s="52">
        <v>1232</v>
      </c>
      <c r="L449" s="52"/>
      <c r="M449" s="52"/>
      <c r="N449" s="52"/>
      <c r="O449" s="52"/>
      <c r="P449" s="52">
        <f>K449+SUM(L449:O449)</f>
        <v>1232</v>
      </c>
      <c r="Q449" s="52">
        <v>224</v>
      </c>
      <c r="R449" s="53">
        <f>Q449/$P449</f>
        <v>0.18181818181818182</v>
      </c>
      <c r="S449" s="52">
        <v>560</v>
      </c>
      <c r="T449" s="53">
        <f>S449/$P449</f>
        <v>0.45454545454545453</v>
      </c>
      <c r="U449" s="52">
        <v>896</v>
      </c>
      <c r="V449" s="53">
        <f>U449/$P449</f>
        <v>0.72727272727272729</v>
      </c>
      <c r="W449" s="52">
        <v>1232</v>
      </c>
      <c r="X449" s="54">
        <f>W449/$P449</f>
        <v>1</v>
      </c>
      <c r="Y449" s="52">
        <f>K449</f>
        <v>1232</v>
      </c>
      <c r="Z449" s="55">
        <f>Y449</f>
        <v>1232</v>
      </c>
    </row>
    <row r="450" spans="1:26" ht="13.9" customHeight="1" x14ac:dyDescent="0.25">
      <c r="E450" s="56"/>
      <c r="F450" s="92" t="s">
        <v>252</v>
      </c>
      <c r="G450" s="81">
        <v>5400</v>
      </c>
      <c r="H450" s="81">
        <v>750</v>
      </c>
      <c r="I450" s="81">
        <v>3000</v>
      </c>
      <c r="J450" s="81">
        <v>3000</v>
      </c>
      <c r="K450" s="81">
        <v>3000</v>
      </c>
      <c r="L450" s="81"/>
      <c r="M450" s="81"/>
      <c r="N450" s="81"/>
      <c r="O450" s="81"/>
      <c r="P450" s="81">
        <f>K450+SUM(L450:O450)</f>
        <v>3000</v>
      </c>
      <c r="Q450" s="81">
        <v>0</v>
      </c>
      <c r="R450" s="82">
        <f>Q450/$P450</f>
        <v>0</v>
      </c>
      <c r="S450" s="81">
        <v>1500</v>
      </c>
      <c r="T450" s="82">
        <f>S450/$P450</f>
        <v>0.5</v>
      </c>
      <c r="U450" s="81">
        <v>1500</v>
      </c>
      <c r="V450" s="82">
        <f>U450/$P450</f>
        <v>0.5</v>
      </c>
      <c r="W450" s="81">
        <v>1500</v>
      </c>
      <c r="X450" s="59">
        <f>W450/$P450</f>
        <v>0.5</v>
      </c>
      <c r="Y450" s="81">
        <f>K450</f>
        <v>3000</v>
      </c>
      <c r="Z450" s="60">
        <f>Y450</f>
        <v>3000</v>
      </c>
    </row>
    <row r="451" spans="1:26" ht="13.9" customHeight="1" x14ac:dyDescent="0.25">
      <c r="E451" s="64"/>
      <c r="F451" s="95" t="s">
        <v>253</v>
      </c>
      <c r="G451" s="96"/>
      <c r="H451" s="96">
        <v>120.68</v>
      </c>
      <c r="I451" s="66">
        <v>2065</v>
      </c>
      <c r="J451" s="66">
        <v>2949</v>
      </c>
      <c r="K451" s="66">
        <v>3000</v>
      </c>
      <c r="L451" s="66"/>
      <c r="M451" s="66"/>
      <c r="N451" s="66">
        <v>-257</v>
      </c>
      <c r="O451" s="66">
        <v>-78</v>
      </c>
      <c r="P451" s="66">
        <f>K451+SUM(L451:O451)</f>
        <v>2665</v>
      </c>
      <c r="Q451" s="66">
        <v>114.27</v>
      </c>
      <c r="R451" s="67">
        <f>Q451/$P451</f>
        <v>4.2878048780487801E-2</v>
      </c>
      <c r="S451" s="66">
        <v>293.26</v>
      </c>
      <c r="T451" s="67">
        <f>S451/$P451</f>
        <v>0.11004127579737336</v>
      </c>
      <c r="U451" s="66">
        <v>1643.26</v>
      </c>
      <c r="V451" s="67">
        <f>U451/$P451</f>
        <v>0.61660787992495314</v>
      </c>
      <c r="W451" s="66">
        <v>1643.26</v>
      </c>
      <c r="X451" s="68">
        <f>W451/$P451</f>
        <v>0.61660787992495314</v>
      </c>
      <c r="Y451" s="81">
        <v>1000</v>
      </c>
      <c r="Z451" s="60">
        <f>Y451</f>
        <v>1000</v>
      </c>
    </row>
    <row r="452" spans="1:26" ht="13.9" hidden="1" customHeight="1" x14ac:dyDescent="0.25">
      <c r="E452" s="64"/>
      <c r="F452" s="95" t="s">
        <v>254</v>
      </c>
      <c r="G452" s="66"/>
      <c r="H452" s="66">
        <v>3459.07</v>
      </c>
      <c r="I452" s="66">
        <v>0</v>
      </c>
      <c r="J452" s="66">
        <v>0</v>
      </c>
      <c r="K452" s="66">
        <v>0</v>
      </c>
      <c r="L452" s="66"/>
      <c r="M452" s="66"/>
      <c r="N452" s="66"/>
      <c r="O452" s="66"/>
      <c r="P452" s="66">
        <f>K452+SUM(L452:O452)</f>
        <v>0</v>
      </c>
      <c r="Q452" s="66">
        <v>0</v>
      </c>
      <c r="R452" s="67" t="e">
        <f>Q452/$P452</f>
        <v>#DIV/0!</v>
      </c>
      <c r="S452" s="66">
        <v>0</v>
      </c>
      <c r="T452" s="67" t="e">
        <f>S452/$P452</f>
        <v>#DIV/0!</v>
      </c>
      <c r="U452" s="66"/>
      <c r="V452" s="67" t="e">
        <f>U452/$P452</f>
        <v>#DIV/0!</v>
      </c>
      <c r="W452" s="66"/>
      <c r="X452" s="68" t="e">
        <f>W452/$P452</f>
        <v>#DIV/0!</v>
      </c>
      <c r="Y452" s="66">
        <f>K452</f>
        <v>0</v>
      </c>
      <c r="Z452" s="69">
        <f>Y452</f>
        <v>0</v>
      </c>
    </row>
    <row r="454" spans="1:26" ht="13.9" customHeight="1" x14ac:dyDescent="0.25">
      <c r="D454" s="72" t="s">
        <v>255</v>
      </c>
      <c r="E454" s="72"/>
      <c r="F454" s="72"/>
      <c r="G454" s="72"/>
      <c r="H454" s="72"/>
      <c r="I454" s="72"/>
      <c r="J454" s="72"/>
      <c r="K454" s="72"/>
      <c r="L454" s="72"/>
      <c r="M454" s="72"/>
      <c r="N454" s="72"/>
      <c r="O454" s="72"/>
      <c r="P454" s="72"/>
      <c r="Q454" s="72"/>
      <c r="R454" s="73"/>
      <c r="S454" s="72"/>
      <c r="T454" s="73"/>
      <c r="U454" s="72"/>
      <c r="V454" s="73"/>
      <c r="W454" s="72"/>
      <c r="X454" s="73"/>
      <c r="Y454" s="72"/>
      <c r="Z454" s="72"/>
    </row>
    <row r="455" spans="1:26" ht="13.9" customHeight="1" x14ac:dyDescent="0.25">
      <c r="D455" s="20" t="s">
        <v>33</v>
      </c>
      <c r="E455" s="20" t="s">
        <v>34</v>
      </c>
      <c r="F455" s="20" t="s">
        <v>35</v>
      </c>
      <c r="G455" s="20" t="s">
        <v>1</v>
      </c>
      <c r="H455" s="20" t="s">
        <v>2</v>
      </c>
      <c r="I455" s="20" t="s">
        <v>3</v>
      </c>
      <c r="J455" s="20" t="s">
        <v>4</v>
      </c>
      <c r="K455" s="20" t="s">
        <v>5</v>
      </c>
      <c r="L455" s="20" t="s">
        <v>6</v>
      </c>
      <c r="M455" s="20" t="s">
        <v>7</v>
      </c>
      <c r="N455" s="20" t="s">
        <v>8</v>
      </c>
      <c r="O455" s="20" t="s">
        <v>9</v>
      </c>
      <c r="P455" s="20" t="s">
        <v>10</v>
      </c>
      <c r="Q455" s="20" t="s">
        <v>11</v>
      </c>
      <c r="R455" s="21" t="s">
        <v>12</v>
      </c>
      <c r="S455" s="20" t="s">
        <v>13</v>
      </c>
      <c r="T455" s="21" t="s">
        <v>14</v>
      </c>
      <c r="U455" s="20" t="s">
        <v>15</v>
      </c>
      <c r="V455" s="21" t="s">
        <v>16</v>
      </c>
      <c r="W455" s="20" t="s">
        <v>17</v>
      </c>
      <c r="X455" s="21" t="s">
        <v>18</v>
      </c>
      <c r="Y455" s="20" t="s">
        <v>19</v>
      </c>
      <c r="Z455" s="20" t="s">
        <v>20</v>
      </c>
    </row>
    <row r="456" spans="1:26" ht="13.9" customHeight="1" x14ac:dyDescent="0.25">
      <c r="A456" s="14">
        <v>6</v>
      </c>
      <c r="B456" s="14">
        <v>3</v>
      </c>
      <c r="C456" s="14">
        <v>2</v>
      </c>
      <c r="D456" s="83" t="s">
        <v>251</v>
      </c>
      <c r="E456" s="22">
        <v>640</v>
      </c>
      <c r="F456" s="22" t="s">
        <v>132</v>
      </c>
      <c r="G456" s="23">
        <v>4400</v>
      </c>
      <c r="H456" s="23">
        <v>4812.33</v>
      </c>
      <c r="I456" s="23">
        <f>SUM(I459:I464)</f>
        <v>4500</v>
      </c>
      <c r="J456" s="23">
        <v>4400</v>
      </c>
      <c r="K456" s="23">
        <f>SUM(K459:K464)</f>
        <v>5500</v>
      </c>
      <c r="L456" s="23"/>
      <c r="M456" s="23"/>
      <c r="N456" s="23"/>
      <c r="O456" s="23"/>
      <c r="P456" s="23">
        <f>K456+SUM(L456:O456)</f>
        <v>5500</v>
      </c>
      <c r="Q456" s="23">
        <v>200</v>
      </c>
      <c r="R456" s="24">
        <f>Q456/$P456</f>
        <v>3.6363636363636362E-2</v>
      </c>
      <c r="S456" s="23">
        <v>2200</v>
      </c>
      <c r="T456" s="24">
        <f>S456/$P456</f>
        <v>0.4</v>
      </c>
      <c r="U456" s="23">
        <v>5000</v>
      </c>
      <c r="V456" s="24">
        <f>U456/$P456</f>
        <v>0.90909090909090906</v>
      </c>
      <c r="W456" s="23">
        <v>5000</v>
      </c>
      <c r="X456" s="24">
        <f>W456/$P456</f>
        <v>0.90909090909090906</v>
      </c>
      <c r="Y456" s="23">
        <f>SUM(Y459:Y464)</f>
        <v>4000</v>
      </c>
      <c r="Z456" s="23">
        <f>SUM(Z459:Z464)</f>
        <v>4000</v>
      </c>
    </row>
    <row r="457" spans="1:26" ht="13.9" customHeight="1" x14ac:dyDescent="0.25">
      <c r="A457" s="14">
        <v>6</v>
      </c>
      <c r="B457" s="14">
        <v>3</v>
      </c>
      <c r="C457" s="14">
        <v>2</v>
      </c>
      <c r="D457" s="78" t="s">
        <v>21</v>
      </c>
      <c r="E457" s="25">
        <v>41</v>
      </c>
      <c r="F457" s="25" t="s">
        <v>23</v>
      </c>
      <c r="G457" s="26">
        <f t="shared" ref="G457:Q457" si="205">SUM(G456:G456)</f>
        <v>4400</v>
      </c>
      <c r="H457" s="26">
        <f t="shared" si="205"/>
        <v>4812.33</v>
      </c>
      <c r="I457" s="26">
        <f t="shared" si="205"/>
        <v>4500</v>
      </c>
      <c r="J457" s="26">
        <f t="shared" si="205"/>
        <v>4400</v>
      </c>
      <c r="K457" s="26">
        <f t="shared" si="205"/>
        <v>5500</v>
      </c>
      <c r="L457" s="26">
        <f t="shared" si="205"/>
        <v>0</v>
      </c>
      <c r="M457" s="26">
        <f t="shared" si="205"/>
        <v>0</v>
      </c>
      <c r="N457" s="26">
        <f t="shared" si="205"/>
        <v>0</v>
      </c>
      <c r="O457" s="26">
        <f t="shared" si="205"/>
        <v>0</v>
      </c>
      <c r="P457" s="26">
        <f t="shared" si="205"/>
        <v>5500</v>
      </c>
      <c r="Q457" s="26">
        <f t="shared" si="205"/>
        <v>200</v>
      </c>
      <c r="R457" s="27">
        <f>Q457/$P457</f>
        <v>3.6363636363636362E-2</v>
      </c>
      <c r="S457" s="26">
        <f>SUM(S456:S456)</f>
        <v>2200</v>
      </c>
      <c r="T457" s="27">
        <f>S457/$P457</f>
        <v>0.4</v>
      </c>
      <c r="U457" s="26">
        <f>SUM(U456:U456)</f>
        <v>5000</v>
      </c>
      <c r="V457" s="27">
        <f>U457/$P457</f>
        <v>0.90909090909090906</v>
      </c>
      <c r="W457" s="26">
        <f>SUM(W456:W456)</f>
        <v>5000</v>
      </c>
      <c r="X457" s="27">
        <f>W457/$P457</f>
        <v>0.90909090909090906</v>
      </c>
      <c r="Y457" s="26">
        <f>SUM(Y456:Y456)</f>
        <v>4000</v>
      </c>
      <c r="Z457" s="26">
        <f>SUM(Z456:Z456)</f>
        <v>4000</v>
      </c>
    </row>
    <row r="459" spans="1:26" ht="13.9" customHeight="1" x14ac:dyDescent="0.25">
      <c r="E459" s="51" t="s">
        <v>57</v>
      </c>
      <c r="F459" s="29" t="s">
        <v>256</v>
      </c>
      <c r="G459" s="52">
        <v>1100</v>
      </c>
      <c r="H459" s="52">
        <v>1100</v>
      </c>
      <c r="I459" s="52">
        <v>1000</v>
      </c>
      <c r="J459" s="52">
        <v>1000</v>
      </c>
      <c r="K459" s="52">
        <v>1000</v>
      </c>
      <c r="L459" s="52"/>
      <c r="M459" s="52"/>
      <c r="N459" s="52"/>
      <c r="O459" s="52"/>
      <c r="P459" s="52">
        <f t="shared" ref="P459:P464" si="206">K459+SUM(L459:O459)</f>
        <v>1000</v>
      </c>
      <c r="Q459" s="52">
        <v>0</v>
      </c>
      <c r="R459" s="53">
        <f t="shared" ref="R459:R464" si="207">Q459/$P459</f>
        <v>0</v>
      </c>
      <c r="S459" s="52">
        <v>1000</v>
      </c>
      <c r="T459" s="53">
        <f t="shared" ref="T459:T464" si="208">S459/$P459</f>
        <v>1</v>
      </c>
      <c r="U459" s="52">
        <v>1000</v>
      </c>
      <c r="V459" s="53">
        <f t="shared" ref="V459:V464" si="209">U459/$P459</f>
        <v>1</v>
      </c>
      <c r="W459" s="52">
        <v>1000</v>
      </c>
      <c r="X459" s="54">
        <f t="shared" ref="X459:X464" si="210">W459/$P459</f>
        <v>1</v>
      </c>
      <c r="Y459" s="52">
        <f>K459</f>
        <v>1000</v>
      </c>
      <c r="Z459" s="55">
        <f t="shared" ref="Z459:Z464" si="211">Y459</f>
        <v>1000</v>
      </c>
    </row>
    <row r="460" spans="1:26" ht="13.9" customHeight="1" x14ac:dyDescent="0.25">
      <c r="E460" s="56"/>
      <c r="F460" s="14" t="s">
        <v>257</v>
      </c>
      <c r="G460" s="58">
        <v>1000</v>
      </c>
      <c r="H460" s="58">
        <v>1412.33</v>
      </c>
      <c r="I460" s="58">
        <v>1200</v>
      </c>
      <c r="J460" s="58">
        <v>600</v>
      </c>
      <c r="K460" s="61">
        <v>500</v>
      </c>
      <c r="L460" s="58"/>
      <c r="M460" s="58"/>
      <c r="N460" s="58"/>
      <c r="O460" s="58"/>
      <c r="P460" s="58">
        <f t="shared" si="206"/>
        <v>500</v>
      </c>
      <c r="Q460" s="58">
        <v>0</v>
      </c>
      <c r="R460" s="15">
        <f t="shared" si="207"/>
        <v>0</v>
      </c>
      <c r="S460" s="58">
        <v>0</v>
      </c>
      <c r="T460" s="15">
        <f t="shared" si="208"/>
        <v>0</v>
      </c>
      <c r="U460" s="58">
        <v>0</v>
      </c>
      <c r="V460" s="15">
        <f t="shared" si="209"/>
        <v>0</v>
      </c>
      <c r="W460" s="58">
        <v>0</v>
      </c>
      <c r="X460" s="59">
        <f t="shared" si="210"/>
        <v>0</v>
      </c>
      <c r="Y460" s="58">
        <f>K460</f>
        <v>500</v>
      </c>
      <c r="Z460" s="60">
        <f t="shared" si="211"/>
        <v>500</v>
      </c>
    </row>
    <row r="461" spans="1:26" ht="13.9" customHeight="1" x14ac:dyDescent="0.25">
      <c r="E461" s="56"/>
      <c r="F461" s="57" t="s">
        <v>258</v>
      </c>
      <c r="G461" s="58">
        <v>1300</v>
      </c>
      <c r="H461" s="58">
        <v>1300</v>
      </c>
      <c r="I461" s="58">
        <v>1300</v>
      </c>
      <c r="J461" s="58">
        <v>0</v>
      </c>
      <c r="K461" s="58">
        <v>1300</v>
      </c>
      <c r="L461" s="58"/>
      <c r="M461" s="58"/>
      <c r="N461" s="58"/>
      <c r="O461" s="58"/>
      <c r="P461" s="58">
        <f t="shared" si="206"/>
        <v>1300</v>
      </c>
      <c r="Q461" s="58">
        <v>0</v>
      </c>
      <c r="R461" s="15">
        <f t="shared" si="207"/>
        <v>0</v>
      </c>
      <c r="S461" s="58">
        <v>0</v>
      </c>
      <c r="T461" s="15">
        <f t="shared" si="208"/>
        <v>0</v>
      </c>
      <c r="U461" s="58">
        <v>1300</v>
      </c>
      <c r="V461" s="15">
        <f t="shared" si="209"/>
        <v>1</v>
      </c>
      <c r="W461" s="58">
        <v>1300</v>
      </c>
      <c r="X461" s="59">
        <f t="shared" si="210"/>
        <v>1</v>
      </c>
      <c r="Y461" s="58">
        <f>K461</f>
        <v>1300</v>
      </c>
      <c r="Z461" s="60">
        <f t="shared" si="211"/>
        <v>1300</v>
      </c>
    </row>
    <row r="462" spans="1:26" ht="13.9" customHeight="1" x14ac:dyDescent="0.25">
      <c r="E462" s="56"/>
      <c r="F462" s="80" t="s">
        <v>259</v>
      </c>
      <c r="G462" s="81">
        <v>1000</v>
      </c>
      <c r="H462" s="81">
        <v>1000</v>
      </c>
      <c r="I462" s="81">
        <v>1000</v>
      </c>
      <c r="J462" s="81">
        <v>1000</v>
      </c>
      <c r="K462" s="81">
        <v>1000</v>
      </c>
      <c r="L462" s="81"/>
      <c r="M462" s="81"/>
      <c r="N462" s="81"/>
      <c r="O462" s="81"/>
      <c r="P462" s="81">
        <f t="shared" si="206"/>
        <v>1000</v>
      </c>
      <c r="Q462" s="81">
        <v>0</v>
      </c>
      <c r="R462" s="82">
        <f t="shared" si="207"/>
        <v>0</v>
      </c>
      <c r="S462" s="81">
        <v>1000</v>
      </c>
      <c r="T462" s="82">
        <f t="shared" si="208"/>
        <v>1</v>
      </c>
      <c r="U462" s="81">
        <v>1000</v>
      </c>
      <c r="V462" s="82">
        <f t="shared" si="209"/>
        <v>1</v>
      </c>
      <c r="W462" s="81">
        <v>1000</v>
      </c>
      <c r="X462" s="59">
        <f t="shared" si="210"/>
        <v>1</v>
      </c>
      <c r="Y462" s="81">
        <f>K462</f>
        <v>1000</v>
      </c>
      <c r="Z462" s="60">
        <f t="shared" si="211"/>
        <v>1000</v>
      </c>
    </row>
    <row r="463" spans="1:26" ht="13.9" customHeight="1" x14ac:dyDescent="0.25">
      <c r="E463" s="56"/>
      <c r="F463" s="80" t="s">
        <v>260</v>
      </c>
      <c r="G463" s="81"/>
      <c r="H463" s="81"/>
      <c r="I463" s="81">
        <v>0</v>
      </c>
      <c r="J463" s="81">
        <v>300</v>
      </c>
      <c r="K463" s="93">
        <v>200</v>
      </c>
      <c r="L463" s="81"/>
      <c r="M463" s="81"/>
      <c r="N463" s="81"/>
      <c r="O463" s="81"/>
      <c r="P463" s="81">
        <f t="shared" si="206"/>
        <v>200</v>
      </c>
      <c r="Q463" s="81">
        <v>200</v>
      </c>
      <c r="R463" s="82">
        <f t="shared" si="207"/>
        <v>1</v>
      </c>
      <c r="S463" s="81">
        <v>200</v>
      </c>
      <c r="T463" s="82">
        <f t="shared" si="208"/>
        <v>1</v>
      </c>
      <c r="U463" s="81">
        <v>200</v>
      </c>
      <c r="V463" s="82">
        <f t="shared" si="209"/>
        <v>1</v>
      </c>
      <c r="W463" s="81">
        <v>200</v>
      </c>
      <c r="X463" s="59">
        <f t="shared" si="210"/>
        <v>1</v>
      </c>
      <c r="Y463" s="81">
        <f>K463</f>
        <v>200</v>
      </c>
      <c r="Z463" s="60">
        <f t="shared" si="211"/>
        <v>200</v>
      </c>
    </row>
    <row r="464" spans="1:26" ht="13.9" customHeight="1" x14ac:dyDescent="0.25">
      <c r="E464" s="64"/>
      <c r="F464" s="65" t="s">
        <v>261</v>
      </c>
      <c r="G464" s="66"/>
      <c r="H464" s="66"/>
      <c r="I464" s="66">
        <v>0</v>
      </c>
      <c r="J464" s="66">
        <v>1500</v>
      </c>
      <c r="K464" s="96">
        <v>1500</v>
      </c>
      <c r="L464" s="66"/>
      <c r="M464" s="66"/>
      <c r="N464" s="66"/>
      <c r="O464" s="66"/>
      <c r="P464" s="66">
        <f t="shared" si="206"/>
        <v>1500</v>
      </c>
      <c r="Q464" s="66">
        <v>0</v>
      </c>
      <c r="R464" s="67">
        <f t="shared" si="207"/>
        <v>0</v>
      </c>
      <c r="S464" s="66">
        <v>0</v>
      </c>
      <c r="T464" s="67">
        <f t="shared" si="208"/>
        <v>0</v>
      </c>
      <c r="U464" s="66">
        <v>1500</v>
      </c>
      <c r="V464" s="67">
        <f t="shared" si="209"/>
        <v>1</v>
      </c>
      <c r="W464" s="66">
        <v>1500</v>
      </c>
      <c r="X464" s="68">
        <f t="shared" si="210"/>
        <v>1</v>
      </c>
      <c r="Y464" s="66">
        <v>0</v>
      </c>
      <c r="Z464" s="69">
        <f t="shared" si="211"/>
        <v>0</v>
      </c>
    </row>
    <row r="466" spans="1:26" ht="13.9" customHeight="1" x14ac:dyDescent="0.25">
      <c r="D466" s="31" t="s">
        <v>262</v>
      </c>
      <c r="E466" s="31"/>
      <c r="F466" s="31"/>
      <c r="G466" s="31"/>
      <c r="H466" s="31"/>
      <c r="I466" s="31"/>
      <c r="J466" s="31"/>
      <c r="K466" s="31"/>
      <c r="L466" s="31"/>
      <c r="M466" s="31"/>
      <c r="N466" s="31"/>
      <c r="O466" s="31"/>
      <c r="P466" s="31"/>
      <c r="Q466" s="31"/>
      <c r="R466" s="32"/>
      <c r="S466" s="31"/>
      <c r="T466" s="32"/>
      <c r="U466" s="31"/>
      <c r="V466" s="32"/>
      <c r="W466" s="31"/>
      <c r="X466" s="32"/>
      <c r="Y466" s="31"/>
      <c r="Z466" s="31"/>
    </row>
    <row r="467" spans="1:26" ht="13.9" customHeight="1" x14ac:dyDescent="0.25">
      <c r="D467" s="19"/>
      <c r="E467" s="19"/>
      <c r="F467" s="19"/>
      <c r="G467" s="20" t="s">
        <v>1</v>
      </c>
      <c r="H467" s="20" t="s">
        <v>2</v>
      </c>
      <c r="I467" s="20" t="s">
        <v>3</v>
      </c>
      <c r="J467" s="20" t="s">
        <v>4</v>
      </c>
      <c r="K467" s="20" t="s">
        <v>5</v>
      </c>
      <c r="L467" s="20" t="s">
        <v>6</v>
      </c>
      <c r="M467" s="20" t="s">
        <v>7</v>
      </c>
      <c r="N467" s="20" t="s">
        <v>8</v>
      </c>
      <c r="O467" s="20" t="s">
        <v>9</v>
      </c>
      <c r="P467" s="20" t="s">
        <v>10</v>
      </c>
      <c r="Q467" s="20" t="s">
        <v>11</v>
      </c>
      <c r="R467" s="21" t="s">
        <v>12</v>
      </c>
      <c r="S467" s="20" t="s">
        <v>13</v>
      </c>
      <c r="T467" s="21" t="s">
        <v>14</v>
      </c>
      <c r="U467" s="20" t="s">
        <v>15</v>
      </c>
      <c r="V467" s="21" t="s">
        <v>16</v>
      </c>
      <c r="W467" s="20" t="s">
        <v>17</v>
      </c>
      <c r="X467" s="21" t="s">
        <v>18</v>
      </c>
      <c r="Y467" s="20" t="s">
        <v>19</v>
      </c>
      <c r="Z467" s="20" t="s">
        <v>20</v>
      </c>
    </row>
    <row r="468" spans="1:26" ht="13.9" customHeight="1" x14ac:dyDescent="0.25">
      <c r="A468" s="14">
        <v>7</v>
      </c>
      <c r="D468" s="11" t="s">
        <v>21</v>
      </c>
      <c r="E468" s="34">
        <v>111</v>
      </c>
      <c r="F468" s="34" t="s">
        <v>47</v>
      </c>
      <c r="G468" s="35">
        <f t="shared" ref="G468:Q468" si="212">G475+G515</f>
        <v>36752.410000000003</v>
      </c>
      <c r="H468" s="35">
        <f t="shared" si="212"/>
        <v>43015.88</v>
      </c>
      <c r="I468" s="35">
        <f t="shared" si="212"/>
        <v>39753</v>
      </c>
      <c r="J468" s="35">
        <f t="shared" si="212"/>
        <v>62673.71</v>
      </c>
      <c r="K468" s="35">
        <f t="shared" si="212"/>
        <v>70665</v>
      </c>
      <c r="L468" s="35">
        <f t="shared" si="212"/>
        <v>0</v>
      </c>
      <c r="M468" s="35">
        <f t="shared" si="212"/>
        <v>0</v>
      </c>
      <c r="N468" s="35">
        <f t="shared" si="212"/>
        <v>2735</v>
      </c>
      <c r="O468" s="35">
        <f t="shared" si="212"/>
        <v>2835</v>
      </c>
      <c r="P468" s="35">
        <f t="shared" si="212"/>
        <v>76235</v>
      </c>
      <c r="Q468" s="35">
        <f t="shared" si="212"/>
        <v>34629.64</v>
      </c>
      <c r="R468" s="36">
        <f>Q468/$P468</f>
        <v>0.45424857348986686</v>
      </c>
      <c r="S468" s="35">
        <f>S475+S515</f>
        <v>47154.31</v>
      </c>
      <c r="T468" s="36">
        <f>S468/$P468</f>
        <v>0.61853886010362691</v>
      </c>
      <c r="U468" s="35">
        <f>U475+U515</f>
        <v>59841.11</v>
      </c>
      <c r="V468" s="36">
        <f>U468/$P468</f>
        <v>0.78495586016921359</v>
      </c>
      <c r="W468" s="35">
        <f>W475+W515</f>
        <v>83612.63</v>
      </c>
      <c r="X468" s="36">
        <f>W468/$P468</f>
        <v>1.0967748409523186</v>
      </c>
      <c r="Y468" s="35">
        <f>Y475+Y515</f>
        <v>52821</v>
      </c>
      <c r="Z468" s="35">
        <f>Z475+Z515</f>
        <v>57645</v>
      </c>
    </row>
    <row r="469" spans="1:26" ht="13.9" customHeight="1" x14ac:dyDescent="0.25">
      <c r="A469" s="14">
        <v>7</v>
      </c>
      <c r="D469" s="11"/>
      <c r="E469" s="34">
        <v>41</v>
      </c>
      <c r="F469" s="34" t="s">
        <v>23</v>
      </c>
      <c r="G469" s="35">
        <f t="shared" ref="G469:Q469" si="213">G476+G519</f>
        <v>59918.84</v>
      </c>
      <c r="H469" s="35">
        <f t="shared" si="213"/>
        <v>86076.209999999992</v>
      </c>
      <c r="I469" s="35">
        <f t="shared" si="213"/>
        <v>101242</v>
      </c>
      <c r="J469" s="35">
        <f t="shared" si="213"/>
        <v>92914.829999999987</v>
      </c>
      <c r="K469" s="35">
        <f t="shared" si="213"/>
        <v>104447</v>
      </c>
      <c r="L469" s="35">
        <f t="shared" si="213"/>
        <v>0</v>
      </c>
      <c r="M469" s="35">
        <f t="shared" si="213"/>
        <v>8028</v>
      </c>
      <c r="N469" s="35">
        <f t="shared" si="213"/>
        <v>1000</v>
      </c>
      <c r="O469" s="35">
        <f t="shared" si="213"/>
        <v>403</v>
      </c>
      <c r="P469" s="35">
        <f t="shared" si="213"/>
        <v>113878</v>
      </c>
      <c r="Q469" s="35">
        <f t="shared" si="213"/>
        <v>20502.59</v>
      </c>
      <c r="R469" s="36">
        <f>Q469/$P469</f>
        <v>0.18003995503960379</v>
      </c>
      <c r="S469" s="35">
        <f>S476+S519</f>
        <v>42091.439999999995</v>
      </c>
      <c r="T469" s="36">
        <f>S469/$P469</f>
        <v>0.36961871476492381</v>
      </c>
      <c r="U469" s="35">
        <f>U476+U519</f>
        <v>73298.320000000007</v>
      </c>
      <c r="V469" s="36">
        <f>U469/$P469</f>
        <v>0.64365654472330047</v>
      </c>
      <c r="W469" s="35">
        <f>W476+W519</f>
        <v>107521.26</v>
      </c>
      <c r="X469" s="36">
        <f>W469/$P469</f>
        <v>0.94417938495582987</v>
      </c>
      <c r="Y469" s="35">
        <f>Y476+Y519</f>
        <v>103809</v>
      </c>
      <c r="Z469" s="35">
        <f>Z476+Z519</f>
        <v>109954</v>
      </c>
    </row>
    <row r="470" spans="1:26" ht="13.9" customHeight="1" x14ac:dyDescent="0.25">
      <c r="A470" s="14">
        <v>7</v>
      </c>
      <c r="D470" s="11"/>
      <c r="E470" s="34">
        <v>72</v>
      </c>
      <c r="F470" s="34" t="s">
        <v>25</v>
      </c>
      <c r="G470" s="35">
        <f t="shared" ref="G470:Q470" si="214">G477</f>
        <v>684.11</v>
      </c>
      <c r="H470" s="35">
        <f t="shared" si="214"/>
        <v>1801.98</v>
      </c>
      <c r="I470" s="35">
        <f t="shared" si="214"/>
        <v>831</v>
      </c>
      <c r="J470" s="35">
        <f t="shared" si="214"/>
        <v>958.75</v>
      </c>
      <c r="K470" s="35">
        <f t="shared" si="214"/>
        <v>959</v>
      </c>
      <c r="L470" s="35">
        <f t="shared" si="214"/>
        <v>0</v>
      </c>
      <c r="M470" s="35">
        <f t="shared" si="214"/>
        <v>0</v>
      </c>
      <c r="N470" s="35">
        <f t="shared" si="214"/>
        <v>0</v>
      </c>
      <c r="O470" s="35">
        <f t="shared" si="214"/>
        <v>114</v>
      </c>
      <c r="P470" s="35">
        <f t="shared" si="214"/>
        <v>1073</v>
      </c>
      <c r="Q470" s="35">
        <f t="shared" si="214"/>
        <v>0</v>
      </c>
      <c r="R470" s="36">
        <f>Q470/$P470</f>
        <v>0</v>
      </c>
      <c r="S470" s="35">
        <f>S477</f>
        <v>0</v>
      </c>
      <c r="T470" s="36">
        <f>S470/$P470</f>
        <v>0</v>
      </c>
      <c r="U470" s="35">
        <f>U477</f>
        <v>0</v>
      </c>
      <c r="V470" s="36">
        <f>U470/$P470</f>
        <v>0</v>
      </c>
      <c r="W470" s="35">
        <f>W477</f>
        <v>1072.5</v>
      </c>
      <c r="X470" s="36">
        <f>W470/$P470</f>
        <v>0.99953401677539611</v>
      </c>
      <c r="Y470" s="35">
        <f>Y477</f>
        <v>959</v>
      </c>
      <c r="Z470" s="35">
        <f>Z477</f>
        <v>959</v>
      </c>
    </row>
    <row r="471" spans="1:26" ht="13.9" customHeight="1" x14ac:dyDescent="0.25">
      <c r="A471" s="14">
        <v>7</v>
      </c>
      <c r="D471" s="29"/>
      <c r="E471" s="30"/>
      <c r="F471" s="37" t="s">
        <v>124</v>
      </c>
      <c r="G471" s="38">
        <f t="shared" ref="G471:Q471" si="215">SUM(G468:G470)</f>
        <v>97355.36</v>
      </c>
      <c r="H471" s="38">
        <f t="shared" si="215"/>
        <v>130894.06999999999</v>
      </c>
      <c r="I471" s="38">
        <f t="shared" si="215"/>
        <v>141826</v>
      </c>
      <c r="J471" s="38">
        <f t="shared" si="215"/>
        <v>156547.28999999998</v>
      </c>
      <c r="K471" s="38">
        <f t="shared" si="215"/>
        <v>176071</v>
      </c>
      <c r="L471" s="38">
        <f t="shared" si="215"/>
        <v>0</v>
      </c>
      <c r="M471" s="38">
        <f t="shared" si="215"/>
        <v>8028</v>
      </c>
      <c r="N471" s="38">
        <f t="shared" si="215"/>
        <v>3735</v>
      </c>
      <c r="O471" s="38">
        <f t="shared" si="215"/>
        <v>3352</v>
      </c>
      <c r="P471" s="38">
        <f t="shared" si="215"/>
        <v>191186</v>
      </c>
      <c r="Q471" s="38">
        <f t="shared" si="215"/>
        <v>55132.229999999996</v>
      </c>
      <c r="R471" s="39">
        <f>Q471/$P471</f>
        <v>0.28836959819233626</v>
      </c>
      <c r="S471" s="38">
        <f>SUM(S468:S470)</f>
        <v>89245.75</v>
      </c>
      <c r="T471" s="39">
        <f>S471/$P471</f>
        <v>0.46680065485966543</v>
      </c>
      <c r="U471" s="38">
        <f>SUM(U468:U470)</f>
        <v>133139.43</v>
      </c>
      <c r="V471" s="39">
        <f>U471/$P471</f>
        <v>0.69638692163652149</v>
      </c>
      <c r="W471" s="38">
        <f>SUM(W468:W470)</f>
        <v>192206.39</v>
      </c>
      <c r="X471" s="39">
        <f>W471/$P471</f>
        <v>1.0053371585785571</v>
      </c>
      <c r="Y471" s="38">
        <f>SUM(Y468:Y470)</f>
        <v>157589</v>
      </c>
      <c r="Z471" s="38">
        <f>SUM(Z468:Z470)</f>
        <v>168558</v>
      </c>
    </row>
    <row r="473" spans="1:26" ht="13.9" customHeight="1" x14ac:dyDescent="0.25">
      <c r="D473" s="40" t="s">
        <v>263</v>
      </c>
      <c r="E473" s="40"/>
      <c r="F473" s="40"/>
      <c r="G473" s="40"/>
      <c r="H473" s="40"/>
      <c r="I473" s="40"/>
      <c r="J473" s="40"/>
      <c r="K473" s="40"/>
      <c r="L473" s="40"/>
      <c r="M473" s="40"/>
      <c r="N473" s="40"/>
      <c r="O473" s="40"/>
      <c r="P473" s="40"/>
      <c r="Q473" s="40"/>
      <c r="R473" s="41"/>
      <c r="S473" s="40"/>
      <c r="T473" s="41"/>
      <c r="U473" s="40"/>
      <c r="V473" s="41"/>
      <c r="W473" s="40"/>
      <c r="X473" s="41"/>
      <c r="Y473" s="40"/>
      <c r="Z473" s="40"/>
    </row>
    <row r="474" spans="1:26" ht="13.9" customHeight="1" x14ac:dyDescent="0.25">
      <c r="D474" s="109"/>
      <c r="E474" s="109"/>
      <c r="F474" s="109"/>
      <c r="G474" s="20" t="s">
        <v>1</v>
      </c>
      <c r="H474" s="20" t="s">
        <v>2</v>
      </c>
      <c r="I474" s="20" t="s">
        <v>3</v>
      </c>
      <c r="J474" s="20" t="s">
        <v>4</v>
      </c>
      <c r="K474" s="20" t="s">
        <v>5</v>
      </c>
      <c r="L474" s="20" t="s">
        <v>6</v>
      </c>
      <c r="M474" s="20" t="s">
        <v>7</v>
      </c>
      <c r="N474" s="20" t="s">
        <v>8</v>
      </c>
      <c r="O474" s="20" t="s">
        <v>9</v>
      </c>
      <c r="P474" s="20" t="s">
        <v>10</v>
      </c>
      <c r="Q474" s="20" t="s">
        <v>11</v>
      </c>
      <c r="R474" s="21" t="s">
        <v>12</v>
      </c>
      <c r="S474" s="20" t="s">
        <v>13</v>
      </c>
      <c r="T474" s="21" t="s">
        <v>14</v>
      </c>
      <c r="U474" s="20" t="s">
        <v>15</v>
      </c>
      <c r="V474" s="21" t="s">
        <v>16</v>
      </c>
      <c r="W474" s="20" t="s">
        <v>17</v>
      </c>
      <c r="X474" s="21" t="s">
        <v>18</v>
      </c>
      <c r="Y474" s="20" t="s">
        <v>19</v>
      </c>
      <c r="Z474" s="20" t="s">
        <v>20</v>
      </c>
    </row>
    <row r="475" spans="1:26" ht="13.9" customHeight="1" x14ac:dyDescent="0.25">
      <c r="A475" s="14">
        <v>7</v>
      </c>
      <c r="B475" s="14">
        <v>1</v>
      </c>
      <c r="D475" s="12" t="s">
        <v>21</v>
      </c>
      <c r="E475" s="22">
        <v>111</v>
      </c>
      <c r="F475" s="22" t="s">
        <v>47</v>
      </c>
      <c r="G475" s="23">
        <f t="shared" ref="G475:Q475" si="216">G485</f>
        <v>34925.29</v>
      </c>
      <c r="H475" s="23">
        <f t="shared" si="216"/>
        <v>35712</v>
      </c>
      <c r="I475" s="23">
        <f t="shared" si="216"/>
        <v>38688</v>
      </c>
      <c r="J475" s="23">
        <f t="shared" si="216"/>
        <v>44092</v>
      </c>
      <c r="K475" s="23">
        <f t="shared" si="216"/>
        <v>43848</v>
      </c>
      <c r="L475" s="23">
        <f t="shared" si="216"/>
        <v>0</v>
      </c>
      <c r="M475" s="23">
        <f t="shared" si="216"/>
        <v>0</v>
      </c>
      <c r="N475" s="23">
        <f t="shared" si="216"/>
        <v>0</v>
      </c>
      <c r="O475" s="23">
        <f t="shared" si="216"/>
        <v>2835</v>
      </c>
      <c r="P475" s="23">
        <f t="shared" si="216"/>
        <v>46683</v>
      </c>
      <c r="Q475" s="23">
        <f t="shared" si="216"/>
        <v>10811.84</v>
      </c>
      <c r="R475" s="24">
        <f>Q475/$P475</f>
        <v>0.23160122528543581</v>
      </c>
      <c r="S475" s="23">
        <f>S485</f>
        <v>21743.81</v>
      </c>
      <c r="T475" s="24">
        <f>S475/$P475</f>
        <v>0.46577576419681688</v>
      </c>
      <c r="U475" s="23">
        <f>U485</f>
        <v>32795.910000000003</v>
      </c>
      <c r="V475" s="24">
        <f>U475/$P475</f>
        <v>0.7025236167341431</v>
      </c>
      <c r="W475" s="23">
        <f>W485</f>
        <v>54229.729999999996</v>
      </c>
      <c r="X475" s="24">
        <f>W475/$P475</f>
        <v>1.161659062185378</v>
      </c>
      <c r="Y475" s="23">
        <f>Y485</f>
        <v>48233</v>
      </c>
      <c r="Z475" s="23">
        <f>Z485</f>
        <v>53057</v>
      </c>
    </row>
    <row r="476" spans="1:26" ht="13.9" customHeight="1" x14ac:dyDescent="0.25">
      <c r="A476" s="14">
        <v>7</v>
      </c>
      <c r="B476" s="14">
        <v>1</v>
      </c>
      <c r="D476" s="12"/>
      <c r="E476" s="22">
        <v>41</v>
      </c>
      <c r="F476" s="22" t="s">
        <v>23</v>
      </c>
      <c r="G476" s="23">
        <f t="shared" ref="G476:Q476" si="217">G490+G505</f>
        <v>57018.84</v>
      </c>
      <c r="H476" s="23">
        <f t="shared" si="217"/>
        <v>80817.329999999987</v>
      </c>
      <c r="I476" s="23">
        <f t="shared" si="217"/>
        <v>97442</v>
      </c>
      <c r="J476" s="23">
        <f t="shared" si="217"/>
        <v>91714.829999999987</v>
      </c>
      <c r="K476" s="23">
        <f t="shared" si="217"/>
        <v>100647</v>
      </c>
      <c r="L476" s="23">
        <f t="shared" si="217"/>
        <v>0</v>
      </c>
      <c r="M476" s="23">
        <f t="shared" si="217"/>
        <v>8028</v>
      </c>
      <c r="N476" s="23">
        <f t="shared" si="217"/>
        <v>0</v>
      </c>
      <c r="O476" s="23">
        <f t="shared" si="217"/>
        <v>403</v>
      </c>
      <c r="P476" s="23">
        <f t="shared" si="217"/>
        <v>109078</v>
      </c>
      <c r="Q476" s="23">
        <f t="shared" si="217"/>
        <v>18702.59</v>
      </c>
      <c r="R476" s="24">
        <f>Q476/$P476</f>
        <v>0.1714606978492455</v>
      </c>
      <c r="S476" s="23">
        <f>S490+S505</f>
        <v>40291.439999999995</v>
      </c>
      <c r="T476" s="24">
        <f>S476/$P476</f>
        <v>0.36938191019270611</v>
      </c>
      <c r="U476" s="23">
        <f>U490+U505</f>
        <v>69098.320000000007</v>
      </c>
      <c r="V476" s="24">
        <f>U476/$P476</f>
        <v>0.63347622802031578</v>
      </c>
      <c r="W476" s="23">
        <f>W490+W505</f>
        <v>103021.26</v>
      </c>
      <c r="X476" s="24">
        <f>W476/$P476</f>
        <v>0.94447331267533319</v>
      </c>
      <c r="Y476" s="23">
        <f>Y490+Y505</f>
        <v>100009</v>
      </c>
      <c r="Z476" s="23">
        <f>Z490+Z505</f>
        <v>106154</v>
      </c>
    </row>
    <row r="477" spans="1:26" ht="13.9" customHeight="1" x14ac:dyDescent="0.25">
      <c r="A477" s="14">
        <v>7</v>
      </c>
      <c r="B477" s="14">
        <v>1</v>
      </c>
      <c r="D477" s="12"/>
      <c r="E477" s="22">
        <v>72</v>
      </c>
      <c r="F477" s="22" t="s">
        <v>25</v>
      </c>
      <c r="G477" s="23">
        <f t="shared" ref="G477:Q477" si="218">G493</f>
        <v>684.11</v>
      </c>
      <c r="H477" s="23">
        <f t="shared" si="218"/>
        <v>1801.98</v>
      </c>
      <c r="I477" s="23">
        <f t="shared" si="218"/>
        <v>831</v>
      </c>
      <c r="J477" s="23">
        <f t="shared" si="218"/>
        <v>958.75</v>
      </c>
      <c r="K477" s="23">
        <f t="shared" si="218"/>
        <v>959</v>
      </c>
      <c r="L477" s="23">
        <f t="shared" si="218"/>
        <v>0</v>
      </c>
      <c r="M477" s="23">
        <f t="shared" si="218"/>
        <v>0</v>
      </c>
      <c r="N477" s="23">
        <f t="shared" si="218"/>
        <v>0</v>
      </c>
      <c r="O477" s="23">
        <f t="shared" si="218"/>
        <v>114</v>
      </c>
      <c r="P477" s="23">
        <f t="shared" si="218"/>
        <v>1073</v>
      </c>
      <c r="Q477" s="23">
        <f t="shared" si="218"/>
        <v>0</v>
      </c>
      <c r="R477" s="24">
        <f>Q477/$P477</f>
        <v>0</v>
      </c>
      <c r="S477" s="23">
        <f>S493</f>
        <v>0</v>
      </c>
      <c r="T477" s="24">
        <f>S477/$P477</f>
        <v>0</v>
      </c>
      <c r="U477" s="23">
        <f>U493</f>
        <v>0</v>
      </c>
      <c r="V477" s="24">
        <f>U477/$P477</f>
        <v>0</v>
      </c>
      <c r="W477" s="23">
        <f>W493</f>
        <v>1072.5</v>
      </c>
      <c r="X477" s="24">
        <f>W477/$P477</f>
        <v>0.99953401677539611</v>
      </c>
      <c r="Y477" s="23">
        <f>Y493</f>
        <v>959</v>
      </c>
      <c r="Z477" s="23">
        <f>Z493</f>
        <v>959</v>
      </c>
    </row>
    <row r="478" spans="1:26" ht="13.9" customHeight="1" x14ac:dyDescent="0.25">
      <c r="A478" s="14">
        <v>7</v>
      </c>
      <c r="B478" s="14">
        <v>1</v>
      </c>
      <c r="D478" s="29"/>
      <c r="E478" s="30"/>
      <c r="F478" s="25" t="s">
        <v>124</v>
      </c>
      <c r="G478" s="26">
        <f t="shared" ref="G478:Q478" si="219">SUM(G475:G477)</f>
        <v>92628.24</v>
      </c>
      <c r="H478" s="26">
        <f t="shared" si="219"/>
        <v>118331.30999999998</v>
      </c>
      <c r="I478" s="26">
        <f t="shared" si="219"/>
        <v>136961</v>
      </c>
      <c r="J478" s="26">
        <f t="shared" si="219"/>
        <v>136765.57999999999</v>
      </c>
      <c r="K478" s="26">
        <f t="shared" si="219"/>
        <v>145454</v>
      </c>
      <c r="L478" s="26">
        <f t="shared" si="219"/>
        <v>0</v>
      </c>
      <c r="M478" s="26">
        <f t="shared" si="219"/>
        <v>8028</v>
      </c>
      <c r="N478" s="26">
        <f t="shared" si="219"/>
        <v>0</v>
      </c>
      <c r="O478" s="26">
        <f t="shared" si="219"/>
        <v>3352</v>
      </c>
      <c r="P478" s="26">
        <f t="shared" si="219"/>
        <v>156834</v>
      </c>
      <c r="Q478" s="26">
        <f t="shared" si="219"/>
        <v>29514.43</v>
      </c>
      <c r="R478" s="27">
        <f>Q478/$P478</f>
        <v>0.18818897688001326</v>
      </c>
      <c r="S478" s="26">
        <f>SUM(S475:S477)</f>
        <v>62035.25</v>
      </c>
      <c r="T478" s="27">
        <f>S478/$P478</f>
        <v>0.39554720277490851</v>
      </c>
      <c r="U478" s="26">
        <f>SUM(U475:U477)</f>
        <v>101894.23000000001</v>
      </c>
      <c r="V478" s="27">
        <f>U478/$P478</f>
        <v>0.64969477281711885</v>
      </c>
      <c r="W478" s="26">
        <f>SUM(W475:W477)</f>
        <v>158323.49</v>
      </c>
      <c r="X478" s="27">
        <f>W478/$P478</f>
        <v>1.0094972391190684</v>
      </c>
      <c r="Y478" s="26">
        <f>SUM(Y475:Y477)</f>
        <v>149201</v>
      </c>
      <c r="Z478" s="26">
        <f>SUM(Z475:Z477)</f>
        <v>160170</v>
      </c>
    </row>
    <row r="480" spans="1:26" ht="13.9" customHeight="1" x14ac:dyDescent="0.25">
      <c r="D480" s="72" t="s">
        <v>264</v>
      </c>
      <c r="E480" s="72"/>
      <c r="F480" s="72"/>
      <c r="G480" s="72"/>
      <c r="H480" s="72"/>
      <c r="I480" s="72"/>
      <c r="J480" s="72"/>
      <c r="K480" s="72"/>
      <c r="L480" s="72"/>
      <c r="M480" s="72"/>
      <c r="N480" s="72"/>
      <c r="O480" s="72"/>
      <c r="P480" s="72"/>
      <c r="Q480" s="72"/>
      <c r="R480" s="73"/>
      <c r="S480" s="72"/>
      <c r="T480" s="73"/>
      <c r="U480" s="72"/>
      <c r="V480" s="73"/>
      <c r="W480" s="72"/>
      <c r="X480" s="73"/>
      <c r="Y480" s="72"/>
      <c r="Z480" s="72"/>
    </row>
    <row r="481" spans="1:26" ht="13.9" customHeight="1" x14ac:dyDescent="0.25">
      <c r="D481" s="20" t="s">
        <v>33</v>
      </c>
      <c r="E481" s="20" t="s">
        <v>34</v>
      </c>
      <c r="F481" s="20" t="s">
        <v>35</v>
      </c>
      <c r="G481" s="20" t="s">
        <v>1</v>
      </c>
      <c r="H481" s="20" t="s">
        <v>2</v>
      </c>
      <c r="I481" s="20" t="s">
        <v>3</v>
      </c>
      <c r="J481" s="20" t="s">
        <v>4</v>
      </c>
      <c r="K481" s="20" t="s">
        <v>5</v>
      </c>
      <c r="L481" s="20" t="s">
        <v>6</v>
      </c>
      <c r="M481" s="20" t="s">
        <v>7</v>
      </c>
      <c r="N481" s="20" t="s">
        <v>8</v>
      </c>
      <c r="O481" s="20" t="s">
        <v>9</v>
      </c>
      <c r="P481" s="20" t="s">
        <v>10</v>
      </c>
      <c r="Q481" s="20" t="s">
        <v>11</v>
      </c>
      <c r="R481" s="21" t="s">
        <v>12</v>
      </c>
      <c r="S481" s="20" t="s">
        <v>13</v>
      </c>
      <c r="T481" s="21" t="s">
        <v>14</v>
      </c>
      <c r="U481" s="20" t="s">
        <v>15</v>
      </c>
      <c r="V481" s="21" t="s">
        <v>16</v>
      </c>
      <c r="W481" s="20" t="s">
        <v>17</v>
      </c>
      <c r="X481" s="21" t="s">
        <v>18</v>
      </c>
      <c r="Y481" s="20" t="s">
        <v>19</v>
      </c>
      <c r="Z481" s="20" t="s">
        <v>20</v>
      </c>
    </row>
    <row r="482" spans="1:26" ht="13.9" customHeight="1" x14ac:dyDescent="0.25">
      <c r="A482" s="14">
        <v>7</v>
      </c>
      <c r="B482" s="14">
        <v>1</v>
      </c>
      <c r="C482" s="14">
        <v>1</v>
      </c>
      <c r="D482" s="4" t="s">
        <v>265</v>
      </c>
      <c r="E482" s="22">
        <v>610</v>
      </c>
      <c r="F482" s="22" t="s">
        <v>129</v>
      </c>
      <c r="G482" s="23">
        <v>24196.49</v>
      </c>
      <c r="H482" s="23">
        <v>26440.98</v>
      </c>
      <c r="I482" s="23">
        <v>27875</v>
      </c>
      <c r="J482" s="23">
        <v>32752.23</v>
      </c>
      <c r="K482" s="23">
        <v>31473</v>
      </c>
      <c r="L482" s="23"/>
      <c r="M482" s="23"/>
      <c r="N482" s="23"/>
      <c r="O482" s="23">
        <v>2100</v>
      </c>
      <c r="P482" s="23">
        <f>K482+SUM(L482:O482)</f>
        <v>33573</v>
      </c>
      <c r="Q482" s="23">
        <v>8030.43</v>
      </c>
      <c r="R482" s="24">
        <f t="shared" ref="R482:R494" si="220">Q482/$P482</f>
        <v>0.23919310159949961</v>
      </c>
      <c r="S482" s="23">
        <v>16188.77</v>
      </c>
      <c r="T482" s="24">
        <f t="shared" ref="T482:T494" si="221">S482/$P482</f>
        <v>0.48219610996932061</v>
      </c>
      <c r="U482" s="23">
        <v>24403.55</v>
      </c>
      <c r="V482" s="24">
        <f t="shared" ref="V482:V494" si="222">U482/$P482</f>
        <v>0.72688023113811695</v>
      </c>
      <c r="W482" s="23">
        <v>39601.25</v>
      </c>
      <c r="X482" s="24">
        <f t="shared" ref="X482:X494" si="223">W482/$P482</f>
        <v>1.179556488845203</v>
      </c>
      <c r="Y482" s="23">
        <v>34621</v>
      </c>
      <c r="Z482" s="23">
        <v>38083</v>
      </c>
    </row>
    <row r="483" spans="1:26" ht="13.9" customHeight="1" x14ac:dyDescent="0.25">
      <c r="A483" s="14">
        <v>7</v>
      </c>
      <c r="B483" s="14">
        <v>1</v>
      </c>
      <c r="C483" s="14">
        <v>1</v>
      </c>
      <c r="D483" s="4"/>
      <c r="E483" s="22">
        <v>620</v>
      </c>
      <c r="F483" s="22" t="s">
        <v>130</v>
      </c>
      <c r="G483" s="23">
        <v>8985.6299999999992</v>
      </c>
      <c r="H483" s="23">
        <v>9271.02</v>
      </c>
      <c r="I483" s="23">
        <v>10813</v>
      </c>
      <c r="J483" s="23">
        <v>11339.77</v>
      </c>
      <c r="K483" s="23">
        <v>12375</v>
      </c>
      <c r="L483" s="23"/>
      <c r="M483" s="23"/>
      <c r="N483" s="23"/>
      <c r="O483" s="23">
        <v>735</v>
      </c>
      <c r="P483" s="23">
        <f>K483+SUM(L483:O483)</f>
        <v>13110</v>
      </c>
      <c r="Q483" s="23">
        <v>2781.41</v>
      </c>
      <c r="R483" s="24">
        <f t="shared" si="220"/>
        <v>0.21215942028985507</v>
      </c>
      <c r="S483" s="23">
        <v>5555.04</v>
      </c>
      <c r="T483" s="24">
        <f t="shared" si="221"/>
        <v>0.42372540045766588</v>
      </c>
      <c r="U483" s="23">
        <v>8392.36</v>
      </c>
      <c r="V483" s="24">
        <f t="shared" si="222"/>
        <v>0.64014950419527084</v>
      </c>
      <c r="W483" s="23">
        <v>14628.48</v>
      </c>
      <c r="X483" s="24">
        <f t="shared" si="223"/>
        <v>1.1158260869565217</v>
      </c>
      <c r="Y483" s="23">
        <v>13612</v>
      </c>
      <c r="Z483" s="23">
        <v>14974</v>
      </c>
    </row>
    <row r="484" spans="1:26" ht="13.9" hidden="1" customHeight="1" x14ac:dyDescent="0.25">
      <c r="A484" s="14">
        <v>7</v>
      </c>
      <c r="B484" s="14">
        <v>1</v>
      </c>
      <c r="C484" s="14">
        <v>1</v>
      </c>
      <c r="D484" s="4"/>
      <c r="E484" s="22">
        <v>630</v>
      </c>
      <c r="F484" s="22" t="s">
        <v>131</v>
      </c>
      <c r="G484" s="23">
        <v>1743.17</v>
      </c>
      <c r="H484" s="23">
        <v>0</v>
      </c>
      <c r="I484" s="23">
        <v>0</v>
      </c>
      <c r="J484" s="23">
        <v>0</v>
      </c>
      <c r="K484" s="23">
        <v>0</v>
      </c>
      <c r="L484" s="23"/>
      <c r="M484" s="23"/>
      <c r="N484" s="23"/>
      <c r="O484" s="23"/>
      <c r="P484" s="23">
        <f>K484+SUM(L484:O484)</f>
        <v>0</v>
      </c>
      <c r="Q484" s="23">
        <v>0</v>
      </c>
      <c r="R484" s="24" t="e">
        <f t="shared" si="220"/>
        <v>#DIV/0!</v>
      </c>
      <c r="S484" s="23">
        <v>0</v>
      </c>
      <c r="T484" s="24" t="e">
        <f t="shared" si="221"/>
        <v>#DIV/0!</v>
      </c>
      <c r="U484" s="23"/>
      <c r="V484" s="24" t="e">
        <f t="shared" si="222"/>
        <v>#DIV/0!</v>
      </c>
      <c r="W484" s="23"/>
      <c r="X484" s="24" t="e">
        <f t="shared" si="223"/>
        <v>#DIV/0!</v>
      </c>
      <c r="Y484" s="23">
        <v>0</v>
      </c>
      <c r="Z484" s="23">
        <v>0</v>
      </c>
    </row>
    <row r="485" spans="1:26" ht="13.9" customHeight="1" x14ac:dyDescent="0.25">
      <c r="A485" s="14">
        <v>7</v>
      </c>
      <c r="B485" s="14">
        <v>1</v>
      </c>
      <c r="C485" s="14">
        <v>1</v>
      </c>
      <c r="D485" s="84" t="s">
        <v>21</v>
      </c>
      <c r="E485" s="47">
        <v>111</v>
      </c>
      <c r="F485" s="47" t="s">
        <v>134</v>
      </c>
      <c r="G485" s="48">
        <f t="shared" ref="G485:Q485" si="224">SUM(G482:G484)</f>
        <v>34925.29</v>
      </c>
      <c r="H485" s="48">
        <f t="shared" si="224"/>
        <v>35712</v>
      </c>
      <c r="I485" s="99">
        <f t="shared" si="224"/>
        <v>38688</v>
      </c>
      <c r="J485" s="99">
        <f t="shared" si="224"/>
        <v>44092</v>
      </c>
      <c r="K485" s="99">
        <f t="shared" si="224"/>
        <v>43848</v>
      </c>
      <c r="L485" s="99">
        <f t="shared" si="224"/>
        <v>0</v>
      </c>
      <c r="M485" s="99">
        <f t="shared" si="224"/>
        <v>0</v>
      </c>
      <c r="N485" s="99">
        <f t="shared" si="224"/>
        <v>0</v>
      </c>
      <c r="O485" s="99">
        <f t="shared" si="224"/>
        <v>2835</v>
      </c>
      <c r="P485" s="99">
        <f t="shared" si="224"/>
        <v>46683</v>
      </c>
      <c r="Q485" s="99">
        <f t="shared" si="224"/>
        <v>10811.84</v>
      </c>
      <c r="R485" s="100">
        <f t="shared" si="220"/>
        <v>0.23160122528543581</v>
      </c>
      <c r="S485" s="99">
        <f>SUM(S482:S484)</f>
        <v>21743.81</v>
      </c>
      <c r="T485" s="100">
        <f t="shared" si="221"/>
        <v>0.46577576419681688</v>
      </c>
      <c r="U485" s="99">
        <f>SUM(U482:U484)</f>
        <v>32795.910000000003</v>
      </c>
      <c r="V485" s="100">
        <f t="shared" si="222"/>
        <v>0.7025236167341431</v>
      </c>
      <c r="W485" s="99">
        <f>SUM(W482:W484)</f>
        <v>54229.729999999996</v>
      </c>
      <c r="X485" s="100">
        <f t="shared" si="223"/>
        <v>1.161659062185378</v>
      </c>
      <c r="Y485" s="48">
        <f>SUM(Y482:Y484)</f>
        <v>48233</v>
      </c>
      <c r="Z485" s="48">
        <f>SUM(Z482:Z484)</f>
        <v>53057</v>
      </c>
    </row>
    <row r="486" spans="1:26" ht="13.9" customHeight="1" x14ac:dyDescent="0.25">
      <c r="A486" s="14">
        <v>7</v>
      </c>
      <c r="B486" s="14">
        <v>1</v>
      </c>
      <c r="C486" s="14">
        <v>1</v>
      </c>
      <c r="D486" s="4" t="s">
        <v>265</v>
      </c>
      <c r="E486" s="22">
        <v>610</v>
      </c>
      <c r="F486" s="22" t="s">
        <v>129</v>
      </c>
      <c r="G486" s="23">
        <v>26657.85</v>
      </c>
      <c r="H486" s="23">
        <v>32739.95</v>
      </c>
      <c r="I486" s="23">
        <v>46273</v>
      </c>
      <c r="J486" s="23">
        <v>44457.69</v>
      </c>
      <c r="K486" s="23">
        <f>45344-105</f>
        <v>45239</v>
      </c>
      <c r="L486" s="23"/>
      <c r="M486" s="23">
        <v>3966</v>
      </c>
      <c r="N486" s="23"/>
      <c r="O486" s="23">
        <v>-334</v>
      </c>
      <c r="P486" s="23">
        <f>K486+SUM(L486:O486)</f>
        <v>48871</v>
      </c>
      <c r="Q486" s="23">
        <v>8803.5499999999993</v>
      </c>
      <c r="R486" s="24">
        <f t="shared" si="220"/>
        <v>0.18013852796136767</v>
      </c>
      <c r="S486" s="23">
        <v>19650.650000000001</v>
      </c>
      <c r="T486" s="24">
        <f t="shared" si="221"/>
        <v>0.40209224284340411</v>
      </c>
      <c r="U486" s="23">
        <v>35550.410000000003</v>
      </c>
      <c r="V486" s="24">
        <f t="shared" si="222"/>
        <v>0.72743365185897579</v>
      </c>
      <c r="W486" s="23">
        <v>47011.49</v>
      </c>
      <c r="X486" s="24">
        <f t="shared" si="223"/>
        <v>0.96195064557713161</v>
      </c>
      <c r="Y486" s="23">
        <v>48762</v>
      </c>
      <c r="Z486" s="23">
        <v>53138</v>
      </c>
    </row>
    <row r="487" spans="1:26" ht="13.9" customHeight="1" x14ac:dyDescent="0.25">
      <c r="A487" s="14">
        <v>7</v>
      </c>
      <c r="B487" s="14">
        <v>1</v>
      </c>
      <c r="C487" s="14">
        <v>1</v>
      </c>
      <c r="D487" s="4"/>
      <c r="E487" s="22">
        <v>620</v>
      </c>
      <c r="F487" s="22" t="s">
        <v>130</v>
      </c>
      <c r="G487" s="23">
        <v>10236.89</v>
      </c>
      <c r="H487" s="23">
        <v>12271.98</v>
      </c>
      <c r="I487" s="23">
        <v>18335</v>
      </c>
      <c r="J487" s="23">
        <v>15094.65</v>
      </c>
      <c r="K487" s="23">
        <f>18848+197</f>
        <v>19045</v>
      </c>
      <c r="L487" s="23"/>
      <c r="M487" s="23">
        <v>2079</v>
      </c>
      <c r="N487" s="23"/>
      <c r="O487" s="23"/>
      <c r="P487" s="23">
        <f>K487+SUM(L487:O487)</f>
        <v>21124</v>
      </c>
      <c r="Q487" s="23">
        <v>3398.58</v>
      </c>
      <c r="R487" s="24">
        <f t="shared" si="220"/>
        <v>0.16088714258663131</v>
      </c>
      <c r="S487" s="23">
        <v>7394.99</v>
      </c>
      <c r="T487" s="24">
        <f t="shared" si="221"/>
        <v>0.35007526983525844</v>
      </c>
      <c r="U487" s="23">
        <v>13138.76</v>
      </c>
      <c r="V487" s="24">
        <f t="shared" si="222"/>
        <v>0.62198257905699683</v>
      </c>
      <c r="W487" s="23">
        <v>18262.7</v>
      </c>
      <c r="X487" s="24">
        <f t="shared" si="223"/>
        <v>0.86454743419806857</v>
      </c>
      <c r="Y487" s="23">
        <f>18711+197</f>
        <v>18908</v>
      </c>
      <c r="Z487" s="23">
        <f>20394+197</f>
        <v>20591</v>
      </c>
    </row>
    <row r="488" spans="1:26" ht="13.9" customHeight="1" x14ac:dyDescent="0.25">
      <c r="A488" s="14">
        <v>7</v>
      </c>
      <c r="B488" s="14">
        <v>1</v>
      </c>
      <c r="C488" s="14">
        <v>1</v>
      </c>
      <c r="D488" s="4"/>
      <c r="E488" s="22">
        <v>630</v>
      </c>
      <c r="F488" s="22" t="s">
        <v>131</v>
      </c>
      <c r="G488" s="23">
        <v>16568.79</v>
      </c>
      <c r="H488" s="23">
        <v>31927.69</v>
      </c>
      <c r="I488" s="23">
        <v>25683</v>
      </c>
      <c r="J488" s="23">
        <v>30286.91</v>
      </c>
      <c r="K488" s="23">
        <f>6876+23716</f>
        <v>30592</v>
      </c>
      <c r="L488" s="23"/>
      <c r="M488" s="23"/>
      <c r="N488" s="23"/>
      <c r="O488" s="23"/>
      <c r="P488" s="23">
        <f>K488+SUM(L488:O488)</f>
        <v>30592</v>
      </c>
      <c r="Q488" s="23">
        <v>6395.87</v>
      </c>
      <c r="R488" s="24">
        <f t="shared" si="220"/>
        <v>0.20907001830543934</v>
      </c>
      <c r="S488" s="23">
        <v>13141.21</v>
      </c>
      <c r="T488" s="24">
        <f t="shared" si="221"/>
        <v>0.4295636114016736</v>
      </c>
      <c r="U488" s="23">
        <v>20304.560000000001</v>
      </c>
      <c r="V488" s="24">
        <f t="shared" si="222"/>
        <v>0.66372123430962349</v>
      </c>
      <c r="W488" s="23">
        <v>29423.03</v>
      </c>
      <c r="X488" s="24">
        <f t="shared" si="223"/>
        <v>0.96178837604602507</v>
      </c>
      <c r="Y488" s="23">
        <f>6923+23716</f>
        <v>30639</v>
      </c>
      <c r="Z488" s="23">
        <f>7009+23716</f>
        <v>30725</v>
      </c>
    </row>
    <row r="489" spans="1:26" ht="13.9" customHeight="1" x14ac:dyDescent="0.25">
      <c r="A489" s="14">
        <v>7</v>
      </c>
      <c r="B489" s="14">
        <v>1</v>
      </c>
      <c r="C489" s="14">
        <v>1</v>
      </c>
      <c r="D489" s="4"/>
      <c r="E489" s="22">
        <v>640</v>
      </c>
      <c r="F489" s="22" t="s">
        <v>132</v>
      </c>
      <c r="G489" s="23">
        <v>73.180000000000007</v>
      </c>
      <c r="H489" s="23">
        <v>87.84</v>
      </c>
      <c r="I489" s="23">
        <v>3351</v>
      </c>
      <c r="J489" s="23">
        <v>172.18</v>
      </c>
      <c r="K489" s="23">
        <f>3966+105</f>
        <v>4071</v>
      </c>
      <c r="L489" s="23"/>
      <c r="M489" s="23">
        <v>1983</v>
      </c>
      <c r="N489" s="23"/>
      <c r="O489" s="23">
        <v>334</v>
      </c>
      <c r="P489" s="23">
        <f>K489+SUM(L489:O489)</f>
        <v>6388</v>
      </c>
      <c r="Q489" s="23">
        <v>104.59</v>
      </c>
      <c r="R489" s="24">
        <f t="shared" si="220"/>
        <v>1.6372886662492172E-2</v>
      </c>
      <c r="S489" s="23">
        <v>104.59</v>
      </c>
      <c r="T489" s="24">
        <f t="shared" si="221"/>
        <v>1.6372886662492172E-2</v>
      </c>
      <c r="U489" s="23">
        <v>104.59</v>
      </c>
      <c r="V489" s="24">
        <f t="shared" si="222"/>
        <v>1.6372886662492172E-2</v>
      </c>
      <c r="W489" s="23">
        <v>6387.09</v>
      </c>
      <c r="X489" s="24">
        <f t="shared" si="223"/>
        <v>0.99985754539762051</v>
      </c>
      <c r="Y489" s="23">
        <v>0</v>
      </c>
      <c r="Z489" s="23">
        <v>0</v>
      </c>
    </row>
    <row r="490" spans="1:26" ht="13.9" customHeight="1" x14ac:dyDescent="0.25">
      <c r="A490" s="14">
        <v>7</v>
      </c>
      <c r="B490" s="14">
        <v>1</v>
      </c>
      <c r="C490" s="14">
        <v>1</v>
      </c>
      <c r="D490" s="84" t="s">
        <v>21</v>
      </c>
      <c r="E490" s="47">
        <v>41</v>
      </c>
      <c r="F490" s="47" t="s">
        <v>23</v>
      </c>
      <c r="G490" s="48">
        <f t="shared" ref="G490:Q490" si="225">SUM(G486:G489)</f>
        <v>53536.71</v>
      </c>
      <c r="H490" s="48">
        <f t="shared" si="225"/>
        <v>77027.459999999992</v>
      </c>
      <c r="I490" s="48">
        <f t="shared" si="225"/>
        <v>93642</v>
      </c>
      <c r="J490" s="48">
        <f t="shared" si="225"/>
        <v>90011.43</v>
      </c>
      <c r="K490" s="48">
        <f t="shared" si="225"/>
        <v>98947</v>
      </c>
      <c r="L490" s="48">
        <f t="shared" si="225"/>
        <v>0</v>
      </c>
      <c r="M490" s="48">
        <f t="shared" si="225"/>
        <v>8028</v>
      </c>
      <c r="N490" s="48">
        <f t="shared" si="225"/>
        <v>0</v>
      </c>
      <c r="O490" s="48">
        <f t="shared" si="225"/>
        <v>0</v>
      </c>
      <c r="P490" s="48">
        <f t="shared" si="225"/>
        <v>106975</v>
      </c>
      <c r="Q490" s="48">
        <f t="shared" si="225"/>
        <v>18702.59</v>
      </c>
      <c r="R490" s="49">
        <f t="shared" si="220"/>
        <v>0.17483140920775883</v>
      </c>
      <c r="S490" s="48">
        <f>SUM(S486:S489)</f>
        <v>40291.439999999995</v>
      </c>
      <c r="T490" s="49">
        <f t="shared" si="221"/>
        <v>0.37664351483991582</v>
      </c>
      <c r="U490" s="48">
        <f>SUM(U486:U489)</f>
        <v>69098.320000000007</v>
      </c>
      <c r="V490" s="49">
        <f t="shared" si="222"/>
        <v>0.64592960972189772</v>
      </c>
      <c r="W490" s="48">
        <f>SUM(W486:W489)</f>
        <v>101084.31</v>
      </c>
      <c r="X490" s="49">
        <f t="shared" si="223"/>
        <v>0.94493395653189993</v>
      </c>
      <c r="Y490" s="48">
        <f>SUM(Y486:Y489)</f>
        <v>98309</v>
      </c>
      <c r="Z490" s="48">
        <f>SUM(Z486:Z489)</f>
        <v>104454</v>
      </c>
    </row>
    <row r="491" spans="1:26" ht="13.9" hidden="1" customHeight="1" x14ac:dyDescent="0.25">
      <c r="A491" s="14">
        <v>7</v>
      </c>
      <c r="B491" s="14">
        <v>1</v>
      </c>
      <c r="C491" s="14">
        <v>1</v>
      </c>
      <c r="D491" s="50" t="s">
        <v>265</v>
      </c>
      <c r="E491" s="22">
        <v>630</v>
      </c>
      <c r="F491" s="22" t="s">
        <v>131</v>
      </c>
      <c r="G491" s="23">
        <v>0</v>
      </c>
      <c r="H491" s="23">
        <v>1000</v>
      </c>
      <c r="I491" s="23">
        <v>0</v>
      </c>
      <c r="J491" s="23">
        <v>0</v>
      </c>
      <c r="K491" s="23">
        <v>0</v>
      </c>
      <c r="L491" s="23"/>
      <c r="M491" s="23"/>
      <c r="N491" s="23"/>
      <c r="O491" s="23"/>
      <c r="P491" s="23">
        <f>K491+SUM(L491:O491)</f>
        <v>0</v>
      </c>
      <c r="Q491" s="23">
        <v>0</v>
      </c>
      <c r="R491" s="24" t="e">
        <f t="shared" si="220"/>
        <v>#DIV/0!</v>
      </c>
      <c r="S491" s="23">
        <v>0</v>
      </c>
      <c r="T491" s="24" t="e">
        <f t="shared" si="221"/>
        <v>#DIV/0!</v>
      </c>
      <c r="U491" s="23"/>
      <c r="V491" s="24" t="e">
        <f t="shared" si="222"/>
        <v>#DIV/0!</v>
      </c>
      <c r="W491" s="23"/>
      <c r="X491" s="24" t="e">
        <f t="shared" si="223"/>
        <v>#DIV/0!</v>
      </c>
      <c r="Y491" s="23">
        <f>K491</f>
        <v>0</v>
      </c>
      <c r="Z491" s="23">
        <f>Y491</f>
        <v>0</v>
      </c>
    </row>
    <row r="492" spans="1:26" ht="13.9" customHeight="1" x14ac:dyDescent="0.25">
      <c r="A492" s="14">
        <v>7</v>
      </c>
      <c r="B492" s="14">
        <v>1</v>
      </c>
      <c r="C492" s="14">
        <v>1</v>
      </c>
      <c r="D492" s="50" t="s">
        <v>265</v>
      </c>
      <c r="E492" s="22">
        <v>640</v>
      </c>
      <c r="F492" s="22" t="s">
        <v>132</v>
      </c>
      <c r="G492" s="23">
        <v>684.11</v>
      </c>
      <c r="H492" s="23">
        <v>801.98</v>
      </c>
      <c r="I492" s="23">
        <v>831</v>
      </c>
      <c r="J492" s="23">
        <v>958.75</v>
      </c>
      <c r="K492" s="23">
        <v>959</v>
      </c>
      <c r="L492" s="23"/>
      <c r="M492" s="23"/>
      <c r="N492" s="23"/>
      <c r="O492" s="23">
        <v>114</v>
      </c>
      <c r="P492" s="23">
        <f>K492+SUM(L492:O492)</f>
        <v>1073</v>
      </c>
      <c r="Q492" s="23">
        <v>0</v>
      </c>
      <c r="R492" s="24">
        <f t="shared" si="220"/>
        <v>0</v>
      </c>
      <c r="S492" s="23">
        <v>0</v>
      </c>
      <c r="T492" s="24">
        <f t="shared" si="221"/>
        <v>0</v>
      </c>
      <c r="U492" s="23">
        <v>0</v>
      </c>
      <c r="V492" s="24">
        <f t="shared" si="222"/>
        <v>0</v>
      </c>
      <c r="W492" s="23">
        <v>1072.5</v>
      </c>
      <c r="X492" s="24">
        <f t="shared" si="223"/>
        <v>0.99953401677539611</v>
      </c>
      <c r="Y492" s="23">
        <f>K492</f>
        <v>959</v>
      </c>
      <c r="Z492" s="23">
        <f>Y492</f>
        <v>959</v>
      </c>
    </row>
    <row r="493" spans="1:26" ht="13.9" customHeight="1" x14ac:dyDescent="0.25">
      <c r="A493" s="14">
        <v>7</v>
      </c>
      <c r="B493" s="14">
        <v>1</v>
      </c>
      <c r="C493" s="14">
        <v>1</v>
      </c>
      <c r="D493" s="84" t="s">
        <v>21</v>
      </c>
      <c r="E493" s="47">
        <v>72</v>
      </c>
      <c r="F493" s="47" t="s">
        <v>25</v>
      </c>
      <c r="G493" s="48">
        <f t="shared" ref="G493:Q493" si="226">SUM(G491:G492)</f>
        <v>684.11</v>
      </c>
      <c r="H493" s="48">
        <f t="shared" si="226"/>
        <v>1801.98</v>
      </c>
      <c r="I493" s="48">
        <f t="shared" si="226"/>
        <v>831</v>
      </c>
      <c r="J493" s="48">
        <f t="shared" si="226"/>
        <v>958.75</v>
      </c>
      <c r="K493" s="48">
        <f t="shared" si="226"/>
        <v>959</v>
      </c>
      <c r="L493" s="48">
        <f t="shared" si="226"/>
        <v>0</v>
      </c>
      <c r="M493" s="48">
        <f t="shared" si="226"/>
        <v>0</v>
      </c>
      <c r="N493" s="48">
        <f t="shared" si="226"/>
        <v>0</v>
      </c>
      <c r="O493" s="48">
        <f t="shared" si="226"/>
        <v>114</v>
      </c>
      <c r="P493" s="48">
        <f t="shared" si="226"/>
        <v>1073</v>
      </c>
      <c r="Q493" s="48">
        <f t="shared" si="226"/>
        <v>0</v>
      </c>
      <c r="R493" s="49">
        <f t="shared" si="220"/>
        <v>0</v>
      </c>
      <c r="S493" s="48">
        <f>SUM(S491:S492)</f>
        <v>0</v>
      </c>
      <c r="T493" s="49">
        <f t="shared" si="221"/>
        <v>0</v>
      </c>
      <c r="U493" s="48">
        <f>SUM(U491:U492)</f>
        <v>0</v>
      </c>
      <c r="V493" s="49">
        <f t="shared" si="222"/>
        <v>0</v>
      </c>
      <c r="W493" s="48">
        <f>SUM(W491:W492)</f>
        <v>1072.5</v>
      </c>
      <c r="X493" s="49">
        <f t="shared" si="223"/>
        <v>0.99953401677539611</v>
      </c>
      <c r="Y493" s="48">
        <f>SUM(Y491:Y492)</f>
        <v>959</v>
      </c>
      <c r="Z493" s="48">
        <f>SUM(Z491:Z492)</f>
        <v>959</v>
      </c>
    </row>
    <row r="494" spans="1:26" ht="13.9" customHeight="1" x14ac:dyDescent="0.25">
      <c r="A494" s="14">
        <v>7</v>
      </c>
      <c r="B494" s="14">
        <v>1</v>
      </c>
      <c r="C494" s="14">
        <v>1</v>
      </c>
      <c r="D494" s="29"/>
      <c r="E494" s="30"/>
      <c r="F494" s="25" t="s">
        <v>124</v>
      </c>
      <c r="G494" s="26">
        <f t="shared" ref="G494:Q494" si="227">G485+G490+G493</f>
        <v>89146.11</v>
      </c>
      <c r="H494" s="26">
        <f t="shared" si="227"/>
        <v>114541.43999999999</v>
      </c>
      <c r="I494" s="26">
        <f t="shared" si="227"/>
        <v>133161</v>
      </c>
      <c r="J494" s="26">
        <f t="shared" si="227"/>
        <v>135062.18</v>
      </c>
      <c r="K494" s="26">
        <f t="shared" si="227"/>
        <v>143754</v>
      </c>
      <c r="L494" s="26">
        <f t="shared" si="227"/>
        <v>0</v>
      </c>
      <c r="M494" s="26">
        <f t="shared" si="227"/>
        <v>8028</v>
      </c>
      <c r="N494" s="26">
        <f t="shared" si="227"/>
        <v>0</v>
      </c>
      <c r="O494" s="26">
        <f t="shared" si="227"/>
        <v>2949</v>
      </c>
      <c r="P494" s="26">
        <f t="shared" si="227"/>
        <v>154731</v>
      </c>
      <c r="Q494" s="26">
        <f t="shared" si="227"/>
        <v>29514.43</v>
      </c>
      <c r="R494" s="27">
        <f t="shared" si="220"/>
        <v>0.19074671526714104</v>
      </c>
      <c r="S494" s="26">
        <f>S485+S490+S493</f>
        <v>62035.25</v>
      </c>
      <c r="T494" s="27">
        <f t="shared" si="221"/>
        <v>0.40092321512819024</v>
      </c>
      <c r="U494" s="26">
        <f>U485+U490+U493</f>
        <v>101894.23000000001</v>
      </c>
      <c r="V494" s="27">
        <f t="shared" si="222"/>
        <v>0.65852498852847852</v>
      </c>
      <c r="W494" s="26">
        <f>W485+W490+W493</f>
        <v>156386.53999999998</v>
      </c>
      <c r="X494" s="27">
        <f t="shared" si="223"/>
        <v>1.0106994719868674</v>
      </c>
      <c r="Y494" s="26">
        <f>Y485+Y490+Y493</f>
        <v>147501</v>
      </c>
      <c r="Z494" s="26">
        <f>Z485+Z490+Z493</f>
        <v>158470</v>
      </c>
    </row>
    <row r="496" spans="1:26" ht="13.9" customHeight="1" x14ac:dyDescent="0.25">
      <c r="E496" s="51" t="s">
        <v>57</v>
      </c>
      <c r="F496" s="29" t="s">
        <v>149</v>
      </c>
      <c r="G496" s="52">
        <v>3025</v>
      </c>
      <c r="H496" s="52">
        <v>2926</v>
      </c>
      <c r="I496" s="52">
        <v>2926</v>
      </c>
      <c r="J496" s="52">
        <v>2453</v>
      </c>
      <c r="K496" s="52">
        <v>2585</v>
      </c>
      <c r="L496" s="52"/>
      <c r="M496" s="52"/>
      <c r="N496" s="52"/>
      <c r="O496" s="52"/>
      <c r="P496" s="52">
        <f>K496+SUM(L496:O496)</f>
        <v>2585</v>
      </c>
      <c r="Q496" s="52">
        <v>470</v>
      </c>
      <c r="R496" s="53">
        <f>Q496/$P496</f>
        <v>0.18181818181818182</v>
      </c>
      <c r="S496" s="52">
        <v>1175</v>
      </c>
      <c r="T496" s="53">
        <f>S496/$P496</f>
        <v>0.45454545454545453</v>
      </c>
      <c r="U496" s="52">
        <v>1880</v>
      </c>
      <c r="V496" s="53">
        <f>U496/$P496</f>
        <v>0.72727272727272729</v>
      </c>
      <c r="W496" s="52">
        <v>2585</v>
      </c>
      <c r="X496" s="54">
        <f>W496/$P496</f>
        <v>1</v>
      </c>
      <c r="Y496" s="52">
        <f>K496</f>
        <v>2585</v>
      </c>
      <c r="Z496" s="55">
        <f>Y496</f>
        <v>2585</v>
      </c>
    </row>
    <row r="497" spans="1:26" ht="13.9" customHeight="1" x14ac:dyDescent="0.25">
      <c r="E497" s="56"/>
      <c r="F497" s="92" t="s">
        <v>150</v>
      </c>
      <c r="G497" s="81">
        <v>1740</v>
      </c>
      <c r="H497" s="81">
        <v>4785.0600000000004</v>
      </c>
      <c r="I497" s="81">
        <v>2400</v>
      </c>
      <c r="J497" s="81">
        <v>2148</v>
      </c>
      <c r="K497" s="81">
        <v>1752</v>
      </c>
      <c r="L497" s="81"/>
      <c r="M497" s="81"/>
      <c r="N497" s="81"/>
      <c r="O497" s="81"/>
      <c r="P497" s="81">
        <f>K497+SUM(L497:O497)</f>
        <v>1752</v>
      </c>
      <c r="Q497" s="81">
        <v>438</v>
      </c>
      <c r="R497" s="82">
        <f>Q497/$P497</f>
        <v>0.25</v>
      </c>
      <c r="S497" s="81">
        <v>876</v>
      </c>
      <c r="T497" s="82">
        <f>S497/$P497</f>
        <v>0.5</v>
      </c>
      <c r="U497" s="81">
        <v>1314</v>
      </c>
      <c r="V497" s="82">
        <f>U497/$P497</f>
        <v>0.75</v>
      </c>
      <c r="W497" s="81">
        <v>1752</v>
      </c>
      <c r="X497" s="59">
        <f>W497/$P497</f>
        <v>1</v>
      </c>
      <c r="Y497" s="81">
        <f>K497</f>
        <v>1752</v>
      </c>
      <c r="Z497" s="60">
        <f>Y497</f>
        <v>1752</v>
      </c>
    </row>
    <row r="498" spans="1:26" ht="13.9" customHeight="1" x14ac:dyDescent="0.25">
      <c r="E498" s="56"/>
      <c r="F498" s="92" t="s">
        <v>266</v>
      </c>
      <c r="G498" s="81"/>
      <c r="H498" s="81">
        <v>10244.33</v>
      </c>
      <c r="I498" s="81">
        <v>10045</v>
      </c>
      <c r="J498" s="81">
        <v>13404.89</v>
      </c>
      <c r="K498" s="81">
        <v>13405</v>
      </c>
      <c r="L498" s="81"/>
      <c r="M498" s="81"/>
      <c r="N498" s="81"/>
      <c r="O498" s="81">
        <v>-103</v>
      </c>
      <c r="P498" s="81">
        <f>K498+SUM(L498:O498)</f>
        <v>13302</v>
      </c>
      <c r="Q498" s="81">
        <v>3232.28</v>
      </c>
      <c r="R498" s="82">
        <f>Q498/$P498</f>
        <v>0.24299203127349273</v>
      </c>
      <c r="S498" s="81">
        <v>6338.69</v>
      </c>
      <c r="T498" s="82">
        <f>S498/$P498</f>
        <v>0.47652157570290177</v>
      </c>
      <c r="U498" s="81">
        <v>9292.5400000000009</v>
      </c>
      <c r="V498" s="82">
        <f>U498/$P498</f>
        <v>0.69858216809502338</v>
      </c>
      <c r="W498" s="81">
        <v>12133.27</v>
      </c>
      <c r="X498" s="59">
        <f>W498/$P498</f>
        <v>0.91213877612389116</v>
      </c>
      <c r="Y498" s="81">
        <f>K498</f>
        <v>13405</v>
      </c>
      <c r="Z498" s="60">
        <f>Y498</f>
        <v>13405</v>
      </c>
    </row>
    <row r="499" spans="1:26" ht="13.9" customHeight="1" x14ac:dyDescent="0.25">
      <c r="E499" s="64"/>
      <c r="F499" s="95" t="s">
        <v>267</v>
      </c>
      <c r="G499" s="66"/>
      <c r="H499" s="66"/>
      <c r="I499" s="66">
        <v>4321</v>
      </c>
      <c r="J499" s="66">
        <v>0</v>
      </c>
      <c r="K499" s="66">
        <v>5074</v>
      </c>
      <c r="L499" s="66"/>
      <c r="M499" s="66">
        <v>8028</v>
      </c>
      <c r="N499" s="66"/>
      <c r="O499" s="66">
        <v>1480</v>
      </c>
      <c r="P499" s="66">
        <f>K499+SUM(L499:O499)</f>
        <v>14582</v>
      </c>
      <c r="Q499" s="66">
        <v>0</v>
      </c>
      <c r="R499" s="67">
        <f>Q499/$P499</f>
        <v>0</v>
      </c>
      <c r="S499" s="66">
        <v>1278.52</v>
      </c>
      <c r="T499" s="67">
        <f>S499/$P499</f>
        <v>8.7677959127691676E-2</v>
      </c>
      <c r="U499" s="66">
        <v>5114.08</v>
      </c>
      <c r="V499" s="67">
        <f>U499/$P499</f>
        <v>0.35071183651076671</v>
      </c>
      <c r="W499" s="66">
        <v>14582.1</v>
      </c>
      <c r="X499" s="68">
        <f>W499/$P499</f>
        <v>1.0000068577698533</v>
      </c>
      <c r="Y499" s="81">
        <v>0</v>
      </c>
      <c r="Z499" s="60">
        <v>0</v>
      </c>
    </row>
    <row r="500" spans="1:26" ht="13.9" hidden="1" customHeight="1" x14ac:dyDescent="0.25">
      <c r="E500" s="64"/>
      <c r="F500" s="95" t="s">
        <v>268</v>
      </c>
      <c r="G500" s="66">
        <v>1743.17</v>
      </c>
      <c r="H500" s="66">
        <v>1743.17</v>
      </c>
      <c r="I500" s="66">
        <v>0</v>
      </c>
      <c r="J500" s="66">
        <v>0</v>
      </c>
      <c r="K500" s="66">
        <v>0</v>
      </c>
      <c r="L500" s="66"/>
      <c r="M500" s="66"/>
      <c r="N500" s="66"/>
      <c r="O500" s="66"/>
      <c r="P500" s="66">
        <f>K500+SUM(L500:O500)</f>
        <v>0</v>
      </c>
      <c r="Q500" s="66">
        <v>0</v>
      </c>
      <c r="R500" s="67" t="e">
        <f>Q500/$P500</f>
        <v>#DIV/0!</v>
      </c>
      <c r="S500" s="66">
        <v>0</v>
      </c>
      <c r="T500" s="67" t="e">
        <f>S500/$P500</f>
        <v>#DIV/0!</v>
      </c>
      <c r="U500" s="66"/>
      <c r="V500" s="67" t="e">
        <f>U500/$P500</f>
        <v>#DIV/0!</v>
      </c>
      <c r="W500" s="66"/>
      <c r="X500" s="68" t="e">
        <f>W500/$P500</f>
        <v>#DIV/0!</v>
      </c>
      <c r="Y500" s="66">
        <v>0</v>
      </c>
      <c r="Z500" s="69">
        <v>0</v>
      </c>
    </row>
    <row r="502" spans="1:26" ht="13.9" customHeight="1" x14ac:dyDescent="0.25">
      <c r="D502" s="72" t="s">
        <v>269</v>
      </c>
      <c r="E502" s="72"/>
      <c r="F502" s="72"/>
      <c r="G502" s="72"/>
      <c r="H502" s="72"/>
      <c r="I502" s="72"/>
      <c r="J502" s="72"/>
      <c r="K502" s="72"/>
      <c r="L502" s="72"/>
      <c r="M502" s="72"/>
      <c r="N502" s="72"/>
      <c r="O502" s="72"/>
      <c r="P502" s="72"/>
      <c r="Q502" s="72"/>
      <c r="R502" s="73"/>
      <c r="S502" s="72"/>
      <c r="T502" s="73"/>
      <c r="U502" s="72"/>
      <c r="V502" s="73"/>
      <c r="W502" s="72"/>
      <c r="X502" s="73"/>
      <c r="Y502" s="72"/>
      <c r="Z502" s="72"/>
    </row>
    <row r="503" spans="1:26" ht="13.9" customHeight="1" x14ac:dyDescent="0.25">
      <c r="D503" s="20" t="s">
        <v>33</v>
      </c>
      <c r="E503" s="20" t="s">
        <v>34</v>
      </c>
      <c r="F503" s="20" t="s">
        <v>35</v>
      </c>
      <c r="G503" s="20" t="s">
        <v>1</v>
      </c>
      <c r="H503" s="20" t="s">
        <v>2</v>
      </c>
      <c r="I503" s="20" t="s">
        <v>3</v>
      </c>
      <c r="J503" s="20" t="s">
        <v>4</v>
      </c>
      <c r="K503" s="20" t="s">
        <v>5</v>
      </c>
      <c r="L503" s="20" t="s">
        <v>6</v>
      </c>
      <c r="M503" s="20" t="s">
        <v>7</v>
      </c>
      <c r="N503" s="20" t="s">
        <v>8</v>
      </c>
      <c r="O503" s="20" t="s">
        <v>9</v>
      </c>
      <c r="P503" s="20" t="s">
        <v>10</v>
      </c>
      <c r="Q503" s="20" t="s">
        <v>11</v>
      </c>
      <c r="R503" s="21" t="s">
        <v>12</v>
      </c>
      <c r="S503" s="20" t="s">
        <v>13</v>
      </c>
      <c r="T503" s="21" t="s">
        <v>14</v>
      </c>
      <c r="U503" s="20" t="s">
        <v>15</v>
      </c>
      <c r="V503" s="21" t="s">
        <v>16</v>
      </c>
      <c r="W503" s="20" t="s">
        <v>17</v>
      </c>
      <c r="X503" s="21" t="s">
        <v>18</v>
      </c>
      <c r="Y503" s="20" t="s">
        <v>19</v>
      </c>
      <c r="Z503" s="20" t="s">
        <v>20</v>
      </c>
    </row>
    <row r="504" spans="1:26" ht="13.9" customHeight="1" x14ac:dyDescent="0.25">
      <c r="A504" s="14">
        <v>7</v>
      </c>
      <c r="B504" s="14">
        <v>1</v>
      </c>
      <c r="C504" s="14">
        <v>2</v>
      </c>
      <c r="D504" s="83" t="s">
        <v>265</v>
      </c>
      <c r="E504" s="22">
        <v>630</v>
      </c>
      <c r="F504" s="22" t="s">
        <v>131</v>
      </c>
      <c r="G504" s="23">
        <v>3482.13</v>
      </c>
      <c r="H504" s="23">
        <v>3789.87</v>
      </c>
      <c r="I504" s="23">
        <v>3800</v>
      </c>
      <c r="J504" s="23">
        <v>1703.4</v>
      </c>
      <c r="K504" s="23">
        <v>1700</v>
      </c>
      <c r="L504" s="23"/>
      <c r="M504" s="23"/>
      <c r="N504" s="23"/>
      <c r="O504" s="23">
        <v>403</v>
      </c>
      <c r="P504" s="23">
        <f>K504+SUM(L504:O504)</f>
        <v>2103</v>
      </c>
      <c r="Q504" s="23">
        <v>0</v>
      </c>
      <c r="R504" s="24">
        <f>Q504/$P504</f>
        <v>0</v>
      </c>
      <c r="S504" s="23">
        <v>0</v>
      </c>
      <c r="T504" s="24">
        <f>S504/$P504</f>
        <v>0</v>
      </c>
      <c r="U504" s="23">
        <v>0</v>
      </c>
      <c r="V504" s="24">
        <f>U504/$P504</f>
        <v>0</v>
      </c>
      <c r="W504" s="23">
        <v>1936.95</v>
      </c>
      <c r="X504" s="24">
        <f>W504/$P504</f>
        <v>0.92104136947218262</v>
      </c>
      <c r="Y504" s="23">
        <f>K504</f>
        <v>1700</v>
      </c>
      <c r="Z504" s="23">
        <f>Y504</f>
        <v>1700</v>
      </c>
    </row>
    <row r="505" spans="1:26" ht="13.9" customHeight="1" x14ac:dyDescent="0.25">
      <c r="A505" s="14">
        <v>7</v>
      </c>
      <c r="B505" s="14">
        <v>1</v>
      </c>
      <c r="C505" s="14">
        <v>2</v>
      </c>
      <c r="D505" s="78" t="s">
        <v>21</v>
      </c>
      <c r="E505" s="25">
        <v>41</v>
      </c>
      <c r="F505" s="25" t="s">
        <v>23</v>
      </c>
      <c r="G505" s="26">
        <f t="shared" ref="G505:Q505" si="228">SUM(G504:G504)</f>
        <v>3482.13</v>
      </c>
      <c r="H505" s="26">
        <f t="shared" si="228"/>
        <v>3789.87</v>
      </c>
      <c r="I505" s="26">
        <f t="shared" si="228"/>
        <v>3800</v>
      </c>
      <c r="J505" s="26">
        <f t="shared" si="228"/>
        <v>1703.4</v>
      </c>
      <c r="K505" s="26">
        <f t="shared" si="228"/>
        <v>1700</v>
      </c>
      <c r="L505" s="26">
        <f t="shared" si="228"/>
        <v>0</v>
      </c>
      <c r="M505" s="26">
        <f t="shared" si="228"/>
        <v>0</v>
      </c>
      <c r="N505" s="26">
        <f t="shared" si="228"/>
        <v>0</v>
      </c>
      <c r="O505" s="26">
        <f t="shared" si="228"/>
        <v>403</v>
      </c>
      <c r="P505" s="26">
        <f t="shared" si="228"/>
        <v>2103</v>
      </c>
      <c r="Q505" s="26">
        <f t="shared" si="228"/>
        <v>0</v>
      </c>
      <c r="R505" s="27">
        <f>Q505/$P505</f>
        <v>0</v>
      </c>
      <c r="S505" s="26">
        <f>SUM(S504:S504)</f>
        <v>0</v>
      </c>
      <c r="T505" s="27">
        <f>S505/$P505</f>
        <v>0</v>
      </c>
      <c r="U505" s="26">
        <f>SUM(U504:U504)</f>
        <v>0</v>
      </c>
      <c r="V505" s="27">
        <f>U505/$P505</f>
        <v>0</v>
      </c>
      <c r="W505" s="26">
        <f>SUM(W504:W504)</f>
        <v>1936.95</v>
      </c>
      <c r="X505" s="27">
        <f>W505/$P505</f>
        <v>0.92104136947218262</v>
      </c>
      <c r="Y505" s="26">
        <f>SUM(Y504:Y504)</f>
        <v>1700</v>
      </c>
      <c r="Z505" s="26">
        <f>SUM(Z504:Z504)</f>
        <v>1700</v>
      </c>
    </row>
    <row r="507" spans="1:26" ht="13.9" hidden="1" customHeight="1" x14ac:dyDescent="0.25">
      <c r="E507" s="51" t="s">
        <v>57</v>
      </c>
      <c r="F507" s="29" t="s">
        <v>270</v>
      </c>
      <c r="G507" s="52">
        <v>284</v>
      </c>
      <c r="H507" s="52">
        <v>303.2</v>
      </c>
      <c r="I507" s="52">
        <v>200</v>
      </c>
      <c r="J507" s="52">
        <v>14.4</v>
      </c>
      <c r="K507" s="52">
        <v>0</v>
      </c>
      <c r="L507" s="52"/>
      <c r="M507" s="52"/>
      <c r="N507" s="52"/>
      <c r="O507" s="52"/>
      <c r="P507" s="52">
        <f>K507+SUM(L507:O507)</f>
        <v>0</v>
      </c>
      <c r="Q507" s="52">
        <v>0</v>
      </c>
      <c r="R507" s="53" t="e">
        <f>Q507/$P507</f>
        <v>#DIV/0!</v>
      </c>
      <c r="S507" s="52">
        <v>0</v>
      </c>
      <c r="T507" s="53" t="e">
        <f>S507/$P507</f>
        <v>#DIV/0!</v>
      </c>
      <c r="U507" s="52"/>
      <c r="V507" s="53" t="e">
        <f>U507/$P507</f>
        <v>#DIV/0!</v>
      </c>
      <c r="W507" s="52"/>
      <c r="X507" s="54" t="e">
        <f>W507/$P507</f>
        <v>#DIV/0!</v>
      </c>
      <c r="Y507" s="52">
        <f>K507</f>
        <v>0</v>
      </c>
      <c r="Z507" s="55">
        <f>Y507</f>
        <v>0</v>
      </c>
    </row>
    <row r="508" spans="1:26" ht="13.9" customHeight="1" x14ac:dyDescent="0.25">
      <c r="E508" s="110" t="s">
        <v>57</v>
      </c>
      <c r="F508" s="111" t="s">
        <v>271</v>
      </c>
      <c r="G508" s="113">
        <v>3198.13</v>
      </c>
      <c r="H508" s="113">
        <v>3593.07</v>
      </c>
      <c r="I508" s="113">
        <v>3600</v>
      </c>
      <c r="J508" s="113">
        <v>1689</v>
      </c>
      <c r="K508" s="113">
        <v>1700</v>
      </c>
      <c r="L508" s="113"/>
      <c r="M508" s="113"/>
      <c r="N508" s="113"/>
      <c r="O508" s="113">
        <v>403</v>
      </c>
      <c r="P508" s="113">
        <f>K508+SUM(L508:O508)</f>
        <v>2103</v>
      </c>
      <c r="Q508" s="113">
        <v>0</v>
      </c>
      <c r="R508" s="114">
        <f>Q508/$P508</f>
        <v>0</v>
      </c>
      <c r="S508" s="113">
        <v>0</v>
      </c>
      <c r="T508" s="114">
        <f>S508/$P508</f>
        <v>0</v>
      </c>
      <c r="U508" s="113">
        <v>0</v>
      </c>
      <c r="V508" s="114">
        <f>U508/$P508</f>
        <v>0</v>
      </c>
      <c r="W508" s="113">
        <v>1936.95</v>
      </c>
      <c r="X508" s="115">
        <f>W508/$P508</f>
        <v>0.92104136947218262</v>
      </c>
      <c r="Y508" s="81">
        <f>K508</f>
        <v>1700</v>
      </c>
      <c r="Z508" s="60">
        <f>Y508</f>
        <v>1700</v>
      </c>
    </row>
    <row r="509" spans="1:26" ht="13.9" hidden="1" customHeight="1" x14ac:dyDescent="0.25">
      <c r="E509" s="64"/>
      <c r="F509" s="95" t="s">
        <v>272</v>
      </c>
      <c r="G509" s="66"/>
      <c r="H509" s="66"/>
      <c r="I509" s="66">
        <v>0</v>
      </c>
      <c r="J509" s="66">
        <v>0</v>
      </c>
      <c r="K509" s="66">
        <v>0</v>
      </c>
      <c r="L509" s="66"/>
      <c r="M509" s="66"/>
      <c r="N509" s="66"/>
      <c r="O509" s="66"/>
      <c r="P509" s="66">
        <f>K509+SUM(L509:O509)</f>
        <v>0</v>
      </c>
      <c r="Q509" s="66">
        <v>0</v>
      </c>
      <c r="R509" s="67" t="e">
        <f>Q509/$P509</f>
        <v>#DIV/0!</v>
      </c>
      <c r="S509" s="66">
        <v>0</v>
      </c>
      <c r="T509" s="67" t="e">
        <f>S509/$P509</f>
        <v>#DIV/0!</v>
      </c>
      <c r="U509" s="66"/>
      <c r="V509" s="67" t="e">
        <f>U509/$P509</f>
        <v>#DIV/0!</v>
      </c>
      <c r="W509" s="66"/>
      <c r="X509" s="68" t="e">
        <f>W509/$P509</f>
        <v>#DIV/0!</v>
      </c>
      <c r="Y509" s="66">
        <f>K509</f>
        <v>0</v>
      </c>
      <c r="Z509" s="69">
        <f>Y509</f>
        <v>0</v>
      </c>
    </row>
    <row r="511" spans="1:26" ht="13.9" customHeight="1" x14ac:dyDescent="0.25">
      <c r="D511" s="40" t="s">
        <v>273</v>
      </c>
      <c r="E511" s="40"/>
      <c r="F511" s="40"/>
      <c r="G511" s="40"/>
      <c r="H511" s="40"/>
      <c r="I511" s="40"/>
      <c r="J511" s="40"/>
      <c r="K511" s="40"/>
      <c r="L511" s="40"/>
      <c r="M511" s="40"/>
      <c r="N511" s="40"/>
      <c r="O511" s="40"/>
      <c r="P511" s="40"/>
      <c r="Q511" s="40"/>
      <c r="R511" s="41"/>
      <c r="S511" s="40"/>
      <c r="T511" s="41"/>
      <c r="U511" s="40"/>
      <c r="V511" s="41"/>
      <c r="W511" s="40"/>
      <c r="X511" s="41"/>
      <c r="Y511" s="40"/>
      <c r="Z511" s="40"/>
    </row>
    <row r="512" spans="1:26" ht="13.9" customHeight="1" x14ac:dyDescent="0.25">
      <c r="D512" s="20" t="s">
        <v>33</v>
      </c>
      <c r="E512" s="20" t="s">
        <v>34</v>
      </c>
      <c r="F512" s="20" t="s">
        <v>35</v>
      </c>
      <c r="G512" s="20" t="s">
        <v>1</v>
      </c>
      <c r="H512" s="20" t="s">
        <v>2</v>
      </c>
      <c r="I512" s="20" t="s">
        <v>3</v>
      </c>
      <c r="J512" s="20" t="s">
        <v>4</v>
      </c>
      <c r="K512" s="20" t="s">
        <v>5</v>
      </c>
      <c r="L512" s="20" t="s">
        <v>6</v>
      </c>
      <c r="M512" s="20" t="s">
        <v>7</v>
      </c>
      <c r="N512" s="20" t="s">
        <v>8</v>
      </c>
      <c r="O512" s="20" t="s">
        <v>9</v>
      </c>
      <c r="P512" s="20" t="s">
        <v>10</v>
      </c>
      <c r="Q512" s="20" t="s">
        <v>11</v>
      </c>
      <c r="R512" s="21" t="s">
        <v>12</v>
      </c>
      <c r="S512" s="20" t="s">
        <v>13</v>
      </c>
      <c r="T512" s="21" t="s">
        <v>14</v>
      </c>
      <c r="U512" s="20" t="s">
        <v>15</v>
      </c>
      <c r="V512" s="21" t="s">
        <v>16</v>
      </c>
      <c r="W512" s="20" t="s">
        <v>17</v>
      </c>
      <c r="X512" s="21" t="s">
        <v>18</v>
      </c>
      <c r="Y512" s="20" t="s">
        <v>19</v>
      </c>
      <c r="Z512" s="20" t="s">
        <v>20</v>
      </c>
    </row>
    <row r="513" spans="1:26" ht="13.9" customHeight="1" x14ac:dyDescent="0.25">
      <c r="A513" s="14">
        <v>7</v>
      </c>
      <c r="B513" s="14">
        <v>2</v>
      </c>
      <c r="D513" s="50" t="s">
        <v>274</v>
      </c>
      <c r="E513" s="22">
        <v>640</v>
      </c>
      <c r="F513" s="22" t="s">
        <v>132</v>
      </c>
      <c r="G513" s="23">
        <v>1065.1199999999999</v>
      </c>
      <c r="H513" s="23">
        <v>1248.68</v>
      </c>
      <c r="I513" s="45">
        <v>1065</v>
      </c>
      <c r="J513" s="45">
        <v>4587.3100000000004</v>
      </c>
      <c r="K513" s="45">
        <v>4588</v>
      </c>
      <c r="L513" s="45"/>
      <c r="M513" s="45"/>
      <c r="N513" s="45">
        <f>1000+1735</f>
        <v>2735</v>
      </c>
      <c r="O513" s="45"/>
      <c r="P513" s="45">
        <f>K513+SUM(L513:O513)</f>
        <v>7323</v>
      </c>
      <c r="Q513" s="45">
        <v>1589</v>
      </c>
      <c r="R513" s="46">
        <f t="shared" ref="R513:R520" si="229">Q513/$P513</f>
        <v>0.21698757339888025</v>
      </c>
      <c r="S513" s="45">
        <v>3181.7</v>
      </c>
      <c r="T513" s="46">
        <f t="shared" ref="T513:T520" si="230">S513/$P513</f>
        <v>0.43448040420592648</v>
      </c>
      <c r="U513" s="45">
        <v>4816.3999999999996</v>
      </c>
      <c r="V513" s="46">
        <f t="shared" ref="V513:V520" si="231">U513/$P513</f>
        <v>0.65770858937593879</v>
      </c>
      <c r="W513" s="45">
        <v>7154.1</v>
      </c>
      <c r="X513" s="46">
        <f t="shared" ref="X513:X520" si="232">W513/$P513</f>
        <v>0.97693568209750103</v>
      </c>
      <c r="Y513" s="23">
        <f>K513</f>
        <v>4588</v>
      </c>
      <c r="Z513" s="23">
        <f>Y513</f>
        <v>4588</v>
      </c>
    </row>
    <row r="514" spans="1:26" ht="13.9" customHeight="1" x14ac:dyDescent="0.25">
      <c r="A514" s="14">
        <v>7</v>
      </c>
      <c r="B514" s="14">
        <v>2</v>
      </c>
      <c r="D514" s="124" t="s">
        <v>275</v>
      </c>
      <c r="E514" s="22">
        <v>630</v>
      </c>
      <c r="F514" s="22" t="s">
        <v>131</v>
      </c>
      <c r="G514" s="23">
        <v>762</v>
      </c>
      <c r="H514" s="23">
        <v>6055.2</v>
      </c>
      <c r="I514" s="45">
        <v>0</v>
      </c>
      <c r="J514" s="45">
        <v>13994.4</v>
      </c>
      <c r="K514" s="45">
        <v>22229</v>
      </c>
      <c r="L514" s="45"/>
      <c r="M514" s="45"/>
      <c r="N514" s="45"/>
      <c r="O514" s="45"/>
      <c r="P514" s="45">
        <f>K514+SUM(L514:O514)</f>
        <v>22229</v>
      </c>
      <c r="Q514" s="45">
        <v>22228.799999999999</v>
      </c>
      <c r="R514" s="46">
        <f t="shared" si="229"/>
        <v>0.99999100274416297</v>
      </c>
      <c r="S514" s="45">
        <v>22228.799999999999</v>
      </c>
      <c r="T514" s="46">
        <f t="shared" si="230"/>
        <v>0.99999100274416297</v>
      </c>
      <c r="U514" s="45">
        <v>22228.799999999999</v>
      </c>
      <c r="V514" s="46">
        <f t="shared" si="231"/>
        <v>0.99999100274416297</v>
      </c>
      <c r="W514" s="45">
        <v>22228.799999999999</v>
      </c>
      <c r="X514" s="46">
        <f t="shared" si="232"/>
        <v>0.99999100274416297</v>
      </c>
      <c r="Y514" s="23">
        <v>0</v>
      </c>
      <c r="Z514" s="23">
        <f>Y514</f>
        <v>0</v>
      </c>
    </row>
    <row r="515" spans="1:26" ht="13.9" customHeight="1" x14ac:dyDescent="0.25">
      <c r="A515" s="14">
        <v>7</v>
      </c>
      <c r="B515" s="14">
        <v>2</v>
      </c>
      <c r="D515" s="84" t="s">
        <v>21</v>
      </c>
      <c r="E515" s="47">
        <v>111</v>
      </c>
      <c r="F515" s="47" t="s">
        <v>134</v>
      </c>
      <c r="G515" s="48">
        <f t="shared" ref="G515:Q515" si="233">SUM(G513:G514)</f>
        <v>1827.12</v>
      </c>
      <c r="H515" s="48">
        <f t="shared" si="233"/>
        <v>7303.88</v>
      </c>
      <c r="I515" s="48">
        <f t="shared" si="233"/>
        <v>1065</v>
      </c>
      <c r="J515" s="48">
        <f t="shared" si="233"/>
        <v>18581.71</v>
      </c>
      <c r="K515" s="48">
        <f t="shared" si="233"/>
        <v>26817</v>
      </c>
      <c r="L515" s="48">
        <f t="shared" si="233"/>
        <v>0</v>
      </c>
      <c r="M515" s="48">
        <f t="shared" si="233"/>
        <v>0</v>
      </c>
      <c r="N515" s="48">
        <f t="shared" si="233"/>
        <v>2735</v>
      </c>
      <c r="O515" s="48">
        <f t="shared" si="233"/>
        <v>0</v>
      </c>
      <c r="P515" s="48">
        <f t="shared" si="233"/>
        <v>29552</v>
      </c>
      <c r="Q515" s="48">
        <f t="shared" si="233"/>
        <v>23817.8</v>
      </c>
      <c r="R515" s="49">
        <f t="shared" si="229"/>
        <v>0.80596237141310234</v>
      </c>
      <c r="S515" s="48">
        <f>SUM(S513:S514)</f>
        <v>25410.5</v>
      </c>
      <c r="T515" s="49">
        <f t="shared" si="230"/>
        <v>0.8598572008662696</v>
      </c>
      <c r="U515" s="48">
        <f>SUM(U513:U514)</f>
        <v>27045.199999999997</v>
      </c>
      <c r="V515" s="49">
        <f t="shared" si="231"/>
        <v>0.91517325392528415</v>
      </c>
      <c r="W515" s="48">
        <f>SUM(W513:W514)</f>
        <v>29382.9</v>
      </c>
      <c r="X515" s="49">
        <f t="shared" si="232"/>
        <v>0.99427788305360043</v>
      </c>
      <c r="Y515" s="48">
        <f>SUM(Y513:Y514)</f>
        <v>4588</v>
      </c>
      <c r="Z515" s="48">
        <f>SUM(Z513:Z514)</f>
        <v>4588</v>
      </c>
    </row>
    <row r="516" spans="1:26" ht="13.9" hidden="1" customHeight="1" x14ac:dyDescent="0.25">
      <c r="A516" s="14">
        <v>7</v>
      </c>
      <c r="B516" s="14">
        <v>2</v>
      </c>
      <c r="D516" s="125" t="s">
        <v>274</v>
      </c>
      <c r="E516" s="22">
        <v>630</v>
      </c>
      <c r="F516" s="22" t="s">
        <v>131</v>
      </c>
      <c r="G516" s="23">
        <v>0</v>
      </c>
      <c r="H516" s="23">
        <v>458.88</v>
      </c>
      <c r="I516" s="23">
        <v>0</v>
      </c>
      <c r="J516" s="23">
        <v>0</v>
      </c>
      <c r="K516" s="23">
        <v>0</v>
      </c>
      <c r="L516" s="23"/>
      <c r="M516" s="23"/>
      <c r="N516" s="23"/>
      <c r="O516" s="23"/>
      <c r="P516" s="23">
        <f>K516+SUM(L516:O516)</f>
        <v>0</v>
      </c>
      <c r="Q516" s="23">
        <v>0</v>
      </c>
      <c r="R516" s="24" t="e">
        <f t="shared" si="229"/>
        <v>#DIV/0!</v>
      </c>
      <c r="S516" s="23">
        <v>0</v>
      </c>
      <c r="T516" s="24" t="e">
        <f t="shared" si="230"/>
        <v>#DIV/0!</v>
      </c>
      <c r="U516" s="23"/>
      <c r="V516" s="24" t="e">
        <f t="shared" si="231"/>
        <v>#DIV/0!</v>
      </c>
      <c r="W516" s="23"/>
      <c r="X516" s="24" t="e">
        <f t="shared" si="232"/>
        <v>#DIV/0!</v>
      </c>
      <c r="Y516" s="23">
        <f>K516</f>
        <v>0</v>
      </c>
      <c r="Z516" s="23">
        <f>Y516</f>
        <v>0</v>
      </c>
    </row>
    <row r="517" spans="1:26" ht="13.9" customHeight="1" x14ac:dyDescent="0.25">
      <c r="A517" s="14">
        <v>7</v>
      </c>
      <c r="B517" s="14">
        <v>2</v>
      </c>
      <c r="D517" s="125" t="s">
        <v>274</v>
      </c>
      <c r="E517" s="22">
        <v>640</v>
      </c>
      <c r="F517" s="22" t="s">
        <v>132</v>
      </c>
      <c r="G517" s="23">
        <v>2900</v>
      </c>
      <c r="H517" s="23">
        <v>3700</v>
      </c>
      <c r="I517" s="23">
        <v>3800</v>
      </c>
      <c r="J517" s="23">
        <v>1200</v>
      </c>
      <c r="K517" s="23">
        <v>3800</v>
      </c>
      <c r="L517" s="23"/>
      <c r="M517" s="23"/>
      <c r="N517" s="23">
        <v>1000</v>
      </c>
      <c r="O517" s="23"/>
      <c r="P517" s="23">
        <f>K517+SUM(L517:O517)</f>
        <v>4800</v>
      </c>
      <c r="Q517" s="23">
        <v>1800</v>
      </c>
      <c r="R517" s="24">
        <f t="shared" si="229"/>
        <v>0.375</v>
      </c>
      <c r="S517" s="23">
        <v>1800</v>
      </c>
      <c r="T517" s="24">
        <f t="shared" si="230"/>
        <v>0.375</v>
      </c>
      <c r="U517" s="23">
        <v>4200</v>
      </c>
      <c r="V517" s="24">
        <f t="shared" si="231"/>
        <v>0.875</v>
      </c>
      <c r="W517" s="23">
        <v>4500</v>
      </c>
      <c r="X517" s="24">
        <f t="shared" si="232"/>
        <v>0.9375</v>
      </c>
      <c r="Y517" s="23">
        <f>K517</f>
        <v>3800</v>
      </c>
      <c r="Z517" s="23">
        <f>Y517</f>
        <v>3800</v>
      </c>
    </row>
    <row r="518" spans="1:26" ht="13.9" hidden="1" customHeight="1" x14ac:dyDescent="0.25">
      <c r="A518" s="14">
        <v>7</v>
      </c>
      <c r="B518" s="14">
        <v>2</v>
      </c>
      <c r="D518" s="124" t="s">
        <v>275</v>
      </c>
      <c r="E518" s="22">
        <v>640</v>
      </c>
      <c r="F518" s="22" t="s">
        <v>132</v>
      </c>
      <c r="G518" s="23">
        <v>0</v>
      </c>
      <c r="H518" s="23">
        <v>1100</v>
      </c>
      <c r="I518" s="23">
        <v>0</v>
      </c>
      <c r="J518" s="23">
        <v>0</v>
      </c>
      <c r="K518" s="23">
        <v>0</v>
      </c>
      <c r="L518" s="23"/>
      <c r="M518" s="23"/>
      <c r="N518" s="23"/>
      <c r="O518" s="23"/>
      <c r="P518" s="23">
        <f>K518+SUM(L518:O518)</f>
        <v>0</v>
      </c>
      <c r="Q518" s="23">
        <v>0</v>
      </c>
      <c r="R518" s="24" t="e">
        <f t="shared" si="229"/>
        <v>#DIV/0!</v>
      </c>
      <c r="S518" s="23">
        <v>0</v>
      </c>
      <c r="T518" s="24" t="e">
        <f t="shared" si="230"/>
        <v>#DIV/0!</v>
      </c>
      <c r="U518" s="23"/>
      <c r="V518" s="24" t="e">
        <f t="shared" si="231"/>
        <v>#DIV/0!</v>
      </c>
      <c r="W518" s="23"/>
      <c r="X518" s="24" t="e">
        <f t="shared" si="232"/>
        <v>#DIV/0!</v>
      </c>
      <c r="Y518" s="23">
        <v>0</v>
      </c>
      <c r="Z518" s="23">
        <f>Y518</f>
        <v>0</v>
      </c>
    </row>
    <row r="519" spans="1:26" ht="13.9" customHeight="1" x14ac:dyDescent="0.25">
      <c r="A519" s="14">
        <v>7</v>
      </c>
      <c r="B519" s="14">
        <v>2</v>
      </c>
      <c r="D519" s="84" t="s">
        <v>21</v>
      </c>
      <c r="E519" s="47">
        <v>41</v>
      </c>
      <c r="F519" s="47" t="s">
        <v>23</v>
      </c>
      <c r="G519" s="48">
        <f t="shared" ref="G519:Q519" si="234">SUM(G516:G518)</f>
        <v>2900</v>
      </c>
      <c r="H519" s="48">
        <f t="shared" si="234"/>
        <v>5258.88</v>
      </c>
      <c r="I519" s="48">
        <f t="shared" si="234"/>
        <v>3800</v>
      </c>
      <c r="J519" s="48">
        <f t="shared" si="234"/>
        <v>1200</v>
      </c>
      <c r="K519" s="48">
        <f t="shared" si="234"/>
        <v>3800</v>
      </c>
      <c r="L519" s="48">
        <f t="shared" si="234"/>
        <v>0</v>
      </c>
      <c r="M519" s="48">
        <f t="shared" si="234"/>
        <v>0</v>
      </c>
      <c r="N519" s="48">
        <f t="shared" si="234"/>
        <v>1000</v>
      </c>
      <c r="O519" s="48">
        <f t="shared" si="234"/>
        <v>0</v>
      </c>
      <c r="P519" s="48">
        <f t="shared" si="234"/>
        <v>4800</v>
      </c>
      <c r="Q519" s="48">
        <f t="shared" si="234"/>
        <v>1800</v>
      </c>
      <c r="R519" s="49">
        <f t="shared" si="229"/>
        <v>0.375</v>
      </c>
      <c r="S519" s="48">
        <f>SUM(S516:S518)</f>
        <v>1800</v>
      </c>
      <c r="T519" s="49">
        <f t="shared" si="230"/>
        <v>0.375</v>
      </c>
      <c r="U519" s="48">
        <f>SUM(U516:U518)</f>
        <v>4200</v>
      </c>
      <c r="V519" s="49">
        <f t="shared" si="231"/>
        <v>0.875</v>
      </c>
      <c r="W519" s="48">
        <f>SUM(W516:W518)</f>
        <v>4500</v>
      </c>
      <c r="X519" s="49">
        <f t="shared" si="232"/>
        <v>0.9375</v>
      </c>
      <c r="Y519" s="48">
        <f>SUM(Y516:Y518)</f>
        <v>3800</v>
      </c>
      <c r="Z519" s="48">
        <f>SUM(Z516:Z518)</f>
        <v>3800</v>
      </c>
    </row>
    <row r="520" spans="1:26" ht="13.9" customHeight="1" x14ac:dyDescent="0.25">
      <c r="A520" s="14">
        <v>7</v>
      </c>
      <c r="B520" s="14">
        <v>2</v>
      </c>
      <c r="D520" s="29"/>
      <c r="E520" s="30"/>
      <c r="F520" s="25" t="s">
        <v>124</v>
      </c>
      <c r="G520" s="26">
        <f t="shared" ref="G520:Q520" si="235">G515+G519</f>
        <v>4727.12</v>
      </c>
      <c r="H520" s="26">
        <f t="shared" si="235"/>
        <v>12562.76</v>
      </c>
      <c r="I520" s="26">
        <f t="shared" si="235"/>
        <v>4865</v>
      </c>
      <c r="J520" s="26">
        <f t="shared" si="235"/>
        <v>19781.71</v>
      </c>
      <c r="K520" s="26">
        <f t="shared" si="235"/>
        <v>30617</v>
      </c>
      <c r="L520" s="26">
        <f t="shared" si="235"/>
        <v>0</v>
      </c>
      <c r="M520" s="26">
        <f t="shared" si="235"/>
        <v>0</v>
      </c>
      <c r="N520" s="26">
        <f t="shared" si="235"/>
        <v>3735</v>
      </c>
      <c r="O520" s="26">
        <f t="shared" si="235"/>
        <v>0</v>
      </c>
      <c r="P520" s="26">
        <f t="shared" si="235"/>
        <v>34352</v>
      </c>
      <c r="Q520" s="26">
        <f t="shared" si="235"/>
        <v>25617.8</v>
      </c>
      <c r="R520" s="27">
        <f t="shared" si="229"/>
        <v>0.74574406148113648</v>
      </c>
      <c r="S520" s="26">
        <f>S515+S519</f>
        <v>27210.5</v>
      </c>
      <c r="T520" s="27">
        <f t="shared" si="230"/>
        <v>0.79210817419655333</v>
      </c>
      <c r="U520" s="26">
        <f>U515+U519</f>
        <v>31245.199999999997</v>
      </c>
      <c r="V520" s="27">
        <f t="shared" si="231"/>
        <v>0.90955985095482061</v>
      </c>
      <c r="W520" s="26">
        <f>W515+W519</f>
        <v>33882.9</v>
      </c>
      <c r="X520" s="27">
        <f t="shared" si="232"/>
        <v>0.98634431765253849</v>
      </c>
      <c r="Y520" s="26">
        <f>Y515+Y519</f>
        <v>8388</v>
      </c>
      <c r="Z520" s="26">
        <f>Z515+Z519</f>
        <v>8388</v>
      </c>
    </row>
    <row r="522" spans="1:26" ht="13.9" customHeight="1" x14ac:dyDescent="0.25">
      <c r="E522" s="110" t="s">
        <v>57</v>
      </c>
      <c r="F522" s="111" t="s">
        <v>276</v>
      </c>
      <c r="G522" s="113">
        <v>2900</v>
      </c>
      <c r="H522" s="112">
        <v>3700</v>
      </c>
      <c r="I522" s="113">
        <v>3800</v>
      </c>
      <c r="J522" s="113">
        <v>1200</v>
      </c>
      <c r="K522" s="113">
        <v>3800</v>
      </c>
      <c r="L522" s="113"/>
      <c r="M522" s="113"/>
      <c r="N522" s="113">
        <v>1000</v>
      </c>
      <c r="O522" s="113"/>
      <c r="P522" s="113">
        <f>K522+SUM(L522:O522)</f>
        <v>4800</v>
      </c>
      <c r="Q522" s="113">
        <v>1800</v>
      </c>
      <c r="R522" s="114">
        <f>Q522/$P522</f>
        <v>0.375</v>
      </c>
      <c r="S522" s="113">
        <v>1000</v>
      </c>
      <c r="T522" s="114">
        <f>S522/$P522</f>
        <v>0.20833333333333334</v>
      </c>
      <c r="U522" s="113">
        <v>4200</v>
      </c>
      <c r="V522" s="114">
        <f>U522/$P522</f>
        <v>0.875</v>
      </c>
      <c r="W522" s="113">
        <v>4500</v>
      </c>
      <c r="X522" s="115">
        <f>W522/$P522</f>
        <v>0.9375</v>
      </c>
      <c r="Y522" s="113">
        <f>K522</f>
        <v>3800</v>
      </c>
      <c r="Z522" s="116">
        <f>Y522</f>
        <v>3800</v>
      </c>
    </row>
    <row r="524" spans="1:26" ht="13.9" customHeight="1" x14ac:dyDescent="0.25">
      <c r="D524" s="31" t="s">
        <v>277</v>
      </c>
      <c r="E524" s="31"/>
      <c r="F524" s="31"/>
      <c r="G524" s="31"/>
      <c r="H524" s="31"/>
      <c r="I524" s="31"/>
      <c r="J524" s="31"/>
      <c r="K524" s="31"/>
      <c r="L524" s="31"/>
      <c r="M524" s="31"/>
      <c r="N524" s="31"/>
      <c r="O524" s="31"/>
      <c r="P524" s="31"/>
      <c r="Q524" s="31"/>
      <c r="R524" s="32"/>
      <c r="S524" s="31"/>
      <c r="T524" s="32"/>
      <c r="U524" s="31"/>
      <c r="V524" s="32"/>
      <c r="W524" s="31"/>
      <c r="X524" s="32"/>
      <c r="Y524" s="31"/>
      <c r="Z524" s="31"/>
    </row>
    <row r="525" spans="1:26" ht="13.9" customHeight="1" x14ac:dyDescent="0.25">
      <c r="D525" s="19"/>
      <c r="E525" s="19"/>
      <c r="F525" s="19"/>
      <c r="G525" s="20" t="s">
        <v>1</v>
      </c>
      <c r="H525" s="20" t="s">
        <v>2</v>
      </c>
      <c r="I525" s="20" t="s">
        <v>3</v>
      </c>
      <c r="J525" s="20" t="s">
        <v>4</v>
      </c>
      <c r="K525" s="20" t="s">
        <v>5</v>
      </c>
      <c r="L525" s="20" t="s">
        <v>6</v>
      </c>
      <c r="M525" s="20" t="s">
        <v>7</v>
      </c>
      <c r="N525" s="20" t="s">
        <v>8</v>
      </c>
      <c r="O525" s="20" t="s">
        <v>9</v>
      </c>
      <c r="P525" s="20" t="s">
        <v>10</v>
      </c>
      <c r="Q525" s="20" t="s">
        <v>11</v>
      </c>
      <c r="R525" s="21" t="s">
        <v>12</v>
      </c>
      <c r="S525" s="20" t="s">
        <v>13</v>
      </c>
      <c r="T525" s="21" t="s">
        <v>14</v>
      </c>
      <c r="U525" s="20" t="s">
        <v>15</v>
      </c>
      <c r="V525" s="21" t="s">
        <v>16</v>
      </c>
      <c r="W525" s="20" t="s">
        <v>17</v>
      </c>
      <c r="X525" s="21" t="s">
        <v>18</v>
      </c>
      <c r="Y525" s="20" t="s">
        <v>19</v>
      </c>
      <c r="Z525" s="20" t="s">
        <v>20</v>
      </c>
    </row>
    <row r="526" spans="1:26" ht="13.9" customHeight="1" x14ac:dyDescent="0.25">
      <c r="A526" s="14">
        <v>8</v>
      </c>
      <c r="D526" s="11" t="s">
        <v>21</v>
      </c>
      <c r="E526" s="34">
        <v>111</v>
      </c>
      <c r="F526" s="34" t="s">
        <v>47</v>
      </c>
      <c r="G526" s="35">
        <f t="shared" ref="G526:Q526" si="236">G552+G579+G592+G610+G623</f>
        <v>675504.98</v>
      </c>
      <c r="H526" s="35">
        <f t="shared" si="236"/>
        <v>975398.05</v>
      </c>
      <c r="I526" s="35">
        <f t="shared" si="236"/>
        <v>330000</v>
      </c>
      <c r="J526" s="35">
        <f t="shared" si="236"/>
        <v>0</v>
      </c>
      <c r="K526" s="35">
        <f t="shared" si="236"/>
        <v>501000</v>
      </c>
      <c r="L526" s="35">
        <f t="shared" si="236"/>
        <v>0</v>
      </c>
      <c r="M526" s="35">
        <f t="shared" si="236"/>
        <v>0</v>
      </c>
      <c r="N526" s="35">
        <f t="shared" si="236"/>
        <v>0</v>
      </c>
      <c r="O526" s="35">
        <f t="shared" si="236"/>
        <v>-401000</v>
      </c>
      <c r="P526" s="35">
        <f t="shared" si="236"/>
        <v>100000</v>
      </c>
      <c r="Q526" s="35">
        <f t="shared" si="236"/>
        <v>0</v>
      </c>
      <c r="R526" s="36">
        <f>Q526/$P526</f>
        <v>0</v>
      </c>
      <c r="S526" s="35">
        <f>S552+S579+S592+S610+S623</f>
        <v>0</v>
      </c>
      <c r="T526" s="36">
        <f>S526/$P526</f>
        <v>0</v>
      </c>
      <c r="U526" s="35">
        <f>U552+U579+U592+U610+U623</f>
        <v>0</v>
      </c>
      <c r="V526" s="36">
        <f>U526/$P526</f>
        <v>0</v>
      </c>
      <c r="W526" s="35">
        <f>W552+W579+W592+W610+W623</f>
        <v>89115.6</v>
      </c>
      <c r="X526" s="36">
        <f>W526/$P526</f>
        <v>0.89115600000000006</v>
      </c>
      <c r="Y526" s="35">
        <f>Y552+Y579+Y592+Y610+Y623</f>
        <v>0</v>
      </c>
      <c r="Z526" s="35">
        <f>Z552+Z579+Z592+Z610+Z623</f>
        <v>0</v>
      </c>
    </row>
    <row r="527" spans="1:26" ht="13.9" customHeight="1" x14ac:dyDescent="0.25">
      <c r="A527" s="14">
        <v>8</v>
      </c>
      <c r="D527" s="11"/>
      <c r="E527" s="34">
        <v>41</v>
      </c>
      <c r="F527" s="34" t="s">
        <v>23</v>
      </c>
      <c r="G527" s="35">
        <f t="shared" ref="G527:Q527" si="237">G533+G553+G568+G580+G593+G611+G624+G634</f>
        <v>541019.75</v>
      </c>
      <c r="H527" s="35">
        <f t="shared" si="237"/>
        <v>260832.63000000006</v>
      </c>
      <c r="I527" s="35">
        <f t="shared" si="237"/>
        <v>742710</v>
      </c>
      <c r="J527" s="35">
        <f t="shared" si="237"/>
        <v>137834.32</v>
      </c>
      <c r="K527" s="35">
        <f t="shared" si="237"/>
        <v>1128978</v>
      </c>
      <c r="L527" s="35">
        <f t="shared" si="237"/>
        <v>-984</v>
      </c>
      <c r="M527" s="35">
        <f t="shared" si="237"/>
        <v>17290</v>
      </c>
      <c r="N527" s="35">
        <f t="shared" si="237"/>
        <v>-20000</v>
      </c>
      <c r="O527" s="35">
        <f t="shared" si="237"/>
        <v>-15901</v>
      </c>
      <c r="P527" s="35">
        <f t="shared" si="237"/>
        <v>1109383</v>
      </c>
      <c r="Q527" s="35">
        <f t="shared" si="237"/>
        <v>369107.66</v>
      </c>
      <c r="R527" s="36">
        <f>Q527/$P527</f>
        <v>0.33271436465134219</v>
      </c>
      <c r="S527" s="35">
        <f>S533+S553+S568+S580+S593+S611+S624+S634</f>
        <v>376362.62000000005</v>
      </c>
      <c r="T527" s="36">
        <f>S527/$P527</f>
        <v>0.33925399974580472</v>
      </c>
      <c r="U527" s="35">
        <f>U533+U553+U568+U580+U593+U611+U624+U634</f>
        <v>618186.75</v>
      </c>
      <c r="V527" s="36">
        <f>U527/$P527</f>
        <v>0.55723474219453517</v>
      </c>
      <c r="W527" s="35">
        <f>W533+W553+W568+W580+W593+W611+W624+W634</f>
        <v>885584.75</v>
      </c>
      <c r="X527" s="36">
        <f>W527/$P527</f>
        <v>0.79826782094191095</v>
      </c>
      <c r="Y527" s="35">
        <f>Y533+Y553+Y568+Y580+Y593+Y611+Y624+Y634</f>
        <v>449453</v>
      </c>
      <c r="Z527" s="35">
        <f>Z533+Z553+Z568+Z580+Z593+Z611+Z624+Z634</f>
        <v>463491</v>
      </c>
    </row>
    <row r="528" spans="1:26" ht="13.9" customHeight="1" x14ac:dyDescent="0.25">
      <c r="A528" s="14">
        <v>8</v>
      </c>
      <c r="D528" s="11"/>
      <c r="E528" s="34">
        <v>52</v>
      </c>
      <c r="F528" s="34" t="s">
        <v>28</v>
      </c>
      <c r="G528" s="35">
        <f t="shared" ref="G528:Q528" si="238">G534</f>
        <v>0</v>
      </c>
      <c r="H528" s="35">
        <f t="shared" si="238"/>
        <v>0</v>
      </c>
      <c r="I528" s="35">
        <f t="shared" si="238"/>
        <v>0</v>
      </c>
      <c r="J528" s="35">
        <f t="shared" si="238"/>
        <v>0</v>
      </c>
      <c r="K528" s="35">
        <f t="shared" si="238"/>
        <v>0</v>
      </c>
      <c r="L528" s="35">
        <f t="shared" si="238"/>
        <v>0</v>
      </c>
      <c r="M528" s="35">
        <f t="shared" si="238"/>
        <v>0</v>
      </c>
      <c r="N528" s="35">
        <f t="shared" si="238"/>
        <v>0</v>
      </c>
      <c r="O528" s="35">
        <f t="shared" si="238"/>
        <v>0</v>
      </c>
      <c r="P528" s="35">
        <f t="shared" si="238"/>
        <v>0</v>
      </c>
      <c r="Q528" s="35">
        <f t="shared" si="238"/>
        <v>0</v>
      </c>
      <c r="R528" s="36">
        <f>IFERROR(Q528/$P528,0)</f>
        <v>0</v>
      </c>
      <c r="S528" s="35">
        <f>S534</f>
        <v>0</v>
      </c>
      <c r="T528" s="36">
        <f>IFERROR(S528/$P528,0)</f>
        <v>0</v>
      </c>
      <c r="U528" s="35">
        <f>U534</f>
        <v>0</v>
      </c>
      <c r="V528" s="36">
        <f>IFERROR(U528/$P528,0)</f>
        <v>0</v>
      </c>
      <c r="W528" s="35">
        <f>W534</f>
        <v>0</v>
      </c>
      <c r="X528" s="36">
        <f>IFERROR(W528/$P528,0)</f>
        <v>0</v>
      </c>
      <c r="Y528" s="35">
        <f>Y534</f>
        <v>0</v>
      </c>
      <c r="Z528" s="35">
        <f>Z534</f>
        <v>0</v>
      </c>
    </row>
    <row r="529" spans="1:26" ht="13.9" customHeight="1" x14ac:dyDescent="0.25">
      <c r="A529" s="14">
        <v>8</v>
      </c>
      <c r="D529" s="29"/>
      <c r="E529" s="30"/>
      <c r="F529" s="37" t="s">
        <v>124</v>
      </c>
      <c r="G529" s="38">
        <f t="shared" ref="G529:Q529" si="239">SUM(G526:G528)</f>
        <v>1216524.73</v>
      </c>
      <c r="H529" s="38">
        <f t="shared" si="239"/>
        <v>1236230.6800000002</v>
      </c>
      <c r="I529" s="38">
        <f t="shared" si="239"/>
        <v>1072710</v>
      </c>
      <c r="J529" s="38">
        <f t="shared" si="239"/>
        <v>137834.32</v>
      </c>
      <c r="K529" s="38">
        <f t="shared" si="239"/>
        <v>1629978</v>
      </c>
      <c r="L529" s="38">
        <f t="shared" si="239"/>
        <v>-984</v>
      </c>
      <c r="M529" s="38">
        <f t="shared" si="239"/>
        <v>17290</v>
      </c>
      <c r="N529" s="38">
        <f t="shared" si="239"/>
        <v>-20000</v>
      </c>
      <c r="O529" s="38">
        <f t="shared" si="239"/>
        <v>-416901</v>
      </c>
      <c r="P529" s="38">
        <f t="shared" si="239"/>
        <v>1209383</v>
      </c>
      <c r="Q529" s="38">
        <f t="shared" si="239"/>
        <v>369107.66</v>
      </c>
      <c r="R529" s="39">
        <f>Q529/$P529</f>
        <v>0.30520328134263502</v>
      </c>
      <c r="S529" s="38">
        <f>SUM(S526:S528)</f>
        <v>376362.62000000005</v>
      </c>
      <c r="T529" s="39">
        <f>S529/$P529</f>
        <v>0.31120217499336444</v>
      </c>
      <c r="U529" s="38">
        <f>SUM(U526:U528)</f>
        <v>618186.75</v>
      </c>
      <c r="V529" s="39">
        <f>U529/$P529</f>
        <v>0.51115878923384894</v>
      </c>
      <c r="W529" s="38">
        <f>SUM(W526:W528)</f>
        <v>974700.35</v>
      </c>
      <c r="X529" s="39">
        <f>W529/$P529</f>
        <v>0.80594844643921737</v>
      </c>
      <c r="Y529" s="38">
        <f>SUM(Y526:Y528)</f>
        <v>449453</v>
      </c>
      <c r="Z529" s="38">
        <f>SUM(Z526:Z528)</f>
        <v>463491</v>
      </c>
    </row>
    <row r="531" spans="1:26" ht="13.9" customHeight="1" x14ac:dyDescent="0.25">
      <c r="D531" s="40" t="s">
        <v>278</v>
      </c>
      <c r="E531" s="40"/>
      <c r="F531" s="40"/>
      <c r="G531" s="40"/>
      <c r="H531" s="40"/>
      <c r="I531" s="40"/>
      <c r="J531" s="40"/>
      <c r="K531" s="40"/>
      <c r="L531" s="40"/>
      <c r="M531" s="40"/>
      <c r="N531" s="40"/>
      <c r="O531" s="40"/>
      <c r="P531" s="40"/>
      <c r="Q531" s="40"/>
      <c r="R531" s="41"/>
      <c r="S531" s="40"/>
      <c r="T531" s="41"/>
      <c r="U531" s="40"/>
      <c r="V531" s="41"/>
      <c r="W531" s="40"/>
      <c r="X531" s="41"/>
      <c r="Y531" s="40"/>
      <c r="Z531" s="40"/>
    </row>
    <row r="532" spans="1:26" ht="13.9" customHeight="1" x14ac:dyDescent="0.25">
      <c r="D532" s="126"/>
      <c r="E532" s="20"/>
      <c r="F532" s="20"/>
      <c r="G532" s="20" t="s">
        <v>1</v>
      </c>
      <c r="H532" s="20" t="s">
        <v>2</v>
      </c>
      <c r="I532" s="20" t="s">
        <v>3</v>
      </c>
      <c r="J532" s="20" t="s">
        <v>4</v>
      </c>
      <c r="K532" s="20" t="s">
        <v>5</v>
      </c>
      <c r="L532" s="20" t="s">
        <v>6</v>
      </c>
      <c r="M532" s="20" t="s">
        <v>7</v>
      </c>
      <c r="N532" s="20" t="s">
        <v>8</v>
      </c>
      <c r="O532" s="20" t="s">
        <v>9</v>
      </c>
      <c r="P532" s="20" t="s">
        <v>10</v>
      </c>
      <c r="Q532" s="20" t="s">
        <v>11</v>
      </c>
      <c r="R532" s="21" t="s">
        <v>12</v>
      </c>
      <c r="S532" s="20" t="s">
        <v>13</v>
      </c>
      <c r="T532" s="21" t="s">
        <v>14</v>
      </c>
      <c r="U532" s="20" t="s">
        <v>15</v>
      </c>
      <c r="V532" s="21" t="s">
        <v>16</v>
      </c>
      <c r="W532" s="20" t="s">
        <v>17</v>
      </c>
      <c r="X532" s="21" t="s">
        <v>18</v>
      </c>
      <c r="Y532" s="20" t="s">
        <v>19</v>
      </c>
      <c r="Z532" s="20" t="s">
        <v>20</v>
      </c>
    </row>
    <row r="533" spans="1:26" ht="13.9" customHeight="1" x14ac:dyDescent="0.25">
      <c r="A533" s="14">
        <v>8</v>
      </c>
      <c r="B533" s="14">
        <v>1</v>
      </c>
      <c r="D533" s="12" t="s">
        <v>21</v>
      </c>
      <c r="E533" s="22">
        <v>41</v>
      </c>
      <c r="F533" s="22" t="s">
        <v>23</v>
      </c>
      <c r="G533" s="23">
        <f>G538+G545+G547</f>
        <v>49341.19</v>
      </c>
      <c r="H533" s="23">
        <f>H538+H545+H546</f>
        <v>14711.869999999999</v>
      </c>
      <c r="I533" s="23">
        <f>I538+I545</f>
        <v>0</v>
      </c>
      <c r="J533" s="23">
        <f>J538+J545+J546</f>
        <v>2670</v>
      </c>
      <c r="K533" s="23">
        <f>K538+K545+K546+K548</f>
        <v>67374</v>
      </c>
      <c r="L533" s="23">
        <f>L538+L545</f>
        <v>0</v>
      </c>
      <c r="M533" s="23">
        <f>M538+M545</f>
        <v>0</v>
      </c>
      <c r="N533" s="23">
        <f>N546</f>
        <v>-7000</v>
      </c>
      <c r="O533" s="23">
        <f>O546</f>
        <v>-2630</v>
      </c>
      <c r="P533" s="23">
        <f>P538+P545+P546+P548</f>
        <v>57744</v>
      </c>
      <c r="Q533" s="23">
        <f>Q538+Q545+Q546+Q548</f>
        <v>57373.57</v>
      </c>
      <c r="R533" s="24">
        <f>Q533/$P533</f>
        <v>0.99358496120809092</v>
      </c>
      <c r="S533" s="23">
        <f>S538+S545+S546+S548</f>
        <v>57373.57</v>
      </c>
      <c r="T533" s="24">
        <f>S533/$P533</f>
        <v>0.99358496120809092</v>
      </c>
      <c r="U533" s="23">
        <f>U538+U545+U546+U548</f>
        <v>57373.57</v>
      </c>
      <c r="V533" s="24">
        <f>U533/$P533</f>
        <v>0.99358496120809092</v>
      </c>
      <c r="W533" s="23">
        <f>W538+W545+W546+W548</f>
        <v>57743.57</v>
      </c>
      <c r="X533" s="24">
        <f>W533/$P533</f>
        <v>0.99999255333887505</v>
      </c>
      <c r="Y533" s="23">
        <v>0</v>
      </c>
      <c r="Z533" s="23">
        <f>Y533</f>
        <v>0</v>
      </c>
    </row>
    <row r="534" spans="1:26" ht="13.9" customHeight="1" x14ac:dyDescent="0.25">
      <c r="A534" s="14">
        <v>8</v>
      </c>
      <c r="B534" s="14">
        <v>1</v>
      </c>
      <c r="D534" s="12"/>
      <c r="E534" s="22">
        <v>52</v>
      </c>
      <c r="F534" s="22" t="s">
        <v>28</v>
      </c>
      <c r="G534" s="23">
        <v>0</v>
      </c>
      <c r="H534" s="23">
        <v>0</v>
      </c>
      <c r="I534" s="23">
        <v>0</v>
      </c>
      <c r="J534" s="23">
        <v>0</v>
      </c>
      <c r="K534" s="23">
        <v>0</v>
      </c>
      <c r="L534" s="23">
        <v>0</v>
      </c>
      <c r="M534" s="23">
        <v>0</v>
      </c>
      <c r="N534" s="23">
        <v>0</v>
      </c>
      <c r="O534" s="23">
        <v>0</v>
      </c>
      <c r="P534" s="23">
        <v>0</v>
      </c>
      <c r="Q534" s="23">
        <v>0</v>
      </c>
      <c r="R534" s="24">
        <f>IFERROR(Q534/$P534,0)</f>
        <v>0</v>
      </c>
      <c r="S534" s="23">
        <v>0</v>
      </c>
      <c r="T534" s="24">
        <f>IFERROR(S534/$P534,0)</f>
        <v>0</v>
      </c>
      <c r="U534" s="23">
        <v>0</v>
      </c>
      <c r="V534" s="24">
        <f>IFERROR(U534/$P534,0)</f>
        <v>0</v>
      </c>
      <c r="W534" s="23">
        <v>0</v>
      </c>
      <c r="X534" s="24">
        <f>IFERROR(W534/$P534,0)</f>
        <v>0</v>
      </c>
      <c r="Y534" s="23">
        <v>0</v>
      </c>
      <c r="Z534" s="23">
        <f>Y534</f>
        <v>0</v>
      </c>
    </row>
    <row r="535" spans="1:26" ht="13.9" customHeight="1" x14ac:dyDescent="0.25">
      <c r="A535" s="14">
        <v>8</v>
      </c>
      <c r="B535" s="14">
        <v>1</v>
      </c>
      <c r="D535" s="29"/>
      <c r="E535" s="30"/>
      <c r="F535" s="25" t="s">
        <v>124</v>
      </c>
      <c r="G535" s="26">
        <f t="shared" ref="G535:Q535" si="240">SUM(G533:G534)</f>
        <v>49341.19</v>
      </c>
      <c r="H535" s="26">
        <f t="shared" si="240"/>
        <v>14711.869999999999</v>
      </c>
      <c r="I535" s="26">
        <f t="shared" si="240"/>
        <v>0</v>
      </c>
      <c r="J535" s="26">
        <f t="shared" si="240"/>
        <v>2670</v>
      </c>
      <c r="K535" s="26">
        <f t="shared" si="240"/>
        <v>67374</v>
      </c>
      <c r="L535" s="26">
        <f t="shared" si="240"/>
        <v>0</v>
      </c>
      <c r="M535" s="26">
        <f t="shared" si="240"/>
        <v>0</v>
      </c>
      <c r="N535" s="26">
        <f t="shared" si="240"/>
        <v>-7000</v>
      </c>
      <c r="O535" s="26">
        <f t="shared" si="240"/>
        <v>-2630</v>
      </c>
      <c r="P535" s="26">
        <f t="shared" si="240"/>
        <v>57744</v>
      </c>
      <c r="Q535" s="26">
        <f t="shared" si="240"/>
        <v>57373.57</v>
      </c>
      <c r="R535" s="27">
        <f>Q535/$P535</f>
        <v>0.99358496120809092</v>
      </c>
      <c r="S535" s="26">
        <f>SUM(S533:S534)</f>
        <v>57373.57</v>
      </c>
      <c r="T535" s="27">
        <f>S535/$P535</f>
        <v>0.99358496120809092</v>
      </c>
      <c r="U535" s="26">
        <f>SUM(U533:U534)</f>
        <v>57373.57</v>
      </c>
      <c r="V535" s="27">
        <f>U535/$P535</f>
        <v>0.99358496120809092</v>
      </c>
      <c r="W535" s="26">
        <f>SUM(W533:W534)</f>
        <v>57743.57</v>
      </c>
      <c r="X535" s="27">
        <f>W535/$P535</f>
        <v>0.99999255333887505</v>
      </c>
      <c r="Y535" s="26">
        <f>SUM(Y533:Y534)</f>
        <v>0</v>
      </c>
      <c r="Z535" s="26">
        <f>SUM(Z533:Z534)</f>
        <v>0</v>
      </c>
    </row>
    <row r="537" spans="1:26" ht="13.9" customHeight="1" x14ac:dyDescent="0.25">
      <c r="D537" s="14" t="s">
        <v>57</v>
      </c>
    </row>
    <row r="538" spans="1:26" ht="13.9" hidden="1" customHeight="1" x14ac:dyDescent="0.25">
      <c r="D538" s="42" t="s">
        <v>279</v>
      </c>
      <c r="E538" s="51" t="s">
        <v>280</v>
      </c>
      <c r="F538" s="29"/>
      <c r="G538" s="52">
        <v>35901.29</v>
      </c>
      <c r="H538" s="52">
        <f>SUM(H539:H544)</f>
        <v>11729.64</v>
      </c>
      <c r="I538" s="52"/>
      <c r="J538" s="52"/>
      <c r="K538" s="52"/>
      <c r="L538" s="52"/>
      <c r="M538" s="52"/>
      <c r="N538" s="52"/>
      <c r="O538" s="52"/>
      <c r="P538" s="52">
        <f t="shared" ref="P538:P548" si="241">K538+SUM(L538:O538)</f>
        <v>0</v>
      </c>
      <c r="Q538" s="52">
        <v>0</v>
      </c>
      <c r="R538" s="53" t="e">
        <f t="shared" ref="R538:R548" si="242">Q538/$P538</f>
        <v>#DIV/0!</v>
      </c>
      <c r="S538" s="52">
        <v>0</v>
      </c>
      <c r="T538" s="53" t="e">
        <f t="shared" ref="T538:T548" si="243">S538/$P538</f>
        <v>#DIV/0!</v>
      </c>
      <c r="U538" s="52"/>
      <c r="V538" s="53" t="e">
        <f t="shared" ref="V538:V548" si="244">U538/$P538</f>
        <v>#DIV/0!</v>
      </c>
      <c r="W538" s="52"/>
      <c r="X538" s="54" t="e">
        <f t="shared" ref="X538:X548" si="245">W538/$P538</f>
        <v>#DIV/0!</v>
      </c>
      <c r="Y538" s="52"/>
      <c r="Z538" s="55"/>
    </row>
    <row r="539" spans="1:26" ht="13.9" hidden="1" customHeight="1" x14ac:dyDescent="0.25">
      <c r="D539" s="42"/>
      <c r="E539" s="56" t="s">
        <v>281</v>
      </c>
      <c r="F539" s="92"/>
      <c r="G539" s="81"/>
      <c r="H539" s="81">
        <v>2918.6</v>
      </c>
      <c r="I539" s="81"/>
      <c r="J539" s="81"/>
      <c r="K539" s="81"/>
      <c r="L539" s="81"/>
      <c r="M539" s="81"/>
      <c r="N539" s="81"/>
      <c r="O539" s="81"/>
      <c r="P539" s="81">
        <f t="shared" si="241"/>
        <v>0</v>
      </c>
      <c r="Q539" s="81">
        <v>0</v>
      </c>
      <c r="R539" s="82" t="e">
        <f t="shared" si="242"/>
        <v>#DIV/0!</v>
      </c>
      <c r="S539" s="81">
        <v>0</v>
      </c>
      <c r="T539" s="82" t="e">
        <f t="shared" si="243"/>
        <v>#DIV/0!</v>
      </c>
      <c r="U539" s="81"/>
      <c r="V539" s="82" t="e">
        <f t="shared" si="244"/>
        <v>#DIV/0!</v>
      </c>
      <c r="W539" s="81"/>
      <c r="X539" s="59" t="e">
        <f t="shared" si="245"/>
        <v>#DIV/0!</v>
      </c>
      <c r="Y539" s="81"/>
      <c r="Z539" s="60"/>
    </row>
    <row r="540" spans="1:26" ht="13.9" hidden="1" customHeight="1" x14ac:dyDescent="0.25">
      <c r="D540" s="42"/>
      <c r="E540" s="56" t="s">
        <v>282</v>
      </c>
      <c r="F540" s="92"/>
      <c r="G540" s="81"/>
      <c r="H540" s="81"/>
      <c r="I540" s="81"/>
      <c r="J540" s="81"/>
      <c r="K540" s="81"/>
      <c r="L540" s="81"/>
      <c r="M540" s="81"/>
      <c r="N540" s="81"/>
      <c r="O540" s="81"/>
      <c r="P540" s="81">
        <f t="shared" si="241"/>
        <v>0</v>
      </c>
      <c r="Q540" s="81">
        <v>0</v>
      </c>
      <c r="R540" s="82" t="e">
        <f t="shared" si="242"/>
        <v>#DIV/0!</v>
      </c>
      <c r="S540" s="81">
        <v>0</v>
      </c>
      <c r="T540" s="82" t="e">
        <f t="shared" si="243"/>
        <v>#DIV/0!</v>
      </c>
      <c r="U540" s="81"/>
      <c r="V540" s="82" t="e">
        <f t="shared" si="244"/>
        <v>#DIV/0!</v>
      </c>
      <c r="W540" s="81"/>
      <c r="X540" s="59" t="e">
        <f t="shared" si="245"/>
        <v>#DIV/0!</v>
      </c>
      <c r="Y540" s="81"/>
      <c r="Z540" s="60"/>
    </row>
    <row r="541" spans="1:26" ht="13.9" hidden="1" customHeight="1" x14ac:dyDescent="0.25">
      <c r="D541" s="42"/>
      <c r="E541" s="56" t="s">
        <v>283</v>
      </c>
      <c r="F541" s="92"/>
      <c r="G541" s="81">
        <v>649.11</v>
      </c>
      <c r="H541" s="81"/>
      <c r="I541" s="81"/>
      <c r="J541" s="81"/>
      <c r="K541" s="81"/>
      <c r="L541" s="81"/>
      <c r="M541" s="81"/>
      <c r="N541" s="81"/>
      <c r="O541" s="81"/>
      <c r="P541" s="81">
        <f t="shared" si="241"/>
        <v>0</v>
      </c>
      <c r="Q541" s="81">
        <v>0</v>
      </c>
      <c r="R541" s="82" t="e">
        <f t="shared" si="242"/>
        <v>#DIV/0!</v>
      </c>
      <c r="S541" s="81">
        <v>0</v>
      </c>
      <c r="T541" s="82" t="e">
        <f t="shared" si="243"/>
        <v>#DIV/0!</v>
      </c>
      <c r="U541" s="81"/>
      <c r="V541" s="82" t="e">
        <f t="shared" si="244"/>
        <v>#DIV/0!</v>
      </c>
      <c r="W541" s="81"/>
      <c r="X541" s="59" t="e">
        <f t="shared" si="245"/>
        <v>#DIV/0!</v>
      </c>
      <c r="Y541" s="81"/>
      <c r="Z541" s="60"/>
    </row>
    <row r="542" spans="1:26" ht="13.9" hidden="1" customHeight="1" x14ac:dyDescent="0.25">
      <c r="D542" s="42"/>
      <c r="E542" s="56" t="s">
        <v>284</v>
      </c>
      <c r="F542" s="92"/>
      <c r="G542" s="81">
        <v>32527.13</v>
      </c>
      <c r="H542" s="81">
        <v>2921.08</v>
      </c>
      <c r="I542" s="81"/>
      <c r="J542" s="81"/>
      <c r="K542" s="81"/>
      <c r="L542" s="81"/>
      <c r="M542" s="81"/>
      <c r="N542" s="81"/>
      <c r="O542" s="81"/>
      <c r="P542" s="81">
        <f t="shared" si="241"/>
        <v>0</v>
      </c>
      <c r="Q542" s="81">
        <v>0</v>
      </c>
      <c r="R542" s="82" t="e">
        <f t="shared" si="242"/>
        <v>#DIV/0!</v>
      </c>
      <c r="S542" s="81">
        <v>0</v>
      </c>
      <c r="T542" s="82" t="e">
        <f t="shared" si="243"/>
        <v>#DIV/0!</v>
      </c>
      <c r="U542" s="81"/>
      <c r="V542" s="82" t="e">
        <f t="shared" si="244"/>
        <v>#DIV/0!</v>
      </c>
      <c r="W542" s="81"/>
      <c r="X542" s="59" t="e">
        <f t="shared" si="245"/>
        <v>#DIV/0!</v>
      </c>
      <c r="Y542" s="81"/>
      <c r="Z542" s="60"/>
    </row>
    <row r="543" spans="1:26" ht="13.9" hidden="1" customHeight="1" x14ac:dyDescent="0.25">
      <c r="D543" s="42"/>
      <c r="E543" s="56" t="s">
        <v>285</v>
      </c>
      <c r="F543" s="92"/>
      <c r="G543" s="81">
        <v>2725.05</v>
      </c>
      <c r="H543" s="81"/>
      <c r="I543" s="81"/>
      <c r="J543" s="81"/>
      <c r="K543" s="81"/>
      <c r="L543" s="81"/>
      <c r="M543" s="81"/>
      <c r="N543" s="81"/>
      <c r="O543" s="81"/>
      <c r="P543" s="81">
        <f t="shared" si="241"/>
        <v>0</v>
      </c>
      <c r="Q543" s="81">
        <v>0</v>
      </c>
      <c r="R543" s="82" t="e">
        <f t="shared" si="242"/>
        <v>#DIV/0!</v>
      </c>
      <c r="S543" s="81">
        <v>0</v>
      </c>
      <c r="T543" s="82" t="e">
        <f t="shared" si="243"/>
        <v>#DIV/0!</v>
      </c>
      <c r="U543" s="81"/>
      <c r="V543" s="82" t="e">
        <f t="shared" si="244"/>
        <v>#DIV/0!</v>
      </c>
      <c r="W543" s="81"/>
      <c r="X543" s="59" t="e">
        <f t="shared" si="245"/>
        <v>#DIV/0!</v>
      </c>
      <c r="Y543" s="81"/>
      <c r="Z543" s="60"/>
    </row>
    <row r="544" spans="1:26" ht="13.9" hidden="1" customHeight="1" x14ac:dyDescent="0.25">
      <c r="D544" s="42"/>
      <c r="E544" s="64" t="s">
        <v>286</v>
      </c>
      <c r="F544" s="95"/>
      <c r="G544" s="66"/>
      <c r="H544" s="66">
        <v>5889.96</v>
      </c>
      <c r="I544" s="66"/>
      <c r="J544" s="66"/>
      <c r="K544" s="66"/>
      <c r="L544" s="66"/>
      <c r="M544" s="66"/>
      <c r="N544" s="66"/>
      <c r="O544" s="66"/>
      <c r="P544" s="66">
        <f t="shared" si="241"/>
        <v>0</v>
      </c>
      <c r="Q544" s="66">
        <v>0</v>
      </c>
      <c r="R544" s="67" t="e">
        <f t="shared" si="242"/>
        <v>#DIV/0!</v>
      </c>
      <c r="S544" s="66">
        <v>0</v>
      </c>
      <c r="T544" s="67" t="e">
        <f t="shared" si="243"/>
        <v>#DIV/0!</v>
      </c>
      <c r="U544" s="66"/>
      <c r="V544" s="67" t="e">
        <f t="shared" si="244"/>
        <v>#DIV/0!</v>
      </c>
      <c r="W544" s="66"/>
      <c r="X544" s="68" t="e">
        <f t="shared" si="245"/>
        <v>#DIV/0!</v>
      </c>
      <c r="Y544" s="66"/>
      <c r="Z544" s="69"/>
    </row>
    <row r="545" spans="1:26" ht="13.9" hidden="1" customHeight="1" x14ac:dyDescent="0.25">
      <c r="D545" s="42"/>
      <c r="E545" s="110" t="s">
        <v>287</v>
      </c>
      <c r="F545" s="111"/>
      <c r="G545" s="113">
        <v>11045</v>
      </c>
      <c r="H545" s="113">
        <v>2980.23</v>
      </c>
      <c r="I545" s="113"/>
      <c r="J545" s="113"/>
      <c r="K545" s="113"/>
      <c r="L545" s="113"/>
      <c r="M545" s="113"/>
      <c r="N545" s="113"/>
      <c r="O545" s="113"/>
      <c r="P545" s="113">
        <f t="shared" si="241"/>
        <v>0</v>
      </c>
      <c r="Q545" s="113">
        <v>0</v>
      </c>
      <c r="R545" s="114" t="e">
        <f t="shared" si="242"/>
        <v>#DIV/0!</v>
      </c>
      <c r="S545" s="113">
        <v>0</v>
      </c>
      <c r="T545" s="114" t="e">
        <f t="shared" si="243"/>
        <v>#DIV/0!</v>
      </c>
      <c r="U545" s="113"/>
      <c r="V545" s="114" t="e">
        <f t="shared" si="244"/>
        <v>#DIV/0!</v>
      </c>
      <c r="W545" s="113"/>
      <c r="X545" s="115" t="e">
        <f t="shared" si="245"/>
        <v>#DIV/0!</v>
      </c>
      <c r="Y545" s="113"/>
      <c r="Z545" s="116"/>
    </row>
    <row r="546" spans="1:26" ht="13.9" customHeight="1" x14ac:dyDescent="0.25">
      <c r="D546" s="42" t="s">
        <v>279</v>
      </c>
      <c r="E546" s="110" t="s">
        <v>288</v>
      </c>
      <c r="F546" s="111"/>
      <c r="G546" s="113"/>
      <c r="H546" s="113">
        <v>2</v>
      </c>
      <c r="I546" s="113"/>
      <c r="J546" s="113">
        <v>2670</v>
      </c>
      <c r="K546" s="113">
        <v>10000</v>
      </c>
      <c r="L546" s="113"/>
      <c r="M546" s="113"/>
      <c r="N546" s="113">
        <v>-7000</v>
      </c>
      <c r="O546" s="113">
        <v>-2630</v>
      </c>
      <c r="P546" s="113">
        <f t="shared" si="241"/>
        <v>370</v>
      </c>
      <c r="Q546" s="113">
        <v>0</v>
      </c>
      <c r="R546" s="114">
        <f t="shared" si="242"/>
        <v>0</v>
      </c>
      <c r="S546" s="113">
        <v>0</v>
      </c>
      <c r="T546" s="114">
        <f t="shared" si="243"/>
        <v>0</v>
      </c>
      <c r="U546" s="113">
        <v>0</v>
      </c>
      <c r="V546" s="114">
        <f t="shared" si="244"/>
        <v>0</v>
      </c>
      <c r="W546" s="113">
        <v>370</v>
      </c>
      <c r="X546" s="115">
        <f t="shared" si="245"/>
        <v>1</v>
      </c>
      <c r="Y546" s="113"/>
      <c r="Z546" s="116"/>
    </row>
    <row r="547" spans="1:26" ht="13.9" hidden="1" customHeight="1" x14ac:dyDescent="0.25">
      <c r="D547" s="127" t="s">
        <v>289</v>
      </c>
      <c r="E547" s="110" t="s">
        <v>290</v>
      </c>
      <c r="F547" s="111"/>
      <c r="G547" s="113">
        <v>2394.9</v>
      </c>
      <c r="H547" s="113"/>
      <c r="I547" s="113"/>
      <c r="J547" s="113"/>
      <c r="K547" s="113"/>
      <c r="L547" s="113"/>
      <c r="M547" s="113"/>
      <c r="N547" s="113"/>
      <c r="O547" s="113"/>
      <c r="P547" s="113">
        <f t="shared" si="241"/>
        <v>0</v>
      </c>
      <c r="Q547" s="113">
        <v>0</v>
      </c>
      <c r="R547" s="114" t="e">
        <f t="shared" si="242"/>
        <v>#DIV/0!</v>
      </c>
      <c r="S547" s="113">
        <v>0</v>
      </c>
      <c r="T547" s="114" t="e">
        <f t="shared" si="243"/>
        <v>#DIV/0!</v>
      </c>
      <c r="U547" s="113"/>
      <c r="V547" s="114" t="e">
        <f t="shared" si="244"/>
        <v>#DIV/0!</v>
      </c>
      <c r="W547" s="113"/>
      <c r="X547" s="115" t="e">
        <f t="shared" si="245"/>
        <v>#DIV/0!</v>
      </c>
      <c r="Y547" s="113"/>
      <c r="Z547" s="116"/>
    </row>
    <row r="548" spans="1:26" ht="13.9" customHeight="1" x14ac:dyDescent="0.25">
      <c r="D548" s="127" t="s">
        <v>289</v>
      </c>
      <c r="E548" s="110" t="s">
        <v>291</v>
      </c>
      <c r="F548" s="111"/>
      <c r="G548" s="113"/>
      <c r="H548" s="113"/>
      <c r="I548" s="113"/>
      <c r="J548" s="113"/>
      <c r="K548" s="113">
        <v>57374</v>
      </c>
      <c r="L548" s="113"/>
      <c r="M548" s="113"/>
      <c r="N548" s="113"/>
      <c r="O548" s="113"/>
      <c r="P548" s="113">
        <f t="shared" si="241"/>
        <v>57374</v>
      </c>
      <c r="Q548" s="113">
        <v>57373.57</v>
      </c>
      <c r="R548" s="114">
        <f t="shared" si="242"/>
        <v>0.99999250531599682</v>
      </c>
      <c r="S548" s="113">
        <v>57373.57</v>
      </c>
      <c r="T548" s="114">
        <f t="shared" si="243"/>
        <v>0.99999250531599682</v>
      </c>
      <c r="U548" s="113">
        <v>57373.57</v>
      </c>
      <c r="V548" s="114">
        <f t="shared" si="244"/>
        <v>0.99999250531599682</v>
      </c>
      <c r="W548" s="113">
        <v>57373.57</v>
      </c>
      <c r="X548" s="115">
        <f t="shared" si="245"/>
        <v>0.99999250531599682</v>
      </c>
      <c r="Y548" s="113"/>
      <c r="Z548" s="116"/>
    </row>
    <row r="550" spans="1:26" ht="13.9" customHeight="1" x14ac:dyDescent="0.25">
      <c r="D550" s="40" t="s">
        <v>292</v>
      </c>
      <c r="E550" s="40"/>
      <c r="F550" s="40"/>
      <c r="G550" s="40"/>
      <c r="H550" s="40"/>
      <c r="I550" s="40"/>
      <c r="J550" s="40"/>
      <c r="K550" s="40"/>
      <c r="L550" s="40"/>
      <c r="M550" s="40"/>
      <c r="N550" s="40"/>
      <c r="O550" s="40"/>
      <c r="P550" s="40"/>
      <c r="Q550" s="40"/>
      <c r="R550" s="41"/>
      <c r="S550" s="40"/>
      <c r="T550" s="41"/>
      <c r="U550" s="40"/>
      <c r="V550" s="41"/>
      <c r="W550" s="40"/>
      <c r="X550" s="41"/>
      <c r="Y550" s="40"/>
      <c r="Z550" s="40"/>
    </row>
    <row r="551" spans="1:26" ht="13.9" customHeight="1" x14ac:dyDescent="0.25">
      <c r="D551" s="126"/>
      <c r="E551" s="20"/>
      <c r="F551" s="20"/>
      <c r="G551" s="20" t="s">
        <v>1</v>
      </c>
      <c r="H551" s="20" t="s">
        <v>2</v>
      </c>
      <c r="I551" s="20" t="s">
        <v>3</v>
      </c>
      <c r="J551" s="20" t="s">
        <v>4</v>
      </c>
      <c r="K551" s="20" t="s">
        <v>5</v>
      </c>
      <c r="L551" s="20" t="s">
        <v>6</v>
      </c>
      <c r="M551" s="20" t="s">
        <v>7</v>
      </c>
      <c r="N551" s="20" t="s">
        <v>8</v>
      </c>
      <c r="O551" s="20" t="s">
        <v>9</v>
      </c>
      <c r="P551" s="20" t="s">
        <v>10</v>
      </c>
      <c r="Q551" s="20" t="s">
        <v>11</v>
      </c>
      <c r="R551" s="21" t="s">
        <v>12</v>
      </c>
      <c r="S551" s="20" t="s">
        <v>13</v>
      </c>
      <c r="T551" s="21" t="s">
        <v>14</v>
      </c>
      <c r="U551" s="20" t="s">
        <v>15</v>
      </c>
      <c r="V551" s="21" t="s">
        <v>16</v>
      </c>
      <c r="W551" s="20" t="s">
        <v>17</v>
      </c>
      <c r="X551" s="21" t="s">
        <v>18</v>
      </c>
      <c r="Y551" s="20" t="s">
        <v>19</v>
      </c>
      <c r="Z551" s="20" t="s">
        <v>20</v>
      </c>
    </row>
    <row r="552" spans="1:26" ht="13.9" customHeight="1" x14ac:dyDescent="0.25">
      <c r="A552" s="14">
        <v>8</v>
      </c>
      <c r="B552" s="14">
        <v>2</v>
      </c>
      <c r="D552" s="3" t="s">
        <v>21</v>
      </c>
      <c r="E552" s="22">
        <v>111</v>
      </c>
      <c r="F552" s="22" t="s">
        <v>134</v>
      </c>
      <c r="G552" s="23">
        <f>249670.98+113000</f>
        <v>362670.98</v>
      </c>
      <c r="H552" s="23">
        <v>338951.81</v>
      </c>
      <c r="I552" s="23">
        <f>200000+130000</f>
        <v>330000</v>
      </c>
      <c r="J552" s="23">
        <v>0</v>
      </c>
      <c r="K552" s="23">
        <f>200000+131000</f>
        <v>331000</v>
      </c>
      <c r="L552" s="23"/>
      <c r="M552" s="23"/>
      <c r="N552" s="23"/>
      <c r="O552" s="23">
        <v>-231000</v>
      </c>
      <c r="P552" s="23">
        <f>K552+SUM(L552:O552)</f>
        <v>100000</v>
      </c>
      <c r="Q552" s="23">
        <v>0</v>
      </c>
      <c r="R552" s="24">
        <f>Q552/$P552</f>
        <v>0</v>
      </c>
      <c r="S552" s="23">
        <v>0</v>
      </c>
      <c r="T552" s="24">
        <f>S552/$P552</f>
        <v>0</v>
      </c>
      <c r="U552" s="23">
        <v>0</v>
      </c>
      <c r="V552" s="24">
        <f>U552/$P552</f>
        <v>0</v>
      </c>
      <c r="W552" s="23">
        <v>89115.6</v>
      </c>
      <c r="X552" s="24">
        <f>W552/$P552</f>
        <v>0.89115600000000006</v>
      </c>
      <c r="Y552" s="23">
        <v>0</v>
      </c>
      <c r="Z552" s="23">
        <v>0</v>
      </c>
    </row>
    <row r="553" spans="1:26" ht="13.9" customHeight="1" x14ac:dyDescent="0.25">
      <c r="A553" s="14">
        <v>8</v>
      </c>
      <c r="B553" s="14">
        <v>2</v>
      </c>
      <c r="D553" s="3" t="s">
        <v>21</v>
      </c>
      <c r="E553" s="22">
        <v>41</v>
      </c>
      <c r="F553" s="22" t="s">
        <v>23</v>
      </c>
      <c r="G553" s="23">
        <f t="shared" ref="G553:Q553" si="246">SUM(G557:G564)-G552</f>
        <v>140200.63</v>
      </c>
      <c r="H553" s="23">
        <f t="shared" si="246"/>
        <v>77709.360000000044</v>
      </c>
      <c r="I553" s="23">
        <f t="shared" si="246"/>
        <v>161000</v>
      </c>
      <c r="J553" s="23">
        <f t="shared" si="246"/>
        <v>140</v>
      </c>
      <c r="K553" s="23">
        <f t="shared" si="246"/>
        <v>310000</v>
      </c>
      <c r="L553" s="23">
        <f t="shared" si="246"/>
        <v>-1200</v>
      </c>
      <c r="M553" s="23">
        <f t="shared" si="246"/>
        <v>0</v>
      </c>
      <c r="N553" s="23">
        <f t="shared" si="246"/>
        <v>-20000</v>
      </c>
      <c r="O553" s="23">
        <f t="shared" si="246"/>
        <v>14870</v>
      </c>
      <c r="P553" s="23">
        <f t="shared" si="246"/>
        <v>303670</v>
      </c>
      <c r="Q553" s="23">
        <f t="shared" si="246"/>
        <v>3532.5</v>
      </c>
      <c r="R553" s="24">
        <f>Q553/$P553</f>
        <v>1.1632693384265815E-2</v>
      </c>
      <c r="S553" s="23">
        <f>SUM(S557:S564)-S552</f>
        <v>3532.5</v>
      </c>
      <c r="T553" s="24">
        <f>S553/$P553</f>
        <v>1.1632693384265815E-2</v>
      </c>
      <c r="U553" s="23">
        <f>SUM(U557:U564)-U552</f>
        <v>123687.07</v>
      </c>
      <c r="V553" s="24">
        <f>U553/$P553</f>
        <v>0.40730750485724637</v>
      </c>
      <c r="W553" s="23">
        <f>SUM(W557:W564)-W552</f>
        <v>222669.1</v>
      </c>
      <c r="X553" s="24">
        <f>W553/$P553</f>
        <v>0.73326011789113188</v>
      </c>
      <c r="Y553" s="23">
        <v>0</v>
      </c>
      <c r="Z553" s="23">
        <f>SUM(Z557:Z564)</f>
        <v>0</v>
      </c>
    </row>
    <row r="554" spans="1:26" ht="13.9" customHeight="1" x14ac:dyDescent="0.25">
      <c r="A554" s="14">
        <v>8</v>
      </c>
      <c r="B554" s="14">
        <v>2</v>
      </c>
      <c r="D554" s="29"/>
      <c r="E554" s="30"/>
      <c r="F554" s="25" t="s">
        <v>124</v>
      </c>
      <c r="G554" s="26">
        <f t="shared" ref="G554:Q554" si="247">SUM(G552:G553)</f>
        <v>502871.61</v>
      </c>
      <c r="H554" s="26">
        <f t="shared" si="247"/>
        <v>416661.17000000004</v>
      </c>
      <c r="I554" s="26">
        <f t="shared" si="247"/>
        <v>491000</v>
      </c>
      <c r="J554" s="26">
        <f t="shared" si="247"/>
        <v>140</v>
      </c>
      <c r="K554" s="26">
        <f t="shared" si="247"/>
        <v>641000</v>
      </c>
      <c r="L554" s="26">
        <f t="shared" si="247"/>
        <v>-1200</v>
      </c>
      <c r="M554" s="26">
        <f t="shared" si="247"/>
        <v>0</v>
      </c>
      <c r="N554" s="26">
        <f t="shared" si="247"/>
        <v>-20000</v>
      </c>
      <c r="O554" s="26">
        <f t="shared" si="247"/>
        <v>-216130</v>
      </c>
      <c r="P554" s="26">
        <f t="shared" si="247"/>
        <v>403670</v>
      </c>
      <c r="Q554" s="26">
        <f t="shared" si="247"/>
        <v>3532.5</v>
      </c>
      <c r="R554" s="27">
        <f>Q554/$P554</f>
        <v>8.7509599425273123E-3</v>
      </c>
      <c r="S554" s="26">
        <f>SUM(S552:S553)</f>
        <v>3532.5</v>
      </c>
      <c r="T554" s="27">
        <f>S554/$P554</f>
        <v>8.7509599425273123E-3</v>
      </c>
      <c r="U554" s="26">
        <f>SUM(U552:U553)</f>
        <v>123687.07</v>
      </c>
      <c r="V554" s="27">
        <f>U554/$P554</f>
        <v>0.30640639631382072</v>
      </c>
      <c r="W554" s="26">
        <f>SUM(W552:W553)</f>
        <v>311784.7</v>
      </c>
      <c r="X554" s="27">
        <f>W554/$P554</f>
        <v>0.7723752074714495</v>
      </c>
      <c r="Y554" s="26">
        <f>SUM(Y552:Y553)</f>
        <v>0</v>
      </c>
      <c r="Z554" s="26">
        <f>SUM(Z552:Z553)</f>
        <v>0</v>
      </c>
    </row>
    <row r="556" spans="1:26" ht="13.9" customHeight="1" x14ac:dyDescent="0.25">
      <c r="D556" s="14" t="s">
        <v>57</v>
      </c>
    </row>
    <row r="557" spans="1:26" ht="13.9" hidden="1" customHeight="1" x14ac:dyDescent="0.25">
      <c r="D557" s="42" t="s">
        <v>293</v>
      </c>
      <c r="E557" s="110" t="s">
        <v>294</v>
      </c>
      <c r="F557" s="111"/>
      <c r="G557" s="113">
        <v>36966.239999999998</v>
      </c>
      <c r="H557" s="113">
        <v>367528.2</v>
      </c>
      <c r="I557" s="112">
        <v>0</v>
      </c>
      <c r="J557" s="112"/>
      <c r="K557" s="112"/>
      <c r="L557" s="112"/>
      <c r="M557" s="112"/>
      <c r="N557" s="112"/>
      <c r="O557" s="112"/>
      <c r="P557" s="112">
        <f t="shared" ref="P557:P564" si="248">K557+SUM(L557:O557)</f>
        <v>0</v>
      </c>
      <c r="Q557" s="112">
        <v>0</v>
      </c>
      <c r="R557" s="120" t="e">
        <f>Q557/$P557</f>
        <v>#DIV/0!</v>
      </c>
      <c r="S557" s="112">
        <v>0</v>
      </c>
      <c r="T557" s="120" t="e">
        <f>S557/$P557</f>
        <v>#DIV/0!</v>
      </c>
      <c r="U557" s="112"/>
      <c r="V557" s="120" t="e">
        <f>U557/$P557</f>
        <v>#DIV/0!</v>
      </c>
      <c r="W557" s="112"/>
      <c r="X557" s="121" t="e">
        <f>W557/$P557</f>
        <v>#DIV/0!</v>
      </c>
      <c r="Y557" s="113"/>
      <c r="Z557" s="116"/>
    </row>
    <row r="558" spans="1:26" ht="13.9" hidden="1" customHeight="1" x14ac:dyDescent="0.25">
      <c r="E558" s="110" t="s">
        <v>295</v>
      </c>
      <c r="F558" s="111"/>
      <c r="G558" s="113">
        <v>305874.96999999997</v>
      </c>
      <c r="H558" s="113"/>
      <c r="I558" s="113">
        <v>0</v>
      </c>
      <c r="J558" s="113"/>
      <c r="K558" s="113"/>
      <c r="L558" s="113"/>
      <c r="M558" s="113"/>
      <c r="N558" s="113"/>
      <c r="O558" s="113"/>
      <c r="P558" s="113">
        <f t="shared" si="248"/>
        <v>0</v>
      </c>
      <c r="Q558" s="113">
        <v>0</v>
      </c>
      <c r="R558" s="114" t="e">
        <f>Q558/$P558</f>
        <v>#DIV/0!</v>
      </c>
      <c r="S558" s="113">
        <v>0</v>
      </c>
      <c r="T558" s="114" t="e">
        <f>S558/$P558</f>
        <v>#DIV/0!</v>
      </c>
      <c r="U558" s="113"/>
      <c r="V558" s="114" t="e">
        <f>U558/$P558</f>
        <v>#DIV/0!</v>
      </c>
      <c r="W558" s="113"/>
      <c r="X558" s="115" t="e">
        <f>W558/$P558</f>
        <v>#DIV/0!</v>
      </c>
      <c r="Y558" s="113"/>
      <c r="Z558" s="116"/>
    </row>
    <row r="559" spans="1:26" ht="13.9" customHeight="1" x14ac:dyDescent="0.25">
      <c r="D559" s="2" t="s">
        <v>293</v>
      </c>
      <c r="E559" s="110" t="s">
        <v>296</v>
      </c>
      <c r="F559" s="111"/>
      <c r="G559" s="113"/>
      <c r="H559" s="113"/>
      <c r="I559" s="113">
        <v>210000</v>
      </c>
      <c r="J559" s="113">
        <v>0</v>
      </c>
      <c r="K559" s="113">
        <f>200000+10000</f>
        <v>210000</v>
      </c>
      <c r="L559" s="113"/>
      <c r="M559" s="113"/>
      <c r="N559" s="113"/>
      <c r="O559" s="113">
        <v>-210000</v>
      </c>
      <c r="P559" s="113">
        <f t="shared" si="248"/>
        <v>0</v>
      </c>
      <c r="Q559" s="113">
        <v>0</v>
      </c>
      <c r="R559" s="24">
        <f>IFERROR(Q559/$P559,0)</f>
        <v>0</v>
      </c>
      <c r="S559" s="113">
        <v>0</v>
      </c>
      <c r="T559" s="24">
        <f>IFERROR(S559/$P559,0)</f>
        <v>0</v>
      </c>
      <c r="U559" s="113">
        <v>0</v>
      </c>
      <c r="V559" s="24">
        <f>IFERROR(U559/$P559,0)</f>
        <v>0</v>
      </c>
      <c r="W559" s="113">
        <v>0</v>
      </c>
      <c r="X559" s="24">
        <f>IFERROR(W559/$P559,0)</f>
        <v>0</v>
      </c>
      <c r="Y559" s="113"/>
      <c r="Z559" s="116"/>
    </row>
    <row r="560" spans="1:26" ht="13.9" customHeight="1" x14ac:dyDescent="0.25">
      <c r="D560" s="2" t="s">
        <v>293</v>
      </c>
      <c r="E560" s="129" t="s">
        <v>297</v>
      </c>
      <c r="F560" s="111"/>
      <c r="G560" s="113"/>
      <c r="H560" s="113"/>
      <c r="I560" s="113">
        <v>181000</v>
      </c>
      <c r="J560" s="113">
        <v>0</v>
      </c>
      <c r="K560" s="113">
        <f>131000+50000</f>
        <v>181000</v>
      </c>
      <c r="L560" s="113"/>
      <c r="M560" s="113"/>
      <c r="N560" s="113"/>
      <c r="O560" s="113"/>
      <c r="P560" s="113">
        <f t="shared" si="248"/>
        <v>181000</v>
      </c>
      <c r="Q560" s="113">
        <v>0</v>
      </c>
      <c r="R560" s="114">
        <f>Q560/$P560</f>
        <v>0</v>
      </c>
      <c r="S560" s="113">
        <v>0</v>
      </c>
      <c r="T560" s="114">
        <f>S560/$P560</f>
        <v>0</v>
      </c>
      <c r="U560" s="113">
        <v>0</v>
      </c>
      <c r="V560" s="114">
        <f>U560/$P560</f>
        <v>0</v>
      </c>
      <c r="W560" s="113">
        <v>89115.6</v>
      </c>
      <c r="X560" s="115">
        <f>W560/$P560</f>
        <v>0.49235138121546962</v>
      </c>
      <c r="Y560" s="113"/>
      <c r="Z560" s="116"/>
    </row>
    <row r="561" spans="1:26" ht="13.9" hidden="1" customHeight="1" x14ac:dyDescent="0.25">
      <c r="D561" s="2"/>
      <c r="E561" s="129" t="s">
        <v>298</v>
      </c>
      <c r="F561" s="111"/>
      <c r="G561" s="113">
        <v>158680.4</v>
      </c>
      <c r="H561" s="113"/>
      <c r="I561" s="113">
        <v>100000</v>
      </c>
      <c r="J561" s="113">
        <v>140</v>
      </c>
      <c r="K561" s="113"/>
      <c r="L561" s="113"/>
      <c r="M561" s="113"/>
      <c r="N561" s="113"/>
      <c r="O561" s="113"/>
      <c r="P561" s="113">
        <f t="shared" si="248"/>
        <v>0</v>
      </c>
      <c r="Q561" s="113">
        <v>0</v>
      </c>
      <c r="R561" s="114" t="e">
        <f>Q561/$P561</f>
        <v>#DIV/0!</v>
      </c>
      <c r="S561" s="113">
        <v>0</v>
      </c>
      <c r="T561" s="114" t="e">
        <f>S561/$P561</f>
        <v>#DIV/0!</v>
      </c>
      <c r="U561" s="113"/>
      <c r="V561" s="114" t="e">
        <f>U561/$P561</f>
        <v>#DIV/0!</v>
      </c>
      <c r="W561" s="113"/>
      <c r="X561" s="115" t="e">
        <f>W561/$P561</f>
        <v>#DIV/0!</v>
      </c>
      <c r="Y561" s="113"/>
      <c r="Z561" s="116"/>
    </row>
    <row r="562" spans="1:26" ht="13.9" hidden="1" customHeight="1" x14ac:dyDescent="0.25">
      <c r="D562" s="2"/>
      <c r="E562" s="129" t="s">
        <v>299</v>
      </c>
      <c r="F562" s="111"/>
      <c r="G562" s="113">
        <v>1350</v>
      </c>
      <c r="H562" s="113"/>
      <c r="I562" s="113">
        <v>0</v>
      </c>
      <c r="J562" s="113"/>
      <c r="K562" s="113"/>
      <c r="L562" s="113"/>
      <c r="M562" s="113"/>
      <c r="N562" s="113"/>
      <c r="O562" s="113"/>
      <c r="P562" s="113">
        <f t="shared" si="248"/>
        <v>0</v>
      </c>
      <c r="Q562" s="113">
        <v>0</v>
      </c>
      <c r="R562" s="114" t="e">
        <f>Q562/$P562</f>
        <v>#DIV/0!</v>
      </c>
      <c r="S562" s="113">
        <v>0</v>
      </c>
      <c r="T562" s="114" t="e">
        <f>S562/$P562</f>
        <v>#DIV/0!</v>
      </c>
      <c r="U562" s="113"/>
      <c r="V562" s="114" t="e">
        <f>U562/$P562</f>
        <v>#DIV/0!</v>
      </c>
      <c r="W562" s="113"/>
      <c r="X562" s="115" t="e">
        <f>W562/$P562</f>
        <v>#DIV/0!</v>
      </c>
      <c r="Y562" s="113"/>
      <c r="Z562" s="116"/>
    </row>
    <row r="563" spans="1:26" ht="13.9" customHeight="1" x14ac:dyDescent="0.25">
      <c r="D563" s="2" t="s">
        <v>293</v>
      </c>
      <c r="E563" s="129" t="s">
        <v>300</v>
      </c>
      <c r="F563" s="111"/>
      <c r="G563" s="113"/>
      <c r="H563" s="113"/>
      <c r="I563" s="113"/>
      <c r="J563" s="113"/>
      <c r="K563" s="113">
        <v>250000</v>
      </c>
      <c r="L563" s="113">
        <v>-1200</v>
      </c>
      <c r="M563" s="113"/>
      <c r="N563" s="113">
        <v>-20000</v>
      </c>
      <c r="O563" s="113">
        <v>-6130</v>
      </c>
      <c r="P563" s="113">
        <f t="shared" si="248"/>
        <v>222670</v>
      </c>
      <c r="Q563" s="113">
        <v>3532.5</v>
      </c>
      <c r="R563" s="114">
        <f>Q563/$P563</f>
        <v>1.5864283468810348E-2</v>
      </c>
      <c r="S563" s="113">
        <v>3532.5</v>
      </c>
      <c r="T563" s="114">
        <f>S563/$P563</f>
        <v>1.5864283468810348E-2</v>
      </c>
      <c r="U563" s="113">
        <v>123687.07</v>
      </c>
      <c r="V563" s="114">
        <f>U563/$P563</f>
        <v>0.55547253783625994</v>
      </c>
      <c r="W563" s="113">
        <v>222669.1</v>
      </c>
      <c r="X563" s="115">
        <f>W563/$P563</f>
        <v>0.99999595814433917</v>
      </c>
      <c r="Y563" s="113"/>
      <c r="Z563" s="116"/>
    </row>
    <row r="564" spans="1:26" ht="13.9" hidden="1" customHeight="1" x14ac:dyDescent="0.25">
      <c r="E564" s="129" t="s">
        <v>301</v>
      </c>
      <c r="F564" s="111"/>
      <c r="G564" s="113"/>
      <c r="H564" s="113">
        <v>49132.97</v>
      </c>
      <c r="I564" s="113">
        <v>0</v>
      </c>
      <c r="J564" s="113"/>
      <c r="K564" s="113"/>
      <c r="L564" s="113"/>
      <c r="M564" s="113"/>
      <c r="N564" s="113"/>
      <c r="O564" s="113"/>
      <c r="P564" s="113">
        <f t="shared" si="248"/>
        <v>0</v>
      </c>
      <c r="Q564" s="113">
        <v>0</v>
      </c>
      <c r="R564" s="114" t="e">
        <f>Q564/$P564</f>
        <v>#DIV/0!</v>
      </c>
      <c r="S564" s="113">
        <v>0</v>
      </c>
      <c r="T564" s="114" t="e">
        <f>S564/$P564</f>
        <v>#DIV/0!</v>
      </c>
      <c r="U564" s="113"/>
      <c r="V564" s="114" t="e">
        <f>U564/$P564</f>
        <v>#DIV/0!</v>
      </c>
      <c r="W564" s="113"/>
      <c r="X564" s="115" t="e">
        <f>W564/$P564</f>
        <v>#DIV/0!</v>
      </c>
      <c r="Y564" s="113"/>
      <c r="Z564" s="116"/>
    </row>
    <row r="566" spans="1:26" ht="13.9" customHeight="1" x14ac:dyDescent="0.25">
      <c r="D566" s="40" t="s">
        <v>302</v>
      </c>
      <c r="E566" s="40"/>
      <c r="F566" s="40"/>
      <c r="G566" s="40"/>
      <c r="H566" s="40"/>
      <c r="I566" s="40"/>
      <c r="J566" s="40"/>
      <c r="K566" s="40"/>
      <c r="L566" s="40"/>
      <c r="M566" s="40"/>
      <c r="N566" s="40"/>
      <c r="O566" s="40"/>
      <c r="P566" s="40"/>
      <c r="Q566" s="40"/>
      <c r="R566" s="41"/>
      <c r="S566" s="40"/>
      <c r="T566" s="41"/>
      <c r="U566" s="40"/>
      <c r="V566" s="41"/>
      <c r="W566" s="40"/>
      <c r="X566" s="41"/>
      <c r="Y566" s="40"/>
      <c r="Z566" s="40"/>
    </row>
    <row r="567" spans="1:26" ht="13.9" customHeight="1" x14ac:dyDescent="0.25">
      <c r="D567" s="126"/>
      <c r="E567" s="20"/>
      <c r="F567" s="20"/>
      <c r="G567" s="20" t="s">
        <v>1</v>
      </c>
      <c r="H567" s="20" t="s">
        <v>2</v>
      </c>
      <c r="I567" s="20" t="s">
        <v>3</v>
      </c>
      <c r="J567" s="20" t="s">
        <v>4</v>
      </c>
      <c r="K567" s="20" t="s">
        <v>5</v>
      </c>
      <c r="L567" s="20" t="s">
        <v>6</v>
      </c>
      <c r="M567" s="20" t="s">
        <v>7</v>
      </c>
      <c r="N567" s="20" t="s">
        <v>8</v>
      </c>
      <c r="O567" s="20" t="s">
        <v>9</v>
      </c>
      <c r="P567" s="20" t="s">
        <v>10</v>
      </c>
      <c r="Q567" s="20" t="s">
        <v>11</v>
      </c>
      <c r="R567" s="21" t="s">
        <v>12</v>
      </c>
      <c r="S567" s="20" t="s">
        <v>13</v>
      </c>
      <c r="T567" s="21" t="s">
        <v>14</v>
      </c>
      <c r="U567" s="20" t="s">
        <v>15</v>
      </c>
      <c r="V567" s="21" t="s">
        <v>16</v>
      </c>
      <c r="W567" s="20" t="s">
        <v>17</v>
      </c>
      <c r="X567" s="21" t="s">
        <v>18</v>
      </c>
      <c r="Y567" s="20" t="s">
        <v>19</v>
      </c>
      <c r="Z567" s="20" t="s">
        <v>20</v>
      </c>
    </row>
    <row r="568" spans="1:26" ht="13.9" customHeight="1" x14ac:dyDescent="0.25">
      <c r="A568" s="14">
        <v>8</v>
      </c>
      <c r="B568" s="14">
        <v>3</v>
      </c>
      <c r="D568" s="128" t="s">
        <v>21</v>
      </c>
      <c r="E568" s="22">
        <v>41</v>
      </c>
      <c r="F568" s="22" t="s">
        <v>23</v>
      </c>
      <c r="G568" s="23">
        <f t="shared" ref="G568:Q568" si="249">SUM(G572:G575)</f>
        <v>18600</v>
      </c>
      <c r="H568" s="23">
        <f t="shared" si="249"/>
        <v>0</v>
      </c>
      <c r="I568" s="23">
        <f t="shared" si="249"/>
        <v>20000</v>
      </c>
      <c r="J568" s="23">
        <f t="shared" si="249"/>
        <v>1010</v>
      </c>
      <c r="K568" s="23">
        <f t="shared" si="249"/>
        <v>271990</v>
      </c>
      <c r="L568" s="23">
        <f t="shared" si="249"/>
        <v>216</v>
      </c>
      <c r="M568" s="23">
        <f t="shared" si="249"/>
        <v>17290</v>
      </c>
      <c r="N568" s="23">
        <f t="shared" si="249"/>
        <v>47000</v>
      </c>
      <c r="O568" s="23">
        <f t="shared" si="249"/>
        <v>1188</v>
      </c>
      <c r="P568" s="23">
        <f t="shared" si="249"/>
        <v>337684</v>
      </c>
      <c r="Q568" s="23">
        <f t="shared" si="249"/>
        <v>22206</v>
      </c>
      <c r="R568" s="24">
        <f>Q568/$P568</f>
        <v>6.5759704338967787E-2</v>
      </c>
      <c r="S568" s="23">
        <f>SUM(S572:S575)</f>
        <v>22279.9</v>
      </c>
      <c r="T568" s="24">
        <f>S568/$P568</f>
        <v>6.597854799161347E-2</v>
      </c>
      <c r="U568" s="23">
        <f>SUM(U572:U575)</f>
        <v>110827.14000000001</v>
      </c>
      <c r="V568" s="24">
        <f>U568/$P568</f>
        <v>0.32819778254225851</v>
      </c>
      <c r="W568" s="23">
        <f>SUM(W572:W575)</f>
        <v>271615.03000000003</v>
      </c>
      <c r="X568" s="24">
        <f>W568/$P568</f>
        <v>0.80434675613887552</v>
      </c>
      <c r="Y568" s="23">
        <f>SUM(Y572:Y575)</f>
        <v>0</v>
      </c>
      <c r="Z568" s="23">
        <f>SUM(Z572:Z575)</f>
        <v>0</v>
      </c>
    </row>
    <row r="569" spans="1:26" ht="13.9" customHeight="1" x14ac:dyDescent="0.25">
      <c r="A569" s="14">
        <v>8</v>
      </c>
      <c r="B569" s="14">
        <v>3</v>
      </c>
      <c r="D569" s="29"/>
      <c r="E569" s="30"/>
      <c r="F569" s="25" t="s">
        <v>124</v>
      </c>
      <c r="G569" s="26">
        <f t="shared" ref="G569:Q569" si="250">SUM(G568:G568)</f>
        <v>18600</v>
      </c>
      <c r="H569" s="26">
        <f t="shared" si="250"/>
        <v>0</v>
      </c>
      <c r="I569" s="26">
        <f t="shared" si="250"/>
        <v>20000</v>
      </c>
      <c r="J569" s="26">
        <f t="shared" si="250"/>
        <v>1010</v>
      </c>
      <c r="K569" s="26">
        <f t="shared" si="250"/>
        <v>271990</v>
      </c>
      <c r="L569" s="26">
        <f t="shared" si="250"/>
        <v>216</v>
      </c>
      <c r="M569" s="26">
        <f t="shared" si="250"/>
        <v>17290</v>
      </c>
      <c r="N569" s="26">
        <f t="shared" si="250"/>
        <v>47000</v>
      </c>
      <c r="O569" s="26">
        <f t="shared" si="250"/>
        <v>1188</v>
      </c>
      <c r="P569" s="26">
        <f t="shared" si="250"/>
        <v>337684</v>
      </c>
      <c r="Q569" s="26">
        <f t="shared" si="250"/>
        <v>22206</v>
      </c>
      <c r="R569" s="27">
        <f>Q569/$P569</f>
        <v>6.5759704338967787E-2</v>
      </c>
      <c r="S569" s="26">
        <f>SUM(S568:S568)</f>
        <v>22279.9</v>
      </c>
      <c r="T569" s="27">
        <f>S569/$P569</f>
        <v>6.597854799161347E-2</v>
      </c>
      <c r="U569" s="26">
        <f>SUM(U568:U568)</f>
        <v>110827.14000000001</v>
      </c>
      <c r="V569" s="27">
        <f>U569/$P569</f>
        <v>0.32819778254225851</v>
      </c>
      <c r="W569" s="26">
        <f>SUM(W568:W568)</f>
        <v>271615.03000000003</v>
      </c>
      <c r="X569" s="27">
        <f>W569/$P569</f>
        <v>0.80434675613887552</v>
      </c>
      <c r="Y569" s="26">
        <f>SUM(Y568:Y568)</f>
        <v>0</v>
      </c>
      <c r="Z569" s="26">
        <f>SUM(Z568:Z568)</f>
        <v>0</v>
      </c>
    </row>
    <row r="571" spans="1:26" ht="13.9" customHeight="1" x14ac:dyDescent="0.25">
      <c r="D571" s="14" t="s">
        <v>57</v>
      </c>
    </row>
    <row r="572" spans="1:26" ht="13.9" customHeight="1" x14ac:dyDescent="0.25">
      <c r="D572" s="12" t="s">
        <v>303</v>
      </c>
      <c r="E572" s="110" t="s">
        <v>304</v>
      </c>
      <c r="F572" s="111"/>
      <c r="G572" s="113">
        <v>18600</v>
      </c>
      <c r="H572" s="113"/>
      <c r="I572" s="113">
        <v>0</v>
      </c>
      <c r="J572" s="113">
        <v>870</v>
      </c>
      <c r="K572" s="113">
        <v>2670</v>
      </c>
      <c r="L572" s="113">
        <v>216</v>
      </c>
      <c r="M572" s="113"/>
      <c r="N572" s="113"/>
      <c r="O572" s="113">
        <v>1188</v>
      </c>
      <c r="P572" s="113">
        <f>K572+SUM(L572:O572)</f>
        <v>4074</v>
      </c>
      <c r="Q572" s="113">
        <v>2886</v>
      </c>
      <c r="R572" s="114">
        <f>Q572/$P572</f>
        <v>0.70839469808541977</v>
      </c>
      <c r="S572" s="113">
        <v>2886</v>
      </c>
      <c r="T572" s="114">
        <f>S572/$P572</f>
        <v>0.70839469808541977</v>
      </c>
      <c r="U572" s="113">
        <v>2886</v>
      </c>
      <c r="V572" s="114">
        <f>U572/$P572</f>
        <v>0.70839469808541977</v>
      </c>
      <c r="W572" s="113">
        <v>4074</v>
      </c>
      <c r="X572" s="115">
        <f>W572/$P572</f>
        <v>1</v>
      </c>
      <c r="Y572" s="113"/>
      <c r="Z572" s="116"/>
    </row>
    <row r="573" spans="1:26" ht="13.9" customHeight="1" x14ac:dyDescent="0.25">
      <c r="D573" s="12"/>
      <c r="E573" s="110" t="s">
        <v>305</v>
      </c>
      <c r="F573" s="111"/>
      <c r="G573" s="113"/>
      <c r="H573" s="113"/>
      <c r="I573" s="113">
        <v>20000</v>
      </c>
      <c r="J573" s="113">
        <v>140</v>
      </c>
      <c r="K573" s="113">
        <f>19320</f>
        <v>19320</v>
      </c>
      <c r="L573" s="113"/>
      <c r="M573" s="113"/>
      <c r="N573" s="113"/>
      <c r="O573" s="113"/>
      <c r="P573" s="113">
        <f>K573+SUM(L573:O573)</f>
        <v>19320</v>
      </c>
      <c r="Q573" s="113">
        <v>19320</v>
      </c>
      <c r="R573" s="114">
        <f>Q573/$P573</f>
        <v>1</v>
      </c>
      <c r="S573" s="113">
        <v>19393.900000000001</v>
      </c>
      <c r="T573" s="114">
        <f>S573/$P573</f>
        <v>1.0038250517598344</v>
      </c>
      <c r="U573" s="113">
        <v>19393.900000000001</v>
      </c>
      <c r="V573" s="114">
        <f>U573/$P573</f>
        <v>1.0038250517598344</v>
      </c>
      <c r="W573" s="113">
        <v>19393.900000000001</v>
      </c>
      <c r="X573" s="115">
        <f>W573/$P573</f>
        <v>1.0038250517598344</v>
      </c>
      <c r="Y573" s="113"/>
      <c r="Z573" s="116"/>
    </row>
    <row r="574" spans="1:26" ht="13.9" customHeight="1" x14ac:dyDescent="0.25">
      <c r="D574" s="12"/>
      <c r="E574" s="110" t="s">
        <v>306</v>
      </c>
      <c r="F574" s="111"/>
      <c r="G574" s="113"/>
      <c r="H574" s="113"/>
      <c r="I574" s="113"/>
      <c r="J574" s="113"/>
      <c r="K574" s="113">
        <v>250000</v>
      </c>
      <c r="L574" s="113"/>
      <c r="M574" s="113">
        <v>17290</v>
      </c>
      <c r="N574" s="113">
        <v>47000</v>
      </c>
      <c r="O574" s="113"/>
      <c r="P574" s="113">
        <f>K574+SUM(L574:O574)</f>
        <v>314290</v>
      </c>
      <c r="Q574" s="113">
        <v>0</v>
      </c>
      <c r="R574" s="114">
        <f>Q574/$P574</f>
        <v>0</v>
      </c>
      <c r="S574" s="113">
        <v>0</v>
      </c>
      <c r="T574" s="114">
        <f>S574/$P574</f>
        <v>0</v>
      </c>
      <c r="U574" s="113">
        <v>88547.24</v>
      </c>
      <c r="V574" s="114">
        <f>U574/$P574</f>
        <v>0.28173737630850493</v>
      </c>
      <c r="W574" s="113">
        <v>248147.13</v>
      </c>
      <c r="X574" s="115">
        <f>W574/$P574</f>
        <v>0.78954828343249861</v>
      </c>
      <c r="Y574" s="113"/>
      <c r="Z574" s="116"/>
    </row>
    <row r="575" spans="1:26" ht="13.9" hidden="1" customHeight="1" x14ac:dyDescent="0.25">
      <c r="D575" s="12"/>
      <c r="E575" s="110" t="s">
        <v>307</v>
      </c>
      <c r="F575" s="111"/>
      <c r="G575" s="113"/>
      <c r="H575" s="113"/>
      <c r="I575" s="113">
        <v>0</v>
      </c>
      <c r="J575" s="113"/>
      <c r="K575" s="113"/>
      <c r="L575" s="113"/>
      <c r="M575" s="113"/>
      <c r="N575" s="113"/>
      <c r="O575" s="113"/>
      <c r="P575" s="113">
        <f>K575+SUM(L575:O575)</f>
        <v>0</v>
      </c>
      <c r="Q575" s="113">
        <v>0</v>
      </c>
      <c r="R575" s="114" t="e">
        <f>Q575/$P575</f>
        <v>#DIV/0!</v>
      </c>
      <c r="S575" s="113">
        <v>0</v>
      </c>
      <c r="T575" s="114" t="e">
        <f>S575/$P575</f>
        <v>#DIV/0!</v>
      </c>
      <c r="U575" s="113"/>
      <c r="V575" s="114" t="e">
        <f>U575/$P575</f>
        <v>#DIV/0!</v>
      </c>
      <c r="W575" s="113"/>
      <c r="X575" s="115" t="e">
        <f>W575/$P575</f>
        <v>#DIV/0!</v>
      </c>
      <c r="Y575" s="112"/>
      <c r="Z575" s="116"/>
    </row>
    <row r="577" spans="1:26" ht="13.9" customHeight="1" x14ac:dyDescent="0.25">
      <c r="D577" s="40" t="s">
        <v>308</v>
      </c>
      <c r="E577" s="40"/>
      <c r="F577" s="40"/>
      <c r="G577" s="40"/>
      <c r="H577" s="40"/>
      <c r="I577" s="40"/>
      <c r="J577" s="40"/>
      <c r="K577" s="40"/>
      <c r="L577" s="40"/>
      <c r="M577" s="40"/>
      <c r="N577" s="40"/>
      <c r="O577" s="40"/>
      <c r="P577" s="40"/>
      <c r="Q577" s="40"/>
      <c r="R577" s="41"/>
      <c r="S577" s="40"/>
      <c r="T577" s="41"/>
      <c r="U577" s="40"/>
      <c r="V577" s="41"/>
      <c r="W577" s="40"/>
      <c r="X577" s="41"/>
      <c r="Y577" s="40"/>
      <c r="Z577" s="40"/>
    </row>
    <row r="578" spans="1:26" ht="13.9" customHeight="1" x14ac:dyDescent="0.25">
      <c r="D578" s="126"/>
      <c r="E578" s="20"/>
      <c r="F578" s="20"/>
      <c r="G578" s="20" t="s">
        <v>1</v>
      </c>
      <c r="H578" s="20" t="s">
        <v>2</v>
      </c>
      <c r="I578" s="20" t="s">
        <v>3</v>
      </c>
      <c r="J578" s="20" t="s">
        <v>4</v>
      </c>
      <c r="K578" s="20" t="s">
        <v>5</v>
      </c>
      <c r="L578" s="20" t="s">
        <v>6</v>
      </c>
      <c r="M578" s="20" t="s">
        <v>7</v>
      </c>
      <c r="N578" s="20" t="s">
        <v>8</v>
      </c>
      <c r="O578" s="20" t="s">
        <v>9</v>
      </c>
      <c r="P578" s="20" t="s">
        <v>10</v>
      </c>
      <c r="Q578" s="20" t="s">
        <v>11</v>
      </c>
      <c r="R578" s="21" t="s">
        <v>12</v>
      </c>
      <c r="S578" s="20" t="s">
        <v>13</v>
      </c>
      <c r="T578" s="21" t="s">
        <v>14</v>
      </c>
      <c r="U578" s="20" t="s">
        <v>15</v>
      </c>
      <c r="V578" s="21" t="s">
        <v>16</v>
      </c>
      <c r="W578" s="20" t="s">
        <v>17</v>
      </c>
      <c r="X578" s="21" t="s">
        <v>18</v>
      </c>
      <c r="Y578" s="20" t="s">
        <v>19</v>
      </c>
      <c r="Z578" s="20" t="s">
        <v>20</v>
      </c>
    </row>
    <row r="579" spans="1:26" ht="13.9" customHeight="1" x14ac:dyDescent="0.25">
      <c r="A579" s="14">
        <v>8</v>
      </c>
      <c r="B579" s="14">
        <v>4</v>
      </c>
      <c r="D579" s="3" t="s">
        <v>21</v>
      </c>
      <c r="E579" s="22">
        <v>111</v>
      </c>
      <c r="F579" s="22" t="s">
        <v>47</v>
      </c>
      <c r="G579" s="23">
        <v>282834</v>
      </c>
      <c r="H579" s="23">
        <v>636446.24</v>
      </c>
      <c r="I579" s="23">
        <v>0</v>
      </c>
      <c r="J579" s="23">
        <v>0</v>
      </c>
      <c r="K579" s="23">
        <v>0</v>
      </c>
      <c r="L579" s="23">
        <v>0</v>
      </c>
      <c r="M579" s="23">
        <v>0</v>
      </c>
      <c r="N579" s="23">
        <v>0</v>
      </c>
      <c r="O579" s="23">
        <v>0</v>
      </c>
      <c r="P579" s="23">
        <v>0</v>
      </c>
      <c r="Q579" s="23">
        <v>0</v>
      </c>
      <c r="R579" s="24">
        <f>IFERROR(Q579/$P579,0)</f>
        <v>0</v>
      </c>
      <c r="S579" s="23">
        <v>0</v>
      </c>
      <c r="T579" s="24">
        <f>IFERROR(S579/$P579,0)</f>
        <v>0</v>
      </c>
      <c r="U579" s="23">
        <v>0</v>
      </c>
      <c r="V579" s="24">
        <f>IFERROR(U579/$P579,0)</f>
        <v>0</v>
      </c>
      <c r="W579" s="23">
        <v>0</v>
      </c>
      <c r="X579" s="24">
        <f>IFERROR(W579/$P579,0)</f>
        <v>0</v>
      </c>
      <c r="Y579" s="23">
        <f>SUM(Y583:Y583)</f>
        <v>0</v>
      </c>
      <c r="Z579" s="23">
        <f>SUM(Z583:Z583)</f>
        <v>0</v>
      </c>
    </row>
    <row r="580" spans="1:26" ht="13.9" customHeight="1" x14ac:dyDescent="0.25">
      <c r="A580" s="14">
        <v>8</v>
      </c>
      <c r="B580" s="14">
        <v>4</v>
      </c>
      <c r="D580" s="3" t="s">
        <v>21</v>
      </c>
      <c r="E580" s="22">
        <v>41</v>
      </c>
      <c r="F580" s="22" t="s">
        <v>23</v>
      </c>
      <c r="G580" s="23">
        <f>SUM(G584:G587)-G579</f>
        <v>17366</v>
      </c>
      <c r="H580" s="23">
        <f t="shared" ref="H580:Q580" si="251">SUM(H584:H588)-H579</f>
        <v>42486.760000000009</v>
      </c>
      <c r="I580" s="23">
        <f t="shared" si="251"/>
        <v>0</v>
      </c>
      <c r="J580" s="23">
        <f t="shared" si="251"/>
        <v>0</v>
      </c>
      <c r="K580" s="23">
        <f t="shared" si="251"/>
        <v>0</v>
      </c>
      <c r="L580" s="23">
        <f t="shared" si="251"/>
        <v>0</v>
      </c>
      <c r="M580" s="23">
        <f t="shared" si="251"/>
        <v>0</v>
      </c>
      <c r="N580" s="23">
        <f t="shared" si="251"/>
        <v>0</v>
      </c>
      <c r="O580" s="23">
        <f t="shared" si="251"/>
        <v>0</v>
      </c>
      <c r="P580" s="23">
        <f t="shared" si="251"/>
        <v>0</v>
      </c>
      <c r="Q580" s="23">
        <f t="shared" si="251"/>
        <v>0</v>
      </c>
      <c r="R580" s="24">
        <f>IFERROR(Q580/$P580,0)</f>
        <v>0</v>
      </c>
      <c r="S580" s="23">
        <f>SUM(S584:S588)-S579</f>
        <v>0</v>
      </c>
      <c r="T580" s="24">
        <f>IFERROR(S580/$P580,0)</f>
        <v>0</v>
      </c>
      <c r="U580" s="23">
        <f>SUM(U584:U588)-U579</f>
        <v>0</v>
      </c>
      <c r="V580" s="24">
        <f>IFERROR(U580/$P580,0)</f>
        <v>0</v>
      </c>
      <c r="W580" s="23">
        <f>SUM(W584:W588)-W579</f>
        <v>0</v>
      </c>
      <c r="X580" s="24">
        <f>IFERROR(W580/$P580,0)</f>
        <v>0</v>
      </c>
      <c r="Y580" s="23">
        <f>SUM(Y584:Y588)-Y579</f>
        <v>0</v>
      </c>
      <c r="Z580" s="23">
        <f>SUM(Z584:Z588)-Z579</f>
        <v>0</v>
      </c>
    </row>
    <row r="581" spans="1:26" ht="13.9" customHeight="1" x14ac:dyDescent="0.25">
      <c r="A581" s="14">
        <v>8</v>
      </c>
      <c r="B581" s="14">
        <v>4</v>
      </c>
      <c r="D581" s="29"/>
      <c r="E581" s="30"/>
      <c r="F581" s="25" t="s">
        <v>124</v>
      </c>
      <c r="G581" s="26">
        <f t="shared" ref="G581:Q581" si="252">SUM(G579:G580)</f>
        <v>300200</v>
      </c>
      <c r="H581" s="26">
        <f t="shared" si="252"/>
        <v>678933</v>
      </c>
      <c r="I581" s="26">
        <f t="shared" si="252"/>
        <v>0</v>
      </c>
      <c r="J581" s="26">
        <f t="shared" si="252"/>
        <v>0</v>
      </c>
      <c r="K581" s="26">
        <f t="shared" si="252"/>
        <v>0</v>
      </c>
      <c r="L581" s="26">
        <f t="shared" si="252"/>
        <v>0</v>
      </c>
      <c r="M581" s="26">
        <f t="shared" si="252"/>
        <v>0</v>
      </c>
      <c r="N581" s="26">
        <f t="shared" si="252"/>
        <v>0</v>
      </c>
      <c r="O581" s="26">
        <f t="shared" si="252"/>
        <v>0</v>
      </c>
      <c r="P581" s="26">
        <f t="shared" si="252"/>
        <v>0</v>
      </c>
      <c r="Q581" s="26">
        <f t="shared" si="252"/>
        <v>0</v>
      </c>
      <c r="R581" s="27">
        <f>IFERROR(Q581/$P581,0)</f>
        <v>0</v>
      </c>
      <c r="S581" s="26">
        <f>SUM(S579:S580)</f>
        <v>0</v>
      </c>
      <c r="T581" s="27">
        <f>IFERROR(S581/$P581,0)</f>
        <v>0</v>
      </c>
      <c r="U581" s="26">
        <f>SUM(U579:U580)</f>
        <v>0</v>
      </c>
      <c r="V581" s="27">
        <f>IFERROR(U581/$P581,0)</f>
        <v>0</v>
      </c>
      <c r="W581" s="26">
        <f>SUM(W579:W580)</f>
        <v>0</v>
      </c>
      <c r="X581" s="27">
        <f>IFERROR(W581/$P581,0)</f>
        <v>0</v>
      </c>
      <c r="Y581" s="26">
        <f>SUM(Y580:Y580)</f>
        <v>0</v>
      </c>
      <c r="Z581" s="26">
        <f>SUM(Z580:Z580)</f>
        <v>0</v>
      </c>
    </row>
    <row r="582" spans="1:26" ht="13.9" hidden="1" customHeight="1" x14ac:dyDescent="0.25"/>
    <row r="583" spans="1:26" ht="13.9" hidden="1" customHeight="1" x14ac:dyDescent="0.25">
      <c r="D583" s="14" t="s">
        <v>57</v>
      </c>
    </row>
    <row r="584" spans="1:26" ht="13.9" hidden="1" customHeight="1" x14ac:dyDescent="0.25">
      <c r="D584" s="12" t="s">
        <v>309</v>
      </c>
      <c r="E584" s="51" t="s">
        <v>97</v>
      </c>
      <c r="F584" s="29"/>
      <c r="G584" s="52">
        <v>300200</v>
      </c>
      <c r="H584" s="52">
        <v>525970.88</v>
      </c>
      <c r="I584" s="52">
        <v>0</v>
      </c>
      <c r="J584" s="52"/>
      <c r="K584" s="52"/>
      <c r="L584" s="52"/>
      <c r="M584" s="52"/>
      <c r="N584" s="52"/>
      <c r="O584" s="52"/>
      <c r="P584" s="52">
        <f>K584+SUM(L584:O584)</f>
        <v>0</v>
      </c>
      <c r="Q584" s="52">
        <v>0</v>
      </c>
      <c r="R584" s="53" t="e">
        <f>Q584/$P584</f>
        <v>#DIV/0!</v>
      </c>
      <c r="S584" s="52">
        <v>0</v>
      </c>
      <c r="T584" s="53" t="e">
        <f>S584/$P584</f>
        <v>#DIV/0!</v>
      </c>
      <c r="U584" s="52"/>
      <c r="V584" s="53" t="e">
        <f>U584/$P584</f>
        <v>#DIV/0!</v>
      </c>
      <c r="W584" s="52"/>
      <c r="X584" s="54" t="e">
        <f>W584/$P584</f>
        <v>#DIV/0!</v>
      </c>
      <c r="Y584" s="52"/>
      <c r="Z584" s="55"/>
    </row>
    <row r="585" spans="1:26" ht="13.9" hidden="1" customHeight="1" x14ac:dyDescent="0.25">
      <c r="D585" s="12"/>
      <c r="E585" s="56" t="s">
        <v>310</v>
      </c>
      <c r="F585" s="92"/>
      <c r="G585" s="81"/>
      <c r="H585" s="81">
        <v>5276.23</v>
      </c>
      <c r="I585" s="81">
        <v>0</v>
      </c>
      <c r="J585" s="81"/>
      <c r="K585" s="81"/>
      <c r="L585" s="81"/>
      <c r="M585" s="81"/>
      <c r="N585" s="81"/>
      <c r="O585" s="81"/>
      <c r="P585" s="81">
        <f>K585+SUM(L585:O585)</f>
        <v>0</v>
      </c>
      <c r="Q585" s="81">
        <v>0</v>
      </c>
      <c r="R585" s="82" t="e">
        <f>Q585/$P585</f>
        <v>#DIV/0!</v>
      </c>
      <c r="S585" s="81">
        <v>0</v>
      </c>
      <c r="T585" s="82" t="e">
        <f>S585/$P585</f>
        <v>#DIV/0!</v>
      </c>
      <c r="U585" s="81"/>
      <c r="V585" s="82" t="e">
        <f>U585/$P585</f>
        <v>#DIV/0!</v>
      </c>
      <c r="W585" s="81"/>
      <c r="X585" s="59" t="e">
        <f>W585/$P585</f>
        <v>#DIV/0!</v>
      </c>
      <c r="Y585" s="81"/>
      <c r="Z585" s="60"/>
    </row>
    <row r="586" spans="1:26" ht="13.9" hidden="1" customHeight="1" x14ac:dyDescent="0.25">
      <c r="D586" s="12"/>
      <c r="E586" s="56" t="s">
        <v>311</v>
      </c>
      <c r="F586" s="92"/>
      <c r="G586" s="81"/>
      <c r="H586" s="81">
        <v>0</v>
      </c>
      <c r="I586" s="81">
        <v>0</v>
      </c>
      <c r="J586" s="81"/>
      <c r="K586" s="81"/>
      <c r="L586" s="81"/>
      <c r="M586" s="81"/>
      <c r="N586" s="81"/>
      <c r="O586" s="81"/>
      <c r="P586" s="81">
        <f>K586+SUM(L586:O586)</f>
        <v>0</v>
      </c>
      <c r="Q586" s="81">
        <v>0</v>
      </c>
      <c r="R586" s="82" t="e">
        <f>Q586/$P586</f>
        <v>#DIV/0!</v>
      </c>
      <c r="S586" s="81">
        <v>0</v>
      </c>
      <c r="T586" s="82" t="e">
        <f>S586/$P586</f>
        <v>#DIV/0!</v>
      </c>
      <c r="U586" s="81"/>
      <c r="V586" s="82" t="e">
        <f>U586/$P586</f>
        <v>#DIV/0!</v>
      </c>
      <c r="W586" s="81"/>
      <c r="X586" s="59" t="e">
        <f>W586/$P586</f>
        <v>#DIV/0!</v>
      </c>
      <c r="Y586" s="81"/>
      <c r="Z586" s="60"/>
    </row>
    <row r="587" spans="1:26" ht="13.9" hidden="1" customHeight="1" x14ac:dyDescent="0.25">
      <c r="D587" s="12"/>
      <c r="E587" s="64" t="s">
        <v>312</v>
      </c>
      <c r="F587" s="95"/>
      <c r="G587" s="66"/>
      <c r="H587" s="66">
        <v>2783.37</v>
      </c>
      <c r="I587" s="66">
        <v>0</v>
      </c>
      <c r="J587" s="66"/>
      <c r="K587" s="66"/>
      <c r="L587" s="66"/>
      <c r="M587" s="66"/>
      <c r="N587" s="66"/>
      <c r="O587" s="66"/>
      <c r="P587" s="66">
        <f>K587+SUM(L587:O587)</f>
        <v>0</v>
      </c>
      <c r="Q587" s="66">
        <v>0</v>
      </c>
      <c r="R587" s="67" t="e">
        <f>Q587/$P587</f>
        <v>#DIV/0!</v>
      </c>
      <c r="S587" s="66">
        <v>0</v>
      </c>
      <c r="T587" s="67" t="e">
        <f>S587/$P587</f>
        <v>#DIV/0!</v>
      </c>
      <c r="U587" s="66"/>
      <c r="V587" s="67" t="e">
        <f>U587/$P587</f>
        <v>#DIV/0!</v>
      </c>
      <c r="W587" s="66"/>
      <c r="X587" s="68" t="e">
        <f>W587/$P587</f>
        <v>#DIV/0!</v>
      </c>
      <c r="Y587" s="66"/>
      <c r="Z587" s="69"/>
    </row>
    <row r="588" spans="1:26" ht="13.9" hidden="1" customHeight="1" x14ac:dyDescent="0.25">
      <c r="D588" s="22" t="s">
        <v>309</v>
      </c>
      <c r="E588" s="64" t="s">
        <v>313</v>
      </c>
      <c r="F588" s="95"/>
      <c r="G588" s="66"/>
      <c r="H588" s="66">
        <v>144902.51999999999</v>
      </c>
      <c r="I588" s="66">
        <v>0</v>
      </c>
      <c r="J588" s="66"/>
      <c r="K588" s="66"/>
      <c r="L588" s="66"/>
      <c r="M588" s="66"/>
      <c r="N588" s="66"/>
      <c r="O588" s="66"/>
      <c r="P588" s="66">
        <f>K588+SUM(L588:O588)</f>
        <v>0</v>
      </c>
      <c r="Q588" s="66">
        <v>0</v>
      </c>
      <c r="R588" s="67" t="e">
        <f>Q588/$P588</f>
        <v>#DIV/0!</v>
      </c>
      <c r="S588" s="66">
        <v>0</v>
      </c>
      <c r="T588" s="67" t="e">
        <f>S588/$P588</f>
        <v>#DIV/0!</v>
      </c>
      <c r="U588" s="66"/>
      <c r="V588" s="67" t="e">
        <f>U588/$P588</f>
        <v>#DIV/0!</v>
      </c>
      <c r="W588" s="66"/>
      <c r="X588" s="68" t="e">
        <f>W588/$P588</f>
        <v>#DIV/0!</v>
      </c>
      <c r="Y588" s="66"/>
      <c r="Z588" s="69"/>
    </row>
    <row r="590" spans="1:26" ht="13.9" customHeight="1" x14ac:dyDescent="0.25">
      <c r="D590" s="40" t="s">
        <v>314</v>
      </c>
      <c r="E590" s="40"/>
      <c r="F590" s="40"/>
      <c r="G590" s="40"/>
      <c r="H590" s="40"/>
      <c r="I590" s="40"/>
      <c r="J590" s="40"/>
      <c r="K590" s="40"/>
      <c r="L590" s="40"/>
      <c r="M590" s="40"/>
      <c r="N590" s="40"/>
      <c r="O590" s="40"/>
      <c r="P590" s="40"/>
      <c r="Q590" s="40"/>
      <c r="R590" s="41"/>
      <c r="S590" s="40"/>
      <c r="T590" s="41"/>
      <c r="U590" s="40"/>
      <c r="V590" s="41"/>
      <c r="W590" s="40"/>
      <c r="X590" s="41"/>
      <c r="Y590" s="40"/>
      <c r="Z590" s="40"/>
    </row>
    <row r="591" spans="1:26" ht="13.9" customHeight="1" x14ac:dyDescent="0.25">
      <c r="D591" s="126"/>
      <c r="E591" s="20"/>
      <c r="F591" s="20"/>
      <c r="G591" s="20" t="s">
        <v>1</v>
      </c>
      <c r="H591" s="20" t="s">
        <v>2</v>
      </c>
      <c r="I591" s="20" t="s">
        <v>3</v>
      </c>
      <c r="J591" s="20" t="s">
        <v>4</v>
      </c>
      <c r="K591" s="20" t="s">
        <v>5</v>
      </c>
      <c r="L591" s="20" t="s">
        <v>6</v>
      </c>
      <c r="M591" s="20" t="s">
        <v>7</v>
      </c>
      <c r="N591" s="20" t="s">
        <v>8</v>
      </c>
      <c r="O591" s="20" t="s">
        <v>9</v>
      </c>
      <c r="P591" s="20" t="s">
        <v>10</v>
      </c>
      <c r="Q591" s="20" t="s">
        <v>11</v>
      </c>
      <c r="R591" s="21" t="s">
        <v>12</v>
      </c>
      <c r="S591" s="20" t="s">
        <v>13</v>
      </c>
      <c r="T591" s="21" t="s">
        <v>14</v>
      </c>
      <c r="U591" s="20" t="s">
        <v>15</v>
      </c>
      <c r="V591" s="21" t="s">
        <v>16</v>
      </c>
      <c r="W591" s="20" t="s">
        <v>17</v>
      </c>
      <c r="X591" s="21" t="s">
        <v>18</v>
      </c>
      <c r="Y591" s="20" t="s">
        <v>19</v>
      </c>
      <c r="Z591" s="20" t="s">
        <v>20</v>
      </c>
    </row>
    <row r="592" spans="1:26" ht="13.9" customHeight="1" x14ac:dyDescent="0.25">
      <c r="A592" s="14">
        <v>8</v>
      </c>
      <c r="B592" s="14">
        <v>5</v>
      </c>
      <c r="D592" s="12" t="s">
        <v>21</v>
      </c>
      <c r="E592" s="22">
        <v>111</v>
      </c>
      <c r="F592" s="22" t="s">
        <v>47</v>
      </c>
      <c r="G592" s="23">
        <v>30000</v>
      </c>
      <c r="H592" s="23">
        <v>0</v>
      </c>
      <c r="I592" s="23">
        <v>0</v>
      </c>
      <c r="J592" s="23">
        <v>0</v>
      </c>
      <c r="K592" s="23">
        <v>170000</v>
      </c>
      <c r="L592" s="23">
        <v>0</v>
      </c>
      <c r="M592" s="23">
        <v>0</v>
      </c>
      <c r="N592" s="23">
        <v>0</v>
      </c>
      <c r="O592" s="23">
        <v>-170000</v>
      </c>
      <c r="P592" s="23">
        <v>0</v>
      </c>
      <c r="Q592" s="23">
        <v>0</v>
      </c>
      <c r="R592" s="24">
        <f>IFERROR(Q592/$P592,0)</f>
        <v>0</v>
      </c>
      <c r="S592" s="23">
        <v>0</v>
      </c>
      <c r="T592" s="24">
        <f>IFERROR(S592/$P592,0)</f>
        <v>0</v>
      </c>
      <c r="U592" s="23">
        <v>0</v>
      </c>
      <c r="V592" s="24">
        <f>IFERROR(U592/$P592,0)</f>
        <v>0</v>
      </c>
      <c r="W592" s="23">
        <v>0</v>
      </c>
      <c r="X592" s="24">
        <f>IFERROR(W592/$P592,0)</f>
        <v>0</v>
      </c>
      <c r="Y592" s="23">
        <v>0</v>
      </c>
      <c r="Z592" s="23">
        <v>0</v>
      </c>
    </row>
    <row r="593" spans="1:26" ht="13.9" customHeight="1" x14ac:dyDescent="0.25">
      <c r="A593" s="14">
        <v>8</v>
      </c>
      <c r="B593" s="14">
        <v>5</v>
      </c>
      <c r="D593" s="12"/>
      <c r="E593" s="22">
        <v>41</v>
      </c>
      <c r="F593" s="22" t="s">
        <v>23</v>
      </c>
      <c r="G593" s="23">
        <f t="shared" ref="G593:Q593" si="253">SUM(G597:G606)-G592</f>
        <v>227464.27000000002</v>
      </c>
      <c r="H593" s="23">
        <f t="shared" si="253"/>
        <v>39300</v>
      </c>
      <c r="I593" s="23">
        <f t="shared" si="253"/>
        <v>445710</v>
      </c>
      <c r="J593" s="23">
        <f t="shared" si="253"/>
        <v>74155.569999999992</v>
      </c>
      <c r="K593" s="23">
        <f t="shared" si="253"/>
        <v>334814</v>
      </c>
      <c r="L593" s="23">
        <f t="shared" si="253"/>
        <v>0</v>
      </c>
      <c r="M593" s="23">
        <f t="shared" si="253"/>
        <v>0</v>
      </c>
      <c r="N593" s="23">
        <f t="shared" si="253"/>
        <v>-10000</v>
      </c>
      <c r="O593" s="23">
        <f t="shared" si="253"/>
        <v>-24671</v>
      </c>
      <c r="P593" s="23">
        <f t="shared" si="253"/>
        <v>300143</v>
      </c>
      <c r="Q593" s="23">
        <f t="shared" si="253"/>
        <v>219026.4</v>
      </c>
      <c r="R593" s="24">
        <f>Q593/$P593</f>
        <v>0.72974015719173857</v>
      </c>
      <c r="S593" s="23">
        <f>SUM(S597:S606)-S592</f>
        <v>220072.6</v>
      </c>
      <c r="T593" s="24">
        <f>S593/$P593</f>
        <v>0.7332258290214998</v>
      </c>
      <c r="U593" s="23">
        <f>SUM(U597:U606)-U592</f>
        <v>222322.6</v>
      </c>
      <c r="V593" s="24">
        <f>U593/$P593</f>
        <v>0.74072225572477124</v>
      </c>
      <c r="W593" s="23">
        <f>SUM(W597:W606)-W592</f>
        <v>226141.9</v>
      </c>
      <c r="X593" s="24">
        <f>W593/$P593</f>
        <v>0.75344719017268436</v>
      </c>
      <c r="Y593" s="23">
        <f>SUM(Y597:Y606)</f>
        <v>449453</v>
      </c>
      <c r="Z593" s="23">
        <f>SUM(Z597:Z606)</f>
        <v>463491</v>
      </c>
    </row>
    <row r="594" spans="1:26" ht="13.9" customHeight="1" x14ac:dyDescent="0.25">
      <c r="A594" s="14">
        <v>8</v>
      </c>
      <c r="B594" s="14">
        <v>5</v>
      </c>
      <c r="D594" s="29"/>
      <c r="E594" s="30"/>
      <c r="F594" s="25" t="s">
        <v>124</v>
      </c>
      <c r="G594" s="26">
        <f t="shared" ref="G594:Q594" si="254">SUM(G592:G593)</f>
        <v>257464.27000000002</v>
      </c>
      <c r="H594" s="26">
        <f t="shared" si="254"/>
        <v>39300</v>
      </c>
      <c r="I594" s="26">
        <f t="shared" si="254"/>
        <v>445710</v>
      </c>
      <c r="J594" s="26">
        <f t="shared" si="254"/>
        <v>74155.569999999992</v>
      </c>
      <c r="K594" s="26">
        <f t="shared" si="254"/>
        <v>504814</v>
      </c>
      <c r="L594" s="26">
        <f t="shared" si="254"/>
        <v>0</v>
      </c>
      <c r="M594" s="26">
        <f t="shared" si="254"/>
        <v>0</v>
      </c>
      <c r="N594" s="26">
        <f t="shared" si="254"/>
        <v>-10000</v>
      </c>
      <c r="O594" s="26">
        <f t="shared" si="254"/>
        <v>-194671</v>
      </c>
      <c r="P594" s="26">
        <f t="shared" si="254"/>
        <v>300143</v>
      </c>
      <c r="Q594" s="26">
        <f t="shared" si="254"/>
        <v>219026.4</v>
      </c>
      <c r="R594" s="27">
        <f>Q594/$P594</f>
        <v>0.72974015719173857</v>
      </c>
      <c r="S594" s="26">
        <f>SUM(S592:S593)</f>
        <v>220072.6</v>
      </c>
      <c r="T594" s="27">
        <f>S594/$P594</f>
        <v>0.7332258290214998</v>
      </c>
      <c r="U594" s="26">
        <f>SUM(U592:U593)</f>
        <v>222322.6</v>
      </c>
      <c r="V594" s="27">
        <f>U594/$P594</f>
        <v>0.74072225572477124</v>
      </c>
      <c r="W594" s="26">
        <f>SUM(W592:W593)</f>
        <v>226141.9</v>
      </c>
      <c r="X594" s="27">
        <f>W594/$P594</f>
        <v>0.75344719017268436</v>
      </c>
      <c r="Y594" s="26">
        <f>SUM(Y592:Y593)</f>
        <v>449453</v>
      </c>
      <c r="Z594" s="26">
        <f>SUM(Z592:Z593)</f>
        <v>463491</v>
      </c>
    </row>
    <row r="596" spans="1:26" ht="13.9" customHeight="1" x14ac:dyDescent="0.25">
      <c r="D596" s="14" t="s">
        <v>57</v>
      </c>
    </row>
    <row r="597" spans="1:26" ht="13.9" hidden="1" customHeight="1" x14ac:dyDescent="0.25">
      <c r="D597" s="12" t="s">
        <v>315</v>
      </c>
      <c r="E597" s="110" t="s">
        <v>316</v>
      </c>
      <c r="F597" s="111"/>
      <c r="G597" s="113">
        <v>151025.60000000001</v>
      </c>
      <c r="H597" s="113"/>
      <c r="I597" s="112">
        <v>71210</v>
      </c>
      <c r="J597" s="112">
        <v>20209.86</v>
      </c>
      <c r="K597" s="112"/>
      <c r="L597" s="112"/>
      <c r="M597" s="112"/>
      <c r="N597" s="112"/>
      <c r="O597" s="112"/>
      <c r="P597" s="112">
        <f t="shared" ref="P597:P606" si="255">K597+SUM(L597:O597)</f>
        <v>0</v>
      </c>
      <c r="Q597" s="112">
        <v>0</v>
      </c>
      <c r="R597" s="120" t="e">
        <f t="shared" ref="R597:R602" si="256">Q597/$P597</f>
        <v>#DIV/0!</v>
      </c>
      <c r="S597" s="112">
        <v>0</v>
      </c>
      <c r="T597" s="120" t="e">
        <f t="shared" ref="T597:T602" si="257">S597/$P597</f>
        <v>#DIV/0!</v>
      </c>
      <c r="U597" s="112"/>
      <c r="V597" s="120" t="e">
        <f t="shared" ref="V597:V602" si="258">U597/$P597</f>
        <v>#DIV/0!</v>
      </c>
      <c r="W597" s="112"/>
      <c r="X597" s="121" t="e">
        <f t="shared" ref="X597:X602" si="259">W597/$P597</f>
        <v>#DIV/0!</v>
      </c>
      <c r="Y597" s="113"/>
      <c r="Z597" s="116"/>
    </row>
    <row r="598" spans="1:26" ht="13.9" hidden="1" customHeight="1" x14ac:dyDescent="0.25">
      <c r="D598" s="12"/>
      <c r="E598" s="110" t="s">
        <v>317</v>
      </c>
      <c r="F598" s="111"/>
      <c r="G598" s="113"/>
      <c r="H598" s="113"/>
      <c r="I598" s="113">
        <v>0</v>
      </c>
      <c r="J598" s="113"/>
      <c r="K598" s="113"/>
      <c r="L598" s="113"/>
      <c r="M598" s="113"/>
      <c r="N598" s="113"/>
      <c r="O598" s="113"/>
      <c r="P598" s="113">
        <f t="shared" si="255"/>
        <v>0</v>
      </c>
      <c r="Q598" s="113">
        <v>0</v>
      </c>
      <c r="R598" s="114" t="e">
        <f t="shared" si="256"/>
        <v>#DIV/0!</v>
      </c>
      <c r="S598" s="113">
        <v>0</v>
      </c>
      <c r="T598" s="114" t="e">
        <f t="shared" si="257"/>
        <v>#DIV/0!</v>
      </c>
      <c r="U598" s="113"/>
      <c r="V598" s="114" t="e">
        <f t="shared" si="258"/>
        <v>#DIV/0!</v>
      </c>
      <c r="W598" s="113"/>
      <c r="X598" s="115" t="e">
        <f t="shared" si="259"/>
        <v>#DIV/0!</v>
      </c>
      <c r="Y598" s="113"/>
      <c r="Z598" s="116"/>
    </row>
    <row r="599" spans="1:26" ht="13.9" hidden="1" customHeight="1" x14ac:dyDescent="0.25">
      <c r="D599" s="22" t="s">
        <v>318</v>
      </c>
      <c r="E599" s="110" t="s">
        <v>319</v>
      </c>
      <c r="F599" s="111"/>
      <c r="G599" s="113"/>
      <c r="H599" s="113"/>
      <c r="I599" s="113">
        <v>50000</v>
      </c>
      <c r="J599" s="113"/>
      <c r="K599" s="113"/>
      <c r="L599" s="113"/>
      <c r="M599" s="113"/>
      <c r="N599" s="113"/>
      <c r="O599" s="113"/>
      <c r="P599" s="113">
        <f t="shared" si="255"/>
        <v>0</v>
      </c>
      <c r="Q599" s="113">
        <v>0</v>
      </c>
      <c r="R599" s="114" t="e">
        <f t="shared" si="256"/>
        <v>#DIV/0!</v>
      </c>
      <c r="S599" s="113">
        <v>0</v>
      </c>
      <c r="T599" s="114" t="e">
        <f t="shared" si="257"/>
        <v>#DIV/0!</v>
      </c>
      <c r="U599" s="113"/>
      <c r="V599" s="114" t="e">
        <f t="shared" si="258"/>
        <v>#DIV/0!</v>
      </c>
      <c r="W599" s="113"/>
      <c r="X599" s="115" t="e">
        <f t="shared" si="259"/>
        <v>#DIV/0!</v>
      </c>
      <c r="Y599" s="113"/>
      <c r="Z599" s="116"/>
    </row>
    <row r="600" spans="1:26" ht="13.9" hidden="1" customHeight="1" x14ac:dyDescent="0.25">
      <c r="D600" s="42" t="s">
        <v>320</v>
      </c>
      <c r="E600" s="110" t="s">
        <v>321</v>
      </c>
      <c r="F600" s="111"/>
      <c r="G600" s="113">
        <v>26784.19</v>
      </c>
      <c r="H600" s="113"/>
      <c r="I600" s="113">
        <v>60000</v>
      </c>
      <c r="J600" s="113">
        <v>50367.76</v>
      </c>
      <c r="K600" s="113"/>
      <c r="L600" s="113"/>
      <c r="M600" s="113"/>
      <c r="N600" s="113"/>
      <c r="O600" s="113"/>
      <c r="P600" s="113">
        <f t="shared" si="255"/>
        <v>0</v>
      </c>
      <c r="Q600" s="113">
        <v>0</v>
      </c>
      <c r="R600" s="114" t="e">
        <f t="shared" si="256"/>
        <v>#DIV/0!</v>
      </c>
      <c r="S600" s="113">
        <v>0</v>
      </c>
      <c r="T600" s="114" t="e">
        <f t="shared" si="257"/>
        <v>#DIV/0!</v>
      </c>
      <c r="U600" s="113"/>
      <c r="V600" s="114" t="e">
        <f t="shared" si="258"/>
        <v>#DIV/0!</v>
      </c>
      <c r="W600" s="113"/>
      <c r="X600" s="115" t="e">
        <f t="shared" si="259"/>
        <v>#DIV/0!</v>
      </c>
      <c r="Y600" s="113"/>
      <c r="Z600" s="116"/>
    </row>
    <row r="601" spans="1:26" ht="13.9" customHeight="1" x14ac:dyDescent="0.25">
      <c r="D601" s="2" t="s">
        <v>320</v>
      </c>
      <c r="E601" s="51" t="s">
        <v>322</v>
      </c>
      <c r="F601" s="29"/>
      <c r="G601" s="52"/>
      <c r="H601" s="52">
        <v>37800</v>
      </c>
      <c r="I601" s="52">
        <v>4500</v>
      </c>
      <c r="J601" s="52">
        <v>223.9</v>
      </c>
      <c r="K601" s="52">
        <v>3840</v>
      </c>
      <c r="L601" s="52"/>
      <c r="M601" s="52"/>
      <c r="N601" s="52"/>
      <c r="O601" s="52">
        <v>1188</v>
      </c>
      <c r="P601" s="52">
        <f t="shared" si="255"/>
        <v>5028</v>
      </c>
      <c r="Q601" s="52">
        <v>3840</v>
      </c>
      <c r="R601" s="53">
        <f t="shared" si="256"/>
        <v>0.76372315035799521</v>
      </c>
      <c r="S601" s="52">
        <v>3840</v>
      </c>
      <c r="T601" s="53">
        <f t="shared" si="257"/>
        <v>0.76372315035799521</v>
      </c>
      <c r="U601" s="52">
        <v>3840</v>
      </c>
      <c r="V601" s="53">
        <f t="shared" si="258"/>
        <v>0.76372315035799521</v>
      </c>
      <c r="W601" s="52">
        <v>5028</v>
      </c>
      <c r="X601" s="54">
        <f t="shared" si="259"/>
        <v>1</v>
      </c>
      <c r="Y601" s="52"/>
      <c r="Z601" s="55"/>
    </row>
    <row r="602" spans="1:26" ht="13.9" hidden="1" customHeight="1" x14ac:dyDescent="0.25">
      <c r="D602" s="2" t="s">
        <v>320</v>
      </c>
      <c r="E602" s="64" t="s">
        <v>323</v>
      </c>
      <c r="F602" s="95"/>
      <c r="G602" s="66"/>
      <c r="H602" s="66"/>
      <c r="I602" s="66">
        <v>0</v>
      </c>
      <c r="J602" s="66">
        <v>0</v>
      </c>
      <c r="K602" s="66"/>
      <c r="L602" s="66"/>
      <c r="M602" s="66"/>
      <c r="N602" s="66"/>
      <c r="O602" s="66"/>
      <c r="P602" s="66">
        <f t="shared" si="255"/>
        <v>0</v>
      </c>
      <c r="Q602" s="66">
        <v>0</v>
      </c>
      <c r="R602" s="67" t="e">
        <f t="shared" si="256"/>
        <v>#DIV/0!</v>
      </c>
      <c r="S602" s="66">
        <v>0</v>
      </c>
      <c r="T602" s="67" t="e">
        <f t="shared" si="257"/>
        <v>#DIV/0!</v>
      </c>
      <c r="U602" s="66"/>
      <c r="V602" s="67" t="e">
        <f t="shared" si="258"/>
        <v>#DIV/0!</v>
      </c>
      <c r="W602" s="66"/>
      <c r="X602" s="68" t="e">
        <f t="shared" si="259"/>
        <v>#DIV/0!</v>
      </c>
      <c r="Y602" s="66">
        <v>449453</v>
      </c>
      <c r="Z602" s="130">
        <v>463491</v>
      </c>
    </row>
    <row r="603" spans="1:26" ht="13.9" customHeight="1" x14ac:dyDescent="0.25">
      <c r="D603" s="2" t="s">
        <v>320</v>
      </c>
      <c r="E603" s="64" t="s">
        <v>324</v>
      </c>
      <c r="F603" s="95"/>
      <c r="G603" s="66"/>
      <c r="H603" s="66"/>
      <c r="I603" s="66"/>
      <c r="J603" s="66">
        <v>1200</v>
      </c>
      <c r="K603" s="66">
        <f>170000+10000</f>
        <v>180000</v>
      </c>
      <c r="L603" s="66"/>
      <c r="M603" s="66"/>
      <c r="N603" s="66"/>
      <c r="O603" s="66">
        <v>-180000</v>
      </c>
      <c r="P603" s="66">
        <f t="shared" si="255"/>
        <v>0</v>
      </c>
      <c r="Q603" s="66">
        <v>0</v>
      </c>
      <c r="R603" s="67">
        <f>IFERROR(Q603/$P603,0)</f>
        <v>0</v>
      </c>
      <c r="S603" s="66">
        <v>0</v>
      </c>
      <c r="T603" s="67">
        <f>IFERROR(S603/$P603,0)</f>
        <v>0</v>
      </c>
      <c r="U603" s="66">
        <v>0</v>
      </c>
      <c r="V603" s="67">
        <f>IFERROR(U603/$P603,0)</f>
        <v>0</v>
      </c>
      <c r="W603" s="66">
        <v>0</v>
      </c>
      <c r="X603" s="68">
        <f>IFERROR(W603/$P603,0)</f>
        <v>0</v>
      </c>
      <c r="Y603" s="112"/>
      <c r="Z603" s="131"/>
    </row>
    <row r="604" spans="1:26" ht="13.9" customHeight="1" x14ac:dyDescent="0.25">
      <c r="D604" s="14" t="s">
        <v>325</v>
      </c>
      <c r="E604" s="110" t="s">
        <v>326</v>
      </c>
      <c r="F604" s="111"/>
      <c r="G604" s="113"/>
      <c r="H604" s="113"/>
      <c r="I604" s="113">
        <v>250000</v>
      </c>
      <c r="J604" s="113">
        <v>2154.0500000000002</v>
      </c>
      <c r="K604" s="112">
        <f>25994+214980</f>
        <v>240974</v>
      </c>
      <c r="L604" s="113"/>
      <c r="M604" s="113"/>
      <c r="N604" s="113">
        <v>-10000</v>
      </c>
      <c r="O604" s="113"/>
      <c r="P604" s="113">
        <f t="shared" si="255"/>
        <v>230974</v>
      </c>
      <c r="Q604" s="113">
        <v>215186.4</v>
      </c>
      <c r="R604" s="114">
        <f>Q604/$P604</f>
        <v>0.93164771792496126</v>
      </c>
      <c r="S604" s="113">
        <v>215186.4</v>
      </c>
      <c r="T604" s="114">
        <f>S604/$P604</f>
        <v>0.93164771792496126</v>
      </c>
      <c r="U604" s="113">
        <v>215186.4</v>
      </c>
      <c r="V604" s="114">
        <f>U604/$P604</f>
        <v>0.93164771792496126</v>
      </c>
      <c r="W604" s="113">
        <v>215186.4</v>
      </c>
      <c r="X604" s="115">
        <f>W604/$P604</f>
        <v>0.93164771792496126</v>
      </c>
      <c r="Y604" s="113"/>
      <c r="Z604" s="116"/>
    </row>
    <row r="605" spans="1:26" ht="13.9" hidden="1" customHeight="1" x14ac:dyDescent="0.25">
      <c r="D605" s="132" t="s">
        <v>327</v>
      </c>
      <c r="E605" s="110" t="s">
        <v>328</v>
      </c>
      <c r="F605" s="111"/>
      <c r="G605" s="113">
        <v>76476.28</v>
      </c>
      <c r="H605" s="113"/>
      <c r="I605" s="113">
        <v>0</v>
      </c>
      <c r="J605" s="113"/>
      <c r="K605" s="113"/>
      <c r="L605" s="113"/>
      <c r="M605" s="113"/>
      <c r="N605" s="113"/>
      <c r="O605" s="113"/>
      <c r="P605" s="113">
        <f t="shared" si="255"/>
        <v>0</v>
      </c>
      <c r="Q605" s="113">
        <v>0</v>
      </c>
      <c r="R605" s="114" t="e">
        <f>Q605/$P605</f>
        <v>#DIV/0!</v>
      </c>
      <c r="S605" s="113">
        <v>0</v>
      </c>
      <c r="T605" s="114" t="e">
        <f>S605/$P605</f>
        <v>#DIV/0!</v>
      </c>
      <c r="U605" s="113"/>
      <c r="V605" s="114" t="e">
        <f>U605/$P605</f>
        <v>#DIV/0!</v>
      </c>
      <c r="W605" s="113"/>
      <c r="X605" s="115" t="e">
        <f>W605/$P605</f>
        <v>#DIV/0!</v>
      </c>
      <c r="Y605" s="113"/>
      <c r="Z605" s="116"/>
    </row>
    <row r="606" spans="1:26" ht="13.9" customHeight="1" x14ac:dyDescent="0.25">
      <c r="D606" s="42" t="s">
        <v>329</v>
      </c>
      <c r="E606" s="129" t="s">
        <v>330</v>
      </c>
      <c r="F606" s="111"/>
      <c r="G606" s="113">
        <v>3178.2</v>
      </c>
      <c r="H606" s="113">
        <v>1500</v>
      </c>
      <c r="I606" s="113">
        <v>10000</v>
      </c>
      <c r="J606" s="113">
        <v>0</v>
      </c>
      <c r="K606" s="113">
        <v>80000</v>
      </c>
      <c r="L606" s="113"/>
      <c r="M606" s="113"/>
      <c r="N606" s="113"/>
      <c r="O606" s="113">
        <f>-1188-14671</f>
        <v>-15859</v>
      </c>
      <c r="P606" s="113">
        <f t="shared" si="255"/>
        <v>64141</v>
      </c>
      <c r="Q606" s="113">
        <v>0</v>
      </c>
      <c r="R606" s="114">
        <f>Q606/$P606</f>
        <v>0</v>
      </c>
      <c r="S606" s="113">
        <v>1046.2</v>
      </c>
      <c r="T606" s="114">
        <f>S606/$P606</f>
        <v>1.6310939960399746E-2</v>
      </c>
      <c r="U606" s="113">
        <v>3296.2</v>
      </c>
      <c r="V606" s="114">
        <f>U606/$P606</f>
        <v>5.1389906611995446E-2</v>
      </c>
      <c r="W606" s="113">
        <v>5927.5</v>
      </c>
      <c r="X606" s="115">
        <f>W606/$P606</f>
        <v>9.2413588812148242E-2</v>
      </c>
      <c r="Y606" s="111"/>
      <c r="Z606" s="133"/>
    </row>
    <row r="608" spans="1:26" ht="13.9" customHeight="1" x14ac:dyDescent="0.25">
      <c r="D608" s="40" t="s">
        <v>331</v>
      </c>
      <c r="E608" s="40"/>
      <c r="F608" s="40"/>
      <c r="G608" s="40"/>
      <c r="H608" s="40"/>
      <c r="I608" s="40"/>
      <c r="J608" s="40"/>
      <c r="K608" s="40"/>
      <c r="L608" s="40"/>
      <c r="M608" s="40"/>
      <c r="N608" s="40"/>
      <c r="O608" s="40"/>
      <c r="P608" s="40"/>
      <c r="Q608" s="40"/>
      <c r="R608" s="41"/>
      <c r="S608" s="40"/>
      <c r="T608" s="41"/>
      <c r="U608" s="40"/>
      <c r="V608" s="41"/>
      <c r="W608" s="40"/>
      <c r="X608" s="41"/>
      <c r="Y608" s="40"/>
      <c r="Z608" s="40"/>
    </row>
    <row r="609" spans="1:26" ht="13.9" customHeight="1" x14ac:dyDescent="0.25">
      <c r="D609" s="126"/>
      <c r="E609" s="20"/>
      <c r="F609" s="20"/>
      <c r="G609" s="20" t="s">
        <v>1</v>
      </c>
      <c r="H609" s="20" t="s">
        <v>2</v>
      </c>
      <c r="I609" s="20" t="s">
        <v>3</v>
      </c>
      <c r="J609" s="20" t="s">
        <v>4</v>
      </c>
      <c r="K609" s="20" t="s">
        <v>5</v>
      </c>
      <c r="L609" s="20" t="s">
        <v>6</v>
      </c>
      <c r="M609" s="20" t="s">
        <v>7</v>
      </c>
      <c r="N609" s="20" t="s">
        <v>8</v>
      </c>
      <c r="O609" s="20" t="s">
        <v>9</v>
      </c>
      <c r="P609" s="20" t="s">
        <v>10</v>
      </c>
      <c r="Q609" s="20" t="s">
        <v>11</v>
      </c>
      <c r="R609" s="21" t="s">
        <v>12</v>
      </c>
      <c r="S609" s="20" t="s">
        <v>13</v>
      </c>
      <c r="T609" s="21" t="s">
        <v>14</v>
      </c>
      <c r="U609" s="20" t="s">
        <v>15</v>
      </c>
      <c r="V609" s="21" t="s">
        <v>16</v>
      </c>
      <c r="W609" s="20" t="s">
        <v>17</v>
      </c>
      <c r="X609" s="21" t="s">
        <v>18</v>
      </c>
      <c r="Y609" s="20" t="s">
        <v>19</v>
      </c>
      <c r="Z609" s="20" t="s">
        <v>20</v>
      </c>
    </row>
    <row r="610" spans="1:26" ht="13.9" customHeight="1" x14ac:dyDescent="0.25">
      <c r="A610" s="14">
        <v>8</v>
      </c>
      <c r="B610" s="14">
        <v>6</v>
      </c>
      <c r="D610" s="128" t="s">
        <v>21</v>
      </c>
      <c r="E610" s="22">
        <v>111</v>
      </c>
      <c r="F610" s="22" t="s">
        <v>134</v>
      </c>
      <c r="G610" s="23">
        <v>0</v>
      </c>
      <c r="H610" s="23">
        <v>0</v>
      </c>
      <c r="I610" s="23">
        <v>0</v>
      </c>
      <c r="J610" s="23">
        <v>0</v>
      </c>
      <c r="K610" s="23">
        <v>0</v>
      </c>
      <c r="L610" s="23">
        <v>0</v>
      </c>
      <c r="M610" s="23">
        <v>0</v>
      </c>
      <c r="N610" s="23">
        <v>0</v>
      </c>
      <c r="O610" s="23">
        <v>0</v>
      </c>
      <c r="P610" s="23">
        <v>0</v>
      </c>
      <c r="Q610" s="23">
        <v>0</v>
      </c>
      <c r="R610" s="24">
        <f>IFERROR(Q610/$P610,0)</f>
        <v>0</v>
      </c>
      <c r="S610" s="23">
        <v>0</v>
      </c>
      <c r="T610" s="24">
        <f>IFERROR(S610/$P610,0)</f>
        <v>0</v>
      </c>
      <c r="U610" s="23">
        <v>0</v>
      </c>
      <c r="V610" s="24">
        <f>IFERROR(U610/$P610,0)</f>
        <v>0</v>
      </c>
      <c r="W610" s="23">
        <v>0</v>
      </c>
      <c r="X610" s="24">
        <f>IFERROR(W610/$P610,0)</f>
        <v>0</v>
      </c>
      <c r="Y610" s="23">
        <f>SUM(Y614:Y614)</f>
        <v>0</v>
      </c>
      <c r="Z610" s="23">
        <f>SUM(Z614:Z614)</f>
        <v>0</v>
      </c>
    </row>
    <row r="611" spans="1:26" ht="13.9" customHeight="1" x14ac:dyDescent="0.25">
      <c r="A611" s="14">
        <v>8</v>
      </c>
      <c r="B611" s="14">
        <v>6</v>
      </c>
      <c r="D611" s="128" t="s">
        <v>21</v>
      </c>
      <c r="E611" s="22">
        <v>41</v>
      </c>
      <c r="F611" s="22" t="s">
        <v>23</v>
      </c>
      <c r="G611" s="23">
        <f>SUM(G615:G616)</f>
        <v>88047.66</v>
      </c>
      <c r="H611" s="23">
        <f>SUM(H615:H619)</f>
        <v>86624.639999999999</v>
      </c>
      <c r="I611" s="23">
        <f t="shared" ref="I611:Q611" si="260">SUM(I615:I619)-I610</f>
        <v>105000</v>
      </c>
      <c r="J611" s="23">
        <f t="shared" si="260"/>
        <v>13652.03</v>
      </c>
      <c r="K611" s="23">
        <f t="shared" si="260"/>
        <v>120000</v>
      </c>
      <c r="L611" s="23">
        <f t="shared" si="260"/>
        <v>0</v>
      </c>
      <c r="M611" s="23">
        <f t="shared" si="260"/>
        <v>0</v>
      </c>
      <c r="N611" s="23">
        <f t="shared" si="260"/>
        <v>-20000</v>
      </c>
      <c r="O611" s="23">
        <f t="shared" si="260"/>
        <v>0</v>
      </c>
      <c r="P611" s="23">
        <f t="shared" si="260"/>
        <v>100000</v>
      </c>
      <c r="Q611" s="23">
        <f t="shared" si="260"/>
        <v>66345.19</v>
      </c>
      <c r="R611" s="24">
        <f>Q611/$P611</f>
        <v>0.66345189999999998</v>
      </c>
      <c r="S611" s="23">
        <f>SUM(S615:S619)-S610</f>
        <v>66616.850000000006</v>
      </c>
      <c r="T611" s="24">
        <f>S611/$P611</f>
        <v>0.66616850000000005</v>
      </c>
      <c r="U611" s="23">
        <f>SUM(U615:U619)-U610</f>
        <v>97410.61</v>
      </c>
      <c r="V611" s="24">
        <f>U611/$P611</f>
        <v>0.97410609999999997</v>
      </c>
      <c r="W611" s="23">
        <f>SUM(W615:W619)-W610</f>
        <v>99049.39</v>
      </c>
      <c r="X611" s="24">
        <f>W611/$P611</f>
        <v>0.99049390000000004</v>
      </c>
      <c r="Y611" s="23">
        <f>SUM(Y615:Y619)-Y610</f>
        <v>0</v>
      </c>
      <c r="Z611" s="23">
        <f>SUM(Z615:Z619)-Z610</f>
        <v>0</v>
      </c>
    </row>
    <row r="612" spans="1:26" ht="13.9" customHeight="1" x14ac:dyDescent="0.25">
      <c r="A612" s="14">
        <v>8</v>
      </c>
      <c r="B612" s="14">
        <v>6</v>
      </c>
      <c r="D612" s="29"/>
      <c r="E612" s="30"/>
      <c r="F612" s="25" t="s">
        <v>124</v>
      </c>
      <c r="G612" s="26">
        <f t="shared" ref="G612:Q612" si="261">SUM(G610:G611)</f>
        <v>88047.66</v>
      </c>
      <c r="H612" s="26">
        <f t="shared" si="261"/>
        <v>86624.639999999999</v>
      </c>
      <c r="I612" s="26">
        <f t="shared" si="261"/>
        <v>105000</v>
      </c>
      <c r="J612" s="26">
        <f t="shared" si="261"/>
        <v>13652.03</v>
      </c>
      <c r="K612" s="26">
        <f t="shared" si="261"/>
        <v>120000</v>
      </c>
      <c r="L612" s="26">
        <f t="shared" si="261"/>
        <v>0</v>
      </c>
      <c r="M612" s="26">
        <f t="shared" si="261"/>
        <v>0</v>
      </c>
      <c r="N612" s="26">
        <f t="shared" si="261"/>
        <v>-20000</v>
      </c>
      <c r="O612" s="26">
        <f t="shared" si="261"/>
        <v>0</v>
      </c>
      <c r="P612" s="26">
        <f t="shared" si="261"/>
        <v>100000</v>
      </c>
      <c r="Q612" s="26">
        <f t="shared" si="261"/>
        <v>66345.19</v>
      </c>
      <c r="R612" s="27">
        <f>Q612/$P612</f>
        <v>0.66345189999999998</v>
      </c>
      <c r="S612" s="26">
        <f>SUM(S610:S611)</f>
        <v>66616.850000000006</v>
      </c>
      <c r="T612" s="27">
        <f>S612/$P612</f>
        <v>0.66616850000000005</v>
      </c>
      <c r="U612" s="26">
        <f>SUM(U610:U611)</f>
        <v>97410.61</v>
      </c>
      <c r="V612" s="27">
        <f>U612/$P612</f>
        <v>0.97410609999999997</v>
      </c>
      <c r="W612" s="26">
        <f>SUM(W610:W611)</f>
        <v>99049.39</v>
      </c>
      <c r="X612" s="27">
        <f>W612/$P612</f>
        <v>0.99049390000000004</v>
      </c>
      <c r="Y612" s="26">
        <f>SUM(Y610:Y611)</f>
        <v>0</v>
      </c>
      <c r="Z612" s="26">
        <f>SUM(Z610:Z611)</f>
        <v>0</v>
      </c>
    </row>
    <row r="614" spans="1:26" ht="13.9" customHeight="1" x14ac:dyDescent="0.25">
      <c r="D614" s="14" t="s">
        <v>57</v>
      </c>
    </row>
    <row r="615" spans="1:26" ht="13.9" hidden="1" customHeight="1" x14ac:dyDescent="0.25">
      <c r="D615" s="42" t="s">
        <v>332</v>
      </c>
      <c r="E615" s="51" t="s">
        <v>333</v>
      </c>
      <c r="F615" s="29"/>
      <c r="G615" s="52"/>
      <c r="H615" s="52"/>
      <c r="I615" s="52">
        <v>0</v>
      </c>
      <c r="J615" s="52">
        <v>110</v>
      </c>
      <c r="K615" s="52"/>
      <c r="L615" s="52"/>
      <c r="M615" s="52"/>
      <c r="N615" s="52"/>
      <c r="O615" s="52"/>
      <c r="P615" s="52">
        <f>K615+SUM(L615:O615)</f>
        <v>0</v>
      </c>
      <c r="Q615" s="52">
        <v>0</v>
      </c>
      <c r="R615" s="53" t="e">
        <f>Q615/$P615</f>
        <v>#DIV/0!</v>
      </c>
      <c r="S615" s="52">
        <v>0</v>
      </c>
      <c r="T615" s="53" t="e">
        <f>S615/$P615</f>
        <v>#DIV/0!</v>
      </c>
      <c r="U615" s="52"/>
      <c r="V615" s="53" t="e">
        <f>U615/$P615</f>
        <v>#DIV/0!</v>
      </c>
      <c r="W615" s="52"/>
      <c r="X615" s="54" t="e">
        <f>W615/$P615</f>
        <v>#DIV/0!</v>
      </c>
      <c r="Y615" s="52"/>
      <c r="Z615" s="55"/>
    </row>
    <row r="616" spans="1:26" ht="13.9" customHeight="1" x14ac:dyDescent="0.25">
      <c r="D616" s="42" t="s">
        <v>332</v>
      </c>
      <c r="E616" s="110" t="s">
        <v>334</v>
      </c>
      <c r="F616" s="111"/>
      <c r="G616" s="113">
        <v>88047.66</v>
      </c>
      <c r="H616" s="113">
        <v>66156.45</v>
      </c>
      <c r="I616" s="113">
        <v>100000</v>
      </c>
      <c r="J616" s="113">
        <v>4320.43</v>
      </c>
      <c r="K616" s="113">
        <f>80000+40000</f>
        <v>120000</v>
      </c>
      <c r="L616" s="113"/>
      <c r="M616" s="113"/>
      <c r="N616" s="113">
        <v>-20000</v>
      </c>
      <c r="O616" s="113"/>
      <c r="P616" s="113">
        <f>K616+SUM(L616:O616)</f>
        <v>100000</v>
      </c>
      <c r="Q616" s="113">
        <v>66345.19</v>
      </c>
      <c r="R616" s="114">
        <f>Q616/$P616</f>
        <v>0.66345189999999998</v>
      </c>
      <c r="S616" s="113">
        <v>66616.850000000006</v>
      </c>
      <c r="T616" s="114">
        <f>S616/$P616</f>
        <v>0.66616850000000005</v>
      </c>
      <c r="U616" s="113">
        <v>97410.61</v>
      </c>
      <c r="V616" s="114">
        <f>U616/$P616</f>
        <v>0.97410609999999997</v>
      </c>
      <c r="W616" s="113">
        <v>99049.39</v>
      </c>
      <c r="X616" s="115">
        <f>W616/$P616</f>
        <v>0.99049390000000004</v>
      </c>
      <c r="Y616" s="66"/>
      <c r="Z616" s="69"/>
    </row>
    <row r="617" spans="1:26" ht="13.9" hidden="1" customHeight="1" x14ac:dyDescent="0.25">
      <c r="D617" s="1" t="s">
        <v>335</v>
      </c>
      <c r="E617" s="56" t="s">
        <v>336</v>
      </c>
      <c r="F617" s="92"/>
      <c r="G617" s="81"/>
      <c r="H617" s="81"/>
      <c r="I617" s="81">
        <v>0</v>
      </c>
      <c r="J617" s="81">
        <v>3012</v>
      </c>
      <c r="K617" s="81"/>
      <c r="L617" s="81"/>
      <c r="M617" s="81"/>
      <c r="N617" s="81"/>
      <c r="O617" s="81"/>
      <c r="P617" s="52">
        <f>K617+SUM(L617:O617)</f>
        <v>0</v>
      </c>
      <c r="Q617" s="81">
        <v>0</v>
      </c>
      <c r="R617" s="53" t="e">
        <f>Q617/$P617</f>
        <v>#DIV/0!</v>
      </c>
      <c r="S617" s="81">
        <v>0</v>
      </c>
      <c r="T617" s="53" t="e">
        <f>S617/$P617</f>
        <v>#DIV/0!</v>
      </c>
      <c r="U617" s="81"/>
      <c r="V617" s="53" t="e">
        <f>U617/$P617</f>
        <v>#DIV/0!</v>
      </c>
      <c r="W617" s="81"/>
      <c r="X617" s="54" t="e">
        <f>W617/$P617</f>
        <v>#DIV/0!</v>
      </c>
      <c r="Y617" s="81"/>
      <c r="Z617" s="60"/>
    </row>
    <row r="618" spans="1:26" ht="13.9" hidden="1" customHeight="1" x14ac:dyDescent="0.25">
      <c r="D618" s="1"/>
      <c r="E618" s="56" t="s">
        <v>337</v>
      </c>
      <c r="F618" s="92"/>
      <c r="G618" s="81"/>
      <c r="H618" s="81">
        <v>20468.189999999999</v>
      </c>
      <c r="I618" s="81">
        <v>5000</v>
      </c>
      <c r="J618" s="81">
        <v>2129.6</v>
      </c>
      <c r="K618" s="81"/>
      <c r="L618" s="81"/>
      <c r="M618" s="81"/>
      <c r="N618" s="81"/>
      <c r="O618" s="81"/>
      <c r="P618" s="81">
        <f>K618+SUM(L618:O618)</f>
        <v>0</v>
      </c>
      <c r="Q618" s="81">
        <v>0</v>
      </c>
      <c r="R618" s="82" t="e">
        <f>Q618/$P618</f>
        <v>#DIV/0!</v>
      </c>
      <c r="S618" s="81">
        <v>0</v>
      </c>
      <c r="T618" s="82" t="e">
        <f>S618/$P618</f>
        <v>#DIV/0!</v>
      </c>
      <c r="U618" s="81"/>
      <c r="V618" s="82" t="e">
        <f>U618/$P618</f>
        <v>#DIV/0!</v>
      </c>
      <c r="W618" s="81"/>
      <c r="X618" s="59" t="e">
        <f>W618/$P618</f>
        <v>#DIV/0!</v>
      </c>
      <c r="Y618" s="81"/>
      <c r="Z618" s="60"/>
    </row>
    <row r="619" spans="1:26" ht="13.9" hidden="1" customHeight="1" x14ac:dyDescent="0.25">
      <c r="D619" s="1"/>
      <c r="E619" s="64" t="s">
        <v>338</v>
      </c>
      <c r="F619" s="95"/>
      <c r="G619" s="66"/>
      <c r="H619" s="66"/>
      <c r="I619" s="66">
        <v>0</v>
      </c>
      <c r="J619" s="66">
        <v>4080</v>
      </c>
      <c r="K619" s="66"/>
      <c r="L619" s="66"/>
      <c r="M619" s="66"/>
      <c r="N619" s="66"/>
      <c r="O619" s="66"/>
      <c r="P619" s="66">
        <f>K619+SUM(L619:O619)</f>
        <v>0</v>
      </c>
      <c r="Q619" s="66">
        <v>0</v>
      </c>
      <c r="R619" s="67" t="e">
        <f>Q619/$P619</f>
        <v>#DIV/0!</v>
      </c>
      <c r="S619" s="66">
        <v>0</v>
      </c>
      <c r="T619" s="67" t="e">
        <f>S619/$P619</f>
        <v>#DIV/0!</v>
      </c>
      <c r="U619" s="66"/>
      <c r="V619" s="67" t="e">
        <f>U619/$P619</f>
        <v>#DIV/0!</v>
      </c>
      <c r="W619" s="66"/>
      <c r="X619" s="68" t="e">
        <f>W619/$P619</f>
        <v>#DIV/0!</v>
      </c>
      <c r="Y619" s="66"/>
      <c r="Z619" s="69"/>
    </row>
    <row r="621" spans="1:26" ht="13.9" customHeight="1" x14ac:dyDescent="0.25">
      <c r="D621" s="40" t="s">
        <v>339</v>
      </c>
      <c r="E621" s="40"/>
      <c r="F621" s="40"/>
      <c r="G621" s="40"/>
      <c r="H621" s="40"/>
      <c r="I621" s="40"/>
      <c r="J621" s="40"/>
      <c r="K621" s="40"/>
      <c r="L621" s="40"/>
      <c r="M621" s="40"/>
      <c r="N621" s="40"/>
      <c r="O621" s="40"/>
      <c r="P621" s="40"/>
      <c r="Q621" s="40"/>
      <c r="R621" s="41"/>
      <c r="S621" s="40"/>
      <c r="T621" s="41"/>
      <c r="U621" s="40"/>
      <c r="V621" s="41"/>
      <c r="W621" s="40"/>
      <c r="X621" s="41"/>
      <c r="Y621" s="40"/>
      <c r="Z621" s="40"/>
    </row>
    <row r="622" spans="1:26" ht="13.9" customHeight="1" x14ac:dyDescent="0.25">
      <c r="D622" s="126"/>
      <c r="E622" s="20"/>
      <c r="F622" s="20"/>
      <c r="G622" s="20" t="s">
        <v>1</v>
      </c>
      <c r="H622" s="20" t="s">
        <v>2</v>
      </c>
      <c r="I622" s="20" t="s">
        <v>3</v>
      </c>
      <c r="J622" s="20" t="s">
        <v>4</v>
      </c>
      <c r="K622" s="20" t="s">
        <v>5</v>
      </c>
      <c r="L622" s="20" t="s">
        <v>6</v>
      </c>
      <c r="M622" s="20" t="s">
        <v>7</v>
      </c>
      <c r="N622" s="20" t="s">
        <v>8</v>
      </c>
      <c r="O622" s="20" t="s">
        <v>9</v>
      </c>
      <c r="P622" s="20" t="s">
        <v>10</v>
      </c>
      <c r="Q622" s="20" t="s">
        <v>11</v>
      </c>
      <c r="R622" s="21" t="s">
        <v>12</v>
      </c>
      <c r="S622" s="20" t="s">
        <v>13</v>
      </c>
      <c r="T622" s="21" t="s">
        <v>14</v>
      </c>
      <c r="U622" s="20" t="s">
        <v>15</v>
      </c>
      <c r="V622" s="21" t="s">
        <v>16</v>
      </c>
      <c r="W622" s="20" t="s">
        <v>17</v>
      </c>
      <c r="X622" s="21" t="s">
        <v>18</v>
      </c>
      <c r="Y622" s="20" t="s">
        <v>19</v>
      </c>
      <c r="Z622" s="20" t="s">
        <v>20</v>
      </c>
    </row>
    <row r="623" spans="1:26" ht="13.9" customHeight="1" x14ac:dyDescent="0.25">
      <c r="A623" s="14">
        <v>8</v>
      </c>
      <c r="B623" s="14">
        <v>7</v>
      </c>
      <c r="D623" s="12" t="s">
        <v>21</v>
      </c>
      <c r="E623" s="22">
        <v>111</v>
      </c>
      <c r="F623" s="22" t="s">
        <v>47</v>
      </c>
      <c r="G623" s="23">
        <v>0</v>
      </c>
      <c r="H623" s="23">
        <v>0</v>
      </c>
      <c r="I623" s="23">
        <v>0</v>
      </c>
      <c r="J623" s="23">
        <v>0</v>
      </c>
      <c r="K623" s="23">
        <v>0</v>
      </c>
      <c r="L623" s="23">
        <v>0</v>
      </c>
      <c r="M623" s="23">
        <v>0</v>
      </c>
      <c r="N623" s="23">
        <v>0</v>
      </c>
      <c r="O623" s="23">
        <v>0</v>
      </c>
      <c r="P623" s="23">
        <v>0</v>
      </c>
      <c r="Q623" s="23">
        <v>0</v>
      </c>
      <c r="R623" s="24">
        <f>IFERROR(Q623/$P623,0)</f>
        <v>0</v>
      </c>
      <c r="S623" s="23">
        <v>0</v>
      </c>
      <c r="T623" s="24">
        <f>IFERROR(S623/$P623,0)</f>
        <v>0</v>
      </c>
      <c r="U623" s="23">
        <v>0</v>
      </c>
      <c r="V623" s="24">
        <f>IFERROR(U623/$P623,0)</f>
        <v>0</v>
      </c>
      <c r="W623" s="23">
        <v>0</v>
      </c>
      <c r="X623" s="24">
        <f>IFERROR(W623/$P623,0)</f>
        <v>0</v>
      </c>
      <c r="Y623" s="23">
        <v>0</v>
      </c>
      <c r="Z623" s="23">
        <v>0</v>
      </c>
    </row>
    <row r="624" spans="1:26" ht="13.9" customHeight="1" x14ac:dyDescent="0.25">
      <c r="A624" s="14">
        <v>8</v>
      </c>
      <c r="B624" s="14">
        <v>7</v>
      </c>
      <c r="D624" s="12"/>
      <c r="E624" s="22">
        <v>41</v>
      </c>
      <c r="F624" s="22" t="s">
        <v>23</v>
      </c>
      <c r="G624" s="23">
        <f>SUM(G628:G628)</f>
        <v>0</v>
      </c>
      <c r="H624" s="23">
        <f>SUM(H628:H628)</f>
        <v>0</v>
      </c>
      <c r="I624" s="23">
        <f>SUM(I628:I628)-I623</f>
        <v>0</v>
      </c>
      <c r="J624" s="23">
        <f>SUM(J628:J628)-J623</f>
        <v>41814.720000000001</v>
      </c>
      <c r="K624" s="23">
        <f>SUM(K628:K630)-K623</f>
        <v>20000</v>
      </c>
      <c r="L624" s="23">
        <f>SUM(L628:L628)-L623</f>
        <v>0</v>
      </c>
      <c r="M624" s="23">
        <f>SUM(M628:M628)-M623</f>
        <v>0</v>
      </c>
      <c r="N624" s="23">
        <f>SUM(N629:N630)-N623</f>
        <v>-10000</v>
      </c>
      <c r="O624" s="23">
        <f>SUM(O629:O630)-O623</f>
        <v>-4658</v>
      </c>
      <c r="P624" s="23">
        <f>SUM(P628:P630)-P623</f>
        <v>5342</v>
      </c>
      <c r="Q624" s="23">
        <f>SUM(Q628:Q630)-Q623</f>
        <v>0</v>
      </c>
      <c r="R624" s="24">
        <f>Q624/$P624</f>
        <v>0</v>
      </c>
      <c r="S624" s="23">
        <f>SUM(S628:S630)-S623</f>
        <v>5263.2</v>
      </c>
      <c r="T624" s="24">
        <f>S624/$P624</f>
        <v>0.98524897042306248</v>
      </c>
      <c r="U624" s="23">
        <f>SUM(U628:U630)-U623</f>
        <v>5341.76</v>
      </c>
      <c r="V624" s="24">
        <f>U624/$P624</f>
        <v>0.99995507300636466</v>
      </c>
      <c r="W624" s="23">
        <f>SUM(W628:W630)-W623</f>
        <v>5341.76</v>
      </c>
      <c r="X624" s="24">
        <f>W624/$P624</f>
        <v>0.99995507300636466</v>
      </c>
      <c r="Y624" s="23">
        <f>SUM(Y628:Y628)</f>
        <v>0</v>
      </c>
      <c r="Z624" s="23">
        <f>SUM(Z628:Z628)</f>
        <v>0</v>
      </c>
    </row>
    <row r="625" spans="1:28" ht="13.9" customHeight="1" x14ac:dyDescent="0.25">
      <c r="A625" s="14">
        <v>8</v>
      </c>
      <c r="B625" s="14">
        <v>7</v>
      </c>
      <c r="D625" s="29"/>
      <c r="E625" s="30"/>
      <c r="F625" s="25" t="s">
        <v>124</v>
      </c>
      <c r="G625" s="26">
        <f t="shared" ref="G625:Q625" si="262">SUM(G623:G624)</f>
        <v>0</v>
      </c>
      <c r="H625" s="26">
        <f t="shared" si="262"/>
        <v>0</v>
      </c>
      <c r="I625" s="26">
        <f t="shared" si="262"/>
        <v>0</v>
      </c>
      <c r="J625" s="26">
        <f t="shared" si="262"/>
        <v>41814.720000000001</v>
      </c>
      <c r="K625" s="26">
        <f t="shared" si="262"/>
        <v>20000</v>
      </c>
      <c r="L625" s="26">
        <f t="shared" si="262"/>
        <v>0</v>
      </c>
      <c r="M625" s="26">
        <f t="shared" si="262"/>
        <v>0</v>
      </c>
      <c r="N625" s="26">
        <f t="shared" si="262"/>
        <v>-10000</v>
      </c>
      <c r="O625" s="26">
        <f t="shared" si="262"/>
        <v>-4658</v>
      </c>
      <c r="P625" s="26">
        <f t="shared" si="262"/>
        <v>5342</v>
      </c>
      <c r="Q625" s="26">
        <f t="shared" si="262"/>
        <v>0</v>
      </c>
      <c r="R625" s="27">
        <f>Q625/$P625</f>
        <v>0</v>
      </c>
      <c r="S625" s="26">
        <f>SUM(S623:S624)</f>
        <v>5263.2</v>
      </c>
      <c r="T625" s="27">
        <f>S625/$P625</f>
        <v>0.98524897042306248</v>
      </c>
      <c r="U625" s="26">
        <f>SUM(U623:U624)</f>
        <v>5341.76</v>
      </c>
      <c r="V625" s="27">
        <f>U625/$P625</f>
        <v>0.99995507300636466</v>
      </c>
      <c r="W625" s="26">
        <f>SUM(W623:W624)</f>
        <v>5341.76</v>
      </c>
      <c r="X625" s="27">
        <f>W625/$P625</f>
        <v>0.99995507300636466</v>
      </c>
      <c r="Y625" s="26">
        <f>SUM(Y623:Y624)</f>
        <v>0</v>
      </c>
      <c r="Z625" s="26">
        <f>SUM(Z623:Z624)</f>
        <v>0</v>
      </c>
    </row>
    <row r="627" spans="1:28" ht="13.9" customHeight="1" x14ac:dyDescent="0.25">
      <c r="D627" s="14" t="s">
        <v>57</v>
      </c>
    </row>
    <row r="628" spans="1:28" ht="13.9" hidden="1" customHeight="1" x14ac:dyDescent="0.25">
      <c r="D628" s="127" t="s">
        <v>340</v>
      </c>
      <c r="E628" s="51" t="s">
        <v>341</v>
      </c>
      <c r="F628" s="29"/>
      <c r="G628" s="52"/>
      <c r="H628" s="52"/>
      <c r="I628" s="91">
        <v>0</v>
      </c>
      <c r="J628" s="91">
        <v>41814.720000000001</v>
      </c>
      <c r="K628" s="91"/>
      <c r="L628" s="91"/>
      <c r="M628" s="91"/>
      <c r="N628" s="91"/>
      <c r="O628" s="91"/>
      <c r="P628" s="91">
        <f>K628+SUM(L628:O628)</f>
        <v>0</v>
      </c>
      <c r="Q628" s="91">
        <v>0</v>
      </c>
      <c r="R628" s="107" t="e">
        <f>Q628/$P628</f>
        <v>#DIV/0!</v>
      </c>
      <c r="S628" s="91">
        <v>0</v>
      </c>
      <c r="T628" s="107" t="e">
        <f>S628/$P628</f>
        <v>#DIV/0!</v>
      </c>
      <c r="U628" s="91"/>
      <c r="V628" s="107" t="e">
        <f>U628/$P628</f>
        <v>#DIV/0!</v>
      </c>
      <c r="W628" s="91"/>
      <c r="X628" s="108" t="e">
        <f>W628/$P628</f>
        <v>#DIV/0!</v>
      </c>
      <c r="Y628" s="52"/>
      <c r="Z628" s="55"/>
      <c r="AB628" s="134"/>
    </row>
    <row r="629" spans="1:28" ht="13.9" customHeight="1" x14ac:dyDescent="0.25">
      <c r="D629" s="2" t="s">
        <v>340</v>
      </c>
      <c r="E629" s="51" t="s">
        <v>342</v>
      </c>
      <c r="F629" s="29"/>
      <c r="G629" s="52"/>
      <c r="H629" s="52"/>
      <c r="I629" s="91"/>
      <c r="J629" s="91"/>
      <c r="K629" s="91">
        <v>5000</v>
      </c>
      <c r="L629" s="91"/>
      <c r="M629" s="91"/>
      <c r="N629" s="91"/>
      <c r="O629" s="91">
        <v>-4555</v>
      </c>
      <c r="P629" s="91">
        <f>K629+SUM(L629:O629)</f>
        <v>445</v>
      </c>
      <c r="Q629" s="91">
        <v>0</v>
      </c>
      <c r="R629" s="107">
        <f>Q629/$P629</f>
        <v>0</v>
      </c>
      <c r="S629" s="91">
        <v>366.24</v>
      </c>
      <c r="T629" s="107">
        <f>S629/$P629</f>
        <v>0.82301123595505621</v>
      </c>
      <c r="U629" s="91">
        <v>444.8</v>
      </c>
      <c r="V629" s="107">
        <f>U629/$P629</f>
        <v>0.99955056179775281</v>
      </c>
      <c r="W629" s="91">
        <v>444.8</v>
      </c>
      <c r="X629" s="108">
        <f>W629/$P629</f>
        <v>0.99955056179775281</v>
      </c>
      <c r="Y629" s="81"/>
      <c r="Z629" s="60"/>
      <c r="AB629" s="134"/>
    </row>
    <row r="630" spans="1:28" ht="13.9" customHeight="1" x14ac:dyDescent="0.25">
      <c r="D630" s="2" t="s">
        <v>340</v>
      </c>
      <c r="E630" s="64" t="s">
        <v>343</v>
      </c>
      <c r="F630" s="95"/>
      <c r="G630" s="66"/>
      <c r="H630" s="66"/>
      <c r="I630" s="96"/>
      <c r="J630" s="96"/>
      <c r="K630" s="96">
        <v>15000</v>
      </c>
      <c r="L630" s="96"/>
      <c r="M630" s="96"/>
      <c r="N630" s="96">
        <v>-10000</v>
      </c>
      <c r="O630" s="96">
        <v>-103</v>
      </c>
      <c r="P630" s="96">
        <f>K630+SUM(L630:O630)</f>
        <v>4897</v>
      </c>
      <c r="Q630" s="96">
        <v>0</v>
      </c>
      <c r="R630" s="97">
        <f>Q630/$P630</f>
        <v>0</v>
      </c>
      <c r="S630" s="96">
        <v>4896.96</v>
      </c>
      <c r="T630" s="97">
        <f>S630/$P630</f>
        <v>0.99999183173371453</v>
      </c>
      <c r="U630" s="96">
        <v>4896.96</v>
      </c>
      <c r="V630" s="97">
        <f>U630/$P630</f>
        <v>0.99999183173371453</v>
      </c>
      <c r="W630" s="96">
        <v>4896.96</v>
      </c>
      <c r="X630" s="98">
        <f>W630/$P630</f>
        <v>0.99999183173371453</v>
      </c>
      <c r="Y630" s="66"/>
      <c r="Z630" s="69"/>
      <c r="AB630" s="134"/>
    </row>
    <row r="632" spans="1:28" ht="13.9" customHeight="1" x14ac:dyDescent="0.25">
      <c r="D632" s="40" t="s">
        <v>344</v>
      </c>
      <c r="E632" s="40"/>
      <c r="F632" s="40"/>
      <c r="G632" s="40"/>
      <c r="H632" s="40"/>
      <c r="I632" s="40"/>
      <c r="J632" s="40"/>
      <c r="K632" s="40"/>
      <c r="L632" s="40"/>
      <c r="M632" s="40"/>
      <c r="N632" s="40"/>
      <c r="O632" s="40"/>
      <c r="P632" s="40"/>
      <c r="Q632" s="40"/>
      <c r="R632" s="41"/>
      <c r="S632" s="40"/>
      <c r="T632" s="41"/>
      <c r="U632" s="40"/>
      <c r="V632" s="41"/>
      <c r="W632" s="40"/>
      <c r="X632" s="41"/>
      <c r="Y632" s="40"/>
      <c r="Z632" s="40"/>
    </row>
    <row r="633" spans="1:28" ht="13.9" customHeight="1" x14ac:dyDescent="0.25">
      <c r="D633" s="126"/>
      <c r="E633" s="20"/>
      <c r="F633" s="20"/>
      <c r="G633" s="20" t="s">
        <v>1</v>
      </c>
      <c r="H633" s="20" t="s">
        <v>2</v>
      </c>
      <c r="I633" s="20" t="s">
        <v>3</v>
      </c>
      <c r="J633" s="20" t="s">
        <v>4</v>
      </c>
      <c r="K633" s="20" t="s">
        <v>5</v>
      </c>
      <c r="L633" s="20" t="s">
        <v>6</v>
      </c>
      <c r="M633" s="20" t="s">
        <v>7</v>
      </c>
      <c r="N633" s="20" t="s">
        <v>8</v>
      </c>
      <c r="O633" s="20" t="s">
        <v>9</v>
      </c>
      <c r="P633" s="20" t="s">
        <v>10</v>
      </c>
      <c r="Q633" s="20" t="s">
        <v>11</v>
      </c>
      <c r="R633" s="21" t="s">
        <v>12</v>
      </c>
      <c r="S633" s="20" t="s">
        <v>13</v>
      </c>
      <c r="T633" s="21" t="s">
        <v>14</v>
      </c>
      <c r="U633" s="20" t="s">
        <v>15</v>
      </c>
      <c r="V633" s="21" t="s">
        <v>16</v>
      </c>
      <c r="W633" s="20" t="s">
        <v>17</v>
      </c>
      <c r="X633" s="21" t="s">
        <v>18</v>
      </c>
      <c r="Y633" s="20" t="s">
        <v>19</v>
      </c>
      <c r="Z633" s="20" t="s">
        <v>20</v>
      </c>
    </row>
    <row r="634" spans="1:28" ht="13.9" customHeight="1" x14ac:dyDescent="0.25">
      <c r="A634" s="14">
        <v>8</v>
      </c>
      <c r="B634" s="14">
        <v>8</v>
      </c>
      <c r="D634" s="122" t="s">
        <v>21</v>
      </c>
      <c r="E634" s="22">
        <v>41</v>
      </c>
      <c r="F634" s="22" t="s">
        <v>23</v>
      </c>
      <c r="G634" s="23">
        <f t="shared" ref="G634:P634" si="263">SUM(G638:G640)</f>
        <v>0</v>
      </c>
      <c r="H634" s="23">
        <f t="shared" si="263"/>
        <v>0</v>
      </c>
      <c r="I634" s="23">
        <f t="shared" si="263"/>
        <v>11000</v>
      </c>
      <c r="J634" s="23">
        <f t="shared" si="263"/>
        <v>4392</v>
      </c>
      <c r="K634" s="23">
        <f t="shared" si="263"/>
        <v>4800</v>
      </c>
      <c r="L634" s="23">
        <f t="shared" si="263"/>
        <v>0</v>
      </c>
      <c r="M634" s="23">
        <f t="shared" si="263"/>
        <v>0</v>
      </c>
      <c r="N634" s="23">
        <f t="shared" si="263"/>
        <v>0</v>
      </c>
      <c r="O634" s="23">
        <f t="shared" si="263"/>
        <v>0</v>
      </c>
      <c r="P634" s="23">
        <f t="shared" si="263"/>
        <v>4800</v>
      </c>
      <c r="Q634" s="23">
        <v>624</v>
      </c>
      <c r="R634" s="24">
        <f>Q634/$P634</f>
        <v>0.13</v>
      </c>
      <c r="S634" s="23">
        <f>SUM(S638:S640)</f>
        <v>1224</v>
      </c>
      <c r="T634" s="24">
        <f>S634/$P634</f>
        <v>0.255</v>
      </c>
      <c r="U634" s="23">
        <f>SUM(U638:U640)</f>
        <v>1224</v>
      </c>
      <c r="V634" s="24">
        <f>U634/$P634</f>
        <v>0.255</v>
      </c>
      <c r="W634" s="23">
        <f>SUM(W638:W640)</f>
        <v>3024</v>
      </c>
      <c r="X634" s="24">
        <f>W634/$P634</f>
        <v>0.63</v>
      </c>
      <c r="Y634" s="23">
        <f>SUM(Y638:Y640)</f>
        <v>0</v>
      </c>
      <c r="Z634" s="23">
        <f>SUM(Z638:Z640)</f>
        <v>0</v>
      </c>
    </row>
    <row r="635" spans="1:28" ht="13.9" customHeight="1" x14ac:dyDescent="0.25">
      <c r="A635" s="14">
        <v>8</v>
      </c>
      <c r="B635" s="14">
        <v>8</v>
      </c>
      <c r="D635" s="29"/>
      <c r="E635" s="30"/>
      <c r="F635" s="25" t="s">
        <v>124</v>
      </c>
      <c r="G635" s="26">
        <f t="shared" ref="G635:Q635" si="264">SUM(G634)</f>
        <v>0</v>
      </c>
      <c r="H635" s="26">
        <f t="shared" si="264"/>
        <v>0</v>
      </c>
      <c r="I635" s="26">
        <f t="shared" si="264"/>
        <v>11000</v>
      </c>
      <c r="J635" s="26">
        <f t="shared" si="264"/>
        <v>4392</v>
      </c>
      <c r="K635" s="26">
        <f t="shared" si="264"/>
        <v>4800</v>
      </c>
      <c r="L635" s="26">
        <f t="shared" si="264"/>
        <v>0</v>
      </c>
      <c r="M635" s="26">
        <f t="shared" si="264"/>
        <v>0</v>
      </c>
      <c r="N635" s="26">
        <f t="shared" si="264"/>
        <v>0</v>
      </c>
      <c r="O635" s="26">
        <f t="shared" si="264"/>
        <v>0</v>
      </c>
      <c r="P635" s="26">
        <f t="shared" si="264"/>
        <v>4800</v>
      </c>
      <c r="Q635" s="26">
        <f t="shared" si="264"/>
        <v>624</v>
      </c>
      <c r="R635" s="27">
        <f>Q635/$P635</f>
        <v>0.13</v>
      </c>
      <c r="S635" s="26">
        <f>SUM(S634)</f>
        <v>1224</v>
      </c>
      <c r="T635" s="27">
        <f>S635/$P635</f>
        <v>0.255</v>
      </c>
      <c r="U635" s="26">
        <f>SUM(U634)</f>
        <v>1224</v>
      </c>
      <c r="V635" s="27">
        <f>U635/$P635</f>
        <v>0.255</v>
      </c>
      <c r="W635" s="26">
        <f>SUM(W634)</f>
        <v>3024</v>
      </c>
      <c r="X635" s="27">
        <f>W635/$P635</f>
        <v>0.63</v>
      </c>
      <c r="Y635" s="26">
        <f>SUM(Y634)</f>
        <v>0</v>
      </c>
      <c r="Z635" s="26">
        <f>SUM(Z634)</f>
        <v>0</v>
      </c>
    </row>
    <row r="637" spans="1:28" ht="13.9" customHeight="1" x14ac:dyDescent="0.25">
      <c r="D637" s="14" t="s">
        <v>57</v>
      </c>
    </row>
    <row r="638" spans="1:28" ht="13.9" customHeight="1" x14ac:dyDescent="0.25">
      <c r="D638" s="10" t="s">
        <v>345</v>
      </c>
      <c r="E638" s="110" t="s">
        <v>346</v>
      </c>
      <c r="F638" s="111"/>
      <c r="G638" s="113"/>
      <c r="H638" s="113"/>
      <c r="I638" s="113">
        <v>5000</v>
      </c>
      <c r="J638" s="113">
        <v>4392</v>
      </c>
      <c r="K638" s="112">
        <v>4800</v>
      </c>
      <c r="L638" s="113"/>
      <c r="M638" s="113"/>
      <c r="N638" s="113"/>
      <c r="O638" s="113"/>
      <c r="P638" s="113">
        <f>K638+SUM(L638:O638)</f>
        <v>4800</v>
      </c>
      <c r="Q638" s="113">
        <v>624</v>
      </c>
      <c r="R638" s="114">
        <f>Q638/$P638</f>
        <v>0.13</v>
      </c>
      <c r="S638" s="113">
        <v>1224</v>
      </c>
      <c r="T638" s="114">
        <f>S638/$P638</f>
        <v>0.255</v>
      </c>
      <c r="U638" s="113">
        <v>1224</v>
      </c>
      <c r="V638" s="114">
        <f>U638/$P638</f>
        <v>0.255</v>
      </c>
      <c r="W638" s="113">
        <v>3024</v>
      </c>
      <c r="X638" s="115">
        <f>W638/$P638</f>
        <v>0.63</v>
      </c>
      <c r="Y638" s="113"/>
      <c r="Z638" s="116"/>
    </row>
    <row r="639" spans="1:28" ht="13.9" hidden="1" customHeight="1" x14ac:dyDescent="0.25">
      <c r="D639" s="10"/>
      <c r="E639" s="110" t="s">
        <v>347</v>
      </c>
      <c r="F639" s="111"/>
      <c r="G639" s="113"/>
      <c r="H639" s="113"/>
      <c r="I639" s="113">
        <v>0</v>
      </c>
      <c r="J639" s="113"/>
      <c r="K639" s="113"/>
      <c r="L639" s="113"/>
      <c r="M639" s="113"/>
      <c r="N639" s="113"/>
      <c r="O639" s="113"/>
      <c r="P639" s="113">
        <f>K639+SUM(L639:O639)</f>
        <v>0</v>
      </c>
      <c r="Q639" s="113">
        <v>0</v>
      </c>
      <c r="R639" s="114" t="e">
        <f>Q639/$P639</f>
        <v>#DIV/0!</v>
      </c>
      <c r="S639" s="113">
        <v>0</v>
      </c>
      <c r="T639" s="114" t="e">
        <f>S639/$P639</f>
        <v>#DIV/0!</v>
      </c>
      <c r="U639" s="113"/>
      <c r="V639" s="114" t="e">
        <f>U639/$P639</f>
        <v>#DIV/0!</v>
      </c>
      <c r="W639" s="113"/>
      <c r="X639" s="115" t="e">
        <f>W639/$P639</f>
        <v>#DIV/0!</v>
      </c>
      <c r="Y639" s="113"/>
      <c r="Z639" s="116"/>
    </row>
    <row r="640" spans="1:28" ht="13.9" hidden="1" customHeight="1" x14ac:dyDescent="0.25">
      <c r="D640" s="10"/>
      <c r="E640" s="110" t="s">
        <v>348</v>
      </c>
      <c r="F640" s="111"/>
      <c r="G640" s="113"/>
      <c r="H640" s="113"/>
      <c r="I640" s="113">
        <v>6000</v>
      </c>
      <c r="J640" s="113">
        <v>0</v>
      </c>
      <c r="K640" s="113"/>
      <c r="L640" s="113"/>
      <c r="M640" s="113"/>
      <c r="N640" s="113"/>
      <c r="O640" s="113"/>
      <c r="P640" s="113">
        <f>K640+SUM(L640:O640)</f>
        <v>0</v>
      </c>
      <c r="Q640" s="113">
        <v>0</v>
      </c>
      <c r="R640" s="114" t="e">
        <f>Q640/$P640</f>
        <v>#DIV/0!</v>
      </c>
      <c r="S640" s="113">
        <v>0</v>
      </c>
      <c r="T640" s="114" t="e">
        <f>S640/$P640</f>
        <v>#DIV/0!</v>
      </c>
      <c r="U640" s="113"/>
      <c r="V640" s="114" t="e">
        <f>U640/$P640</f>
        <v>#DIV/0!</v>
      </c>
      <c r="W640" s="113"/>
      <c r="X640" s="115" t="e">
        <f>W640/$P640</f>
        <v>#DIV/0!</v>
      </c>
      <c r="Y640" s="113"/>
      <c r="Z640" s="116"/>
    </row>
    <row r="642" spans="1:26" ht="13.9" customHeight="1" x14ac:dyDescent="0.25">
      <c r="D642" s="31" t="s">
        <v>349</v>
      </c>
      <c r="E642" s="31"/>
      <c r="F642" s="31"/>
      <c r="G642" s="31"/>
      <c r="H642" s="31"/>
      <c r="I642" s="31"/>
      <c r="J642" s="31"/>
      <c r="K642" s="31"/>
      <c r="L642" s="31"/>
      <c r="M642" s="31"/>
      <c r="N642" s="31"/>
      <c r="O642" s="31"/>
      <c r="P642" s="31"/>
      <c r="Q642" s="31"/>
      <c r="R642" s="32"/>
      <c r="S642" s="31"/>
      <c r="T642" s="32"/>
      <c r="U642" s="31"/>
      <c r="V642" s="32"/>
      <c r="W642" s="31"/>
      <c r="X642" s="32"/>
      <c r="Y642" s="31"/>
      <c r="Z642" s="31"/>
    </row>
    <row r="643" spans="1:26" ht="13.9" customHeight="1" x14ac:dyDescent="0.25">
      <c r="D643" s="19"/>
      <c r="E643" s="19"/>
      <c r="F643" s="19"/>
      <c r="G643" s="20" t="s">
        <v>1</v>
      </c>
      <c r="H643" s="20" t="s">
        <v>2</v>
      </c>
      <c r="I643" s="20" t="s">
        <v>3</v>
      </c>
      <c r="J643" s="20" t="s">
        <v>4</v>
      </c>
      <c r="K643" s="20" t="s">
        <v>5</v>
      </c>
      <c r="L643" s="20" t="s">
        <v>6</v>
      </c>
      <c r="M643" s="20" t="s">
        <v>7</v>
      </c>
      <c r="N643" s="20" t="s">
        <v>8</v>
      </c>
      <c r="O643" s="20" t="s">
        <v>9</v>
      </c>
      <c r="P643" s="20" t="s">
        <v>10</v>
      </c>
      <c r="Q643" s="20" t="s">
        <v>11</v>
      </c>
      <c r="R643" s="21" t="s">
        <v>12</v>
      </c>
      <c r="S643" s="20" t="s">
        <v>13</v>
      </c>
      <c r="T643" s="21" t="s">
        <v>14</v>
      </c>
      <c r="U643" s="20" t="s">
        <v>15</v>
      </c>
      <c r="V643" s="21" t="s">
        <v>16</v>
      </c>
      <c r="W643" s="20" t="s">
        <v>17</v>
      </c>
      <c r="X643" s="21" t="s">
        <v>18</v>
      </c>
      <c r="Y643" s="20" t="s">
        <v>19</v>
      </c>
      <c r="Z643" s="20" t="s">
        <v>20</v>
      </c>
    </row>
    <row r="644" spans="1:26" ht="13.9" customHeight="1" x14ac:dyDescent="0.25">
      <c r="A644" s="14">
        <v>9</v>
      </c>
      <c r="D644" s="7" t="s">
        <v>21</v>
      </c>
      <c r="E644" s="34">
        <v>41</v>
      </c>
      <c r="F644" s="34" t="s">
        <v>23</v>
      </c>
      <c r="G644" s="35">
        <f t="shared" ref="G644:Q644" si="265">G652</f>
        <v>0</v>
      </c>
      <c r="H644" s="35">
        <f t="shared" si="265"/>
        <v>0</v>
      </c>
      <c r="I644" s="35">
        <f t="shared" si="265"/>
        <v>0</v>
      </c>
      <c r="J644" s="35">
        <f t="shared" si="265"/>
        <v>0</v>
      </c>
      <c r="K644" s="35">
        <f t="shared" si="265"/>
        <v>0</v>
      </c>
      <c r="L644" s="35">
        <f t="shared" si="265"/>
        <v>0</v>
      </c>
      <c r="M644" s="35">
        <f t="shared" si="265"/>
        <v>0</v>
      </c>
      <c r="N644" s="35">
        <f t="shared" si="265"/>
        <v>0</v>
      </c>
      <c r="O644" s="35">
        <f t="shared" si="265"/>
        <v>0</v>
      </c>
      <c r="P644" s="35">
        <f t="shared" si="265"/>
        <v>0</v>
      </c>
      <c r="Q644" s="35">
        <f t="shared" si="265"/>
        <v>0</v>
      </c>
      <c r="R644" s="36">
        <f>IFERROR(Q644/$P644,0)</f>
        <v>0</v>
      </c>
      <c r="S644" s="35">
        <f>S652</f>
        <v>0</v>
      </c>
      <c r="T644" s="36">
        <f>IFERROR(S644/$P644,0)</f>
        <v>0</v>
      </c>
      <c r="U644" s="35">
        <f>U652</f>
        <v>0</v>
      </c>
      <c r="V644" s="36">
        <f>IFERROR(U644/$P644,0)</f>
        <v>0</v>
      </c>
      <c r="W644" s="35">
        <f>W652</f>
        <v>0</v>
      </c>
      <c r="X644" s="36">
        <f>IFERROR(W644/$P644,0)</f>
        <v>0</v>
      </c>
      <c r="Y644" s="35">
        <f>Y652</f>
        <v>0</v>
      </c>
      <c r="Z644" s="35">
        <f>Z652</f>
        <v>0</v>
      </c>
    </row>
    <row r="645" spans="1:26" ht="13.9" customHeight="1" x14ac:dyDescent="0.25">
      <c r="A645" s="14">
        <v>9</v>
      </c>
      <c r="D645" s="7"/>
      <c r="E645" s="34">
        <v>71</v>
      </c>
      <c r="F645" s="34" t="s">
        <v>24</v>
      </c>
      <c r="G645" s="35">
        <f t="shared" ref="G645:Q645" si="266">G654</f>
        <v>70010.5</v>
      </c>
      <c r="H645" s="35">
        <f t="shared" si="266"/>
        <v>1617.83</v>
      </c>
      <c r="I645" s="35">
        <f t="shared" si="266"/>
        <v>0</v>
      </c>
      <c r="J645" s="35">
        <f t="shared" si="266"/>
        <v>0</v>
      </c>
      <c r="K645" s="35">
        <f t="shared" si="266"/>
        <v>0</v>
      </c>
      <c r="L645" s="35">
        <f t="shared" si="266"/>
        <v>0</v>
      </c>
      <c r="M645" s="35">
        <f t="shared" si="266"/>
        <v>0</v>
      </c>
      <c r="N645" s="35">
        <f t="shared" si="266"/>
        <v>0</v>
      </c>
      <c r="O645" s="35">
        <f t="shared" si="266"/>
        <v>0</v>
      </c>
      <c r="P645" s="35">
        <f t="shared" si="266"/>
        <v>0</v>
      </c>
      <c r="Q645" s="35">
        <f t="shared" si="266"/>
        <v>0</v>
      </c>
      <c r="R645" s="36">
        <f>IFERROR(Q645/$P645,0)</f>
        <v>0</v>
      </c>
      <c r="S645" s="35">
        <f>S654</f>
        <v>0</v>
      </c>
      <c r="T645" s="36">
        <f>IFERROR(S645/$P645,0)</f>
        <v>0</v>
      </c>
      <c r="U645" s="35">
        <f>U654</f>
        <v>0</v>
      </c>
      <c r="V645" s="36">
        <f>IFERROR(U645/$P645,0)</f>
        <v>0</v>
      </c>
      <c r="W645" s="35">
        <f>W654</f>
        <v>0</v>
      </c>
      <c r="X645" s="36">
        <f>IFERROR(W645/$P645,0)</f>
        <v>0</v>
      </c>
      <c r="Y645" s="35">
        <f>Y654</f>
        <v>0</v>
      </c>
      <c r="Z645" s="35">
        <f>Z654</f>
        <v>3000</v>
      </c>
    </row>
    <row r="646" spans="1:26" ht="13.9" customHeight="1" x14ac:dyDescent="0.25">
      <c r="A646" s="14">
        <v>9</v>
      </c>
      <c r="D646" s="29"/>
      <c r="E646" s="30"/>
      <c r="F646" s="37" t="s">
        <v>124</v>
      </c>
      <c r="G646" s="38">
        <f t="shared" ref="G646:Q646" si="267">SUM(G644:G645)</f>
        <v>70010.5</v>
      </c>
      <c r="H646" s="38">
        <f t="shared" si="267"/>
        <v>1617.83</v>
      </c>
      <c r="I646" s="38">
        <f t="shared" si="267"/>
        <v>0</v>
      </c>
      <c r="J646" s="38">
        <f t="shared" si="267"/>
        <v>0</v>
      </c>
      <c r="K646" s="38">
        <f t="shared" si="267"/>
        <v>0</v>
      </c>
      <c r="L646" s="38">
        <f t="shared" si="267"/>
        <v>0</v>
      </c>
      <c r="M646" s="38">
        <f t="shared" si="267"/>
        <v>0</v>
      </c>
      <c r="N646" s="38">
        <f t="shared" si="267"/>
        <v>0</v>
      </c>
      <c r="O646" s="38">
        <f t="shared" si="267"/>
        <v>0</v>
      </c>
      <c r="P646" s="38">
        <f t="shared" si="267"/>
        <v>0</v>
      </c>
      <c r="Q646" s="38">
        <f t="shared" si="267"/>
        <v>0</v>
      </c>
      <c r="R646" s="39">
        <f>IFERROR(Q646/$P646,0)</f>
        <v>0</v>
      </c>
      <c r="S646" s="38">
        <f>SUM(S644:S645)</f>
        <v>0</v>
      </c>
      <c r="T646" s="39">
        <f>IFERROR(S646/$P646,0)</f>
        <v>0</v>
      </c>
      <c r="U646" s="38">
        <f>SUM(U644:U645)</f>
        <v>0</v>
      </c>
      <c r="V646" s="39">
        <f>IFERROR(U646/$P646,0)</f>
        <v>0</v>
      </c>
      <c r="W646" s="38">
        <f>SUM(W644:W645)</f>
        <v>0</v>
      </c>
      <c r="X646" s="39">
        <f>IFERROR(W646/$P646,0)</f>
        <v>0</v>
      </c>
      <c r="Y646" s="38">
        <f>SUM(Y644:Y645)</f>
        <v>0</v>
      </c>
      <c r="Z646" s="38">
        <f>SUM(Z644:Z645)</f>
        <v>3000</v>
      </c>
    </row>
    <row r="648" spans="1:26" ht="13.9" customHeight="1" x14ac:dyDescent="0.25">
      <c r="D648" s="72" t="s">
        <v>350</v>
      </c>
      <c r="E648" s="72"/>
      <c r="F648" s="72"/>
      <c r="G648" s="72"/>
      <c r="H648" s="72"/>
      <c r="I648" s="72"/>
      <c r="J648" s="72"/>
      <c r="K648" s="72"/>
      <c r="L648" s="72"/>
      <c r="M648" s="72"/>
      <c r="N648" s="72"/>
      <c r="O648" s="72"/>
      <c r="P648" s="72"/>
      <c r="Q648" s="72"/>
      <c r="R648" s="73"/>
      <c r="S648" s="72"/>
      <c r="T648" s="73"/>
      <c r="U648" s="72"/>
      <c r="V648" s="73"/>
      <c r="W648" s="72"/>
      <c r="X648" s="73"/>
      <c r="Y648" s="72"/>
      <c r="Z648" s="72"/>
    </row>
    <row r="649" spans="1:26" ht="13.9" customHeight="1" x14ac:dyDescent="0.25">
      <c r="D649" s="20" t="s">
        <v>33</v>
      </c>
      <c r="E649" s="20" t="s">
        <v>34</v>
      </c>
      <c r="F649" s="20" t="s">
        <v>35</v>
      </c>
      <c r="G649" s="20" t="s">
        <v>1</v>
      </c>
      <c r="H649" s="20" t="s">
        <v>2</v>
      </c>
      <c r="I649" s="20" t="s">
        <v>3</v>
      </c>
      <c r="J649" s="20" t="s">
        <v>4</v>
      </c>
      <c r="K649" s="20" t="s">
        <v>5</v>
      </c>
      <c r="L649" s="20" t="s">
        <v>6</v>
      </c>
      <c r="M649" s="20" t="s">
        <v>7</v>
      </c>
      <c r="N649" s="20" t="s">
        <v>8</v>
      </c>
      <c r="O649" s="20" t="s">
        <v>9</v>
      </c>
      <c r="P649" s="20" t="s">
        <v>10</v>
      </c>
      <c r="Q649" s="20" t="s">
        <v>11</v>
      </c>
      <c r="R649" s="21" t="s">
        <v>12</v>
      </c>
      <c r="S649" s="20" t="s">
        <v>13</v>
      </c>
      <c r="T649" s="21" t="s">
        <v>14</v>
      </c>
      <c r="U649" s="20" t="s">
        <v>15</v>
      </c>
      <c r="V649" s="21" t="s">
        <v>16</v>
      </c>
      <c r="W649" s="20" t="s">
        <v>17</v>
      </c>
      <c r="X649" s="21" t="s">
        <v>18</v>
      </c>
      <c r="Y649" s="20" t="s">
        <v>19</v>
      </c>
      <c r="Z649" s="20" t="s">
        <v>20</v>
      </c>
    </row>
    <row r="650" spans="1:26" ht="13.9" customHeight="1" x14ac:dyDescent="0.25">
      <c r="A650" s="14">
        <v>9</v>
      </c>
      <c r="B650" s="14">
        <v>1</v>
      </c>
      <c r="D650" s="4" t="s">
        <v>128</v>
      </c>
      <c r="E650" s="22">
        <v>650</v>
      </c>
      <c r="F650" s="22" t="s">
        <v>351</v>
      </c>
      <c r="G650" s="23">
        <v>0</v>
      </c>
      <c r="H650" s="23">
        <v>0</v>
      </c>
      <c r="I650" s="23">
        <v>0</v>
      </c>
      <c r="J650" s="23">
        <v>0</v>
      </c>
      <c r="K650" s="23">
        <v>0</v>
      </c>
      <c r="L650" s="23"/>
      <c r="M650" s="23"/>
      <c r="N650" s="23"/>
      <c r="O650" s="23"/>
      <c r="P650" s="23">
        <f>K650+SUM(L650:O650)</f>
        <v>0</v>
      </c>
      <c r="Q650" s="23">
        <v>0</v>
      </c>
      <c r="R650" s="24">
        <f t="shared" ref="R650:R655" si="268">IFERROR(Q650/$P650,0)</f>
        <v>0</v>
      </c>
      <c r="S650" s="23">
        <v>0</v>
      </c>
      <c r="T650" s="24">
        <f t="shared" ref="T650:T655" si="269">IFERROR(S650/$P650,0)</f>
        <v>0</v>
      </c>
      <c r="U650" s="23">
        <v>0</v>
      </c>
      <c r="V650" s="24">
        <f t="shared" ref="V650:V655" si="270">IFERROR(U650/$P650,0)</f>
        <v>0</v>
      </c>
      <c r="W650" s="23">
        <v>0</v>
      </c>
      <c r="X650" s="24">
        <f t="shared" ref="X650:X655" si="271">IFERROR(W650/$P650,0)</f>
        <v>0</v>
      </c>
      <c r="Y650" s="23">
        <v>0</v>
      </c>
      <c r="Z650" s="23">
        <v>0</v>
      </c>
    </row>
    <row r="651" spans="1:26" ht="13.9" customHeight="1" x14ac:dyDescent="0.25">
      <c r="A651" s="14">
        <v>9</v>
      </c>
      <c r="B651" s="14">
        <v>1</v>
      </c>
      <c r="D651" s="4"/>
      <c r="E651" s="22">
        <v>820</v>
      </c>
      <c r="F651" s="22" t="s">
        <v>352</v>
      </c>
      <c r="G651" s="23">
        <v>0</v>
      </c>
      <c r="H651" s="23">
        <v>0</v>
      </c>
      <c r="I651" s="23">
        <v>0</v>
      </c>
      <c r="J651" s="23">
        <v>0</v>
      </c>
      <c r="K651" s="23">
        <v>0</v>
      </c>
      <c r="L651" s="23"/>
      <c r="M651" s="23"/>
      <c r="N651" s="23"/>
      <c r="O651" s="23"/>
      <c r="P651" s="23">
        <f>K651+SUM(L651:O651)</f>
        <v>0</v>
      </c>
      <c r="Q651" s="23">
        <v>0</v>
      </c>
      <c r="R651" s="24">
        <f t="shared" si="268"/>
        <v>0</v>
      </c>
      <c r="S651" s="23">
        <v>0</v>
      </c>
      <c r="T651" s="24">
        <f t="shared" si="269"/>
        <v>0</v>
      </c>
      <c r="U651" s="23">
        <v>0</v>
      </c>
      <c r="V651" s="24">
        <f t="shared" si="270"/>
        <v>0</v>
      </c>
      <c r="W651" s="23">
        <v>0</v>
      </c>
      <c r="X651" s="24">
        <f t="shared" si="271"/>
        <v>0</v>
      </c>
      <c r="Y651" s="23">
        <f>K651</f>
        <v>0</v>
      </c>
      <c r="Z651" s="23">
        <f>Y651</f>
        <v>0</v>
      </c>
    </row>
    <row r="652" spans="1:26" ht="13.9" customHeight="1" x14ac:dyDescent="0.25">
      <c r="A652" s="14">
        <v>9</v>
      </c>
      <c r="B652" s="14">
        <v>1</v>
      </c>
      <c r="D652" s="84" t="s">
        <v>21</v>
      </c>
      <c r="E652" s="47">
        <v>41</v>
      </c>
      <c r="F652" s="47" t="s">
        <v>23</v>
      </c>
      <c r="G652" s="48">
        <f t="shared" ref="G652:Q652" si="272">SUM(G650:G651)</f>
        <v>0</v>
      </c>
      <c r="H652" s="48">
        <f t="shared" si="272"/>
        <v>0</v>
      </c>
      <c r="I652" s="48">
        <f t="shared" si="272"/>
        <v>0</v>
      </c>
      <c r="J652" s="48">
        <f t="shared" si="272"/>
        <v>0</v>
      </c>
      <c r="K652" s="48">
        <f t="shared" si="272"/>
        <v>0</v>
      </c>
      <c r="L652" s="48">
        <f t="shared" si="272"/>
        <v>0</v>
      </c>
      <c r="M652" s="48">
        <f t="shared" si="272"/>
        <v>0</v>
      </c>
      <c r="N652" s="48">
        <f t="shared" si="272"/>
        <v>0</v>
      </c>
      <c r="O652" s="48">
        <f t="shared" si="272"/>
        <v>0</v>
      </c>
      <c r="P652" s="48">
        <f t="shared" si="272"/>
        <v>0</v>
      </c>
      <c r="Q652" s="48">
        <f t="shared" si="272"/>
        <v>0</v>
      </c>
      <c r="R652" s="49">
        <f t="shared" si="268"/>
        <v>0</v>
      </c>
      <c r="S652" s="48">
        <f>SUM(S650:S651)</f>
        <v>0</v>
      </c>
      <c r="T652" s="49">
        <f t="shared" si="269"/>
        <v>0</v>
      </c>
      <c r="U652" s="48">
        <f>SUM(U650:U651)</f>
        <v>0</v>
      </c>
      <c r="V652" s="49">
        <f t="shared" si="270"/>
        <v>0</v>
      </c>
      <c r="W652" s="48">
        <f>SUM(W650:W651)</f>
        <v>0</v>
      </c>
      <c r="X652" s="49">
        <f t="shared" si="271"/>
        <v>0</v>
      </c>
      <c r="Y652" s="48">
        <f>SUM(Y650:Y651)</f>
        <v>0</v>
      </c>
      <c r="Z652" s="48">
        <f>SUM(Z650:Z651)</f>
        <v>0</v>
      </c>
    </row>
    <row r="653" spans="1:26" ht="13.9" customHeight="1" x14ac:dyDescent="0.25">
      <c r="A653" s="14">
        <v>9</v>
      </c>
      <c r="B653" s="14">
        <v>1</v>
      </c>
      <c r="D653" s="83" t="s">
        <v>128</v>
      </c>
      <c r="E653" s="22">
        <v>810</v>
      </c>
      <c r="F653" s="22" t="s">
        <v>353</v>
      </c>
      <c r="G653" s="23">
        <v>70010.5</v>
      </c>
      <c r="H653" s="23">
        <v>1617.83</v>
      </c>
      <c r="I653" s="23">
        <v>0</v>
      </c>
      <c r="J653" s="23">
        <v>0</v>
      </c>
      <c r="K653" s="23">
        <v>0</v>
      </c>
      <c r="L653" s="23"/>
      <c r="M653" s="23"/>
      <c r="N653" s="23"/>
      <c r="O653" s="23"/>
      <c r="P653" s="23">
        <f>K653+SUM(L653:O653)</f>
        <v>0</v>
      </c>
      <c r="Q653" s="23">
        <v>0</v>
      </c>
      <c r="R653" s="24">
        <f t="shared" si="268"/>
        <v>0</v>
      </c>
      <c r="S653" s="23">
        <v>0</v>
      </c>
      <c r="T653" s="24">
        <f t="shared" si="269"/>
        <v>0</v>
      </c>
      <c r="U653" s="23">
        <v>0</v>
      </c>
      <c r="V653" s="24">
        <f t="shared" si="270"/>
        <v>0</v>
      </c>
      <c r="W653" s="23">
        <v>0</v>
      </c>
      <c r="X653" s="24">
        <f t="shared" si="271"/>
        <v>0</v>
      </c>
      <c r="Y653" s="23">
        <v>0</v>
      </c>
      <c r="Z653" s="23">
        <v>3000</v>
      </c>
    </row>
    <row r="654" spans="1:26" ht="13.9" customHeight="1" x14ac:dyDescent="0.25">
      <c r="A654" s="14">
        <v>9</v>
      </c>
      <c r="B654" s="14">
        <v>1</v>
      </c>
      <c r="D654" s="84" t="s">
        <v>21</v>
      </c>
      <c r="E654" s="47">
        <v>71</v>
      </c>
      <c r="F654" s="47" t="s">
        <v>24</v>
      </c>
      <c r="G654" s="48">
        <f t="shared" ref="G654:Q655" si="273">SUM(G653:G653)</f>
        <v>70010.5</v>
      </c>
      <c r="H654" s="48">
        <f t="shared" si="273"/>
        <v>1617.83</v>
      </c>
      <c r="I654" s="48">
        <f t="shared" si="273"/>
        <v>0</v>
      </c>
      <c r="J654" s="48">
        <f t="shared" si="273"/>
        <v>0</v>
      </c>
      <c r="K654" s="48">
        <f t="shared" si="273"/>
        <v>0</v>
      </c>
      <c r="L654" s="48">
        <f t="shared" si="273"/>
        <v>0</v>
      </c>
      <c r="M654" s="48">
        <f t="shared" si="273"/>
        <v>0</v>
      </c>
      <c r="N654" s="48">
        <f t="shared" si="273"/>
        <v>0</v>
      </c>
      <c r="O654" s="48">
        <f t="shared" si="273"/>
        <v>0</v>
      </c>
      <c r="P654" s="48">
        <f t="shared" si="273"/>
        <v>0</v>
      </c>
      <c r="Q654" s="48">
        <f t="shared" si="273"/>
        <v>0</v>
      </c>
      <c r="R654" s="49">
        <f t="shared" si="268"/>
        <v>0</v>
      </c>
      <c r="S654" s="48">
        <f>SUM(S653:S653)</f>
        <v>0</v>
      </c>
      <c r="T654" s="49">
        <f t="shared" si="269"/>
        <v>0</v>
      </c>
      <c r="U654" s="48">
        <f>SUM(U653:U653)</f>
        <v>0</v>
      </c>
      <c r="V654" s="49">
        <f t="shared" si="270"/>
        <v>0</v>
      </c>
      <c r="W654" s="48">
        <f>SUM(W653:W653)</f>
        <v>0</v>
      </c>
      <c r="X654" s="49">
        <f t="shared" si="271"/>
        <v>0</v>
      </c>
      <c r="Y654" s="48">
        <f>SUM(Y653:Y653)</f>
        <v>0</v>
      </c>
      <c r="Z654" s="48">
        <f>SUM(Z653:Z653)</f>
        <v>3000</v>
      </c>
    </row>
    <row r="655" spans="1:26" ht="13.9" customHeight="1" x14ac:dyDescent="0.25">
      <c r="A655" s="14">
        <v>9</v>
      </c>
      <c r="B655" s="14">
        <v>1</v>
      </c>
      <c r="D655" s="86"/>
      <c r="E655" s="87"/>
      <c r="F655" s="25" t="s">
        <v>23</v>
      </c>
      <c r="G655" s="26">
        <f t="shared" si="273"/>
        <v>70010.5</v>
      </c>
      <c r="H655" s="26">
        <f t="shared" si="273"/>
        <v>1617.83</v>
      </c>
      <c r="I655" s="26">
        <f t="shared" si="273"/>
        <v>0</v>
      </c>
      <c r="J655" s="26">
        <f t="shared" si="273"/>
        <v>0</v>
      </c>
      <c r="K655" s="26">
        <f t="shared" si="273"/>
        <v>0</v>
      </c>
      <c r="L655" s="26">
        <f t="shared" si="273"/>
        <v>0</v>
      </c>
      <c r="M655" s="26">
        <f t="shared" si="273"/>
        <v>0</v>
      </c>
      <c r="N655" s="26">
        <f t="shared" si="273"/>
        <v>0</v>
      </c>
      <c r="O655" s="26">
        <f t="shared" si="273"/>
        <v>0</v>
      </c>
      <c r="P655" s="26">
        <f t="shared" si="273"/>
        <v>0</v>
      </c>
      <c r="Q655" s="26">
        <f t="shared" si="273"/>
        <v>0</v>
      </c>
      <c r="R655" s="27">
        <f t="shared" si="268"/>
        <v>0</v>
      </c>
      <c r="S655" s="26">
        <f>SUM(S654:S654)</f>
        <v>0</v>
      </c>
      <c r="T655" s="27">
        <f t="shared" si="269"/>
        <v>0</v>
      </c>
      <c r="U655" s="26">
        <f>SUM(U654:U654)</f>
        <v>0</v>
      </c>
      <c r="V655" s="27">
        <f t="shared" si="270"/>
        <v>0</v>
      </c>
      <c r="W655" s="26">
        <f>SUM(W654:W654)</f>
        <v>0</v>
      </c>
      <c r="X655" s="27">
        <f t="shared" si="271"/>
        <v>0</v>
      </c>
      <c r="Y655" s="26">
        <f>SUM(Y654:Y654)</f>
        <v>0</v>
      </c>
      <c r="Z655" s="26">
        <f>SUM(Z654:Z654)</f>
        <v>3000</v>
      </c>
    </row>
    <row r="1048569" ht="12.75" customHeight="1" x14ac:dyDescent="0.25"/>
    <row r="1048570" ht="12.75" customHeight="1" x14ac:dyDescent="0.25"/>
    <row r="1048571" ht="12.75" customHeight="1" x14ac:dyDescent="0.25"/>
    <row r="1048572" ht="12.75" customHeight="1" x14ac:dyDescent="0.25"/>
    <row r="1048573" ht="12.75" customHeight="1" x14ac:dyDescent="0.25"/>
    <row r="1048574" ht="12.75" customHeight="1" x14ac:dyDescent="0.25"/>
    <row r="1048575" ht="12.75" customHeight="1" x14ac:dyDescent="0.25"/>
    <row r="1048576" ht="12.75" customHeight="1" x14ac:dyDescent="0.25"/>
  </sheetData>
  <mergeCells count="65">
    <mergeCell ref="D623:D624"/>
    <mergeCell ref="D629:D630"/>
    <mergeCell ref="D638:D640"/>
    <mergeCell ref="D644:D645"/>
    <mergeCell ref="D650:D651"/>
    <mergeCell ref="D584:D587"/>
    <mergeCell ref="D592:D593"/>
    <mergeCell ref="D597:D598"/>
    <mergeCell ref="D601:D603"/>
    <mergeCell ref="D617:D619"/>
    <mergeCell ref="D533:D534"/>
    <mergeCell ref="D552:D553"/>
    <mergeCell ref="D559:D563"/>
    <mergeCell ref="D572:D575"/>
    <mergeCell ref="D579:D580"/>
    <mergeCell ref="D468:D470"/>
    <mergeCell ref="D475:D477"/>
    <mergeCell ref="D482:D484"/>
    <mergeCell ref="D486:D489"/>
    <mergeCell ref="D526:D528"/>
    <mergeCell ref="D371:D372"/>
    <mergeCell ref="D377:D378"/>
    <mergeCell ref="D386:D387"/>
    <mergeCell ref="D423:D424"/>
    <mergeCell ref="D434:D435"/>
    <mergeCell ref="D307:D309"/>
    <mergeCell ref="D319:D320"/>
    <mergeCell ref="D333:D335"/>
    <mergeCell ref="D357:D358"/>
    <mergeCell ref="D360:D363"/>
    <mergeCell ref="D240:D242"/>
    <mergeCell ref="D263:D266"/>
    <mergeCell ref="D281:D284"/>
    <mergeCell ref="D289:D291"/>
    <mergeCell ref="D296:D297"/>
    <mergeCell ref="D170:D171"/>
    <mergeCell ref="D185:D187"/>
    <mergeCell ref="D201:D204"/>
    <mergeCell ref="D215:D216"/>
    <mergeCell ref="D221:D224"/>
    <mergeCell ref="D145:Z145"/>
    <mergeCell ref="D147:D149"/>
    <mergeCell ref="D152:Z152"/>
    <mergeCell ref="D154:D156"/>
    <mergeCell ref="D165:D168"/>
    <mergeCell ref="D107:Z107"/>
    <mergeCell ref="D109:D111"/>
    <mergeCell ref="D113:D116"/>
    <mergeCell ref="D122:Z122"/>
    <mergeCell ref="D131:Z131"/>
    <mergeCell ref="D62:D64"/>
    <mergeCell ref="D70:Z70"/>
    <mergeCell ref="D85:Z85"/>
    <mergeCell ref="D87:D90"/>
    <mergeCell ref="D102:Z102"/>
    <mergeCell ref="D36:Z36"/>
    <mergeCell ref="D38:D41"/>
    <mergeCell ref="D47:Z47"/>
    <mergeCell ref="D51:D54"/>
    <mergeCell ref="D60:Z60"/>
    <mergeCell ref="D3:D19"/>
    <mergeCell ref="D22:Z22"/>
    <mergeCell ref="D24:D26"/>
    <mergeCell ref="D29:Z29"/>
    <mergeCell ref="D31:D33"/>
  </mergeCells>
  <printOptions horizontalCentered="1"/>
  <pageMargins left="0.23611111111111099" right="0.23611111111111099" top="0.3" bottom="0.3" header="0.511811023622047" footer="0.511811023622047"/>
  <pageSetup paperSize="9" fitToHeight="0" orientation="portrait" horizontalDpi="300" verticalDpi="300"/>
  <rowBreaks count="13" manualBreakCount="13">
    <brk id="21" max="16383" man="1"/>
    <brk id="84" max="16383" man="1"/>
    <brk id="151" max="16383" man="1"/>
    <brk id="212" max="16383" man="1"/>
    <brk id="237" max="16383" man="1"/>
    <brk id="278" max="16383" man="1"/>
    <brk id="347" max="16383" man="1"/>
    <brk id="368" max="16383" man="1"/>
    <brk id="442" max="16383" man="1"/>
    <brk id="465" max="16383" man="1"/>
    <brk id="523" max="16383" man="1"/>
    <brk id="620" max="16383" man="1"/>
    <brk id="641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L31"/>
  <sheetViews>
    <sheetView defaultGridColor="0" colorId="22" zoomScaleNormal="100" workbookViewId="0"/>
  </sheetViews>
  <sheetFormatPr defaultColWidth="11.5703125" defaultRowHeight="15" x14ac:dyDescent="0.25"/>
  <cols>
    <col min="1" max="1" width="16.28515625" style="135" customWidth="1"/>
    <col min="2" max="2" width="17.5703125" style="135" customWidth="1"/>
    <col min="3" max="64" width="8.5703125" style="135" customWidth="1"/>
  </cols>
  <sheetData>
    <row r="1" spans="1:2" x14ac:dyDescent="0.25">
      <c r="A1" s="135" t="s">
        <v>354</v>
      </c>
      <c r="B1" s="135" t="s">
        <v>355</v>
      </c>
    </row>
    <row r="2" spans="1:2" x14ac:dyDescent="0.25">
      <c r="A2" s="135" t="s">
        <v>1</v>
      </c>
      <c r="B2" s="135" t="s">
        <v>356</v>
      </c>
    </row>
    <row r="3" spans="1:2" x14ac:dyDescent="0.25">
      <c r="A3" s="135" t="s">
        <v>2</v>
      </c>
      <c r="B3" s="135" t="s">
        <v>357</v>
      </c>
    </row>
    <row r="4" spans="1:2" x14ac:dyDescent="0.25">
      <c r="A4" s="135" t="s">
        <v>3</v>
      </c>
      <c r="B4" s="135" t="s">
        <v>358</v>
      </c>
    </row>
    <row r="5" spans="1:2" x14ac:dyDescent="0.25">
      <c r="A5" s="135" t="s">
        <v>4</v>
      </c>
      <c r="B5" s="135" t="s">
        <v>359</v>
      </c>
    </row>
    <row r="6" spans="1:2" x14ac:dyDescent="0.25">
      <c r="A6" s="135" t="s">
        <v>5</v>
      </c>
      <c r="B6" s="135" t="s">
        <v>360</v>
      </c>
    </row>
    <row r="7" spans="1:2" x14ac:dyDescent="0.25">
      <c r="A7" s="135" t="s">
        <v>19</v>
      </c>
      <c r="B7" s="135" t="s">
        <v>361</v>
      </c>
    </row>
    <row r="8" spans="1:2" x14ac:dyDescent="0.25">
      <c r="A8" s="135" t="s">
        <v>20</v>
      </c>
      <c r="B8" s="135" t="s">
        <v>362</v>
      </c>
    </row>
    <row r="9" spans="1:2" x14ac:dyDescent="0.25">
      <c r="A9" s="135" t="s">
        <v>363</v>
      </c>
      <c r="B9" s="135" t="s">
        <v>364</v>
      </c>
    </row>
    <row r="10" spans="1:2" x14ac:dyDescent="0.25">
      <c r="A10" s="135" t="s">
        <v>365</v>
      </c>
      <c r="B10" s="135" t="s">
        <v>366</v>
      </c>
    </row>
    <row r="11" spans="1:2" x14ac:dyDescent="0.25">
      <c r="A11" s="135" t="s">
        <v>367</v>
      </c>
      <c r="B11" s="135" t="s">
        <v>368</v>
      </c>
    </row>
    <row r="12" spans="1:2" x14ac:dyDescent="0.25">
      <c r="A12" s="135" t="s">
        <v>84</v>
      </c>
      <c r="B12" s="135" t="s">
        <v>369</v>
      </c>
    </row>
    <row r="13" spans="1:2" x14ac:dyDescent="0.25">
      <c r="A13" s="135" t="s">
        <v>34</v>
      </c>
      <c r="B13" s="135" t="s">
        <v>370</v>
      </c>
    </row>
    <row r="14" spans="1:2" x14ac:dyDescent="0.25">
      <c r="A14" s="135" t="s">
        <v>371</v>
      </c>
      <c r="B14" s="135" t="s">
        <v>226</v>
      </c>
    </row>
    <row r="15" spans="1:2" x14ac:dyDescent="0.25">
      <c r="A15" s="135" t="s">
        <v>33</v>
      </c>
      <c r="B15" s="135" t="s">
        <v>372</v>
      </c>
    </row>
    <row r="16" spans="1:2" x14ac:dyDescent="0.25">
      <c r="A16" s="135" t="s">
        <v>373</v>
      </c>
      <c r="B16" s="135" t="s">
        <v>374</v>
      </c>
    </row>
    <row r="17" spans="1:2" x14ac:dyDescent="0.25">
      <c r="A17" s="135" t="s">
        <v>375</v>
      </c>
      <c r="B17" s="135" t="s">
        <v>376</v>
      </c>
    </row>
    <row r="18" spans="1:2" x14ac:dyDescent="0.25">
      <c r="A18" s="135" t="s">
        <v>377</v>
      </c>
      <c r="B18" s="135" t="s">
        <v>378</v>
      </c>
    </row>
    <row r="19" spans="1:2" x14ac:dyDescent="0.25">
      <c r="A19" s="135" t="s">
        <v>379</v>
      </c>
      <c r="B19" s="135" t="s">
        <v>380</v>
      </c>
    </row>
    <row r="20" spans="1:2" x14ac:dyDescent="0.25">
      <c r="A20" s="135" t="s">
        <v>118</v>
      </c>
      <c r="B20" s="135" t="s">
        <v>381</v>
      </c>
    </row>
    <row r="21" spans="1:2" x14ac:dyDescent="0.25">
      <c r="A21" s="135" t="s">
        <v>119</v>
      </c>
      <c r="B21" s="135" t="s">
        <v>382</v>
      </c>
    </row>
    <row r="22" spans="1:2" x14ac:dyDescent="0.25">
      <c r="A22" s="135" t="s">
        <v>120</v>
      </c>
      <c r="B22" s="135" t="s">
        <v>383</v>
      </c>
    </row>
    <row r="23" spans="1:2" x14ac:dyDescent="0.25">
      <c r="A23" s="135" t="s">
        <v>51</v>
      </c>
      <c r="B23" s="135" t="s">
        <v>384</v>
      </c>
    </row>
    <row r="24" spans="1:2" x14ac:dyDescent="0.25">
      <c r="A24" s="135" t="s">
        <v>256</v>
      </c>
      <c r="B24" s="135" t="s">
        <v>385</v>
      </c>
    </row>
    <row r="25" spans="1:2" x14ac:dyDescent="0.25">
      <c r="A25" s="135" t="s">
        <v>386</v>
      </c>
      <c r="B25" s="135" t="s">
        <v>387</v>
      </c>
    </row>
    <row r="26" spans="1:2" x14ac:dyDescent="0.25">
      <c r="A26" s="135" t="s">
        <v>388</v>
      </c>
      <c r="B26" s="135" t="s">
        <v>389</v>
      </c>
    </row>
    <row r="27" spans="1:2" x14ac:dyDescent="0.25">
      <c r="A27" s="135" t="s">
        <v>390</v>
      </c>
      <c r="B27" s="135" t="s">
        <v>391</v>
      </c>
    </row>
    <row r="28" spans="1:2" x14ac:dyDescent="0.25">
      <c r="A28" s="135" t="s">
        <v>392</v>
      </c>
      <c r="B28" s="135" t="s">
        <v>393</v>
      </c>
    </row>
    <row r="29" spans="1:2" x14ac:dyDescent="0.25">
      <c r="A29" s="135" t="s">
        <v>394</v>
      </c>
      <c r="B29" s="135" t="s">
        <v>395</v>
      </c>
    </row>
    <row r="30" spans="1:2" x14ac:dyDescent="0.25">
      <c r="A30" s="135" t="s">
        <v>396</v>
      </c>
      <c r="B30" s="135" t="s">
        <v>397</v>
      </c>
    </row>
    <row r="31" spans="1:2" x14ac:dyDescent="0.25">
      <c r="A31" s="135" t="s">
        <v>398</v>
      </c>
      <c r="B31" s="135" t="s">
        <v>399</v>
      </c>
    </row>
  </sheetData>
  <pageMargins left="0.196527777777778" right="0" top="0" bottom="0" header="0.511811023622047" footer="0.511811023622047"/>
  <pageSetup paperSize="9" orientation="portrait" useFirstPageNumber="1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2834</TotalTime>
  <Application>Microsoft Excel</Application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príjmy</vt:lpstr>
      <vt:lpstr>výdaje</vt:lpstr>
      <vt:lpstr>skratky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Rozpočet 2021 - Obec Nesluša (čerpanie a úpravy)</dc:title>
  <dc:subject>Čerpanie a úpravy rozpočtu Obce Nesluša</dc:subject>
  <dc:creator>Matej Tabaček</dc:creator>
  <cp:keywords>rozpočet čerpanie úpravy obec Nesluša 2021</cp:keywords>
  <dc:description>Schválený 26. 02. 2021, uznesením č. I-7/2021
Úpravy:
RO č. 1-1/2021 z 01. 03. 2021 schválené starostkou obce,
RO č. 2-1/2021 z 26. 05. 2021 schválené uznesením č. II-2/2021.
RO č. 2-2/2021 z 01. 06. 2021 schválené starostkou obce.</dc:description>
  <cp:lastModifiedBy>Matej Tabaček</cp:lastModifiedBy>
  <cp:revision>281</cp:revision>
  <dcterms:created xsi:type="dcterms:W3CDTF">2016-11-16T13:19:48Z</dcterms:created>
  <dcterms:modified xsi:type="dcterms:W3CDTF">2022-05-24T13:12:23Z</dcterms:modified>
  <dc:language>sk-SK</dc:language>
</cp:coreProperties>
</file>