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MT</author>
  </authors>
  <commentList>
    <comment ref="K164" authorId="0">
      <text>
        <r>
          <rPr>
            <sz val="11"/>
            <color rgb="FF000000"/>
            <rFont val="Calibri"/>
            <family val="0"/>
          </rPr>
          <t xml:space="preserve">Dorátané podľa prílohy</t>
        </r>
      </text>
    </comment>
    <comment ref="K184" authorId="0">
      <text>
        <r>
          <rPr>
            <sz val="11"/>
            <color rgb="FF000000"/>
            <rFont val="Calibri"/>
            <family val="0"/>
          </rPr>
          <t xml:space="preserve">Odpočítaný rozdiel z návrhu rozpočtu ZŠ a výpočtu podľa predbežnej prílohy na rok 2020 vo výške 11 128 €</t>
        </r>
      </text>
    </comment>
    <comment ref="K200" authorId="0">
      <text>
        <r>
          <rPr>
            <sz val="11"/>
            <color rgb="FF000000"/>
            <rFont val="Calibri"/>
            <family val="0"/>
          </rPr>
          <t xml:space="preserve">Dorátané podľa prílohy</t>
        </r>
      </text>
    </comment>
    <comment ref="U13" authorId="0">
      <text>
        <r>
          <rPr>
            <sz val="11"/>
            <color rgb="FF000000"/>
            <rFont val="Calibri"/>
            <family val="0"/>
          </rPr>
          <t xml:space="preserve">819002 vo výkaze ZŠ 2560 €</t>
        </r>
      </text>
    </comment>
    <comment ref="W603" authorId="0">
      <text>
        <r>
          <rPr>
            <sz val="11"/>
            <color rgb="FF000000"/>
            <rFont val="Calibri"/>
            <family val="0"/>
          </rPr>
          <t xml:space="preserve">Vodozádržné !!!</t>
        </r>
      </text>
    </comment>
  </commentList>
</comments>
</file>

<file path=xl/sharedStrings.xml><?xml version="1.0" encoding="utf-8"?>
<sst xmlns="http://schemas.openxmlformats.org/spreadsheetml/2006/main" count="2468" uniqueCount="391">
  <si>
    <t xml:space="preserve">SUMÁR PRÍJMOV</t>
  </si>
  <si>
    <t xml:space="preserve">2017 S</t>
  </si>
  <si>
    <t xml:space="preserve">2018 S</t>
  </si>
  <si>
    <t xml:space="preserve">2019 R</t>
  </si>
  <si>
    <t xml:space="preserve">2019 OS</t>
  </si>
  <si>
    <t xml:space="preserve">2020 R</t>
  </si>
  <si>
    <t xml:space="preserve">U1</t>
  </si>
  <si>
    <t xml:space="preserve">U2</t>
  </si>
  <si>
    <t xml:space="preserve">U3</t>
  </si>
  <si>
    <t xml:space="preserve">U4</t>
  </si>
  <si>
    <t xml:space="preserve">2020 U</t>
  </si>
  <si>
    <t xml:space="preserve">Č1</t>
  </si>
  <si>
    <t xml:space="preserve">P1</t>
  </si>
  <si>
    <t xml:space="preserve">Č2</t>
  </si>
  <si>
    <t xml:space="preserve">P2</t>
  </si>
  <si>
    <t xml:space="preserve">Č3</t>
  </si>
  <si>
    <t xml:space="preserve">P3</t>
  </si>
  <si>
    <t xml:space="preserve">Č4</t>
  </si>
  <si>
    <t xml:space="preserve">P4</t>
  </si>
  <si>
    <t xml:space="preserve">2021 R</t>
  </si>
  <si>
    <t xml:space="preserve">2022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</si>
  <si>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</si>
  <si>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</si>
  <si>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</si>
  <si>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</si>
  <si>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Ostatné príjmy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</si>
  <si>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</si>
  <si>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</si>
  <si>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</si>
  <si>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</si>
  <si>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</si>
  <si>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</si>
  <si>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</si>
  <si>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</si>
  <si>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</si>
  <si>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</si>
  <si>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</si>
  <si>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</si>
  <si>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</si>
  <si>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</si>
  <si>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</si>
  <si>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</si>
  <si>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</si>
  <si>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</si>
  <si>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</si>
  <si>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</si>
  <si>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</si>
  <si>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Štátne dotácie</t>
  </si>
  <si>
    <t xml:space="preserve">Nedaňové príjmy - rozpis</t>
  </si>
  <si>
    <t xml:space="preserve">PrN</t>
  </si>
  <si>
    <t xml:space="preserve">Iné nedaňové príjmy</t>
  </si>
  <si>
    <t xml:space="preserve">RO</t>
  </si>
  <si>
    <t xml:space="preserve">Príjmy ZŠ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</si>
  <si>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</si>
  <si>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</si>
  <si>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</si>
  <si>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</si>
  <si>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V tom:</t>
  </si>
  <si>
    <t xml:space="preserve">Prenájom majetku</t>
  </si>
  <si>
    <t xml:space="preserve">Správne poplatky</t>
  </si>
  <si>
    <t xml:space="preserve">Licencie automaty</t>
  </si>
  <si>
    <t xml:space="preserve">Úrok z omeškania kompostéry</t>
  </si>
  <si>
    <t xml:space="preserve">Vodné</t>
  </si>
  <si>
    <t xml:space="preserve">Poplatky DOS</t>
  </si>
  <si>
    <t xml:space="preserve">Predaj dreva</t>
  </si>
  <si>
    <t xml:space="preserve">Prenájom hrobových miest</t>
  </si>
  <si>
    <t xml:space="preserve">Príspevok rodičov MŠ</t>
  </si>
  <si>
    <t xml:space="preserve">Príspevok CVČ</t>
  </si>
  <si>
    <t xml:space="preserve">Vodovodné prípojky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</si>
  <si>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</si>
  <si>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</si>
  <si>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</si>
  <si>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</si>
  <si>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</si>
  <si>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</si>
  <si>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</si>
  <si>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</si>
  <si>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</si>
  <si>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</si>
  <si>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</si>
  <si>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</si>
  <si>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</si>
  <si>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</si>
  <si>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Sčítanie 2021</t>
  </si>
  <si>
    <t xml:space="preserve">Voľby</t>
  </si>
  <si>
    <t xml:space="preserve">DOS</t>
  </si>
  <si>
    <t xml:space="preserve">Rozvoj športu</t>
  </si>
  <si>
    <t xml:space="preserve">Regionálny rozvoj ESF</t>
  </si>
  <si>
    <t xml:space="preserve">Podpora zamestnanosti MŠ ESF</t>
  </si>
  <si>
    <t xml:space="preserve">Zberný dvor – externý manažment</t>
  </si>
  <si>
    <t xml:space="preserve">Zateplenie škôlky – externý manažment</t>
  </si>
  <si>
    <t xml:space="preserve">Kompostéry – externý manažment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</si>
  <si>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</si>
  <si>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</si>
  <si>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</si>
  <si>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</si>
  <si>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</si>
  <si>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Civilná obrana</t>
  </si>
  <si>
    <t xml:space="preserve">Zberný dvor</t>
  </si>
  <si>
    <t xml:space="preserve">Zateplenie škôlky</t>
  </si>
  <si>
    <t xml:space="preserve">Rozšírenie škôlky</t>
  </si>
  <si>
    <t xml:space="preserve">Kompostéry</t>
  </si>
  <si>
    <t xml:space="preserve">Požiarna zbrojnica</t>
  </si>
  <si>
    <t xml:space="preserve">ZŠ vodozádržné opatrenia</t>
  </si>
  <si>
    <t xml:space="preserve">ZŠ strecha/kotolňa</t>
  </si>
  <si>
    <t xml:space="preserve">Erasmus (RO)</t>
  </si>
  <si>
    <t xml:space="preserve">Zdroj kytia</t>
  </si>
  <si>
    <t xml:space="preserve">Granty</t>
  </si>
  <si>
    <t xml:space="preserve">Granty (RO)</t>
  </si>
  <si>
    <t xml:space="preserve">PRÍJMOVÉ FINANČNÉ OPERÁCIE</t>
  </si>
  <si>
    <t xml:space="preserve">Nevyčerpané dotácie</t>
  </si>
  <si>
    <t xml:space="preserve">Zostatky</t>
  </si>
  <si>
    <t xml:space="preserve">Rezervný fond</t>
  </si>
  <si>
    <t xml:space="preserve">Prijaté zábezpeky</t>
  </si>
  <si>
    <t xml:space="preserve">Dotácie (RO)</t>
  </si>
  <si>
    <t xml:space="preserve">Iné zdroje (RO)</t>
  </si>
  <si>
    <t xml:space="preserve">Stravné (RO)</t>
  </si>
  <si>
    <t xml:space="preserve">ROZDIEL PRÍJMOV A VÝDAJOV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</si>
  <si>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</si>
  <si>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</si>
  <si>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</si>
  <si>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</si>
  <si>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</si>
  <si>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</si>
  <si>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</si>
  <si>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</si>
  <si>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</si>
  <si>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</si>
  <si>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</si>
  <si>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</si>
  <si>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</si>
  <si>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</si>
  <si>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</si>
  <si>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</si>
  <si>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</si>
  <si>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</si>
  <si>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</si>
  <si>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</si>
  <si>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1AC</t>
  </si>
  <si>
    <t xml:space="preserve">Bankové poplatky</t>
  </si>
  <si>
    <t xml:space="preserve">Poštovné</t>
  </si>
  <si>
    <t xml:space="preserve">Právne služby</t>
  </si>
  <si>
    <t xml:space="preserve">Softvér (URBIS)</t>
  </si>
  <si>
    <t xml:space="preserve">Služby ESMAO</t>
  </si>
  <si>
    <t xml:space="preserve">Nábytok OcÚ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</si>
  <si>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</si>
  <si>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</si>
  <si>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</si>
  <si>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</si>
  <si>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</si>
  <si>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</si>
  <si>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</si>
  <si>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</si>
  <si>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</si>
  <si>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</si>
  <si>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</si>
  <si>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</si>
  <si>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</si>
  <si>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</si>
  <si>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</si>
  <si>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</si>
  <si>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</si>
  <si>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</si>
  <si>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</si>
  <si>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Ťažba, výsadba</t>
  </si>
  <si>
    <t xml:space="preserve">Geomterické plány</t>
  </si>
  <si>
    <t xml:space="preserve">Revízie zariadení</t>
  </si>
  <si>
    <t xml:space="preserve">Podprogram 1.4 Voľby a sčítanie 2021</t>
  </si>
  <si>
    <t xml:space="preserve">01.6.0</t>
  </si>
  <si>
    <t xml:space="preserve">PROGRAM 2 - ŠKOLSTVO</t>
  </si>
  <si>
    <t xml:space="preserve">Podprogram 2.1 Materská škola</t>
  </si>
  <si>
    <t xml:space="preserve">111/1AC</t>
  </si>
  <si>
    <t xml:space="preserve">Štátna dotácia/ESF</t>
  </si>
  <si>
    <t xml:space="preserve">Zateplenie – externý manažment</t>
  </si>
  <si>
    <t xml:space="preserve">Podprogram 2.2 Základná škola</t>
  </si>
  <si>
    <t xml:space="preserve">09.2.1.1</t>
  </si>
  <si>
    <t xml:space="preserve">Originálne kompetencie</t>
  </si>
  <si>
    <t xml:space="preserve">09.6.0.1</t>
  </si>
  <si>
    <t xml:space="preserve">Elektrina ŠJ</t>
  </si>
  <si>
    <t xml:space="preserve">Plyn ŠJ</t>
  </si>
  <si>
    <t xml:space="preserve">Podprogram 2.3 Centrum voľného času</t>
  </si>
  <si>
    <t xml:space="preserve">09.5.0</t>
  </si>
  <si>
    <t xml:space="preserve">Dohody externí zamestnanci</t>
  </si>
  <si>
    <t xml:space="preserve">Dotácia cirkevné CVČ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</si>
  <si>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</si>
  <si>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</si>
  <si>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</si>
  <si>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</si>
  <si>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Rozbor vody</t>
  </si>
  <si>
    <t xml:space="preserve">Prevádzkovanie vodovodu</t>
  </si>
  <si>
    <t xml:space="preserve">Odber podzemnej vody</t>
  </si>
  <si>
    <t xml:space="preserve">Monitoring potrubia</t>
  </si>
  <si>
    <t xml:space="preserve">Podprogram 3.2 Skupinové vodovody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</si>
  <si>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</si>
  <si>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</si>
  <si>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</si>
  <si>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</si>
  <si>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Kompostéry do domácností</t>
  </si>
  <si>
    <t xml:space="preserve">Podprogram 4.3 Zberný dvor</t>
  </si>
  <si>
    <t xml:space="preserve">Poistenie budovy a techniky</t>
  </si>
  <si>
    <t xml:space="preserve">Údržba dopravných prostriedkov a strojov</t>
  </si>
  <si>
    <t xml:space="preserve">Externý manažment výstavby</t>
  </si>
  <si>
    <t xml:space="preserve">Podprogram 4.4 Likvidácia skládok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</si>
  <si>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</si>
  <si>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</si>
  <si>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</si>
  <si>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</si>
  <si>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Prvok 5.1.2 Civilná obrana</t>
  </si>
  <si>
    <t xml:space="preserve">02.2.0</t>
  </si>
  <si>
    <t xml:space="preserve">Prevencia COVID-19</t>
  </si>
  <si>
    <t xml:space="preserve">Prvok 5.1.3 Verejné osvetlenie</t>
  </si>
  <si>
    <t xml:space="preserve">06.4.0</t>
  </si>
  <si>
    <t xml:space="preserve">Dohoda údržbár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</si>
  <si>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</si>
  <si>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</si>
  <si>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</si>
  <si>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</si>
  <si>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</si>
  <si>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</si>
  <si>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</si>
  <si>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Dopravné značenie</t>
  </si>
  <si>
    <t xml:space="preserve">Kanály</t>
  </si>
  <si>
    <t xml:space="preserve">Prvok 5.2.2 Verejné priestranstvá</t>
  </si>
  <si>
    <t xml:space="preserve">06.2.0</t>
  </si>
  <si>
    <t xml:space="preserve">Prvok 5.2.3 Regionálny rozvoj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</si>
  <si>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</si>
  <si>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</si>
  <si>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</si>
  <si>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</si>
  <si>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</si>
  <si>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131I</t>
  </si>
  <si>
    <t xml:space="preserve">Prvok 6.1.2 Ostatné športové kluby</t>
  </si>
  <si>
    <t xml:space="preserve">Šachový klub</t>
  </si>
  <si>
    <t xml:space="preserve">Stolný tenis</t>
  </si>
  <si>
    <t xml:space="preserve">Škola vzpierania</t>
  </si>
  <si>
    <t xml:space="preserve">Podprogram 6.2 Kultúra</t>
  </si>
  <si>
    <t xml:space="preserve">Prvok 6.2.1 Kultúrny dom</t>
  </si>
  <si>
    <t xml:space="preserve">08.2.0</t>
  </si>
  <si>
    <t xml:space="preserve">Obnova stolov</t>
  </si>
  <si>
    <t xml:space="preserve">Stoličky</t>
  </si>
  <si>
    <t xml:space="preserve">Dohoda správca</t>
  </si>
  <si>
    <t xml:space="preserve">Prvok 6.2.2 Kultúrne akcie</t>
  </si>
  <si>
    <t xml:space="preserve">Chomút</t>
  </si>
  <si>
    <t xml:space="preserve">Rocknes</t>
  </si>
  <si>
    <t xml:space="preserve">Letné kino, vianočné trhy</t>
  </si>
  <si>
    <t xml:space="preserve">Deň obce</t>
  </si>
  <si>
    <t xml:space="preserve">Hody a iné podujatia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</si>
  <si>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</si>
  <si>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</si>
  <si>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</si>
  <si>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</si>
  <si>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</t>
  </si>
  <si>
    <t xml:space="preserve">Projekt elektroinštalácie, bleskozvodu, revízia</t>
  </si>
  <si>
    <t xml:space="preserve">Dohoda správca cintorína</t>
  </si>
  <si>
    <t xml:space="preserve">Prvok 6.3.2 Náboženské a spoločenské spolky a združenia</t>
  </si>
  <si>
    <t xml:space="preserve">SO SZTP a ZPCCH</t>
  </si>
  <si>
    <t xml:space="preserve">Červený kríž</t>
  </si>
  <si>
    <t xml:space="preserve">Priatelia Kysúc</t>
  </si>
  <si>
    <t xml:space="preserve">Jednota dôchodcov</t>
  </si>
  <si>
    <t xml:space="preserve">Zväz včelárov KNM</t>
  </si>
  <si>
    <t xml:space="preserve">Cyklotrasa KNM-Žilina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</si>
  <si>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</si>
  <si>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</si>
  <si>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</si>
  <si>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</si>
  <si>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Stravné obyvatelia</t>
  </si>
  <si>
    <t xml:space="preserve">Odstupné, náhrada mzdy</t>
  </si>
  <si>
    <t xml:space="preserve">Vratka dotácie – neobsadené miesta</t>
  </si>
  <si>
    <t xml:space="preserve">Prvok 7.1.2 Starostlivosť o starých občanov</t>
  </si>
  <si>
    <t xml:space="preserve">Stravovanie</t>
  </si>
  <si>
    <t xml:space="preserve">Jubilanti, úcta k starším</t>
  </si>
  <si>
    <t xml:space="preserve">Denný stacionár</t>
  </si>
  <si>
    <t xml:space="preserve">Podprogram 7.2 Rodina a hmotná núdza</t>
  </si>
  <si>
    <t xml:space="preserve">10.4.0</t>
  </si>
  <si>
    <t xml:space="preserve">10.7.0</t>
  </si>
  <si>
    <t xml:space="preserve">Príspevok pri narodení dieťaťa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</si>
  <si>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</si>
  <si>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</si>
  <si>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</si>
  <si>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</si>
  <si>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</si>
  <si>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t xml:space="preserve">- výmena plynového kotla</t>
  </si>
  <si>
    <t xml:space="preserve">- 2. nadzemné podlažie</t>
  </si>
  <si>
    <r>
      <rPr>
        <sz val="10"/>
        <color rgb="FF000000"/>
        <rFont val="Arial"/>
        <family val="2"/>
      </rPr>
      <t xml:space="preserve">- 1. nadzemné podlažie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kancelárie</t>
    </r>
    <r>
      <rPr>
        <b val="true"/>
        <sz val="10"/>
        <color rgb="FF000000"/>
        <rFont val="Arial"/>
        <family val="2"/>
      </rPr>
      <t xml:space="preserve">)</t>
    </r>
  </si>
  <si>
    <r>
      <rPr>
        <sz val="10"/>
        <color rgb="FF000000"/>
        <rFont val="Arial"/>
        <family val="2"/>
      </rPr>
      <t xml:space="preserve">- suterén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garáž/pivnica</t>
    </r>
    <r>
      <rPr>
        <b val="true"/>
        <sz val="10"/>
        <color rgb="FF000000"/>
        <rFont val="Arial"/>
        <family val="2"/>
      </rPr>
      <t xml:space="preserve">)</t>
    </r>
  </si>
  <si>
    <t xml:space="preserve">- garáž (budova)</t>
  </si>
  <si>
    <t xml:space="preserve">Kúpa rýpadla</t>
  </si>
  <si>
    <t xml:space="preserve">Nákup strojov – radlica</t>
  </si>
  <si>
    <t xml:space="preserve">Vyrozumievacie zariadenie do rozhlasu</t>
  </si>
  <si>
    <t xml:space="preserve">Kúpa pozemku</t>
  </si>
  <si>
    <t xml:space="preserve">Podprogram 8.2 Školstvo</t>
  </si>
  <si>
    <t xml:space="preserve">09.1.1.1-710</t>
  </si>
  <si>
    <t xml:space="preserve">MŠ - zateplenie</t>
  </si>
  <si>
    <t xml:space="preserve">MŠ - rozšírenie kapacity</t>
  </si>
  <si>
    <t xml:space="preserve">ZŠ – vodozádržné opatrenia</t>
  </si>
  <si>
    <t xml:space="preserve">ZŠ – rekonštrukcia kotolne</t>
  </si>
  <si>
    <t xml:space="preserve">ZŠ – strecha školy a telocvične</t>
  </si>
  <si>
    <t xml:space="preserve">ZŠ – elektroinštalácia telocvičňa</t>
  </si>
  <si>
    <t xml:space="preserve">ZŠ – vybavenie školskej jedálne</t>
  </si>
  <si>
    <t xml:space="preserve">Podprogram 8.3 Voda</t>
  </si>
  <si>
    <t xml:space="preserve">06.3.0-710</t>
  </si>
  <si>
    <t xml:space="preserve">Projekty úpravovní vody</t>
  </si>
  <si>
    <t xml:space="preserve">Projekt rekonštrukcie starej vodovodnej siete</t>
  </si>
  <si>
    <t xml:space="preserve">Rekonštrukcia vodojemov</t>
  </si>
  <si>
    <t xml:space="preserve">Podprogram 8.4 Odpadové hospodárstvo a životné prostredie</t>
  </si>
  <si>
    <t xml:space="preserve">05.1.0-710</t>
  </si>
  <si>
    <t xml:space="preserve">Zberný dvor – kamery, alarm</t>
  </si>
  <si>
    <t xml:space="preserve">Zberný dvor – zametacie zariadenie</t>
  </si>
  <si>
    <t xml:space="preserve">Náradie</t>
  </si>
  <si>
    <t xml:space="preserve">Podprogram 8.5 Prostredie pre život</t>
  </si>
  <si>
    <t xml:space="preserve">04.5.1-710</t>
  </si>
  <si>
    <t xml:space="preserve">Asfaltovanie miestnych komunikácií</t>
  </si>
  <si>
    <t xml:space="preserve">Výstavba parkovacích miest</t>
  </si>
  <si>
    <t xml:space="preserve">04.6.0-710</t>
  </si>
  <si>
    <t xml:space="preserve">Optická sieť</t>
  </si>
  <si>
    <t xml:space="preserve">06.2.0-710</t>
  </si>
  <si>
    <t xml:space="preserve">Centrum obce</t>
  </si>
  <si>
    <t xml:space="preserve">Regulácia potoka – projekt, obstarávanie</t>
  </si>
  <si>
    <t xml:space="preserve">Regulácia potoka – realizácia</t>
  </si>
  <si>
    <t xml:space="preserve">Vodozádržné opatrenia OcÚ</t>
  </si>
  <si>
    <t xml:space="preserve">06.4.0-710</t>
  </si>
  <si>
    <t xml:space="preserve">Verejné osvetlenie – projekt/realizácia</t>
  </si>
  <si>
    <t xml:space="preserve">03.2.0-710</t>
  </si>
  <si>
    <t xml:space="preserve">Rekonštrukcia požiarnej zbrojnice</t>
  </si>
  <si>
    <t xml:space="preserve">03.6.0-710</t>
  </si>
  <si>
    <t xml:space="preserve">Kamerový systém</t>
  </si>
  <si>
    <t xml:space="preserve">Podprogram 8.6 Šport, kultúra a iné spoločenské služby</t>
  </si>
  <si>
    <t xml:space="preserve">08.1.0-710</t>
  </si>
  <si>
    <t xml:space="preserve">Projektová dokumentácia</t>
  </si>
  <si>
    <t xml:space="preserve">Rekonštrukcia tribúny</t>
  </si>
  <si>
    <t xml:space="preserve">08.4.0-710</t>
  </si>
  <si>
    <t xml:space="preserve">Projekty – elektroinštalácia, urnový háj</t>
  </si>
  <si>
    <t xml:space="preserve">Oplotenie areálu cintorína</t>
  </si>
  <si>
    <t xml:space="preserve">Chladiarensky katafalk</t>
  </si>
  <si>
    <t xml:space="preserve">Podprogram 8.7 Solidarita</t>
  </si>
  <si>
    <t xml:space="preserve">10.2.0-710</t>
  </si>
  <si>
    <t xml:space="preserve">DOS – zateplenie</t>
  </si>
  <si>
    <t xml:space="preserve">Podprogram 8.8 Plánovanie</t>
  </si>
  <si>
    <t xml:space="preserve">04.4.3-710</t>
  </si>
  <si>
    <t xml:space="preserve">Dodatok k územnému plánu</t>
  </si>
  <si>
    <t xml:space="preserve">Pasport miestnych komunikácií</t>
  </si>
  <si>
    <t xml:space="preserve">Minikomasácia Dúbravy</t>
  </si>
  <si>
    <t xml:space="preserve">PROGRAM 9 - VYROVNANIE DLHU</t>
  </si>
  <si>
    <t xml:space="preserve">Podprogram 9.1 Splácanie úverov a prijatých zábezpek</t>
  </si>
  <si>
    <t xml:space="preserve">Splácanie úrokov</t>
  </si>
  <si>
    <t xml:space="preserve">Splácanie istiny</t>
  </si>
  <si>
    <t xml:space="preserve">Iné výdavkové operácie</t>
  </si>
  <si>
    <t xml:space="preserve">#</t>
  </si>
  <si>
    <t xml:space="preserve">číslo štvrťroku</t>
  </si>
  <si>
    <t xml:space="preserve">Skutočnosť v roku 2017</t>
  </si>
  <si>
    <t xml:space="preserve">Skutočnosť v roku 2018</t>
  </si>
  <si>
    <t xml:space="preserve">Schválený rozpočet na rok 2019</t>
  </si>
  <si>
    <t xml:space="preserve">Odhad skutočnosti v roku 2019</t>
  </si>
  <si>
    <t xml:space="preserve">Rozpočet na rok 2020</t>
  </si>
  <si>
    <t xml:space="preserve">Rozpočet na rok 2021</t>
  </si>
  <si>
    <t xml:space="preserve">Rozpočet na rok 2022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</si>
  <si>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</si>
  <si>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</si>
  <si>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</si>
  <si>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</si>
  <si>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DCOM</t>
  </si>
  <si>
    <t xml:space="preserve">Dátové centrum obcí a miest (e-gov)</t>
  </si>
  <si>
    <t xml:space="preserve">Dom opatrovateľskej služby</t>
  </si>
  <si>
    <t xml:space="preserve">ekonomická klasifikácia</t>
  </si>
  <si>
    <t xml:space="preserve">ESF</t>
  </si>
  <si>
    <t xml:space="preserve">funkčná klasifikácia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</si>
  <si>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</si>
  <si>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</si>
  <si>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</si>
  <si>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</si>
  <si>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</si>
  <si>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</si>
  <si>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</si>
  <si>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</si>
  <si>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</si>
  <si>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</si>
  <si>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</si>
  <si>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</si>
  <si>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Spojená organizácia Slovenského zväzu telesne postihnutých a Zväzu postihnutých civilizačnými chorobami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</si>
  <si>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</si>
  <si>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</si>
  <si>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</si>
  <si>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</si>
  <si>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</si>
  <si>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</si>
  <si>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ÚPSVaR</t>
  </si>
  <si>
    <t xml:space="preserve">Úrad práce, sociálnych vecí a rodiny Žilina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</si>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</sst>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1B];[RED]\-#,##0.00\ [$€-41B]"/>
    <numFmt numFmtId="166" formatCode="0\ %"/>
    <numFmt numFmtId="167" formatCode="#,##0.00"/>
    <numFmt numFmtId="168" formatCode="d/m/yyyy"/>
    <numFmt numFmtId="169" formatCode="0.00\ %"/>
  </numFmts>
  <fonts count="9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6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ýsledok2" xfId="20"/>
    <cellStyle name="Normálne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147"/>
  <sheetViews>
    <sheetView showFormulas="false" showGridLines="true" showRowColHeaders="true" showZeros="true" rightToLeft="false" tabSelected="tru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3.9" zeroHeight="false" outlineLevelRow="0" outlineLevelCol="0"/>
  <cols>
    <col collapsed="false" customWidth="true" hidden="false" outlineLevel="0" max="1" min="1" style="1" width="11.61"/>
    <col collapsed="false" customWidth="true" hidden="false" outlineLevel="0" max="2" min="2" style="1" width="8.64"/>
    <col collapsed="false" customWidth="true" hidden="false" outlineLevel="0" max="3" min="3" style="1" width="18.09"/>
    <col collapsed="false" customWidth="true" hidden="true" outlineLevel="0" max="7" min="4" style="1" width="11.22"/>
    <col collapsed="false" customWidth="true" hidden="false" outlineLevel="0" max="8" min="8" style="1" width="10.97"/>
    <col collapsed="false" customWidth="true" hidden="true" outlineLevel="0" max="12" min="9" style="1" width="10.97"/>
    <col collapsed="false" customWidth="true" hidden="false" outlineLevel="0" max="14" min="13" style="1" width="10.97"/>
    <col collapsed="false" customWidth="true" hidden="false" outlineLevel="0" max="15" min="15" style="2" width="5.46"/>
    <col collapsed="false" customWidth="true" hidden="false" outlineLevel="0" max="16" min="16" style="1" width="10.97"/>
    <col collapsed="false" customWidth="true" hidden="false" outlineLevel="0" max="17" min="17" style="1" width="5.46"/>
    <col collapsed="false" customWidth="true" hidden="false" outlineLevel="0" max="18" min="18" style="1" width="10.97"/>
    <col collapsed="false" customWidth="true" hidden="false" outlineLevel="0" max="19" min="19" style="1" width="5.46"/>
    <col collapsed="false" customWidth="true" hidden="false" outlineLevel="0" max="20" min="20" style="1" width="10.97"/>
    <col collapsed="false" customWidth="true" hidden="false" outlineLevel="0" max="21" min="21" style="1" width="5.46"/>
    <col collapsed="false" customWidth="true" hidden="true" outlineLevel="0" max="23" min="22" style="1" width="11.22"/>
    <col collapsed="false" customWidth="true" hidden="false" outlineLevel="0" max="64" min="24" style="1" width="8.64"/>
  </cols>
  <sheetData>
    <row r="1" customFormat="false" ht="13.9" hidden="false" customHeight="tru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4"/>
      <c r="Q1" s="4"/>
      <c r="R1" s="4"/>
      <c r="S1" s="4"/>
      <c r="T1" s="4"/>
      <c r="U1" s="4"/>
      <c r="V1" s="4"/>
      <c r="W1" s="4"/>
    </row>
    <row r="2" customFormat="false" ht="13.9" hidden="false" customHeight="true" outlineLevel="0" collapsed="false">
      <c r="A2" s="6"/>
      <c r="B2" s="6"/>
      <c r="C2" s="6"/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8" t="s">
        <v>12</v>
      </c>
      <c r="P2" s="7" t="s">
        <v>13</v>
      </c>
      <c r="Q2" s="8" t="s">
        <v>14</v>
      </c>
      <c r="R2" s="7" t="s">
        <v>15</v>
      </c>
      <c r="S2" s="8" t="s">
        <v>16</v>
      </c>
      <c r="T2" s="7" t="s">
        <v>17</v>
      </c>
      <c r="U2" s="8" t="s">
        <v>18</v>
      </c>
      <c r="V2" s="7" t="s">
        <v>19</v>
      </c>
      <c r="W2" s="7" t="s">
        <v>20</v>
      </c>
    </row>
    <row r="3" customFormat="false" ht="13.9" hidden="false" customHeight="true" outlineLevel="0" collapsed="false">
      <c r="A3" s="9" t="s">
        <v>21</v>
      </c>
      <c r="B3" s="10" t="n">
        <v>111</v>
      </c>
      <c r="C3" s="10" t="s">
        <v>22</v>
      </c>
      <c r="D3" s="11" t="n">
        <f aca="false">D44+D81-D8</f>
        <v>498082.49</v>
      </c>
      <c r="E3" s="11" t="n">
        <f aca="false">E44+E81-E8</f>
        <v>519216.48</v>
      </c>
      <c r="F3" s="11" t="n">
        <f aca="false">F44+F81-F8</f>
        <v>705410</v>
      </c>
      <c r="G3" s="11" t="n">
        <f aca="false">G44+G81-G8</f>
        <v>618749</v>
      </c>
      <c r="H3" s="11" t="n">
        <f aca="false">H44+H81-H8</f>
        <v>650789</v>
      </c>
      <c r="I3" s="11" t="n">
        <f aca="false">I44+I81-I8</f>
        <v>703</v>
      </c>
      <c r="J3" s="11" t="n">
        <f aca="false">J44+J81-J8</f>
        <v>8489</v>
      </c>
      <c r="K3" s="11" t="n">
        <f aca="false">K44+K81-K8</f>
        <v>25228</v>
      </c>
      <c r="L3" s="11" t="n">
        <f aca="false">L44+L81-L8</f>
        <v>20343</v>
      </c>
      <c r="M3" s="11" t="n">
        <f aca="false">M44+M81-M8</f>
        <v>705552</v>
      </c>
      <c r="N3" s="11" t="n">
        <f aca="false">N44+N81-N8</f>
        <v>206016.91</v>
      </c>
      <c r="O3" s="12" t="n">
        <f aca="false">N3/$M3</f>
        <v>0.291993942331678</v>
      </c>
      <c r="P3" s="11" t="n">
        <f aca="false">P44+P81-P8</f>
        <v>356883.79</v>
      </c>
      <c r="Q3" s="12" t="n">
        <f aca="false">P3/$M3</f>
        <v>0.505822093906615</v>
      </c>
      <c r="R3" s="11" t="n">
        <f aca="false">R44+R81-R8</f>
        <v>536791.82</v>
      </c>
      <c r="S3" s="12" t="n">
        <f aca="false">R3/$M3</f>
        <v>0.760811137945892</v>
      </c>
      <c r="T3" s="11" t="n">
        <f aca="false">T44+T81-T8</f>
        <v>712932.7</v>
      </c>
      <c r="U3" s="12" t="n">
        <f aca="false">T3/$M3</f>
        <v>1.01046088736195</v>
      </c>
      <c r="V3" s="11" t="n">
        <f aca="false">V44+V81-V8</f>
        <v>646157</v>
      </c>
      <c r="W3" s="11" t="n">
        <f aca="false">W44+W81-W8</f>
        <v>651913</v>
      </c>
    </row>
    <row r="4" customFormat="false" ht="13.9" hidden="false" customHeight="true" outlineLevel="0" collapsed="false">
      <c r="A4" s="9"/>
      <c r="B4" s="10" t="n">
        <v>41</v>
      </c>
      <c r="C4" s="10" t="s">
        <v>23</v>
      </c>
      <c r="D4" s="11" t="n">
        <f aca="false">D26+D45-D9</f>
        <v>1081720.24</v>
      </c>
      <c r="E4" s="11" t="n">
        <f aca="false">E26+E45-E9</f>
        <v>1161876.73</v>
      </c>
      <c r="F4" s="11" t="n">
        <f aca="false">F26+F45-F9</f>
        <v>1256311</v>
      </c>
      <c r="G4" s="11" t="n">
        <f aca="false">G26+G45-G9</f>
        <v>1307164</v>
      </c>
      <c r="H4" s="11" t="n">
        <f aca="false">H26+H45-H9</f>
        <v>1304409</v>
      </c>
      <c r="I4" s="11" t="n">
        <f aca="false">I26+I45-I9</f>
        <v>4401</v>
      </c>
      <c r="J4" s="11" t="n">
        <f aca="false">J26+J45-J9</f>
        <v>3000</v>
      </c>
      <c r="K4" s="11" t="n">
        <f aca="false">K26+K45-K9</f>
        <v>-40560</v>
      </c>
      <c r="L4" s="11" t="n">
        <f aca="false">L26+L45-L9</f>
        <v>9802</v>
      </c>
      <c r="M4" s="11" t="n">
        <f aca="false">M26+M45-M9</f>
        <v>1281052</v>
      </c>
      <c r="N4" s="11" t="n">
        <f aca="false">N26+N45-N9</f>
        <v>374801.1</v>
      </c>
      <c r="O4" s="12" t="n">
        <f aca="false">N4/$M4</f>
        <v>0.292572901021972</v>
      </c>
      <c r="P4" s="11" t="n">
        <f aca="false">P26+P45-P9</f>
        <v>625159.33</v>
      </c>
      <c r="Q4" s="12" t="n">
        <f aca="false">P4/$M4</f>
        <v>0.488004647742636</v>
      </c>
      <c r="R4" s="11" t="n">
        <f aca="false">R26+R45-R9</f>
        <v>958892.5</v>
      </c>
      <c r="S4" s="12" t="n">
        <f aca="false">R4/$M4</f>
        <v>0.748519576098394</v>
      </c>
      <c r="T4" s="11" t="n">
        <f aca="false">T26+T45-T9</f>
        <v>1304362.7</v>
      </c>
      <c r="U4" s="12" t="n">
        <f aca="false">T4/$M4</f>
        <v>1.01819652910264</v>
      </c>
      <c r="V4" s="11" t="n">
        <f aca="false">V26+V45-V9</f>
        <v>1352062</v>
      </c>
      <c r="W4" s="11" t="n">
        <f aca="false">W26+W45-W9</f>
        <v>1423905</v>
      </c>
    </row>
    <row r="5" customFormat="false" ht="13.9" hidden="false" customHeight="true" outlineLevel="0" collapsed="false">
      <c r="A5" s="9"/>
      <c r="B5" s="10" t="n">
        <v>71</v>
      </c>
      <c r="C5" s="10" t="s">
        <v>24</v>
      </c>
      <c r="D5" s="11" t="n">
        <f aca="false">D82</f>
        <v>1400</v>
      </c>
      <c r="E5" s="11" t="n">
        <f aca="false">E82</f>
        <v>1400</v>
      </c>
      <c r="F5" s="11" t="n">
        <f aca="false">F82</f>
        <v>1400</v>
      </c>
      <c r="G5" s="11" t="n">
        <f aca="false">G82</f>
        <v>1400</v>
      </c>
      <c r="H5" s="11" t="n">
        <f aca="false">H82</f>
        <v>1400</v>
      </c>
      <c r="I5" s="11" t="n">
        <f aca="false">I82</f>
        <v>0</v>
      </c>
      <c r="J5" s="11" t="n">
        <f aca="false">J82</f>
        <v>0</v>
      </c>
      <c r="K5" s="11" t="n">
        <f aca="false">K82</f>
        <v>0</v>
      </c>
      <c r="L5" s="11" t="n">
        <f aca="false">L82</f>
        <v>0</v>
      </c>
      <c r="M5" s="11" t="n">
        <f aca="false">M82</f>
        <v>1400</v>
      </c>
      <c r="N5" s="11" t="n">
        <f aca="false">N82</f>
        <v>0</v>
      </c>
      <c r="O5" s="12" t="n">
        <f aca="false">N5/$M5</f>
        <v>0</v>
      </c>
      <c r="P5" s="11" t="n">
        <f aca="false">P82</f>
        <v>1400</v>
      </c>
      <c r="Q5" s="12" t="n">
        <f aca="false">P5/$M5</f>
        <v>1</v>
      </c>
      <c r="R5" s="11" t="n">
        <f aca="false">R82</f>
        <v>1400</v>
      </c>
      <c r="S5" s="12" t="n">
        <f aca="false">R5/$M5</f>
        <v>1</v>
      </c>
      <c r="T5" s="11" t="n">
        <f aca="false">T82</f>
        <v>1400</v>
      </c>
      <c r="U5" s="12" t="n">
        <f aca="false">T5/$M5</f>
        <v>1</v>
      </c>
      <c r="V5" s="11" t="n">
        <f aca="false">V82</f>
        <v>1400</v>
      </c>
      <c r="W5" s="11" t="n">
        <f aca="false">W82</f>
        <v>1400</v>
      </c>
    </row>
    <row r="6" customFormat="false" ht="13.9" hidden="false" customHeight="true" outlineLevel="0" collapsed="false">
      <c r="A6" s="9"/>
      <c r="B6" s="10" t="n">
        <v>72</v>
      </c>
      <c r="C6" s="10" t="s">
        <v>25</v>
      </c>
      <c r="D6" s="11" t="n">
        <f aca="false">D46+D83</f>
        <v>0</v>
      </c>
      <c r="E6" s="11" t="n">
        <f aca="false">E46+E83</f>
        <v>57663.81</v>
      </c>
      <c r="F6" s="11" t="n">
        <f aca="false">F46+F83</f>
        <v>51550</v>
      </c>
      <c r="G6" s="11" t="n">
        <f aca="false">G46+G83</f>
        <v>59770</v>
      </c>
      <c r="H6" s="11" t="n">
        <f aca="false">H46+H83</f>
        <v>50265</v>
      </c>
      <c r="I6" s="11" t="n">
        <f aca="false">I46+I83</f>
        <v>0</v>
      </c>
      <c r="J6" s="11" t="n">
        <f aca="false">J46+J83</f>
        <v>0</v>
      </c>
      <c r="K6" s="11" t="n">
        <f aca="false">K46+K83</f>
        <v>0</v>
      </c>
      <c r="L6" s="11" t="n">
        <f aca="false">L46+L83</f>
        <v>-6399</v>
      </c>
      <c r="M6" s="11" t="n">
        <f aca="false">M46+M83</f>
        <v>43866</v>
      </c>
      <c r="N6" s="11" t="n">
        <f aca="false">N46+N83</f>
        <v>13509.56</v>
      </c>
      <c r="O6" s="12" t="n">
        <f aca="false">N6/$M6</f>
        <v>0.307973373455524</v>
      </c>
      <c r="P6" s="11" t="n">
        <f aca="false">P46+P83</f>
        <v>20809.36</v>
      </c>
      <c r="Q6" s="12" t="n">
        <f aca="false">P6/$M6</f>
        <v>0.474384717092965</v>
      </c>
      <c r="R6" s="11" t="n">
        <f aca="false">R46+R83</f>
        <v>31225.75</v>
      </c>
      <c r="S6" s="12" t="n">
        <f aca="false">R6/$M6</f>
        <v>0.711844024985182</v>
      </c>
      <c r="T6" s="11" t="n">
        <f aca="false">T46+T83</f>
        <v>44096.48</v>
      </c>
      <c r="U6" s="12" t="n">
        <f aca="false">T6/$M6</f>
        <v>1.00525418319427</v>
      </c>
      <c r="V6" s="11" t="n">
        <f aca="false">V46+V83</f>
        <v>50265</v>
      </c>
      <c r="W6" s="11" t="n">
        <f aca="false">W46+W83</f>
        <v>50265</v>
      </c>
    </row>
    <row r="7" customFormat="false" ht="13.9" hidden="false" customHeight="true" outlineLevel="0" collapsed="false">
      <c r="A7" s="9"/>
      <c r="B7" s="10"/>
      <c r="C7" s="13" t="s">
        <v>26</v>
      </c>
      <c r="D7" s="14" t="n">
        <f aca="false">SUM(D3:D6)</f>
        <v>1581202.73</v>
      </c>
      <c r="E7" s="14" t="n">
        <f aca="false">SUM(E3:E6)</f>
        <v>1740157.02</v>
      </c>
      <c r="F7" s="14" t="n">
        <f aca="false">SUM(F3:F6)</f>
        <v>2014671</v>
      </c>
      <c r="G7" s="14" t="n">
        <f aca="false">SUM(G3:G6)</f>
        <v>1987083</v>
      </c>
      <c r="H7" s="14" t="n">
        <f aca="false">SUM(H3:H6)</f>
        <v>2006863</v>
      </c>
      <c r="I7" s="14" t="n">
        <f aca="false">SUM(I3:I6)</f>
        <v>5104</v>
      </c>
      <c r="J7" s="14" t="n">
        <f aca="false">SUM(J3:J6)</f>
        <v>11489</v>
      </c>
      <c r="K7" s="14" t="n">
        <f aca="false">SUM(K3:K6)</f>
        <v>-15332</v>
      </c>
      <c r="L7" s="14" t="n">
        <f aca="false">SUM(L3:L6)</f>
        <v>23746</v>
      </c>
      <c r="M7" s="14" t="n">
        <f aca="false">SUM(M3:M6)</f>
        <v>2031870</v>
      </c>
      <c r="N7" s="14" t="n">
        <f aca="false">SUM(N3:N6)</f>
        <v>594327.57</v>
      </c>
      <c r="O7" s="15" t="n">
        <f aca="false">N7/$M7</f>
        <v>0.292502753621049</v>
      </c>
      <c r="P7" s="14" t="n">
        <f aca="false">SUM(P3:P6)</f>
        <v>1004252.48</v>
      </c>
      <c r="Q7" s="15" t="n">
        <f aca="false">P7/$M7</f>
        <v>0.494250360505347</v>
      </c>
      <c r="R7" s="14" t="n">
        <f aca="false">SUM(R3:R6)</f>
        <v>1528310.07</v>
      </c>
      <c r="S7" s="15" t="n">
        <f aca="false">R7/$M7</f>
        <v>0.752169218503152</v>
      </c>
      <c r="T7" s="14" t="n">
        <f aca="false">SUM(T3:T6)</f>
        <v>2062791.88</v>
      </c>
      <c r="U7" s="15" t="n">
        <f aca="false">T7/$M7</f>
        <v>1.01521843425022</v>
      </c>
      <c r="V7" s="14" t="n">
        <f aca="false">SUM(V3:V6)</f>
        <v>2049884</v>
      </c>
      <c r="W7" s="14" t="n">
        <f aca="false">SUM(W3:W6)</f>
        <v>2127483</v>
      </c>
    </row>
    <row r="8" customFormat="false" ht="13.9" hidden="false" customHeight="true" outlineLevel="0" collapsed="false">
      <c r="A8" s="9"/>
      <c r="B8" s="10" t="n">
        <v>111</v>
      </c>
      <c r="C8" s="10" t="s">
        <v>22</v>
      </c>
      <c r="D8" s="11" t="n">
        <f aca="false">SUM(D113:D119)</f>
        <v>113000</v>
      </c>
      <c r="E8" s="11" t="n">
        <f aca="false">SUM(E113:E119)</f>
        <v>562503.78</v>
      </c>
      <c r="F8" s="11" t="n">
        <f aca="false">SUM(F113:F119)</f>
        <v>995166</v>
      </c>
      <c r="G8" s="11" t="n">
        <f aca="false">SUM(G113:G119)</f>
        <v>975398</v>
      </c>
      <c r="H8" s="11" t="n">
        <f aca="false">SUM(H113:H119)</f>
        <v>330000</v>
      </c>
      <c r="I8" s="11" t="n">
        <f aca="false">SUM(I113:I119)</f>
        <v>0</v>
      </c>
      <c r="J8" s="11" t="n">
        <f aca="false">SUM(J113:J119)</f>
        <v>0</v>
      </c>
      <c r="K8" s="11" t="n">
        <f aca="false">SUM(K113:K119)</f>
        <v>0</v>
      </c>
      <c r="L8" s="11" t="n">
        <f aca="false">SUM(L113:L119)</f>
        <v>0</v>
      </c>
      <c r="M8" s="11" t="n">
        <f aca="false">SUM(M113:M119)</f>
        <v>330000</v>
      </c>
      <c r="N8" s="11" t="n">
        <f aca="false">SUM(N113:N119)</f>
        <v>0</v>
      </c>
      <c r="O8" s="12" t="n">
        <f aca="false">N8/$M8</f>
        <v>0</v>
      </c>
      <c r="P8" s="11" t="n">
        <f aca="false">SUM(P113:P119)</f>
        <v>0</v>
      </c>
      <c r="Q8" s="12" t="n">
        <f aca="false">P8/$M8</f>
        <v>0</v>
      </c>
      <c r="R8" s="11" t="n">
        <f aca="false">SUM(R113:R119)</f>
        <v>0</v>
      </c>
      <c r="S8" s="12" t="n">
        <f aca="false">R8/$M8</f>
        <v>0</v>
      </c>
      <c r="T8" s="11" t="n">
        <f aca="false">SUM(T113:T119)</f>
        <v>0</v>
      </c>
      <c r="U8" s="12" t="n">
        <f aca="false">T8/$M8</f>
        <v>0</v>
      </c>
      <c r="V8" s="11" t="n">
        <f aca="false">SUM(V113:V119)</f>
        <v>0</v>
      </c>
      <c r="W8" s="11" t="n">
        <f aca="false">SUM(W113:W119)</f>
        <v>0</v>
      </c>
    </row>
    <row r="9" customFormat="false" ht="13.9" hidden="false" customHeight="true" outlineLevel="0" collapsed="false">
      <c r="A9" s="9"/>
      <c r="B9" s="10" t="n">
        <v>43</v>
      </c>
      <c r="C9" s="10" t="s">
        <v>23</v>
      </c>
      <c r="D9" s="11" t="n">
        <f aca="false">D56</f>
        <v>0</v>
      </c>
      <c r="E9" s="11" t="n">
        <f aca="false">E56</f>
        <v>0</v>
      </c>
      <c r="F9" s="11" t="n">
        <f aca="false">F56</f>
        <v>0</v>
      </c>
      <c r="G9" s="11" t="n">
        <f aca="false">G56</f>
        <v>1</v>
      </c>
      <c r="H9" s="11" t="n">
        <f aca="false">H56</f>
        <v>0</v>
      </c>
      <c r="I9" s="11" t="n">
        <f aca="false">I56</f>
        <v>0</v>
      </c>
      <c r="J9" s="11" t="n">
        <f aca="false">J56</f>
        <v>0</v>
      </c>
      <c r="K9" s="11" t="n">
        <f aca="false">K56</f>
        <v>0</v>
      </c>
      <c r="L9" s="11" t="n">
        <f aca="false">L56</f>
        <v>0</v>
      </c>
      <c r="M9" s="11" t="n">
        <f aca="false">M56</f>
        <v>0</v>
      </c>
      <c r="N9" s="11" t="n">
        <f aca="false">N56</f>
        <v>0</v>
      </c>
      <c r="O9" s="12" t="e">
        <f aca="false">N9/$M9</f>
        <v>#DIV/0!</v>
      </c>
      <c r="P9" s="11" t="n">
        <f aca="false">P56</f>
        <v>0</v>
      </c>
      <c r="Q9" s="12" t="e">
        <f aca="false">P9/$M9</f>
        <v>#DIV/0!</v>
      </c>
      <c r="R9" s="11" t="n">
        <f aca="false">R56</f>
        <v>0</v>
      </c>
      <c r="S9" s="12" t="e">
        <f aca="false">R9/$M9</f>
        <v>#DIV/0!</v>
      </c>
      <c r="T9" s="11" t="n">
        <f aca="false">T56</f>
        <v>0</v>
      </c>
      <c r="U9" s="12" t="e">
        <f aca="false">T9/$M9</f>
        <v>#DIV/0!</v>
      </c>
      <c r="V9" s="11" t="n">
        <f aca="false">V56</f>
        <v>0</v>
      </c>
      <c r="W9" s="11" t="n">
        <f aca="false">W56</f>
        <v>0</v>
      </c>
    </row>
    <row r="10" customFormat="false" ht="13.9" hidden="false" customHeight="true" outlineLevel="0" collapsed="false">
      <c r="A10" s="9"/>
      <c r="B10" s="10"/>
      <c r="C10" s="13" t="s">
        <v>27</v>
      </c>
      <c r="D10" s="14" t="n">
        <f aca="false">SUM(D8:D9)</f>
        <v>113000</v>
      </c>
      <c r="E10" s="14" t="n">
        <f aca="false">SUM(E8:E9)</f>
        <v>562503.78</v>
      </c>
      <c r="F10" s="14" t="n">
        <f aca="false">SUM(F8:F9)</f>
        <v>995166</v>
      </c>
      <c r="G10" s="14" t="n">
        <f aca="false">SUM(G8:G9)</f>
        <v>975399</v>
      </c>
      <c r="H10" s="14" t="n">
        <f aca="false">SUM(H8:H9)</f>
        <v>330000</v>
      </c>
      <c r="I10" s="14" t="n">
        <f aca="false">SUM(I8:I9)</f>
        <v>0</v>
      </c>
      <c r="J10" s="14" t="n">
        <f aca="false">SUM(J8:J9)</f>
        <v>0</v>
      </c>
      <c r="K10" s="14" t="n">
        <f aca="false">SUM(K8:K9)</f>
        <v>0</v>
      </c>
      <c r="L10" s="14" t="n">
        <f aca="false">SUM(L8:L9)</f>
        <v>0</v>
      </c>
      <c r="M10" s="14" t="n">
        <f aca="false">SUM(M8:M9)</f>
        <v>330000</v>
      </c>
      <c r="N10" s="14" t="n">
        <f aca="false">SUM(N8:N9)</f>
        <v>0</v>
      </c>
      <c r="O10" s="15" t="n">
        <f aca="false">N10/$M10</f>
        <v>0</v>
      </c>
      <c r="P10" s="14" t="n">
        <f aca="false">SUM(P8:P9)</f>
        <v>0</v>
      </c>
      <c r="Q10" s="15" t="n">
        <f aca="false">P10/$M10</f>
        <v>0</v>
      </c>
      <c r="R10" s="14" t="n">
        <f aca="false">SUM(R8:R9)</f>
        <v>0</v>
      </c>
      <c r="S10" s="15" t="n">
        <f aca="false">R10/$M10</f>
        <v>0</v>
      </c>
      <c r="T10" s="14" t="n">
        <f aca="false">SUM(T8:T9)</f>
        <v>0</v>
      </c>
      <c r="U10" s="15" t="n">
        <f aca="false">T10/$M10</f>
        <v>0</v>
      </c>
      <c r="V10" s="14" t="n">
        <f aca="false">SUM(V8:V9)</f>
        <v>0</v>
      </c>
      <c r="W10" s="14" t="n">
        <f aca="false">SUM(W8:W9)</f>
        <v>0</v>
      </c>
    </row>
    <row r="11" customFormat="false" ht="13.9" hidden="false" customHeight="true" outlineLevel="0" collapsed="false">
      <c r="A11" s="9"/>
      <c r="B11" s="10" t="n">
        <v>131</v>
      </c>
      <c r="C11" s="10" t="s">
        <v>22</v>
      </c>
      <c r="D11" s="11" t="n">
        <f aca="false">D130</f>
        <v>1030.96</v>
      </c>
      <c r="E11" s="11" t="n">
        <f aca="false">E130</f>
        <v>116750.27</v>
      </c>
      <c r="F11" s="11" t="n">
        <f aca="false">F130</f>
        <v>3111</v>
      </c>
      <c r="G11" s="11" t="n">
        <f aca="false">G130</f>
        <v>3138</v>
      </c>
      <c r="H11" s="11" t="n">
        <f aca="false">H130</f>
        <v>0</v>
      </c>
      <c r="I11" s="11" t="n">
        <f aca="false">I130</f>
        <v>0</v>
      </c>
      <c r="J11" s="11" t="n">
        <f aca="false">J130</f>
        <v>14604</v>
      </c>
      <c r="K11" s="11" t="n">
        <f aca="false">K130</f>
        <v>0</v>
      </c>
      <c r="L11" s="11" t="n">
        <f aca="false">L130</f>
        <v>286</v>
      </c>
      <c r="M11" s="11" t="n">
        <f aca="false">M130</f>
        <v>14890</v>
      </c>
      <c r="N11" s="11" t="n">
        <f aca="false">N130</f>
        <v>2187.41</v>
      </c>
      <c r="O11" s="12" t="n">
        <f aca="false">N11/$M11</f>
        <v>0.146904633982539</v>
      </c>
      <c r="P11" s="11" t="n">
        <f aca="false">P130</f>
        <v>14889.34</v>
      </c>
      <c r="Q11" s="12" t="n">
        <f aca="false">P11/$M11</f>
        <v>0.999955674949631</v>
      </c>
      <c r="R11" s="11" t="n">
        <f aca="false">R130</f>
        <v>14889.34</v>
      </c>
      <c r="S11" s="12" t="n">
        <f aca="false">R11/$M11</f>
        <v>0.999955674949631</v>
      </c>
      <c r="T11" s="11" t="n">
        <f aca="false">T130</f>
        <v>14889.34</v>
      </c>
      <c r="U11" s="12" t="n">
        <f aca="false">T11/$M11</f>
        <v>0.999955674949631</v>
      </c>
      <c r="V11" s="11" t="n">
        <f aca="false">V130</f>
        <v>0</v>
      </c>
      <c r="W11" s="11" t="n">
        <f aca="false">W130</f>
        <v>0</v>
      </c>
    </row>
    <row r="12" customFormat="false" ht="13.9" hidden="false" customHeight="true" outlineLevel="0" collapsed="false">
      <c r="A12" s="9"/>
      <c r="B12" s="10" t="n">
        <v>41</v>
      </c>
      <c r="C12" s="10" t="s">
        <v>23</v>
      </c>
      <c r="D12" s="11" t="n">
        <f aca="false">D131</f>
        <v>191209</v>
      </c>
      <c r="E12" s="11" t="n">
        <f aca="false">E131</f>
        <v>335003</v>
      </c>
      <c r="F12" s="11" t="n">
        <f aca="false">F131</f>
        <v>170588</v>
      </c>
      <c r="G12" s="11" t="n">
        <f aca="false">G131</f>
        <v>165361</v>
      </c>
      <c r="H12" s="11" t="n">
        <f aca="false">H131</f>
        <v>410336</v>
      </c>
      <c r="I12" s="11" t="n">
        <f aca="false">I131</f>
        <v>0</v>
      </c>
      <c r="J12" s="11" t="n">
        <f aca="false">J131</f>
        <v>-15304</v>
      </c>
      <c r="K12" s="11" t="n">
        <f aca="false">K131</f>
        <v>-33642</v>
      </c>
      <c r="L12" s="11" t="n">
        <f aca="false">L131</f>
        <v>0</v>
      </c>
      <c r="M12" s="11" t="n">
        <f aca="false">M131</f>
        <v>361390</v>
      </c>
      <c r="N12" s="11" t="n">
        <f aca="false">N131</f>
        <v>0</v>
      </c>
      <c r="O12" s="12" t="n">
        <f aca="false">N12/$M12</f>
        <v>0</v>
      </c>
      <c r="P12" s="11" t="n">
        <f aca="false">P131</f>
        <v>361389.5</v>
      </c>
      <c r="Q12" s="12" t="n">
        <f aca="false">P12/$M12</f>
        <v>0.999998616453139</v>
      </c>
      <c r="R12" s="11" t="n">
        <f aca="false">R131</f>
        <v>361389.5</v>
      </c>
      <c r="S12" s="12" t="n">
        <f aca="false">R12/$M12</f>
        <v>0.999998616453139</v>
      </c>
      <c r="T12" s="11" t="n">
        <f aca="false">T131</f>
        <v>361389.5</v>
      </c>
      <c r="U12" s="12" t="n">
        <f aca="false">T12/$M12</f>
        <v>0.999998616453139</v>
      </c>
      <c r="V12" s="11" t="n">
        <f aca="false">V131</f>
        <v>0</v>
      </c>
      <c r="W12" s="11" t="n">
        <f aca="false">W131</f>
        <v>0</v>
      </c>
    </row>
    <row r="13" customFormat="false" ht="13.9" hidden="false" customHeight="true" outlineLevel="0" collapsed="false">
      <c r="A13" s="9"/>
      <c r="B13" s="10" t="n">
        <v>52</v>
      </c>
      <c r="C13" s="10" t="s">
        <v>28</v>
      </c>
      <c r="D13" s="11" t="n">
        <f aca="false">D132</f>
        <v>0</v>
      </c>
      <c r="E13" s="11" t="n">
        <f aca="false">E132</f>
        <v>0</v>
      </c>
      <c r="F13" s="11" t="n">
        <f aca="false">F132</f>
        <v>0</v>
      </c>
      <c r="G13" s="11" t="n">
        <f aca="false">G132</f>
        <v>0</v>
      </c>
      <c r="H13" s="11" t="n">
        <f aca="false">H132</f>
        <v>0</v>
      </c>
      <c r="I13" s="11" t="n">
        <f aca="false">I132</f>
        <v>0</v>
      </c>
      <c r="J13" s="11" t="n">
        <f aca="false">J132</f>
        <v>0</v>
      </c>
      <c r="K13" s="11" t="n">
        <f aca="false">K132</f>
        <v>0</v>
      </c>
      <c r="L13" s="11" t="n">
        <f aca="false">L132</f>
        <v>0</v>
      </c>
      <c r="M13" s="11" t="n">
        <f aca="false">M132</f>
        <v>0</v>
      </c>
      <c r="N13" s="11" t="n">
        <f aca="false">N132</f>
        <v>0</v>
      </c>
      <c r="O13" s="12" t="e">
        <f aca="false">N13/$M13</f>
        <v>#DIV/0!</v>
      </c>
      <c r="P13" s="11" t="n">
        <f aca="false">P132</f>
        <v>0</v>
      </c>
      <c r="Q13" s="12" t="e">
        <f aca="false">P13/$M13</f>
        <v>#DIV/0!</v>
      </c>
      <c r="R13" s="11" t="n">
        <f aca="false">R132</f>
        <v>0</v>
      </c>
      <c r="S13" s="12" t="e">
        <f aca="false">R13/$M13</f>
        <v>#DIV/0!</v>
      </c>
      <c r="T13" s="11" t="n">
        <f aca="false">T132</f>
        <v>0</v>
      </c>
      <c r="U13" s="12" t="e">
        <f aca="false">T13/$M13</f>
        <v>#DIV/0!</v>
      </c>
      <c r="V13" s="11" t="n">
        <f aca="false">V132</f>
        <v>0</v>
      </c>
      <c r="W13" s="11" t="n">
        <f aca="false">W132</f>
        <v>0</v>
      </c>
    </row>
    <row r="14" customFormat="false" ht="13.9" hidden="false" customHeight="true" outlineLevel="0" collapsed="false">
      <c r="A14" s="9"/>
      <c r="B14" s="10" t="n">
        <v>71</v>
      </c>
      <c r="C14" s="10" t="s">
        <v>24</v>
      </c>
      <c r="D14" s="11" t="n">
        <f aca="false">D133</f>
        <v>16000</v>
      </c>
      <c r="E14" s="11" t="n">
        <f aca="false">E133</f>
        <v>75210.5</v>
      </c>
      <c r="F14" s="11" t="n">
        <f aca="false">F133</f>
        <v>4500</v>
      </c>
      <c r="G14" s="11" t="n">
        <f aca="false">G133</f>
        <v>5318</v>
      </c>
      <c r="H14" s="11" t="n">
        <f aca="false">H133</f>
        <v>3000</v>
      </c>
      <c r="I14" s="11" t="n">
        <f aca="false">I133</f>
        <v>60</v>
      </c>
      <c r="J14" s="11" t="n">
        <f aca="false">J133</f>
        <v>700</v>
      </c>
      <c r="K14" s="11" t="n">
        <f aca="false">K133</f>
        <v>0</v>
      </c>
      <c r="L14" s="11" t="n">
        <f aca="false">L133</f>
        <v>0</v>
      </c>
      <c r="M14" s="11" t="n">
        <f aca="false">M133</f>
        <v>3760</v>
      </c>
      <c r="N14" s="11" t="n">
        <f aca="false">N133</f>
        <v>2620.3</v>
      </c>
      <c r="O14" s="12" t="n">
        <f aca="false">N14/$M14</f>
        <v>0.696888297872341</v>
      </c>
      <c r="P14" s="11" t="n">
        <f aca="false">P133</f>
        <v>6320.3</v>
      </c>
      <c r="Q14" s="12" t="n">
        <f aca="false">P14/$M14</f>
        <v>1.68093085106383</v>
      </c>
      <c r="R14" s="11" t="n">
        <f aca="false">R133</f>
        <v>6320.3</v>
      </c>
      <c r="S14" s="12" t="n">
        <f aca="false">R14/$M14</f>
        <v>1.68093085106383</v>
      </c>
      <c r="T14" s="11" t="n">
        <f aca="false">T133</f>
        <v>6320.3</v>
      </c>
      <c r="U14" s="12" t="n">
        <f aca="false">T14/$M14</f>
        <v>1.68093085106383</v>
      </c>
      <c r="V14" s="11" t="n">
        <f aca="false">V133</f>
        <v>0</v>
      </c>
      <c r="W14" s="11" t="n">
        <f aca="false">W133</f>
        <v>0</v>
      </c>
    </row>
    <row r="15" customFormat="false" ht="13.9" hidden="false" customHeight="true" outlineLevel="0" collapsed="false">
      <c r="A15" s="9"/>
      <c r="B15" s="16" t="n">
        <v>72</v>
      </c>
      <c r="C15" s="16" t="s">
        <v>25</v>
      </c>
      <c r="D15" s="11" t="n">
        <f aca="false">D134</f>
        <v>0</v>
      </c>
      <c r="E15" s="11" t="n">
        <f aca="false">E134</f>
        <v>0</v>
      </c>
      <c r="F15" s="11" t="n">
        <f aca="false">F134</f>
        <v>0</v>
      </c>
      <c r="G15" s="11" t="n">
        <f aca="false">G134</f>
        <v>0</v>
      </c>
      <c r="H15" s="11" t="n">
        <f aca="false">H134</f>
        <v>0</v>
      </c>
      <c r="I15" s="11" t="n">
        <f aca="false">I134</f>
        <v>0</v>
      </c>
      <c r="J15" s="11" t="n">
        <f aca="false">J134</f>
        <v>0</v>
      </c>
      <c r="K15" s="11" t="n">
        <f aca="false">K134</f>
        <v>0</v>
      </c>
      <c r="L15" s="11" t="n">
        <f aca="false">L134</f>
        <v>10179</v>
      </c>
      <c r="M15" s="11" t="n">
        <f aca="false">M134</f>
        <v>10179</v>
      </c>
      <c r="N15" s="11" t="n">
        <f aca="false">N134</f>
        <v>10178.58</v>
      </c>
      <c r="O15" s="12" t="n">
        <f aca="false">N15/$M15</f>
        <v>0.999958738579428</v>
      </c>
      <c r="P15" s="11" t="n">
        <f aca="false">P134</f>
        <v>10178.58</v>
      </c>
      <c r="Q15" s="12" t="n">
        <f aca="false">P15/$M15</f>
        <v>0.999958738579428</v>
      </c>
      <c r="R15" s="11" t="n">
        <f aca="false">R134</f>
        <v>10178.58</v>
      </c>
      <c r="S15" s="12" t="n">
        <f aca="false">R15/$M15</f>
        <v>0.999958738579428</v>
      </c>
      <c r="T15" s="11" t="n">
        <f aca="false">T134</f>
        <v>10178.58</v>
      </c>
      <c r="U15" s="12" t="n">
        <f aca="false">T15/$M15</f>
        <v>0.999958738579428</v>
      </c>
      <c r="V15" s="11" t="n">
        <f aca="false">V134</f>
        <v>0</v>
      </c>
      <c r="W15" s="11" t="n">
        <f aca="false">W134</f>
        <v>0</v>
      </c>
    </row>
    <row r="16" customFormat="false" ht="13.9" hidden="false" customHeight="true" outlineLevel="0" collapsed="false">
      <c r="A16" s="9"/>
      <c r="B16" s="10"/>
      <c r="C16" s="13" t="s">
        <v>29</v>
      </c>
      <c r="D16" s="14" t="n">
        <f aca="false">SUM(D11:D15)</f>
        <v>208239.96</v>
      </c>
      <c r="E16" s="14" t="n">
        <f aca="false">SUM(E11:E15)</f>
        <v>526963.77</v>
      </c>
      <c r="F16" s="14" t="n">
        <f aca="false">SUM(F11:F15)</f>
        <v>178199</v>
      </c>
      <c r="G16" s="14" t="n">
        <f aca="false">SUM(G11:G15)</f>
        <v>173817</v>
      </c>
      <c r="H16" s="14" t="n">
        <f aca="false">SUM(H11:H15)</f>
        <v>413336</v>
      </c>
      <c r="I16" s="14" t="n">
        <f aca="false">SUM(I11:I15)</f>
        <v>60</v>
      </c>
      <c r="J16" s="14" t="n">
        <f aca="false">SUM(J11:J15)</f>
        <v>0</v>
      </c>
      <c r="K16" s="14" t="n">
        <f aca="false">SUM(K11:K15)</f>
        <v>-33642</v>
      </c>
      <c r="L16" s="14" t="n">
        <f aca="false">SUM(L11:L15)</f>
        <v>10465</v>
      </c>
      <c r="M16" s="14" t="n">
        <f aca="false">SUM(M11:M15)</f>
        <v>390219</v>
      </c>
      <c r="N16" s="14" t="n">
        <f aca="false">SUM(N11:N15)</f>
        <v>14986.29</v>
      </c>
      <c r="O16" s="15" t="n">
        <f aca="false">N16/$M16</f>
        <v>0.0384048188325017</v>
      </c>
      <c r="P16" s="14" t="n">
        <f aca="false">SUM(P11:P15)</f>
        <v>392777.72</v>
      </c>
      <c r="Q16" s="15" t="n">
        <f aca="false">P16/$M16</f>
        <v>1.0065571384274</v>
      </c>
      <c r="R16" s="14" t="n">
        <f aca="false">SUM(R11:R15)</f>
        <v>392777.72</v>
      </c>
      <c r="S16" s="15" t="n">
        <f aca="false">R16/$M16</f>
        <v>1.0065571384274</v>
      </c>
      <c r="T16" s="14" t="n">
        <f aca="false">SUM(T11:T15)</f>
        <v>392777.72</v>
      </c>
      <c r="U16" s="15" t="n">
        <f aca="false">T16/$M16</f>
        <v>1.0065571384274</v>
      </c>
      <c r="V16" s="14" t="n">
        <f aca="false">SUM(V11:V15)</f>
        <v>0</v>
      </c>
      <c r="W16" s="14" t="n">
        <f aca="false">SUM(W11:W15)</f>
        <v>0</v>
      </c>
    </row>
    <row r="17" customFormat="false" ht="13.9" hidden="false" customHeight="true" outlineLevel="0" collapsed="false">
      <c r="A17" s="9"/>
      <c r="B17" s="10" t="n">
        <v>111</v>
      </c>
      <c r="C17" s="10" t="s">
        <v>22</v>
      </c>
      <c r="D17" s="11" t="n">
        <f aca="false">D3+D8+D11</f>
        <v>612113.45</v>
      </c>
      <c r="E17" s="11" t="n">
        <f aca="false">E3+E8+E11</f>
        <v>1198470.53</v>
      </c>
      <c r="F17" s="11" t="n">
        <f aca="false">F3+F8+F11</f>
        <v>1703687</v>
      </c>
      <c r="G17" s="11" t="n">
        <f aca="false">G3+G8+G11</f>
        <v>1597285</v>
      </c>
      <c r="H17" s="11" t="n">
        <f aca="false">H3+H8+H11</f>
        <v>980789</v>
      </c>
      <c r="I17" s="11" t="n">
        <f aca="false">I3+I8+I11</f>
        <v>703</v>
      </c>
      <c r="J17" s="11" t="n">
        <f aca="false">J3+J8+J11</f>
        <v>23093</v>
      </c>
      <c r="K17" s="11" t="n">
        <f aca="false">K3+K8+K11</f>
        <v>25228</v>
      </c>
      <c r="L17" s="11" t="n">
        <f aca="false">L3+L8+L11</f>
        <v>20629</v>
      </c>
      <c r="M17" s="11" t="n">
        <f aca="false">M3+M8+M11</f>
        <v>1050442</v>
      </c>
      <c r="N17" s="11" t="n">
        <f aca="false">N3+N8+N11</f>
        <v>208204.32</v>
      </c>
      <c r="O17" s="12" t="n">
        <f aca="false">N17/$M17</f>
        <v>0.198206393118325</v>
      </c>
      <c r="P17" s="11" t="n">
        <f aca="false">P3+P8+P11</f>
        <v>371773.13</v>
      </c>
      <c r="Q17" s="12" t="n">
        <f aca="false">P17/$M17</f>
        <v>0.353920663872922</v>
      </c>
      <c r="R17" s="11" t="n">
        <f aca="false">R3+R8+R11</f>
        <v>551681.16</v>
      </c>
      <c r="S17" s="12" t="n">
        <f aca="false">R17/$M17</f>
        <v>0.525189548780418</v>
      </c>
      <c r="T17" s="11" t="n">
        <f aca="false">T3+T8+T11</f>
        <v>727822.04</v>
      </c>
      <c r="U17" s="12" t="n">
        <f aca="false">T17/$M17</f>
        <v>0.692872181424581</v>
      </c>
      <c r="V17" s="11" t="n">
        <f aca="false">V3+V8+V11</f>
        <v>646157</v>
      </c>
      <c r="W17" s="11" t="n">
        <f aca="false">W3+W8+W11</f>
        <v>651913</v>
      </c>
    </row>
    <row r="18" customFormat="false" ht="13.9" hidden="false" customHeight="true" outlineLevel="0" collapsed="false">
      <c r="A18" s="9"/>
      <c r="B18" s="10" t="n">
        <v>41</v>
      </c>
      <c r="C18" s="10" t="s">
        <v>23</v>
      </c>
      <c r="D18" s="11" t="n">
        <f aca="false">D4+D9+D12</f>
        <v>1272929.24</v>
      </c>
      <c r="E18" s="11" t="n">
        <f aca="false">E4+E9+E12</f>
        <v>1496879.73</v>
      </c>
      <c r="F18" s="11" t="n">
        <f aca="false">F4+F9+F12</f>
        <v>1426899</v>
      </c>
      <c r="G18" s="11" t="n">
        <f aca="false">G4+G9+G12</f>
        <v>1472526</v>
      </c>
      <c r="H18" s="11" t="n">
        <f aca="false">H4+H9+H12</f>
        <v>1714745</v>
      </c>
      <c r="I18" s="11" t="n">
        <f aca="false">I4+I9+I12</f>
        <v>4401</v>
      </c>
      <c r="J18" s="11" t="n">
        <f aca="false">J4+J9+J12</f>
        <v>-12304</v>
      </c>
      <c r="K18" s="11" t="n">
        <f aca="false">K4+K9+K12</f>
        <v>-74202</v>
      </c>
      <c r="L18" s="11" t="n">
        <f aca="false">L4+L9+L12</f>
        <v>9802</v>
      </c>
      <c r="M18" s="11" t="n">
        <f aca="false">M4+M9+M12</f>
        <v>1642442</v>
      </c>
      <c r="N18" s="11" t="n">
        <f aca="false">N4+N9+N12</f>
        <v>374801.1</v>
      </c>
      <c r="O18" s="12" t="n">
        <f aca="false">N18/$M18</f>
        <v>0.228197464507118</v>
      </c>
      <c r="P18" s="11" t="n">
        <f aca="false">P4+P9+P12</f>
        <v>986548.83</v>
      </c>
      <c r="Q18" s="12" t="n">
        <f aca="false">P18/$M18</f>
        <v>0.600659767589967</v>
      </c>
      <c r="R18" s="11" t="n">
        <f aca="false">R4+R9+R12</f>
        <v>1320282</v>
      </c>
      <c r="S18" s="12" t="n">
        <f aca="false">R18/$M18</f>
        <v>0.803853043212485</v>
      </c>
      <c r="T18" s="11" t="n">
        <f aca="false">T4+T9+T12</f>
        <v>1665752.2</v>
      </c>
      <c r="U18" s="12" t="n">
        <f aca="false">T18/$M18</f>
        <v>1.01419240375003</v>
      </c>
      <c r="V18" s="11" t="n">
        <f aca="false">V4+V9+V12</f>
        <v>1352062</v>
      </c>
      <c r="W18" s="11" t="n">
        <f aca="false">W4+W9+W12</f>
        <v>1423905</v>
      </c>
    </row>
    <row r="19" customFormat="false" ht="13.9" hidden="false" customHeight="true" outlineLevel="0" collapsed="false">
      <c r="A19" s="9"/>
      <c r="B19" s="10" t="n">
        <v>52</v>
      </c>
      <c r="C19" s="10" t="s">
        <v>28</v>
      </c>
      <c r="D19" s="11" t="n">
        <f aca="false">D13</f>
        <v>0</v>
      </c>
      <c r="E19" s="11" t="n">
        <f aca="false">E13</f>
        <v>0</v>
      </c>
      <c r="F19" s="11" t="n">
        <f aca="false">F13</f>
        <v>0</v>
      </c>
      <c r="G19" s="11" t="n">
        <f aca="false">G13</f>
        <v>0</v>
      </c>
      <c r="H19" s="11" t="n">
        <f aca="false">H13</f>
        <v>0</v>
      </c>
      <c r="I19" s="11" t="n">
        <f aca="false">I13</f>
        <v>0</v>
      </c>
      <c r="J19" s="11" t="n">
        <f aca="false">J13</f>
        <v>0</v>
      </c>
      <c r="K19" s="11" t="n">
        <f aca="false">K13</f>
        <v>0</v>
      </c>
      <c r="L19" s="11" t="n">
        <f aca="false">L13</f>
        <v>0</v>
      </c>
      <c r="M19" s="11" t="n">
        <f aca="false">M13</f>
        <v>0</v>
      </c>
      <c r="N19" s="11" t="n">
        <f aca="false">N13</f>
        <v>0</v>
      </c>
      <c r="O19" s="12" t="e">
        <f aca="false">N19/$M19</f>
        <v>#DIV/0!</v>
      </c>
      <c r="P19" s="11" t="n">
        <f aca="false">P13</f>
        <v>0</v>
      </c>
      <c r="Q19" s="12" t="e">
        <f aca="false">P19/$M19</f>
        <v>#DIV/0!</v>
      </c>
      <c r="R19" s="11" t="n">
        <f aca="false">R13</f>
        <v>0</v>
      </c>
      <c r="S19" s="12" t="e">
        <f aca="false">R19/$M19</f>
        <v>#DIV/0!</v>
      </c>
      <c r="T19" s="11" t="n">
        <f aca="false">T13</f>
        <v>0</v>
      </c>
      <c r="U19" s="12" t="e">
        <f aca="false">T19/$M19</f>
        <v>#DIV/0!</v>
      </c>
      <c r="V19" s="11" t="n">
        <f aca="false">V13</f>
        <v>0</v>
      </c>
      <c r="W19" s="11" t="n">
        <f aca="false">W13</f>
        <v>0</v>
      </c>
    </row>
    <row r="20" customFormat="false" ht="13.9" hidden="false" customHeight="true" outlineLevel="0" collapsed="false">
      <c r="A20" s="9"/>
      <c r="B20" s="10" t="n">
        <v>71</v>
      </c>
      <c r="C20" s="10" t="s">
        <v>24</v>
      </c>
      <c r="D20" s="11" t="n">
        <f aca="false">D5+D14</f>
        <v>17400</v>
      </c>
      <c r="E20" s="11" t="n">
        <f aca="false">E5+E14</f>
        <v>76610.5</v>
      </c>
      <c r="F20" s="11" t="n">
        <f aca="false">F5+F14</f>
        <v>5900</v>
      </c>
      <c r="G20" s="11" t="n">
        <f aca="false">G5+G14</f>
        <v>6718</v>
      </c>
      <c r="H20" s="11" t="n">
        <f aca="false">H5+H14</f>
        <v>4400</v>
      </c>
      <c r="I20" s="11" t="n">
        <f aca="false">I5+I14</f>
        <v>60</v>
      </c>
      <c r="J20" s="11" t="n">
        <f aca="false">J5+J14</f>
        <v>700</v>
      </c>
      <c r="K20" s="11" t="n">
        <f aca="false">K5+K14</f>
        <v>0</v>
      </c>
      <c r="L20" s="11" t="n">
        <f aca="false">L5+L14</f>
        <v>0</v>
      </c>
      <c r="M20" s="11" t="n">
        <f aca="false">M5+M14</f>
        <v>5160</v>
      </c>
      <c r="N20" s="11" t="n">
        <f aca="false">N5+N14</f>
        <v>2620.3</v>
      </c>
      <c r="O20" s="12" t="n">
        <f aca="false">N20/$M20</f>
        <v>0.50781007751938</v>
      </c>
      <c r="P20" s="11" t="n">
        <f aca="false">P5+P14</f>
        <v>7720.3</v>
      </c>
      <c r="Q20" s="12" t="n">
        <f aca="false">P20/$M20</f>
        <v>1.49618217054264</v>
      </c>
      <c r="R20" s="11" t="n">
        <f aca="false">R5+R14</f>
        <v>7720.3</v>
      </c>
      <c r="S20" s="12" t="n">
        <f aca="false">R20/$M20</f>
        <v>1.49618217054264</v>
      </c>
      <c r="T20" s="11" t="n">
        <f aca="false">T5+T14</f>
        <v>7720.3</v>
      </c>
      <c r="U20" s="12" t="n">
        <f aca="false">T20/$M20</f>
        <v>1.49618217054264</v>
      </c>
      <c r="V20" s="11" t="n">
        <f aca="false">V5+V14</f>
        <v>1400</v>
      </c>
      <c r="W20" s="11" t="n">
        <f aca="false">W5+W14</f>
        <v>1400</v>
      </c>
    </row>
    <row r="21" customFormat="false" ht="13.9" hidden="false" customHeight="true" outlineLevel="0" collapsed="false">
      <c r="A21" s="9"/>
      <c r="B21" s="10" t="n">
        <v>72</v>
      </c>
      <c r="C21" s="10" t="s">
        <v>25</v>
      </c>
      <c r="D21" s="11" t="n">
        <f aca="false">D6</f>
        <v>0</v>
      </c>
      <c r="E21" s="11" t="n">
        <f aca="false">E6</f>
        <v>57663.81</v>
      </c>
      <c r="F21" s="11" t="n">
        <f aca="false">F6</f>
        <v>51550</v>
      </c>
      <c r="G21" s="11" t="n">
        <f aca="false">G6</f>
        <v>59770</v>
      </c>
      <c r="H21" s="11" t="n">
        <f aca="false">H6</f>
        <v>50265</v>
      </c>
      <c r="I21" s="11" t="n">
        <f aca="false">I6</f>
        <v>0</v>
      </c>
      <c r="J21" s="11" t="n">
        <f aca="false">J6</f>
        <v>0</v>
      </c>
      <c r="K21" s="11" t="n">
        <f aca="false">K6</f>
        <v>0</v>
      </c>
      <c r="L21" s="11" t="n">
        <f aca="false">L6+L15</f>
        <v>3780</v>
      </c>
      <c r="M21" s="11" t="n">
        <f aca="false">M6+M15</f>
        <v>54045</v>
      </c>
      <c r="N21" s="11" t="n">
        <f aca="false">N6+N15</f>
        <v>23688.14</v>
      </c>
      <c r="O21" s="12" t="n">
        <f aca="false">N21/$M21</f>
        <v>0.438304005920992</v>
      </c>
      <c r="P21" s="11" t="n">
        <f aca="false">P6+P15</f>
        <v>30987.94</v>
      </c>
      <c r="Q21" s="12" t="n">
        <f aca="false">P21/$M21</f>
        <v>0.573372929965769</v>
      </c>
      <c r="R21" s="11" t="n">
        <f aca="false">R6+R15</f>
        <v>41404.33</v>
      </c>
      <c r="S21" s="12" t="n">
        <f aca="false">R21/$M21</f>
        <v>0.766108428161717</v>
      </c>
      <c r="T21" s="11" t="n">
        <f aca="false">T6+T15</f>
        <v>54275.06</v>
      </c>
      <c r="U21" s="12" t="n">
        <f aca="false">T21/$M21</f>
        <v>1.00425682301786</v>
      </c>
      <c r="V21" s="11" t="n">
        <f aca="false">V6</f>
        <v>50265</v>
      </c>
      <c r="W21" s="11" t="n">
        <f aca="false">W6</f>
        <v>50265</v>
      </c>
    </row>
    <row r="22" customFormat="false" ht="13.9" hidden="false" customHeight="true" outlineLevel="0" collapsed="false">
      <c r="A22" s="17"/>
      <c r="B22" s="18"/>
      <c r="C22" s="13" t="s">
        <v>30</v>
      </c>
      <c r="D22" s="14" t="n">
        <f aca="false">SUM(D17:D21)</f>
        <v>1902442.69</v>
      </c>
      <c r="E22" s="14" t="n">
        <f aca="false">SUM(E17:E21)</f>
        <v>2829624.57</v>
      </c>
      <c r="F22" s="14" t="n">
        <f aca="false">SUM(F17:F21)</f>
        <v>3188036</v>
      </c>
      <c r="G22" s="14" t="n">
        <f aca="false">SUM(G17:G21)</f>
        <v>3136299</v>
      </c>
      <c r="H22" s="14" t="n">
        <f aca="false">SUM(H17:H21)</f>
        <v>2750199</v>
      </c>
      <c r="I22" s="14" t="n">
        <f aca="false">SUM(I17:I21)</f>
        <v>5164</v>
      </c>
      <c r="J22" s="14" t="n">
        <f aca="false">SUM(J17:J21)</f>
        <v>11489</v>
      </c>
      <c r="K22" s="14" t="n">
        <f aca="false">SUM(K17:K21)</f>
        <v>-48974</v>
      </c>
      <c r="L22" s="14" t="n">
        <f aca="false">SUM(L17:L21)</f>
        <v>34211</v>
      </c>
      <c r="M22" s="14" t="n">
        <f aca="false">SUM(M17:M21)</f>
        <v>2752089</v>
      </c>
      <c r="N22" s="14" t="n">
        <f aca="false">SUM(N17:N21)</f>
        <v>609313.86</v>
      </c>
      <c r="O22" s="15" t="n">
        <f aca="false">N22/$M22</f>
        <v>0.221400492498607</v>
      </c>
      <c r="P22" s="14" t="n">
        <f aca="false">SUM(P17:P21)</f>
        <v>1397030.2</v>
      </c>
      <c r="Q22" s="15" t="n">
        <f aca="false">P22/$M22</f>
        <v>0.507625371127169</v>
      </c>
      <c r="R22" s="14" t="n">
        <f aca="false">SUM(R17:R21)</f>
        <v>1921087.79</v>
      </c>
      <c r="S22" s="15" t="n">
        <f aca="false">R22/$M22</f>
        <v>0.698047116208814</v>
      </c>
      <c r="T22" s="14" t="n">
        <f aca="false">SUM(T17:T21)</f>
        <v>2455569.6</v>
      </c>
      <c r="U22" s="15" t="n">
        <f aca="false">T22/$M22</f>
        <v>0.892256609433779</v>
      </c>
      <c r="V22" s="14" t="n">
        <f aca="false">SUM(V17:V21)</f>
        <v>2049884</v>
      </c>
      <c r="W22" s="14" t="n">
        <f aca="false">SUM(W17:W21)</f>
        <v>2127483</v>
      </c>
    </row>
    <row r="24" customFormat="false" ht="13.9" hidden="false" customHeight="true" outlineLevel="0" collapsed="false">
      <c r="A24" s="19" t="s">
        <v>31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9"/>
      <c r="Q24" s="19"/>
      <c r="R24" s="19"/>
      <c r="S24" s="19"/>
      <c r="T24" s="19"/>
      <c r="U24" s="19"/>
      <c r="V24" s="19"/>
      <c r="W24" s="19"/>
    </row>
    <row r="25" customFormat="false" ht="13.9" hidden="false" customHeight="true" outlineLevel="0" collapsed="false">
      <c r="A25" s="6"/>
      <c r="B25" s="6"/>
      <c r="C25" s="6"/>
      <c r="D25" s="7" t="s">
        <v>1</v>
      </c>
      <c r="E25" s="7" t="s">
        <v>2</v>
      </c>
      <c r="F25" s="7" t="s">
        <v>3</v>
      </c>
      <c r="G25" s="7" t="s">
        <v>4</v>
      </c>
      <c r="H25" s="7" t="s">
        <v>5</v>
      </c>
      <c r="I25" s="7" t="s">
        <v>6</v>
      </c>
      <c r="J25" s="7" t="s">
        <v>7</v>
      </c>
      <c r="K25" s="7" t="s">
        <v>8</v>
      </c>
      <c r="L25" s="7" t="s">
        <v>9</v>
      </c>
      <c r="M25" s="7" t="s">
        <v>10</v>
      </c>
      <c r="N25" s="7" t="s">
        <v>11</v>
      </c>
      <c r="O25" s="8" t="s">
        <v>12</v>
      </c>
      <c r="P25" s="7" t="s">
        <v>13</v>
      </c>
      <c r="Q25" s="8" t="s">
        <v>14</v>
      </c>
      <c r="R25" s="7" t="s">
        <v>15</v>
      </c>
      <c r="S25" s="8" t="s">
        <v>16</v>
      </c>
      <c r="T25" s="7" t="s">
        <v>17</v>
      </c>
      <c r="U25" s="8" t="s">
        <v>18</v>
      </c>
      <c r="V25" s="7" t="s">
        <v>19</v>
      </c>
      <c r="W25" s="7" t="s">
        <v>20</v>
      </c>
    </row>
    <row r="26" customFormat="false" ht="13.9" hidden="false" customHeight="true" outlineLevel="0" collapsed="false">
      <c r="A26" s="21" t="s">
        <v>21</v>
      </c>
      <c r="B26" s="22" t="n">
        <v>41</v>
      </c>
      <c r="C26" s="22" t="s">
        <v>23</v>
      </c>
      <c r="D26" s="23" t="n">
        <f aca="false">D40</f>
        <v>985502.29</v>
      </c>
      <c r="E26" s="23" t="n">
        <f aca="false">E40</f>
        <v>1058767.42</v>
      </c>
      <c r="F26" s="23" t="n">
        <f aca="false">F40</f>
        <v>1170323</v>
      </c>
      <c r="G26" s="23" t="n">
        <f aca="false">G40</f>
        <v>1191877</v>
      </c>
      <c r="H26" s="23" t="n">
        <f aca="false">H40</f>
        <v>1211834</v>
      </c>
      <c r="I26" s="23" t="n">
        <f aca="false">I40</f>
        <v>0</v>
      </c>
      <c r="J26" s="23" t="n">
        <f aca="false">J40</f>
        <v>0</v>
      </c>
      <c r="K26" s="23" t="n">
        <f aca="false">K40</f>
        <v>-52172</v>
      </c>
      <c r="L26" s="23" t="n">
        <f aca="false">L40</f>
        <v>3580</v>
      </c>
      <c r="M26" s="23" t="n">
        <f aca="false">M40</f>
        <v>1163242</v>
      </c>
      <c r="N26" s="23" t="n">
        <f aca="false">N40</f>
        <v>343086.88</v>
      </c>
      <c r="O26" s="24" t="n">
        <f aca="false">N26/$M26</f>
        <v>0.294940244592269</v>
      </c>
      <c r="P26" s="23" t="n">
        <f aca="false">P40</f>
        <v>576034.84</v>
      </c>
      <c r="Q26" s="24" t="n">
        <f aca="false">P26/$M26</f>
        <v>0.495197766242966</v>
      </c>
      <c r="R26" s="23" t="n">
        <f aca="false">R40</f>
        <v>879835.66</v>
      </c>
      <c r="S26" s="24" t="n">
        <f aca="false">R26/$M26</f>
        <v>0.756365107174603</v>
      </c>
      <c r="T26" s="23" t="n">
        <f aca="false">T40</f>
        <v>1191500.53</v>
      </c>
      <c r="U26" s="24" t="n">
        <f aca="false">T26/$M26</f>
        <v>1.02429290723684</v>
      </c>
      <c r="V26" s="23" t="n">
        <f aca="false">V40</f>
        <v>1263487</v>
      </c>
      <c r="W26" s="23" t="n">
        <f aca="false">W40</f>
        <v>1335330</v>
      </c>
    </row>
    <row r="27" customFormat="false" ht="13.9" hidden="false" customHeight="true" outlineLevel="0" collapsed="false">
      <c r="A27" s="17"/>
      <c r="B27" s="18"/>
      <c r="C27" s="25" t="s">
        <v>30</v>
      </c>
      <c r="D27" s="26" t="n">
        <f aca="false">SUM(D26:D26)</f>
        <v>985502.29</v>
      </c>
      <c r="E27" s="26" t="n">
        <f aca="false">SUM(E26:E26)</f>
        <v>1058767.42</v>
      </c>
      <c r="F27" s="26" t="n">
        <f aca="false">SUM(F26:F26)</f>
        <v>1170323</v>
      </c>
      <c r="G27" s="26" t="n">
        <f aca="false">SUM(G26:G26)</f>
        <v>1191877</v>
      </c>
      <c r="H27" s="26" t="n">
        <f aca="false">SUM(H26:H26)</f>
        <v>1211834</v>
      </c>
      <c r="I27" s="26" t="n">
        <f aca="false">SUM(I26:I26)</f>
        <v>0</v>
      </c>
      <c r="J27" s="26" t="n">
        <f aca="false">SUM(J26:J26)</f>
        <v>0</v>
      </c>
      <c r="K27" s="26" t="n">
        <f aca="false">SUM(K26:K26)</f>
        <v>-52172</v>
      </c>
      <c r="L27" s="26" t="n">
        <f aca="false">SUM(L26:L26)</f>
        <v>3580</v>
      </c>
      <c r="M27" s="26" t="n">
        <f aca="false">SUM(M26:M26)</f>
        <v>1163242</v>
      </c>
      <c r="N27" s="26" t="n">
        <f aca="false">SUM(N26:N26)</f>
        <v>343086.88</v>
      </c>
      <c r="O27" s="27" t="n">
        <f aca="false">N27/$M27</f>
        <v>0.294940244592269</v>
      </c>
      <c r="P27" s="26" t="n">
        <f aca="false">SUM(P26:P26)</f>
        <v>576034.84</v>
      </c>
      <c r="Q27" s="27" t="n">
        <f aca="false">P27/$M27</f>
        <v>0.495197766242966</v>
      </c>
      <c r="R27" s="26" t="n">
        <f aca="false">SUM(R26:R26)</f>
        <v>879835.66</v>
      </c>
      <c r="S27" s="27" t="n">
        <f aca="false">R27/$M27</f>
        <v>0.756365107174603</v>
      </c>
      <c r="T27" s="26" t="n">
        <f aca="false">SUM(T26:T26)</f>
        <v>1191500.53</v>
      </c>
      <c r="U27" s="27" t="n">
        <f aca="false">T27/$M27</f>
        <v>1.02429290723684</v>
      </c>
      <c r="V27" s="26" t="n">
        <f aca="false">SUM(V26:V26)</f>
        <v>1263487</v>
      </c>
      <c r="W27" s="26" t="n">
        <f aca="false">SUM(W26:W26)</f>
        <v>1335330</v>
      </c>
    </row>
    <row r="29" customFormat="false" ht="13.9" hidden="false" customHeight="true" outlineLevel="0" collapsed="false">
      <c r="A29" s="28" t="s">
        <v>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</row>
    <row r="30" customFormat="false" ht="13.9" hidden="false" customHeight="true" outlineLevel="0" collapsed="false">
      <c r="A30" s="7" t="s">
        <v>33</v>
      </c>
      <c r="B30" s="7" t="s">
        <v>34</v>
      </c>
      <c r="C30" s="7" t="s">
        <v>35</v>
      </c>
      <c r="D30" s="7" t="s">
        <v>1</v>
      </c>
      <c r="E30" s="7" t="s">
        <v>2</v>
      </c>
      <c r="F30" s="7" t="s">
        <v>3</v>
      </c>
      <c r="G30" s="7" t="s">
        <v>4</v>
      </c>
      <c r="H30" s="7" t="s">
        <v>5</v>
      </c>
      <c r="I30" s="7" t="s">
        <v>6</v>
      </c>
      <c r="J30" s="7" t="s">
        <v>7</v>
      </c>
      <c r="K30" s="7" t="s">
        <v>8</v>
      </c>
      <c r="L30" s="7" t="s">
        <v>9</v>
      </c>
      <c r="M30" s="7" t="s">
        <v>10</v>
      </c>
      <c r="N30" s="7" t="s">
        <v>11</v>
      </c>
      <c r="O30" s="8" t="s">
        <v>12</v>
      </c>
      <c r="P30" s="7" t="s">
        <v>13</v>
      </c>
      <c r="Q30" s="8" t="s">
        <v>14</v>
      </c>
      <c r="R30" s="7" t="s">
        <v>15</v>
      </c>
      <c r="S30" s="8" t="s">
        <v>16</v>
      </c>
      <c r="T30" s="7" t="s">
        <v>17</v>
      </c>
      <c r="U30" s="8" t="s">
        <v>18</v>
      </c>
      <c r="V30" s="7" t="s">
        <v>19</v>
      </c>
      <c r="W30" s="7" t="s">
        <v>20</v>
      </c>
    </row>
    <row r="31" customFormat="false" ht="13.9" hidden="false" customHeight="true" outlineLevel="0" collapsed="false">
      <c r="A31" s="30" t="s">
        <v>36</v>
      </c>
      <c r="B31" s="10" t="n">
        <v>111003</v>
      </c>
      <c r="C31" s="10" t="s">
        <v>37</v>
      </c>
      <c r="D31" s="11" t="n">
        <v>895976.98</v>
      </c>
      <c r="E31" s="11" t="n">
        <v>975606.76</v>
      </c>
      <c r="F31" s="11" t="n">
        <v>1071743</v>
      </c>
      <c r="G31" s="11" t="n">
        <v>1092214</v>
      </c>
      <c r="H31" s="11" t="n">
        <v>1112134</v>
      </c>
      <c r="I31" s="11"/>
      <c r="J31" s="11"/>
      <c r="K31" s="11" t="n">
        <v>-52172</v>
      </c>
      <c r="L31" s="11"/>
      <c r="M31" s="11" t="n">
        <f aca="false">H31+SUM(I31:L31)</f>
        <v>1059962</v>
      </c>
      <c r="N31" s="11" t="n">
        <v>330875.52</v>
      </c>
      <c r="O31" s="12" t="n">
        <f aca="false">N31/$M31</f>
        <v>0.312157907547629</v>
      </c>
      <c r="P31" s="11" t="n">
        <v>544490.52</v>
      </c>
      <c r="Q31" s="12" t="n">
        <f aca="false">P31/$M31</f>
        <v>0.51368871714269</v>
      </c>
      <c r="R31" s="11" t="n">
        <v>810788.52</v>
      </c>
      <c r="S31" s="12" t="n">
        <f aca="false">R31/$M31</f>
        <v>0.764922251929786</v>
      </c>
      <c r="T31" s="11" t="n">
        <v>1093700.52</v>
      </c>
      <c r="U31" s="12" t="n">
        <f aca="false">T31/$M31</f>
        <v>1.03182993352592</v>
      </c>
      <c r="V31" s="11" t="n">
        <v>1163787</v>
      </c>
      <c r="W31" s="11" t="n">
        <v>1235630</v>
      </c>
    </row>
    <row r="32" customFormat="false" ht="13.9" hidden="false" customHeight="true" outlineLevel="0" collapsed="false">
      <c r="A32" s="30"/>
      <c r="B32" s="10" t="n">
        <v>121001</v>
      </c>
      <c r="C32" s="10" t="s">
        <v>38</v>
      </c>
      <c r="D32" s="11" t="n">
        <v>16997.08</v>
      </c>
      <c r="E32" s="11" t="n">
        <v>7935.49</v>
      </c>
      <c r="F32" s="11" t="n">
        <v>24900</v>
      </c>
      <c r="G32" s="11" t="n">
        <v>19756</v>
      </c>
      <c r="H32" s="11" t="n">
        <v>19760</v>
      </c>
      <c r="I32" s="11"/>
      <c r="J32" s="11"/>
      <c r="K32" s="11"/>
      <c r="L32" s="11"/>
      <c r="M32" s="11" t="n">
        <f aca="false">H32+SUM(I32:L32)</f>
        <v>19760</v>
      </c>
      <c r="N32" s="11" t="n">
        <v>1507.6</v>
      </c>
      <c r="O32" s="12" t="n">
        <f aca="false">N32/$M32</f>
        <v>0.0762955465587045</v>
      </c>
      <c r="P32" s="11" t="n">
        <v>3049.29</v>
      </c>
      <c r="Q32" s="12" t="n">
        <f aca="false">P32/$M32</f>
        <v>0.154316295546559</v>
      </c>
      <c r="R32" s="11" t="n">
        <v>5804.19</v>
      </c>
      <c r="S32" s="12" t="n">
        <f aca="false">R32/$M32</f>
        <v>0.293734311740891</v>
      </c>
      <c r="T32" s="11" t="n">
        <v>13578.36</v>
      </c>
      <c r="U32" s="12" t="n">
        <f aca="false">T32/$M32</f>
        <v>0.687163967611336</v>
      </c>
      <c r="V32" s="11" t="n">
        <f aca="false">H32</f>
        <v>19760</v>
      </c>
      <c r="W32" s="11" t="n">
        <f aca="false">V32</f>
        <v>19760</v>
      </c>
    </row>
    <row r="33" customFormat="false" ht="13.9" hidden="false" customHeight="true" outlineLevel="0" collapsed="false">
      <c r="A33" s="30"/>
      <c r="B33" s="10" t="n">
        <v>121002</v>
      </c>
      <c r="C33" s="10" t="s">
        <v>39</v>
      </c>
      <c r="D33" s="11" t="n">
        <v>20377.67</v>
      </c>
      <c r="E33" s="11" t="n">
        <v>20883.13</v>
      </c>
      <c r="F33" s="11" t="n">
        <v>20500</v>
      </c>
      <c r="G33" s="11" t="n">
        <v>23061</v>
      </c>
      <c r="H33" s="11" t="n">
        <v>23060</v>
      </c>
      <c r="I33" s="11"/>
      <c r="J33" s="11"/>
      <c r="K33" s="11"/>
      <c r="L33" s="11"/>
      <c r="M33" s="11" t="n">
        <f aca="false">H33+SUM(I33:L33)</f>
        <v>23060</v>
      </c>
      <c r="N33" s="11" t="n">
        <v>3183.72</v>
      </c>
      <c r="O33" s="12" t="n">
        <f aca="false">N33/$M33</f>
        <v>0.138062445793582</v>
      </c>
      <c r="P33" s="11" t="n">
        <v>7786.22</v>
      </c>
      <c r="Q33" s="12" t="n">
        <f aca="false">P33/$M33</f>
        <v>0.337650477016479</v>
      </c>
      <c r="R33" s="11" t="n">
        <v>15961.22</v>
      </c>
      <c r="S33" s="12" t="n">
        <f aca="false">R33/$M33</f>
        <v>0.692160450997398</v>
      </c>
      <c r="T33" s="11" t="n">
        <v>21816.37</v>
      </c>
      <c r="U33" s="12" t="n">
        <f aca="false">T33/$M33</f>
        <v>0.946069817866435</v>
      </c>
      <c r="V33" s="11" t="n">
        <f aca="false">H33</f>
        <v>23060</v>
      </c>
      <c r="W33" s="11" t="n">
        <f aca="false">V33</f>
        <v>23060</v>
      </c>
    </row>
    <row r="34" customFormat="false" ht="13.9" hidden="false" customHeight="true" outlineLevel="0" collapsed="false">
      <c r="A34" s="30"/>
      <c r="B34" s="10" t="n">
        <v>121003</v>
      </c>
      <c r="C34" s="10" t="s">
        <v>40</v>
      </c>
      <c r="D34" s="11" t="n">
        <v>94.98</v>
      </c>
      <c r="E34" s="11" t="n">
        <v>140.65</v>
      </c>
      <c r="F34" s="11" t="n">
        <v>140</v>
      </c>
      <c r="G34" s="11" t="n">
        <v>85</v>
      </c>
      <c r="H34" s="11" t="n">
        <v>90</v>
      </c>
      <c r="I34" s="11"/>
      <c r="J34" s="11"/>
      <c r="K34" s="11"/>
      <c r="L34" s="11"/>
      <c r="M34" s="11" t="n">
        <f aca="false">H34+SUM(I34:L34)</f>
        <v>90</v>
      </c>
      <c r="N34" s="11" t="n">
        <v>17.66</v>
      </c>
      <c r="O34" s="12" t="n">
        <f aca="false">N34/$M34</f>
        <v>0.196222222222222</v>
      </c>
      <c r="P34" s="11" t="n">
        <v>25.04</v>
      </c>
      <c r="Q34" s="12" t="n">
        <f aca="false">P34/$M34</f>
        <v>0.278222222222222</v>
      </c>
      <c r="R34" s="11" t="n">
        <v>72.82</v>
      </c>
      <c r="S34" s="12" t="n">
        <f aca="false">R34/$M34</f>
        <v>0.809111111111111</v>
      </c>
      <c r="T34" s="11" t="n">
        <v>100.18</v>
      </c>
      <c r="U34" s="12" t="n">
        <f aca="false">T34/$M34</f>
        <v>1.11311111111111</v>
      </c>
      <c r="V34" s="11" t="n">
        <f aca="false">H34</f>
        <v>90</v>
      </c>
      <c r="W34" s="11" t="n">
        <f aca="false">V34</f>
        <v>90</v>
      </c>
    </row>
    <row r="35" customFormat="false" ht="13.9" hidden="false" customHeight="true" outlineLevel="0" collapsed="false">
      <c r="A35" s="30"/>
      <c r="B35" s="10" t="n">
        <v>133001</v>
      </c>
      <c r="C35" s="10" t="s">
        <v>41</v>
      </c>
      <c r="D35" s="11" t="n">
        <v>2375.51</v>
      </c>
      <c r="E35" s="11" t="n">
        <v>2601.41</v>
      </c>
      <c r="F35" s="11" t="n">
        <v>2600</v>
      </c>
      <c r="G35" s="11" t="n">
        <v>2609</v>
      </c>
      <c r="H35" s="11" t="n">
        <v>2610</v>
      </c>
      <c r="I35" s="11"/>
      <c r="J35" s="11"/>
      <c r="K35" s="11"/>
      <c r="L35" s="11"/>
      <c r="M35" s="11" t="n">
        <f aca="false">H35+SUM(I35:L35)</f>
        <v>2610</v>
      </c>
      <c r="N35" s="11" t="n">
        <v>402</v>
      </c>
      <c r="O35" s="12" t="n">
        <f aca="false">N35/$M35</f>
        <v>0.154022988505747</v>
      </c>
      <c r="P35" s="11" t="n">
        <v>948.5</v>
      </c>
      <c r="Q35" s="12" t="n">
        <f aca="false">P35/$M35</f>
        <v>0.363409961685824</v>
      </c>
      <c r="R35" s="11" t="n">
        <v>1950.5</v>
      </c>
      <c r="S35" s="12" t="n">
        <f aca="false">R35/$M35</f>
        <v>0.747318007662835</v>
      </c>
      <c r="T35" s="11" t="n">
        <v>2324.5</v>
      </c>
      <c r="U35" s="12" t="n">
        <f aca="false">T35/$M35</f>
        <v>0.890613026819923</v>
      </c>
      <c r="V35" s="11" t="n">
        <f aca="false">H35</f>
        <v>2610</v>
      </c>
      <c r="W35" s="11" t="n">
        <f aca="false">V35</f>
        <v>2610</v>
      </c>
    </row>
    <row r="36" customFormat="false" ht="13.9" hidden="false" customHeight="true" outlineLevel="0" collapsed="false">
      <c r="A36" s="30"/>
      <c r="B36" s="10" t="n">
        <v>133003</v>
      </c>
      <c r="C36" s="10" t="s">
        <v>42</v>
      </c>
      <c r="D36" s="11" t="n">
        <v>0</v>
      </c>
      <c r="E36" s="11" t="n">
        <v>0</v>
      </c>
      <c r="F36" s="11" t="n">
        <v>30</v>
      </c>
      <c r="G36" s="11" t="n">
        <v>0</v>
      </c>
      <c r="H36" s="11" t="n">
        <v>30</v>
      </c>
      <c r="I36" s="11"/>
      <c r="J36" s="11"/>
      <c r="K36" s="11"/>
      <c r="L36" s="11"/>
      <c r="M36" s="11" t="n">
        <f aca="false">H36+SUM(I36:L36)</f>
        <v>30</v>
      </c>
      <c r="N36" s="11" t="n">
        <v>0</v>
      </c>
      <c r="O36" s="12" t="n">
        <f aca="false">N36/$M36</f>
        <v>0</v>
      </c>
      <c r="P36" s="11" t="n">
        <v>0</v>
      </c>
      <c r="Q36" s="12" t="n">
        <f aca="false">P36/$M36</f>
        <v>0</v>
      </c>
      <c r="R36" s="11" t="n">
        <v>0</v>
      </c>
      <c r="S36" s="12" t="n">
        <f aca="false">R36/$M36</f>
        <v>0</v>
      </c>
      <c r="T36" s="11" t="n">
        <v>0</v>
      </c>
      <c r="U36" s="12" t="n">
        <f aca="false">T36/$M36</f>
        <v>0</v>
      </c>
      <c r="V36" s="11" t="n">
        <f aca="false">H36</f>
        <v>30</v>
      </c>
      <c r="W36" s="11" t="n">
        <f aca="false">V36</f>
        <v>30</v>
      </c>
    </row>
    <row r="37" customFormat="false" ht="13.9" hidden="false" customHeight="true" outlineLevel="0" collapsed="false">
      <c r="A37" s="30"/>
      <c r="B37" s="10" t="n">
        <v>133006</v>
      </c>
      <c r="C37" s="10" t="s">
        <v>43</v>
      </c>
      <c r="D37" s="11" t="n">
        <v>376.8</v>
      </c>
      <c r="E37" s="11" t="n">
        <v>614.4</v>
      </c>
      <c r="F37" s="11" t="n">
        <v>610</v>
      </c>
      <c r="G37" s="11" t="n">
        <v>534</v>
      </c>
      <c r="H37" s="11" t="n">
        <v>530</v>
      </c>
      <c r="I37" s="11"/>
      <c r="J37" s="11"/>
      <c r="K37" s="11"/>
      <c r="L37" s="11"/>
      <c r="M37" s="11" t="n">
        <f aca="false">H37+SUM(I37:L37)</f>
        <v>530</v>
      </c>
      <c r="N37" s="11" t="n">
        <v>83.7</v>
      </c>
      <c r="O37" s="12" t="n">
        <f aca="false">N37/$M37</f>
        <v>0.157924528301887</v>
      </c>
      <c r="P37" s="11" t="n">
        <v>233.1</v>
      </c>
      <c r="Q37" s="12" t="n">
        <f aca="false">P37/$M37</f>
        <v>0.439811320754717</v>
      </c>
      <c r="R37" s="11" t="n">
        <v>288.6</v>
      </c>
      <c r="S37" s="12" t="n">
        <f aca="false">R37/$M37</f>
        <v>0.544528301886792</v>
      </c>
      <c r="T37" s="11" t="n">
        <v>305.1</v>
      </c>
      <c r="U37" s="12" t="n">
        <f aca="false">T37/$M37</f>
        <v>0.575660377358491</v>
      </c>
      <c r="V37" s="11" t="n">
        <f aca="false">H37</f>
        <v>530</v>
      </c>
      <c r="W37" s="11" t="n">
        <f aca="false">V37</f>
        <v>530</v>
      </c>
    </row>
    <row r="38" customFormat="false" ht="13.9" hidden="false" customHeight="true" outlineLevel="0" collapsed="false">
      <c r="A38" s="30"/>
      <c r="B38" s="10" t="n">
        <v>133012</v>
      </c>
      <c r="C38" s="10" t="s">
        <v>44</v>
      </c>
      <c r="D38" s="11" t="n">
        <v>2952.22</v>
      </c>
      <c r="E38" s="11" t="n">
        <v>2014.43</v>
      </c>
      <c r="F38" s="11" t="n">
        <v>2000</v>
      </c>
      <c r="G38" s="11" t="n">
        <v>2326</v>
      </c>
      <c r="H38" s="11" t="n">
        <v>2330</v>
      </c>
      <c r="I38" s="11"/>
      <c r="J38" s="11"/>
      <c r="K38" s="11"/>
      <c r="L38" s="11"/>
      <c r="M38" s="11" t="n">
        <f aca="false">H38+SUM(I38:L38)</f>
        <v>2330</v>
      </c>
      <c r="N38" s="11" t="n">
        <v>241.58</v>
      </c>
      <c r="O38" s="12" t="n">
        <f aca="false">N38/$M38</f>
        <v>0.103682403433476</v>
      </c>
      <c r="P38" s="11" t="n">
        <v>359.58</v>
      </c>
      <c r="Q38" s="12" t="n">
        <f aca="false">P38/$M38</f>
        <v>0.154326180257511</v>
      </c>
      <c r="R38" s="11" t="n">
        <v>598.84</v>
      </c>
      <c r="S38" s="12" t="n">
        <f aca="false">R38/$M38</f>
        <v>0.257012875536481</v>
      </c>
      <c r="T38" s="11" t="n">
        <v>852.1</v>
      </c>
      <c r="U38" s="12" t="n">
        <f aca="false">T38/$M38</f>
        <v>0.365708154506438</v>
      </c>
      <c r="V38" s="11" t="n">
        <f aca="false">H38</f>
        <v>2330</v>
      </c>
      <c r="W38" s="11" t="n">
        <f aca="false">V38</f>
        <v>2330</v>
      </c>
    </row>
    <row r="39" customFormat="false" ht="13.9" hidden="false" customHeight="true" outlineLevel="0" collapsed="false">
      <c r="A39" s="30"/>
      <c r="B39" s="10" t="n">
        <v>133013</v>
      </c>
      <c r="C39" s="10" t="s">
        <v>45</v>
      </c>
      <c r="D39" s="11" t="n">
        <v>46351.05</v>
      </c>
      <c r="E39" s="11" t="n">
        <v>48971.15</v>
      </c>
      <c r="F39" s="11" t="n">
        <v>47800</v>
      </c>
      <c r="G39" s="11" t="n">
        <v>51292</v>
      </c>
      <c r="H39" s="11" t="n">
        <v>51290</v>
      </c>
      <c r="I39" s="11"/>
      <c r="J39" s="11"/>
      <c r="K39" s="11"/>
      <c r="L39" s="11" t="n">
        <v>3580</v>
      </c>
      <c r="M39" s="11" t="n">
        <f aca="false">H39+SUM(I39:L39)</f>
        <v>54870</v>
      </c>
      <c r="N39" s="11" t="n">
        <v>6775.1</v>
      </c>
      <c r="O39" s="12" t="n">
        <f aca="false">N39/$M39</f>
        <v>0.123475487515947</v>
      </c>
      <c r="P39" s="11" t="n">
        <v>19142.59</v>
      </c>
      <c r="Q39" s="12" t="n">
        <f aca="false">P39/$M39</f>
        <v>0.348871696737744</v>
      </c>
      <c r="R39" s="11" t="n">
        <v>44370.97</v>
      </c>
      <c r="S39" s="12" t="n">
        <f aca="false">R39/$M39</f>
        <v>0.808656278476399</v>
      </c>
      <c r="T39" s="11" t="n">
        <v>58823.4</v>
      </c>
      <c r="U39" s="12" t="n">
        <f aca="false">T39/$M39</f>
        <v>1.07205030071077</v>
      </c>
      <c r="V39" s="11" t="n">
        <f aca="false">H39</f>
        <v>51290</v>
      </c>
      <c r="W39" s="11" t="n">
        <f aca="false">V39</f>
        <v>51290</v>
      </c>
    </row>
    <row r="40" customFormat="false" ht="13.9" hidden="false" customHeight="true" outlineLevel="0" collapsed="false">
      <c r="A40" s="13" t="s">
        <v>21</v>
      </c>
      <c r="B40" s="13" t="n">
        <v>41</v>
      </c>
      <c r="C40" s="13" t="s">
        <v>23</v>
      </c>
      <c r="D40" s="14" t="n">
        <f aca="false">SUM(D31:D39)</f>
        <v>985502.29</v>
      </c>
      <c r="E40" s="14" t="n">
        <f aca="false">SUM(E31:E39)</f>
        <v>1058767.42</v>
      </c>
      <c r="F40" s="14" t="n">
        <f aca="false">SUM(F31:F39)</f>
        <v>1170323</v>
      </c>
      <c r="G40" s="14" t="n">
        <f aca="false">SUM(G31:G39)</f>
        <v>1191877</v>
      </c>
      <c r="H40" s="14" t="n">
        <f aca="false">SUM(H31:H39)</f>
        <v>1211834</v>
      </c>
      <c r="I40" s="14" t="n">
        <f aca="false">SUM(I31:I39)</f>
        <v>0</v>
      </c>
      <c r="J40" s="14" t="n">
        <f aca="false">SUM(J31:J39)</f>
        <v>0</v>
      </c>
      <c r="K40" s="14" t="n">
        <f aca="false">SUM(K31:K39)</f>
        <v>-52172</v>
      </c>
      <c r="L40" s="14" t="n">
        <f aca="false">SUM(L31:L39)</f>
        <v>3580</v>
      </c>
      <c r="M40" s="14" t="n">
        <f aca="false">SUM(M31:M39)</f>
        <v>1163242</v>
      </c>
      <c r="N40" s="14" t="n">
        <f aca="false">SUM(N31:N39)</f>
        <v>343086.88</v>
      </c>
      <c r="O40" s="15" t="n">
        <f aca="false">N40/$M40</f>
        <v>0.294940244592269</v>
      </c>
      <c r="P40" s="14" t="n">
        <f aca="false">SUM(P31:P39)</f>
        <v>576034.84</v>
      </c>
      <c r="Q40" s="15" t="n">
        <f aca="false">P40/$M40</f>
        <v>0.495197766242966</v>
      </c>
      <c r="R40" s="14" t="n">
        <f aca="false">SUM(R31:R39)</f>
        <v>879835.66</v>
      </c>
      <c r="S40" s="15" t="n">
        <f aca="false">R40/$M40</f>
        <v>0.756365107174603</v>
      </c>
      <c r="T40" s="14" t="n">
        <f aca="false">SUM(T31:T39)</f>
        <v>1191500.53</v>
      </c>
      <c r="U40" s="15" t="n">
        <f aca="false">T40/$M40</f>
        <v>1.02429290723684</v>
      </c>
      <c r="V40" s="14" t="n">
        <f aca="false">SUM(V31:V39)</f>
        <v>1263487</v>
      </c>
      <c r="W40" s="14" t="n">
        <f aca="false">SUM(W31:W39)</f>
        <v>1335330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2" customFormat="false" ht="13.9" hidden="false" customHeight="true" outlineLevel="0" collapsed="false">
      <c r="A42" s="19" t="s">
        <v>46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19"/>
      <c r="Q42" s="19"/>
      <c r="R42" s="19"/>
      <c r="S42" s="19"/>
      <c r="T42" s="19"/>
      <c r="U42" s="19"/>
      <c r="V42" s="19"/>
      <c r="W42" s="19"/>
    </row>
    <row r="43" customFormat="false" ht="13.9" hidden="false" customHeight="true" outlineLevel="0" collapsed="false">
      <c r="A43" s="6"/>
      <c r="B43" s="6"/>
      <c r="C43" s="6"/>
      <c r="D43" s="7" t="s">
        <v>1</v>
      </c>
      <c r="E43" s="7" t="s">
        <v>2</v>
      </c>
      <c r="F43" s="7" t="s">
        <v>3</v>
      </c>
      <c r="G43" s="7" t="s">
        <v>4</v>
      </c>
      <c r="H43" s="7" t="s">
        <v>5</v>
      </c>
      <c r="I43" s="7" t="s">
        <v>6</v>
      </c>
      <c r="J43" s="7" t="s">
        <v>7</v>
      </c>
      <c r="K43" s="7" t="s">
        <v>8</v>
      </c>
      <c r="L43" s="7" t="s">
        <v>9</v>
      </c>
      <c r="M43" s="7" t="s">
        <v>10</v>
      </c>
      <c r="N43" s="7" t="s">
        <v>11</v>
      </c>
      <c r="O43" s="8" t="s">
        <v>12</v>
      </c>
      <c r="P43" s="7" t="s">
        <v>13</v>
      </c>
      <c r="Q43" s="8" t="s">
        <v>14</v>
      </c>
      <c r="R43" s="7" t="s">
        <v>15</v>
      </c>
      <c r="S43" s="8" t="s">
        <v>16</v>
      </c>
      <c r="T43" s="7" t="s">
        <v>17</v>
      </c>
      <c r="U43" s="8" t="s">
        <v>18</v>
      </c>
      <c r="V43" s="7" t="s">
        <v>19</v>
      </c>
      <c r="W43" s="7" t="s">
        <v>20</v>
      </c>
    </row>
    <row r="44" customFormat="false" ht="13.9" hidden="false" customHeight="true" outlineLevel="0" collapsed="false">
      <c r="A44" s="21" t="s">
        <v>21</v>
      </c>
      <c r="B44" s="22" t="n">
        <v>111</v>
      </c>
      <c r="C44" s="22" t="s">
        <v>47</v>
      </c>
      <c r="D44" s="23" t="n">
        <f aca="false">D53</f>
        <v>0</v>
      </c>
      <c r="E44" s="23" t="n">
        <f aca="false">E53</f>
        <v>574.64</v>
      </c>
      <c r="F44" s="23" t="n">
        <f aca="false">F53</f>
        <v>0</v>
      </c>
      <c r="G44" s="23" t="n">
        <f aca="false">G53</f>
        <v>0</v>
      </c>
      <c r="H44" s="23" t="n">
        <f aca="false">H53</f>
        <v>0</v>
      </c>
      <c r="I44" s="23" t="n">
        <f aca="false">I53</f>
        <v>0</v>
      </c>
      <c r="J44" s="23" t="n">
        <f aca="false">J53</f>
        <v>0</v>
      </c>
      <c r="K44" s="23" t="n">
        <f aca="false">K53</f>
        <v>0</v>
      </c>
      <c r="L44" s="23" t="n">
        <f aca="false">L53</f>
        <v>689</v>
      </c>
      <c r="M44" s="23" t="n">
        <f aca="false">M53</f>
        <v>689</v>
      </c>
      <c r="N44" s="23" t="n">
        <f aca="false">N53</f>
        <v>687.56</v>
      </c>
      <c r="O44" s="24" t="n">
        <f aca="false">N44/$M44</f>
        <v>0.997910014513788</v>
      </c>
      <c r="P44" s="23" t="n">
        <f aca="false">P53</f>
        <v>687.56</v>
      </c>
      <c r="Q44" s="24" t="n">
        <f aca="false">P44/$M44</f>
        <v>0.997910014513788</v>
      </c>
      <c r="R44" s="23" t="n">
        <f aca="false">R53</f>
        <v>687.56</v>
      </c>
      <c r="S44" s="24" t="n">
        <f aca="false">R44/$M44</f>
        <v>0.997910014513788</v>
      </c>
      <c r="T44" s="23" t="n">
        <f aca="false">T53</f>
        <v>687.56</v>
      </c>
      <c r="U44" s="24" t="n">
        <f aca="false">T44/$M44</f>
        <v>0.997910014513788</v>
      </c>
      <c r="V44" s="23" t="n">
        <f aca="false">V53</f>
        <v>0</v>
      </c>
      <c r="W44" s="23" t="n">
        <f aca="false">W53</f>
        <v>0</v>
      </c>
    </row>
    <row r="45" customFormat="false" ht="13.9" hidden="false" customHeight="true" outlineLevel="0" collapsed="false">
      <c r="A45" s="21" t="s">
        <v>21</v>
      </c>
      <c r="B45" s="22" t="n">
        <v>41</v>
      </c>
      <c r="C45" s="22" t="s">
        <v>23</v>
      </c>
      <c r="D45" s="23" t="n">
        <f aca="false">D60</f>
        <v>96217.95</v>
      </c>
      <c r="E45" s="23" t="n">
        <f aca="false">E60</f>
        <v>103109.31</v>
      </c>
      <c r="F45" s="23" t="n">
        <f aca="false">F60</f>
        <v>85988</v>
      </c>
      <c r="G45" s="23" t="n">
        <f aca="false">G60</f>
        <v>115288</v>
      </c>
      <c r="H45" s="23" t="n">
        <f aca="false">H60</f>
        <v>92575</v>
      </c>
      <c r="I45" s="23" t="n">
        <f aca="false">I60</f>
        <v>4401</v>
      </c>
      <c r="J45" s="23" t="n">
        <f aca="false">J60</f>
        <v>3000</v>
      </c>
      <c r="K45" s="23" t="n">
        <f aca="false">K60</f>
        <v>11612</v>
      </c>
      <c r="L45" s="23" t="n">
        <f aca="false">L60</f>
        <v>6222</v>
      </c>
      <c r="M45" s="23" t="n">
        <f aca="false">M60</f>
        <v>117810</v>
      </c>
      <c r="N45" s="23" t="n">
        <f aca="false">N60</f>
        <v>31714.22</v>
      </c>
      <c r="O45" s="24" t="n">
        <f aca="false">N45/$M45</f>
        <v>0.269198030727442</v>
      </c>
      <c r="P45" s="23" t="n">
        <f aca="false">P60</f>
        <v>49124.49</v>
      </c>
      <c r="Q45" s="24" t="n">
        <f aca="false">P45/$M45</f>
        <v>0.416980646804176</v>
      </c>
      <c r="R45" s="23" t="n">
        <f aca="false">R60</f>
        <v>79056.84</v>
      </c>
      <c r="S45" s="24" t="n">
        <f aca="false">R45/$M45</f>
        <v>0.671053730583142</v>
      </c>
      <c r="T45" s="23" t="n">
        <f aca="false">T60</f>
        <v>112862.17</v>
      </c>
      <c r="U45" s="24" t="n">
        <f aca="false">T45/$M45</f>
        <v>0.958001612766319</v>
      </c>
      <c r="V45" s="23" t="n">
        <f aca="false">V60</f>
        <v>88575</v>
      </c>
      <c r="W45" s="23" t="n">
        <f aca="false">W60</f>
        <v>88575</v>
      </c>
    </row>
    <row r="46" customFormat="false" ht="13.9" hidden="false" customHeight="true" outlineLevel="0" collapsed="false">
      <c r="A46" s="21"/>
      <c r="B46" s="22" t="n">
        <v>72</v>
      </c>
      <c r="C46" s="22" t="s">
        <v>25</v>
      </c>
      <c r="D46" s="23" t="n">
        <f aca="false">D63</f>
        <v>0</v>
      </c>
      <c r="E46" s="23" t="n">
        <f aca="false">E63</f>
        <v>51128.59</v>
      </c>
      <c r="F46" s="23" t="n">
        <f aca="false">F63</f>
        <v>48400</v>
      </c>
      <c r="G46" s="23" t="n">
        <f aca="false">G63</f>
        <v>55472</v>
      </c>
      <c r="H46" s="23" t="n">
        <f aca="false">H63</f>
        <v>42870</v>
      </c>
      <c r="I46" s="23" t="n">
        <f aca="false">I63</f>
        <v>0</v>
      </c>
      <c r="J46" s="23" t="n">
        <f aca="false">J63</f>
        <v>0</v>
      </c>
      <c r="K46" s="23" t="n">
        <f aca="false">K63</f>
        <v>0</v>
      </c>
      <c r="L46" s="23" t="n">
        <f aca="false">L63</f>
        <v>-5169</v>
      </c>
      <c r="M46" s="23" t="n">
        <f aca="false">M63</f>
        <v>37701</v>
      </c>
      <c r="N46" s="23" t="n">
        <f aca="false">N63</f>
        <v>12077.9</v>
      </c>
      <c r="O46" s="24" t="n">
        <f aca="false">N46/$M46</f>
        <v>0.320360202647145</v>
      </c>
      <c r="P46" s="23" t="n">
        <f aca="false">P63</f>
        <v>16841.8</v>
      </c>
      <c r="Q46" s="24" t="n">
        <f aca="false">P46/$M46</f>
        <v>0.446720246147317</v>
      </c>
      <c r="R46" s="23" t="n">
        <f aca="false">R63</f>
        <v>25852.11</v>
      </c>
      <c r="S46" s="24" t="n">
        <f aca="false">R46/$M46</f>
        <v>0.685714172037877</v>
      </c>
      <c r="T46" s="23" t="n">
        <f aca="false">T63</f>
        <v>38665.82</v>
      </c>
      <c r="U46" s="24" t="n">
        <f aca="false">T46/$M46</f>
        <v>1.02559136362431</v>
      </c>
      <c r="V46" s="23" t="n">
        <f aca="false">V63</f>
        <v>42870</v>
      </c>
      <c r="W46" s="23" t="n">
        <f aca="false">W63</f>
        <v>42870</v>
      </c>
    </row>
    <row r="47" customFormat="false" ht="13.9" hidden="false" customHeight="true" outlineLevel="0" collapsed="false">
      <c r="A47" s="17"/>
      <c r="B47" s="18"/>
      <c r="C47" s="25" t="s">
        <v>30</v>
      </c>
      <c r="D47" s="26" t="n">
        <f aca="false">SUM(D45:D46)</f>
        <v>96217.95</v>
      </c>
      <c r="E47" s="26" t="n">
        <f aca="false">SUM(E45:E46)</f>
        <v>154237.9</v>
      </c>
      <c r="F47" s="26" t="n">
        <f aca="false">SUM(F45:F46)</f>
        <v>134388</v>
      </c>
      <c r="G47" s="26" t="n">
        <f aca="false">SUM(G45:G46)</f>
        <v>170760</v>
      </c>
      <c r="H47" s="26" t="n">
        <f aca="false">SUM(H45:H46)</f>
        <v>135445</v>
      </c>
      <c r="I47" s="26" t="n">
        <f aca="false">SUM(I45:I46)</f>
        <v>4401</v>
      </c>
      <c r="J47" s="26" t="n">
        <f aca="false">SUM(J45:J46)</f>
        <v>3000</v>
      </c>
      <c r="K47" s="26" t="n">
        <f aca="false">SUM(K45:K46)</f>
        <v>11612</v>
      </c>
      <c r="L47" s="26" t="n">
        <f aca="false">SUM(L45:L46)</f>
        <v>1053</v>
      </c>
      <c r="M47" s="26" t="n">
        <f aca="false">SUM(M45:M46)</f>
        <v>155511</v>
      </c>
      <c r="N47" s="26" t="n">
        <f aca="false">SUM(N45:N46)</f>
        <v>43792.12</v>
      </c>
      <c r="O47" s="27" t="n">
        <f aca="false">N47/$M47</f>
        <v>0.281601430123914</v>
      </c>
      <c r="P47" s="26" t="n">
        <f aca="false">SUM(P45:P46)</f>
        <v>65966.29</v>
      </c>
      <c r="Q47" s="27" t="n">
        <f aca="false">P47/$M47</f>
        <v>0.424190507423912</v>
      </c>
      <c r="R47" s="26" t="n">
        <f aca="false">SUM(R45:R46)</f>
        <v>104908.95</v>
      </c>
      <c r="S47" s="27" t="n">
        <f aca="false">R47/$M47</f>
        <v>0.67460790555009</v>
      </c>
      <c r="T47" s="26" t="n">
        <f aca="false">SUM(T45:T46)</f>
        <v>151527.99</v>
      </c>
      <c r="U47" s="27" t="n">
        <f aca="false">T47/$M47</f>
        <v>0.974387599591026</v>
      </c>
      <c r="V47" s="26" t="n">
        <f aca="false">SUM(V45:V46)</f>
        <v>131445</v>
      </c>
      <c r="W47" s="26" t="n">
        <f aca="false">SUM(W45:W46)</f>
        <v>131445</v>
      </c>
    </row>
    <row r="49" customFormat="false" ht="13.9" hidden="false" customHeight="true" outlineLevel="0" collapsed="false">
      <c r="A49" s="28" t="s">
        <v>48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28"/>
      <c r="U49" s="28"/>
      <c r="V49" s="28"/>
      <c r="W49" s="28"/>
    </row>
    <row r="50" customFormat="false" ht="13.9" hidden="false" customHeight="true" outlineLevel="0" collapsed="false">
      <c r="A50" s="7" t="s">
        <v>33</v>
      </c>
      <c r="B50" s="7" t="s">
        <v>34</v>
      </c>
      <c r="C50" s="7" t="s">
        <v>35</v>
      </c>
      <c r="D50" s="7" t="s">
        <v>1</v>
      </c>
      <c r="E50" s="7" t="s">
        <v>2</v>
      </c>
      <c r="F50" s="7" t="s">
        <v>3</v>
      </c>
      <c r="G50" s="7" t="s">
        <v>4</v>
      </c>
      <c r="H50" s="7" t="s">
        <v>5</v>
      </c>
      <c r="I50" s="7" t="s">
        <v>6</v>
      </c>
      <c r="J50" s="7" t="s">
        <v>7</v>
      </c>
      <c r="K50" s="7" t="s">
        <v>8</v>
      </c>
      <c r="L50" s="7" t="s">
        <v>9</v>
      </c>
      <c r="M50" s="7" t="s">
        <v>10</v>
      </c>
      <c r="N50" s="7" t="s">
        <v>11</v>
      </c>
      <c r="O50" s="8" t="s">
        <v>12</v>
      </c>
      <c r="P50" s="7" t="s">
        <v>13</v>
      </c>
      <c r="Q50" s="8" t="s">
        <v>14</v>
      </c>
      <c r="R50" s="7" t="s">
        <v>15</v>
      </c>
      <c r="S50" s="8" t="s">
        <v>16</v>
      </c>
      <c r="T50" s="7" t="s">
        <v>17</v>
      </c>
      <c r="U50" s="8" t="s">
        <v>18</v>
      </c>
      <c r="V50" s="7" t="s">
        <v>19</v>
      </c>
      <c r="W50" s="7" t="s">
        <v>20</v>
      </c>
    </row>
    <row r="51" customFormat="false" ht="13.9" hidden="false" customHeight="true" outlineLevel="0" collapsed="false">
      <c r="A51" s="32" t="s">
        <v>49</v>
      </c>
      <c r="B51" s="10" t="n">
        <v>290</v>
      </c>
      <c r="C51" s="10" t="s">
        <v>50</v>
      </c>
      <c r="D51" s="33" t="n">
        <v>0</v>
      </c>
      <c r="E51" s="33" t="n">
        <v>574.64</v>
      </c>
      <c r="F51" s="33" t="n">
        <v>0</v>
      </c>
      <c r="G51" s="33" t="n">
        <v>0</v>
      </c>
      <c r="H51" s="33" t="n">
        <v>0</v>
      </c>
      <c r="I51" s="33"/>
      <c r="J51" s="33"/>
      <c r="K51" s="33"/>
      <c r="L51" s="33"/>
      <c r="M51" s="33" t="n">
        <f aca="false">H51+SUM(I51:L51)</f>
        <v>0</v>
      </c>
      <c r="N51" s="33" t="n">
        <v>0</v>
      </c>
      <c r="O51" s="34" t="e">
        <f aca="false">N51/$M51</f>
        <v>#DIV/0!</v>
      </c>
      <c r="P51" s="33" t="n">
        <v>0</v>
      </c>
      <c r="Q51" s="34" t="e">
        <f aca="false">P51/$M51</f>
        <v>#DIV/0!</v>
      </c>
      <c r="R51" s="33" t="n">
        <v>0</v>
      </c>
      <c r="S51" s="34" t="e">
        <f aca="false">R51/$M51</f>
        <v>#DIV/0!</v>
      </c>
      <c r="T51" s="33" t="n">
        <v>0</v>
      </c>
      <c r="U51" s="34" t="e">
        <f aca="false">T51/$M51</f>
        <v>#DIV/0!</v>
      </c>
      <c r="V51" s="11" t="n">
        <f aca="false">H51</f>
        <v>0</v>
      </c>
      <c r="W51" s="11" t="n">
        <f aca="false">V51</f>
        <v>0</v>
      </c>
    </row>
    <row r="52" customFormat="false" ht="13.9" hidden="false" customHeight="true" outlineLevel="0" collapsed="false">
      <c r="A52" s="32"/>
      <c r="B52" s="10" t="s">
        <v>51</v>
      </c>
      <c r="C52" s="10" t="s">
        <v>52</v>
      </c>
      <c r="D52" s="33"/>
      <c r="E52" s="33"/>
      <c r="F52" s="33"/>
      <c r="G52" s="33"/>
      <c r="H52" s="33" t="n">
        <v>0</v>
      </c>
      <c r="I52" s="33"/>
      <c r="J52" s="33"/>
      <c r="K52" s="33"/>
      <c r="L52" s="33" t="n">
        <v>689</v>
      </c>
      <c r="M52" s="33" t="n">
        <f aca="false">H52+SUM(I52:L52)</f>
        <v>689</v>
      </c>
      <c r="N52" s="33" t="n">
        <v>687.56</v>
      </c>
      <c r="O52" s="34" t="n">
        <f aca="false">N52/$M52</f>
        <v>0.997910014513788</v>
      </c>
      <c r="P52" s="33" t="n">
        <v>687.56</v>
      </c>
      <c r="Q52" s="34" t="n">
        <f aca="false">P52/$M52</f>
        <v>0.997910014513788</v>
      </c>
      <c r="R52" s="33" t="n">
        <v>687.56</v>
      </c>
      <c r="S52" s="34" t="n">
        <f aca="false">R52/$M52</f>
        <v>0.997910014513788</v>
      </c>
      <c r="T52" s="33" t="n">
        <v>687.56</v>
      </c>
      <c r="U52" s="34" t="n">
        <f aca="false">T52/$M52</f>
        <v>0.997910014513788</v>
      </c>
      <c r="V52" s="11"/>
      <c r="W52" s="11"/>
    </row>
    <row r="53" customFormat="false" ht="13.9" hidden="false" customHeight="true" outlineLevel="0" collapsed="false">
      <c r="A53" s="35" t="s">
        <v>21</v>
      </c>
      <c r="B53" s="35" t="n">
        <v>111</v>
      </c>
      <c r="C53" s="35" t="s">
        <v>47</v>
      </c>
      <c r="D53" s="36" t="n">
        <f aca="false">SUM(D51)</f>
        <v>0</v>
      </c>
      <c r="E53" s="36" t="n">
        <f aca="false">SUM(E51)</f>
        <v>574.64</v>
      </c>
      <c r="F53" s="36" t="n">
        <f aca="false">SUM(F51)</f>
        <v>0</v>
      </c>
      <c r="G53" s="36" t="n">
        <f aca="false">SUM(G51)</f>
        <v>0</v>
      </c>
      <c r="H53" s="36" t="n">
        <f aca="false">SUM(H51:H52)</f>
        <v>0</v>
      </c>
      <c r="I53" s="36" t="n">
        <f aca="false">SUM(I51:I52)</f>
        <v>0</v>
      </c>
      <c r="J53" s="36" t="n">
        <f aca="false">SUM(J51:J52)</f>
        <v>0</v>
      </c>
      <c r="K53" s="36" t="n">
        <f aca="false">SUM(K51:K52)</f>
        <v>0</v>
      </c>
      <c r="L53" s="36" t="n">
        <f aca="false">SUM(L51:L52)</f>
        <v>689</v>
      </c>
      <c r="M53" s="36" t="n">
        <f aca="false">SUM(M51:M52)</f>
        <v>689</v>
      </c>
      <c r="N53" s="36" t="n">
        <f aca="false">SUM(N51:N52)</f>
        <v>687.56</v>
      </c>
      <c r="O53" s="37" t="n">
        <f aca="false">N53/$M53</f>
        <v>0.997910014513788</v>
      </c>
      <c r="P53" s="36" t="n">
        <f aca="false">SUM(P51:P52)</f>
        <v>687.56</v>
      </c>
      <c r="Q53" s="37" t="n">
        <f aca="false">P53/$M53</f>
        <v>0.997910014513788</v>
      </c>
      <c r="R53" s="36" t="n">
        <f aca="false">SUM(R51:R52)</f>
        <v>687.56</v>
      </c>
      <c r="S53" s="37" t="n">
        <f aca="false">R53/$M53</f>
        <v>0.997910014513788</v>
      </c>
      <c r="T53" s="36" t="n">
        <f aca="false">SUM(T51:T52)</f>
        <v>687.56</v>
      </c>
      <c r="U53" s="37" t="n">
        <f aca="false">T53/$M53</f>
        <v>0.997910014513788</v>
      </c>
      <c r="V53" s="36" t="n">
        <f aca="false">SUM(V51:V52)</f>
        <v>0</v>
      </c>
      <c r="W53" s="36" t="n">
        <f aca="false">SUM(W51:W52)</f>
        <v>0</v>
      </c>
    </row>
    <row r="54" customFormat="false" ht="13.9" hidden="false" customHeight="true" outlineLevel="0" collapsed="false">
      <c r="A54" s="38" t="s">
        <v>49</v>
      </c>
      <c r="B54" s="10" t="n">
        <v>210</v>
      </c>
      <c r="C54" s="10" t="s">
        <v>53</v>
      </c>
      <c r="D54" s="11" t="n">
        <v>6450.89</v>
      </c>
      <c r="E54" s="11" t="n">
        <v>4424.67</v>
      </c>
      <c r="F54" s="11" t="n">
        <v>4400</v>
      </c>
      <c r="G54" s="11" t="n">
        <v>4180</v>
      </c>
      <c r="H54" s="11" t="n">
        <v>4180</v>
      </c>
      <c r="I54" s="11"/>
      <c r="J54" s="11"/>
      <c r="K54" s="11"/>
      <c r="L54" s="11"/>
      <c r="M54" s="11" t="n">
        <f aca="false">H54+SUM(I54:L54)</f>
        <v>4180</v>
      </c>
      <c r="N54" s="11" t="n">
        <v>825.7</v>
      </c>
      <c r="O54" s="12" t="n">
        <f aca="false">N54/$M54</f>
        <v>0.197535885167464</v>
      </c>
      <c r="P54" s="11" t="n">
        <v>965.46</v>
      </c>
      <c r="Q54" s="12" t="n">
        <f aca="false">P54/$M54</f>
        <v>0.230971291866029</v>
      </c>
      <c r="R54" s="11" t="n">
        <v>1087.87</v>
      </c>
      <c r="S54" s="12" t="n">
        <f aca="false">R54/$M54</f>
        <v>0.260255980861244</v>
      </c>
      <c r="T54" s="11" t="n">
        <v>1674.8</v>
      </c>
      <c r="U54" s="12" t="n">
        <f aca="false">T54/$M54</f>
        <v>0.40066985645933</v>
      </c>
      <c r="V54" s="11" t="n">
        <f aca="false">H54</f>
        <v>4180</v>
      </c>
      <c r="W54" s="11" t="n">
        <f aca="false">V54</f>
        <v>4180</v>
      </c>
    </row>
    <row r="55" customFormat="false" ht="13.9" hidden="false" customHeight="true" outlineLevel="0" collapsed="false">
      <c r="A55" s="38"/>
      <c r="B55" s="10" t="n">
        <v>220</v>
      </c>
      <c r="C55" s="10" t="s">
        <v>54</v>
      </c>
      <c r="D55" s="11" t="n">
        <v>61587.09</v>
      </c>
      <c r="E55" s="11" t="n">
        <v>83794.12</v>
      </c>
      <c r="F55" s="11" t="n">
        <v>63555</v>
      </c>
      <c r="G55" s="11" t="n">
        <v>94561</v>
      </c>
      <c r="H55" s="11" t="n">
        <v>77110</v>
      </c>
      <c r="I55" s="11" t="n">
        <v>1861</v>
      </c>
      <c r="J55" s="11" t="n">
        <v>1000</v>
      </c>
      <c r="K55" s="11" t="n">
        <v>9679</v>
      </c>
      <c r="L55" s="11" t="n">
        <v>4860</v>
      </c>
      <c r="M55" s="11" t="n">
        <f aca="false">H55+SUM(I55:L55)</f>
        <v>94510</v>
      </c>
      <c r="N55" s="11" t="n">
        <v>24249.72</v>
      </c>
      <c r="O55" s="12" t="n">
        <f aca="false">N55/$M55</f>
        <v>0.256583641942652</v>
      </c>
      <c r="P55" s="11" t="n">
        <v>39385.72</v>
      </c>
      <c r="Q55" s="12" t="n">
        <f aca="false">P55/$M55</f>
        <v>0.41673600677177</v>
      </c>
      <c r="R55" s="11" t="n">
        <v>67052.09</v>
      </c>
      <c r="S55" s="12" t="n">
        <f aca="false">R55/$M55</f>
        <v>0.70947084964554</v>
      </c>
      <c r="T55" s="11" t="n">
        <v>96167.28</v>
      </c>
      <c r="U55" s="12" t="n">
        <f aca="false">T55/$M55</f>
        <v>1.01753549888901</v>
      </c>
      <c r="V55" s="11" t="n">
        <v>73110</v>
      </c>
      <c r="W55" s="11" t="n">
        <f aca="false">V55</f>
        <v>73110</v>
      </c>
    </row>
    <row r="56" customFormat="false" ht="13.9" hidden="false" customHeight="true" outlineLevel="0" collapsed="false">
      <c r="A56" s="38"/>
      <c r="B56" s="10" t="n">
        <v>230</v>
      </c>
      <c r="C56" s="10" t="s">
        <v>55</v>
      </c>
      <c r="D56" s="11" t="n">
        <v>0</v>
      </c>
      <c r="E56" s="11" t="n">
        <v>0</v>
      </c>
      <c r="F56" s="11" t="n">
        <v>0</v>
      </c>
      <c r="G56" s="11" t="n">
        <v>1</v>
      </c>
      <c r="H56" s="11" t="n">
        <v>0</v>
      </c>
      <c r="I56" s="11"/>
      <c r="J56" s="11"/>
      <c r="K56" s="11"/>
      <c r="L56" s="11"/>
      <c r="M56" s="11" t="n">
        <f aca="false">H56+SUM(I56:L56)</f>
        <v>0</v>
      </c>
      <c r="N56" s="11" t="n">
        <v>0</v>
      </c>
      <c r="O56" s="12" t="e">
        <f aca="false">N56/$M56</f>
        <v>#DIV/0!</v>
      </c>
      <c r="P56" s="11" t="n">
        <v>0</v>
      </c>
      <c r="Q56" s="12" t="e">
        <f aca="false">P56/$M56</f>
        <v>#DIV/0!</v>
      </c>
      <c r="R56" s="11" t="n">
        <v>0</v>
      </c>
      <c r="S56" s="12" t="e">
        <f aca="false">R56/$M56</f>
        <v>#DIV/0!</v>
      </c>
      <c r="T56" s="11" t="n">
        <v>0</v>
      </c>
      <c r="U56" s="12" t="e">
        <f aca="false">T56/$M56</f>
        <v>#DIV/0!</v>
      </c>
      <c r="V56" s="11" t="n">
        <f aca="false">H56</f>
        <v>0</v>
      </c>
      <c r="W56" s="11" t="n">
        <f aca="false">V56</f>
        <v>0</v>
      </c>
    </row>
    <row r="57" customFormat="false" ht="13.9" hidden="false" customHeight="true" outlineLevel="0" collapsed="false">
      <c r="A57" s="38"/>
      <c r="B57" s="10" t="n">
        <v>240</v>
      </c>
      <c r="C57" s="10" t="s">
        <v>56</v>
      </c>
      <c r="D57" s="11" t="n">
        <v>1084.76</v>
      </c>
      <c r="E57" s="11" t="n">
        <v>1088.77</v>
      </c>
      <c r="F57" s="11" t="n">
        <v>1100</v>
      </c>
      <c r="G57" s="11" t="n">
        <v>706</v>
      </c>
      <c r="H57" s="11" t="n">
        <v>705</v>
      </c>
      <c r="I57" s="11"/>
      <c r="J57" s="11"/>
      <c r="K57" s="11"/>
      <c r="L57" s="11"/>
      <c r="M57" s="11" t="n">
        <f aca="false">H57+SUM(I57:L57)</f>
        <v>705</v>
      </c>
      <c r="N57" s="11" t="n">
        <v>124.55</v>
      </c>
      <c r="O57" s="12" t="n">
        <f aca="false">N57/$M57</f>
        <v>0.176666666666667</v>
      </c>
      <c r="P57" s="11" t="n">
        <v>124.55</v>
      </c>
      <c r="Q57" s="12" t="n">
        <f aca="false">P57/$M57</f>
        <v>0.176666666666667</v>
      </c>
      <c r="R57" s="11" t="n">
        <v>124.55</v>
      </c>
      <c r="S57" s="12" t="n">
        <f aca="false">R57/$M57</f>
        <v>0.176666666666667</v>
      </c>
      <c r="T57" s="11" t="n">
        <v>124.55</v>
      </c>
      <c r="U57" s="12" t="n">
        <f aca="false">T57/$M57</f>
        <v>0.176666666666667</v>
      </c>
      <c r="V57" s="11" t="n">
        <f aca="false">H57</f>
        <v>705</v>
      </c>
      <c r="W57" s="11" t="n">
        <f aca="false">V57</f>
        <v>705</v>
      </c>
    </row>
    <row r="58" customFormat="false" ht="13.9" hidden="false" customHeight="true" outlineLevel="0" collapsed="false">
      <c r="A58" s="38"/>
      <c r="B58" s="10" t="n">
        <v>290</v>
      </c>
      <c r="C58" s="10" t="s">
        <v>50</v>
      </c>
      <c r="D58" s="11" t="n">
        <v>17507.57</v>
      </c>
      <c r="E58" s="11" t="n">
        <v>13774.56</v>
      </c>
      <c r="F58" s="11" t="n">
        <f aca="false">13800+3133</f>
        <v>16933</v>
      </c>
      <c r="G58" s="11" t="n">
        <v>15840</v>
      </c>
      <c r="H58" s="11" t="n">
        <v>10580</v>
      </c>
      <c r="I58" s="11" t="n">
        <v>2540</v>
      </c>
      <c r="J58" s="11" t="n">
        <v>2000</v>
      </c>
      <c r="K58" s="11" t="n">
        <f aca="false">1549+384</f>
        <v>1933</v>
      </c>
      <c r="L58" s="11" t="n">
        <v>1362</v>
      </c>
      <c r="M58" s="11" t="n">
        <f aca="false">H58+SUM(I58:L58)</f>
        <v>18415</v>
      </c>
      <c r="N58" s="11" t="n">
        <v>6514.25</v>
      </c>
      <c r="O58" s="12" t="n">
        <f aca="false">N58/$M58</f>
        <v>0.353746945424925</v>
      </c>
      <c r="P58" s="11" t="n">
        <v>8648.76</v>
      </c>
      <c r="Q58" s="12" t="n">
        <f aca="false">P58/$M58</f>
        <v>0.469658430627206</v>
      </c>
      <c r="R58" s="11" t="n">
        <v>10792.33</v>
      </c>
      <c r="S58" s="12" t="n">
        <f aca="false">R58/$M58</f>
        <v>0.586061906054847</v>
      </c>
      <c r="T58" s="11" t="n">
        <v>14895.54</v>
      </c>
      <c r="U58" s="12" t="n">
        <f aca="false">T58/$M58</f>
        <v>0.808880803692642</v>
      </c>
      <c r="V58" s="11" t="n">
        <f aca="false">H58</f>
        <v>10580</v>
      </c>
      <c r="W58" s="11" t="n">
        <f aca="false">V58</f>
        <v>10580</v>
      </c>
    </row>
    <row r="59" customFormat="false" ht="13.9" hidden="false" customHeight="true" outlineLevel="0" collapsed="false">
      <c r="A59" s="38"/>
      <c r="B59" s="10" t="s">
        <v>51</v>
      </c>
      <c r="C59" s="10" t="s">
        <v>52</v>
      </c>
      <c r="D59" s="33" t="n">
        <v>9587.64</v>
      </c>
      <c r="E59" s="33" t="n">
        <v>27.19</v>
      </c>
      <c r="F59" s="33" t="n">
        <v>0</v>
      </c>
      <c r="G59" s="33" t="n">
        <v>0</v>
      </c>
      <c r="H59" s="33" t="n">
        <v>0</v>
      </c>
      <c r="I59" s="33"/>
      <c r="J59" s="33"/>
      <c r="K59" s="33"/>
      <c r="L59" s="33"/>
      <c r="M59" s="33" t="n">
        <f aca="false">H59+SUM(I59:L59)</f>
        <v>0</v>
      </c>
      <c r="N59" s="33" t="n">
        <v>0</v>
      </c>
      <c r="O59" s="34" t="e">
        <f aca="false">N59/$M59</f>
        <v>#DIV/0!</v>
      </c>
      <c r="P59" s="33" t="n">
        <v>0</v>
      </c>
      <c r="Q59" s="34" t="e">
        <f aca="false">P59/$M59</f>
        <v>#DIV/0!</v>
      </c>
      <c r="R59" s="33" t="n">
        <v>0</v>
      </c>
      <c r="S59" s="34" t="e">
        <f aca="false">R59/$M59</f>
        <v>#DIV/0!</v>
      </c>
      <c r="T59" s="33" t="n">
        <v>0</v>
      </c>
      <c r="U59" s="34" t="e">
        <f aca="false">T59/$M59</f>
        <v>#DIV/0!</v>
      </c>
      <c r="V59" s="11" t="n">
        <f aca="false">H59</f>
        <v>0</v>
      </c>
      <c r="W59" s="11" t="n">
        <f aca="false">V59</f>
        <v>0</v>
      </c>
    </row>
    <row r="60" customFormat="false" ht="13.9" hidden="false" customHeight="true" outlineLevel="0" collapsed="false">
      <c r="A60" s="35" t="s">
        <v>21</v>
      </c>
      <c r="B60" s="35" t="n">
        <v>41</v>
      </c>
      <c r="C60" s="35" t="s">
        <v>23</v>
      </c>
      <c r="D60" s="36" t="n">
        <f aca="false">SUM(D54:D59)</f>
        <v>96217.95</v>
      </c>
      <c r="E60" s="36" t="n">
        <f aca="false">SUM(E54:E59)</f>
        <v>103109.31</v>
      </c>
      <c r="F60" s="36" t="n">
        <f aca="false">SUM(F54:F59)</f>
        <v>85988</v>
      </c>
      <c r="G60" s="36" t="n">
        <f aca="false">SUM(G54:G59)</f>
        <v>115288</v>
      </c>
      <c r="H60" s="36" t="n">
        <f aca="false">SUM(H54:H59)</f>
        <v>92575</v>
      </c>
      <c r="I60" s="36" t="n">
        <f aca="false">SUM(I54:I59)</f>
        <v>4401</v>
      </c>
      <c r="J60" s="36" t="n">
        <f aca="false">SUM(J54:J59)</f>
        <v>3000</v>
      </c>
      <c r="K60" s="36" t="n">
        <f aca="false">SUM(K54:K59)</f>
        <v>11612</v>
      </c>
      <c r="L60" s="36" t="n">
        <f aca="false">SUM(L54:L59)</f>
        <v>6222</v>
      </c>
      <c r="M60" s="36" t="n">
        <f aca="false">SUM(M54:M59)</f>
        <v>117810</v>
      </c>
      <c r="N60" s="36" t="n">
        <f aca="false">SUM(N54:N59)</f>
        <v>31714.22</v>
      </c>
      <c r="O60" s="37" t="n">
        <f aca="false">N60/$M60</f>
        <v>0.269198030727442</v>
      </c>
      <c r="P60" s="36" t="n">
        <f aca="false">SUM(P54:P59)</f>
        <v>49124.49</v>
      </c>
      <c r="Q60" s="37" t="n">
        <f aca="false">P60/$M60</f>
        <v>0.416980646804176</v>
      </c>
      <c r="R60" s="36" t="n">
        <f aca="false">SUM(R54:R59)</f>
        <v>79056.84</v>
      </c>
      <c r="S60" s="37" t="n">
        <f aca="false">R60/$M60</f>
        <v>0.671053730583142</v>
      </c>
      <c r="T60" s="36" t="n">
        <f aca="false">SUM(T54:T59)</f>
        <v>112862.17</v>
      </c>
      <c r="U60" s="37" t="n">
        <f aca="false">T60/$M60</f>
        <v>0.958001612766319</v>
      </c>
      <c r="V60" s="36" t="n">
        <f aca="false">SUM(V54:V59)</f>
        <v>88575</v>
      </c>
      <c r="W60" s="36" t="n">
        <f aca="false">SUM(W54:W59)</f>
        <v>88575</v>
      </c>
    </row>
    <row r="61" customFormat="false" ht="13.9" hidden="false" customHeight="true" outlineLevel="0" collapsed="false">
      <c r="A61" s="30" t="s">
        <v>49</v>
      </c>
      <c r="B61" s="10" t="n">
        <v>290</v>
      </c>
      <c r="C61" s="10" t="s">
        <v>50</v>
      </c>
      <c r="D61" s="11" t="n">
        <v>0</v>
      </c>
      <c r="E61" s="11" t="n">
        <v>3348.12</v>
      </c>
      <c r="F61" s="11" t="n">
        <v>3400</v>
      </c>
      <c r="G61" s="11" t="n">
        <v>3368</v>
      </c>
      <c r="H61" s="11" t="n">
        <v>3370</v>
      </c>
      <c r="I61" s="11"/>
      <c r="J61" s="11"/>
      <c r="K61" s="11"/>
      <c r="L61" s="11"/>
      <c r="M61" s="11" t="n">
        <f aca="false">H61+SUM(I61:L61)</f>
        <v>3370</v>
      </c>
      <c r="N61" s="11" t="n">
        <v>918.06</v>
      </c>
      <c r="O61" s="12" t="n">
        <f aca="false">N61/$M61</f>
        <v>0.272421364985163</v>
      </c>
      <c r="P61" s="11" t="n">
        <v>1607.87</v>
      </c>
      <c r="Q61" s="12" t="n">
        <f aca="false">P61/$M61</f>
        <v>0.477112759643917</v>
      </c>
      <c r="R61" s="11" t="n">
        <v>2402.85</v>
      </c>
      <c r="S61" s="12" t="n">
        <f aca="false">R61/$M61</f>
        <v>0.713011869436202</v>
      </c>
      <c r="T61" s="11" t="n">
        <v>3485.89</v>
      </c>
      <c r="U61" s="12" t="n">
        <f aca="false">T61/$M61</f>
        <v>1.03438872403561</v>
      </c>
      <c r="V61" s="11" t="n">
        <f aca="false">H61</f>
        <v>3370</v>
      </c>
      <c r="W61" s="11" t="n">
        <f aca="false">V61</f>
        <v>3370</v>
      </c>
    </row>
    <row r="62" customFormat="false" ht="13.9" hidden="false" customHeight="true" outlineLevel="0" collapsed="false">
      <c r="A62" s="30"/>
      <c r="B62" s="10" t="s">
        <v>51</v>
      </c>
      <c r="C62" s="10" t="s">
        <v>52</v>
      </c>
      <c r="D62" s="11" t="n">
        <v>0</v>
      </c>
      <c r="E62" s="11" t="n">
        <v>47780.47</v>
      </c>
      <c r="F62" s="11" t="n">
        <v>45000</v>
      </c>
      <c r="G62" s="33" t="n">
        <v>52104</v>
      </c>
      <c r="H62" s="33" t="n">
        <v>39500</v>
      </c>
      <c r="I62" s="33"/>
      <c r="J62" s="33"/>
      <c r="K62" s="33"/>
      <c r="L62" s="33" t="n">
        <v>-5169</v>
      </c>
      <c r="M62" s="33" t="n">
        <f aca="false">H62+SUM(I62:L62)</f>
        <v>34331</v>
      </c>
      <c r="N62" s="33" t="n">
        <v>11159.84</v>
      </c>
      <c r="O62" s="34" t="n">
        <f aca="false">N62/$M62</f>
        <v>0.325065975357549</v>
      </c>
      <c r="P62" s="33" t="n">
        <v>15233.93</v>
      </c>
      <c r="Q62" s="34" t="n">
        <f aca="false">P62/$M62</f>
        <v>0.443736855902828</v>
      </c>
      <c r="R62" s="33" t="n">
        <v>23449.26</v>
      </c>
      <c r="S62" s="34" t="n">
        <f aca="false">R62/$M62</f>
        <v>0.683034575165302</v>
      </c>
      <c r="T62" s="33" t="n">
        <v>35179.93</v>
      </c>
      <c r="U62" s="34" t="n">
        <f aca="false">T62/$M62</f>
        <v>1.02472779703475</v>
      </c>
      <c r="V62" s="11" t="n">
        <f aca="false">H62</f>
        <v>39500</v>
      </c>
      <c r="W62" s="11" t="n">
        <f aca="false">V62</f>
        <v>39500</v>
      </c>
    </row>
    <row r="63" customFormat="false" ht="13.9" hidden="false" customHeight="true" outlineLevel="0" collapsed="false">
      <c r="A63" s="35" t="s">
        <v>21</v>
      </c>
      <c r="B63" s="35" t="n">
        <v>72</v>
      </c>
      <c r="C63" s="35" t="s">
        <v>25</v>
      </c>
      <c r="D63" s="36" t="n">
        <f aca="false">SUM(D61:D62)</f>
        <v>0</v>
      </c>
      <c r="E63" s="36" t="n">
        <f aca="false">SUM(E61:E62)</f>
        <v>51128.59</v>
      </c>
      <c r="F63" s="36" t="n">
        <f aca="false">SUM(F61:F62)</f>
        <v>48400</v>
      </c>
      <c r="G63" s="36" t="n">
        <f aca="false">SUM(G61:G62)</f>
        <v>55472</v>
      </c>
      <c r="H63" s="36" t="n">
        <f aca="false">SUM(H61:H62)</f>
        <v>42870</v>
      </c>
      <c r="I63" s="36" t="n">
        <f aca="false">SUM(I61:I62)</f>
        <v>0</v>
      </c>
      <c r="J63" s="36" t="n">
        <f aca="false">SUM(J61:J62)</f>
        <v>0</v>
      </c>
      <c r="K63" s="36" t="n">
        <f aca="false">SUM(K61:K62)</f>
        <v>0</v>
      </c>
      <c r="L63" s="36" t="n">
        <f aca="false">SUM(L61:L62)</f>
        <v>-5169</v>
      </c>
      <c r="M63" s="36" t="n">
        <f aca="false">SUM(M61:M62)</f>
        <v>37701</v>
      </c>
      <c r="N63" s="36" t="n">
        <f aca="false">SUM(N61:N62)</f>
        <v>12077.9</v>
      </c>
      <c r="O63" s="37" t="n">
        <f aca="false">N63/$M63</f>
        <v>0.320360202647145</v>
      </c>
      <c r="P63" s="36" t="n">
        <f aca="false">SUM(P61:P62)</f>
        <v>16841.8</v>
      </c>
      <c r="Q63" s="37" t="n">
        <f aca="false">P63/$M63</f>
        <v>0.446720246147317</v>
      </c>
      <c r="R63" s="36" t="n">
        <f aca="false">SUM(R61:R62)</f>
        <v>25852.11</v>
      </c>
      <c r="S63" s="37" t="n">
        <f aca="false">R63/$M63</f>
        <v>0.685714172037877</v>
      </c>
      <c r="T63" s="36" t="n">
        <f aca="false">SUM(T61:T62)</f>
        <v>38665.82</v>
      </c>
      <c r="U63" s="37" t="n">
        <f aca="false">T63/$M63</f>
        <v>1.02559136362431</v>
      </c>
      <c r="V63" s="36" t="n">
        <f aca="false">SUM(V61:V62)</f>
        <v>42870</v>
      </c>
      <c r="W63" s="36" t="n">
        <f aca="false">SUM(W61:W62)</f>
        <v>42870</v>
      </c>
    </row>
    <row r="65" customFormat="false" ht="13.9" hidden="false" customHeight="true" outlineLevel="0" collapsed="false">
      <c r="B65" s="39" t="s">
        <v>57</v>
      </c>
      <c r="C65" s="17" t="s">
        <v>58</v>
      </c>
      <c r="D65" s="40" t="n">
        <v>5860.78</v>
      </c>
      <c r="E65" s="40" t="n">
        <v>4092.33</v>
      </c>
      <c r="F65" s="40" t="n">
        <v>4400</v>
      </c>
      <c r="G65" s="40" t="n">
        <v>4180</v>
      </c>
      <c r="H65" s="40" t="n">
        <v>4180</v>
      </c>
      <c r="I65" s="40"/>
      <c r="J65" s="40"/>
      <c r="K65" s="40"/>
      <c r="L65" s="40"/>
      <c r="M65" s="40" t="n">
        <f aca="false">H65+SUM(I65:L65)</f>
        <v>4180</v>
      </c>
      <c r="N65" s="40" t="n">
        <v>825.7</v>
      </c>
      <c r="O65" s="41" t="n">
        <f aca="false">N65/$M65</f>
        <v>0.197535885167464</v>
      </c>
      <c r="P65" s="40" t="n">
        <v>965.46</v>
      </c>
      <c r="Q65" s="41" t="n">
        <f aca="false">P65/$M65</f>
        <v>0.230971291866029</v>
      </c>
      <c r="R65" s="40" t="n">
        <v>1087.87</v>
      </c>
      <c r="S65" s="41" t="n">
        <f aca="false">R65/$M65</f>
        <v>0.260255980861244</v>
      </c>
      <c r="T65" s="40" t="n">
        <v>1674.8</v>
      </c>
      <c r="U65" s="42" t="n">
        <f aca="false">T65/$M65</f>
        <v>0.40066985645933</v>
      </c>
      <c r="V65" s="40" t="n">
        <f aca="false">H65</f>
        <v>4180</v>
      </c>
      <c r="W65" s="43" t="n">
        <f aca="false">V65</f>
        <v>4180</v>
      </c>
    </row>
    <row r="66" customFormat="false" ht="13.9" hidden="false" customHeight="true" outlineLevel="0" collapsed="false">
      <c r="B66" s="44"/>
      <c r="C66" s="45" t="s">
        <v>59</v>
      </c>
      <c r="D66" s="46" t="n">
        <v>7219.5</v>
      </c>
      <c r="E66" s="46" t="n">
        <v>7541</v>
      </c>
      <c r="F66" s="46" t="n">
        <v>7500</v>
      </c>
      <c r="G66" s="46" t="n">
        <v>8739</v>
      </c>
      <c r="H66" s="46" t="n">
        <v>8740</v>
      </c>
      <c r="I66" s="46"/>
      <c r="J66" s="46"/>
      <c r="K66" s="46"/>
      <c r="L66" s="46"/>
      <c r="M66" s="46" t="n">
        <f aca="false">H66+SUM(I66:L66)</f>
        <v>8740</v>
      </c>
      <c r="N66" s="46" t="n">
        <v>1320</v>
      </c>
      <c r="O66" s="2" t="n">
        <f aca="false">N66/$M66</f>
        <v>0.151029748283753</v>
      </c>
      <c r="P66" s="46" t="n">
        <v>3600</v>
      </c>
      <c r="Q66" s="2" t="n">
        <f aca="false">P66/$M66</f>
        <v>0.411899313501144</v>
      </c>
      <c r="R66" s="46" t="n">
        <v>5176</v>
      </c>
      <c r="S66" s="2" t="n">
        <f aca="false">R66/$M66</f>
        <v>0.592219679633867</v>
      </c>
      <c r="T66" s="46" t="n">
        <v>7603</v>
      </c>
      <c r="U66" s="47" t="n">
        <f aca="false">T66/$M66</f>
        <v>0.869908466819222</v>
      </c>
      <c r="V66" s="46" t="n">
        <f aca="false">H66</f>
        <v>8740</v>
      </c>
      <c r="W66" s="48" t="n">
        <f aca="false">V66</f>
        <v>8740</v>
      </c>
    </row>
    <row r="67" customFormat="false" ht="13.9" hidden="false" customHeight="true" outlineLevel="0" collapsed="false">
      <c r="B67" s="44"/>
      <c r="C67" s="45" t="s">
        <v>60</v>
      </c>
      <c r="D67" s="46" t="n">
        <v>3212</v>
      </c>
      <c r="E67" s="46" t="n">
        <v>0</v>
      </c>
      <c r="F67" s="46" t="n">
        <v>0</v>
      </c>
      <c r="G67" s="46" t="n">
        <v>0</v>
      </c>
      <c r="H67" s="46" t="n">
        <v>0</v>
      </c>
      <c r="I67" s="46"/>
      <c r="J67" s="46"/>
      <c r="K67" s="46"/>
      <c r="L67" s="46"/>
      <c r="M67" s="46" t="n">
        <f aca="false">H67+SUM(I67:L67)</f>
        <v>0</v>
      </c>
      <c r="N67" s="46" t="n">
        <v>0</v>
      </c>
      <c r="O67" s="2" t="e">
        <f aca="false">N67/$M67</f>
        <v>#DIV/0!</v>
      </c>
      <c r="P67" s="46" t="n">
        <v>0</v>
      </c>
      <c r="Q67" s="2" t="e">
        <f aca="false">P67/$M67</f>
        <v>#DIV/0!</v>
      </c>
      <c r="R67" s="46" t="n">
        <v>0</v>
      </c>
      <c r="S67" s="2" t="e">
        <f aca="false">R67/$M67</f>
        <v>#DIV/0!</v>
      </c>
      <c r="T67" s="46" t="n">
        <v>0</v>
      </c>
      <c r="U67" s="47" t="e">
        <f aca="false">T67/$M67</f>
        <v>#DIV/0!</v>
      </c>
      <c r="V67" s="46" t="n">
        <f aca="false">H67</f>
        <v>0</v>
      </c>
      <c r="W67" s="48" t="n">
        <f aca="false">V67</f>
        <v>0</v>
      </c>
    </row>
    <row r="68" customFormat="false" ht="13.9" hidden="false" customHeight="true" outlineLevel="0" collapsed="false">
      <c r="B68" s="44"/>
      <c r="C68" s="45" t="s">
        <v>61</v>
      </c>
      <c r="D68" s="46" t="n">
        <v>0</v>
      </c>
      <c r="E68" s="46" t="n">
        <v>0</v>
      </c>
      <c r="F68" s="46" t="n">
        <v>0</v>
      </c>
      <c r="G68" s="46" t="n">
        <v>6665</v>
      </c>
      <c r="H68" s="46" t="n">
        <v>0</v>
      </c>
      <c r="I68" s="46"/>
      <c r="J68" s="46"/>
      <c r="K68" s="46"/>
      <c r="L68" s="46"/>
      <c r="M68" s="46" t="n">
        <f aca="false">H68+SUM(I68:L68)</f>
        <v>0</v>
      </c>
      <c r="N68" s="46" t="n">
        <v>0</v>
      </c>
      <c r="O68" s="2" t="e">
        <f aca="false">N68/$M68</f>
        <v>#DIV/0!</v>
      </c>
      <c r="P68" s="46" t="n">
        <v>0</v>
      </c>
      <c r="Q68" s="2" t="e">
        <f aca="false">P68/$M68</f>
        <v>#DIV/0!</v>
      </c>
      <c r="R68" s="46" t="n">
        <v>0</v>
      </c>
      <c r="S68" s="2" t="e">
        <f aca="false">R68/$M68</f>
        <v>#DIV/0!</v>
      </c>
      <c r="T68" s="46" t="n">
        <v>0</v>
      </c>
      <c r="U68" s="47" t="e">
        <f aca="false">T68/$M68</f>
        <v>#DIV/0!</v>
      </c>
      <c r="V68" s="46" t="n">
        <f aca="false">H68</f>
        <v>0</v>
      </c>
      <c r="W68" s="48" t="n">
        <f aca="false">V68</f>
        <v>0</v>
      </c>
    </row>
    <row r="69" customFormat="false" ht="13.9" hidden="false" customHeight="true" outlineLevel="0" collapsed="false">
      <c r="B69" s="44"/>
      <c r="C69" s="45" t="s">
        <v>62</v>
      </c>
      <c r="D69" s="46" t="n">
        <v>21368.48</v>
      </c>
      <c r="E69" s="46" t="n">
        <v>27465.81</v>
      </c>
      <c r="F69" s="46" t="n">
        <v>27000</v>
      </c>
      <c r="G69" s="46" t="n">
        <v>16805</v>
      </c>
      <c r="H69" s="46" t="n">
        <v>16805</v>
      </c>
      <c r="I69" s="46"/>
      <c r="J69" s="46"/>
      <c r="K69" s="46"/>
      <c r="L69" s="46"/>
      <c r="M69" s="46" t="n">
        <f aca="false">H69+SUM(I69:L69)</f>
        <v>16805</v>
      </c>
      <c r="N69" s="46" t="n">
        <v>5108.05</v>
      </c>
      <c r="O69" s="2" t="n">
        <f aca="false">N69/$M69</f>
        <v>0.303960130913419</v>
      </c>
      <c r="P69" s="46" t="n">
        <v>6252.12</v>
      </c>
      <c r="Q69" s="2" t="n">
        <f aca="false">P69/$M69</f>
        <v>0.372039274025588</v>
      </c>
      <c r="R69" s="46" t="n">
        <v>8957.36</v>
      </c>
      <c r="S69" s="2" t="n">
        <f aca="false">R69/$M69</f>
        <v>0.533017554299316</v>
      </c>
      <c r="T69" s="46" t="n">
        <v>23890.61</v>
      </c>
      <c r="U69" s="47" t="n">
        <f aca="false">T69/$M69</f>
        <v>1.42163701279381</v>
      </c>
      <c r="V69" s="46" t="n">
        <f aca="false">H69</f>
        <v>16805</v>
      </c>
      <c r="W69" s="48" t="n">
        <f aca="false">V69</f>
        <v>16805</v>
      </c>
    </row>
    <row r="70" customFormat="false" ht="13.9" hidden="false" customHeight="true" outlineLevel="0" collapsed="false">
      <c r="B70" s="44"/>
      <c r="C70" s="45" t="s">
        <v>63</v>
      </c>
      <c r="D70" s="49" t="n">
        <v>20131.04</v>
      </c>
      <c r="E70" s="49" t="n">
        <v>18265.32</v>
      </c>
      <c r="F70" s="49" t="n">
        <v>18300</v>
      </c>
      <c r="G70" s="49" t="n">
        <v>31365</v>
      </c>
      <c r="H70" s="49" t="n">
        <v>31365</v>
      </c>
      <c r="I70" s="49"/>
      <c r="J70" s="49" t="n">
        <v>1000</v>
      </c>
      <c r="K70" s="49"/>
      <c r="L70" s="49"/>
      <c r="M70" s="49" t="n">
        <f aca="false">H70+SUM(I70:L70)</f>
        <v>32365</v>
      </c>
      <c r="N70" s="49" t="n">
        <v>8742.59</v>
      </c>
      <c r="O70" s="50" t="n">
        <f aca="false">N70/$M70</f>
        <v>0.270124826201143</v>
      </c>
      <c r="P70" s="49" t="n">
        <v>17371.93</v>
      </c>
      <c r="Q70" s="50" t="n">
        <f aca="false">P70/$M70</f>
        <v>0.536750502085586</v>
      </c>
      <c r="R70" s="49" t="n">
        <v>27344.44</v>
      </c>
      <c r="S70" s="50" t="n">
        <f aca="false">R70/$M70</f>
        <v>0.844876873165456</v>
      </c>
      <c r="T70" s="49" t="n">
        <v>36930.67</v>
      </c>
      <c r="U70" s="51" t="n">
        <f aca="false">T70/$M70</f>
        <v>1.14106812915186</v>
      </c>
      <c r="V70" s="46" t="n">
        <f aca="false">H70</f>
        <v>31365</v>
      </c>
      <c r="W70" s="48" t="n">
        <f aca="false">V70</f>
        <v>31365</v>
      </c>
    </row>
    <row r="71" customFormat="false" ht="13.9" hidden="false" customHeight="true" outlineLevel="0" collapsed="false">
      <c r="B71" s="44"/>
      <c r="C71" s="45" t="s">
        <v>64</v>
      </c>
      <c r="D71" s="49" t="n">
        <v>0</v>
      </c>
      <c r="E71" s="49" t="n">
        <v>19051.03</v>
      </c>
      <c r="F71" s="49" t="n">
        <v>0</v>
      </c>
      <c r="G71" s="49" t="n">
        <v>0</v>
      </c>
      <c r="H71" s="49" t="n">
        <v>4000</v>
      </c>
      <c r="I71" s="49" t="n">
        <v>1841</v>
      </c>
      <c r="J71" s="49"/>
      <c r="K71" s="49" t="n">
        <v>9679</v>
      </c>
      <c r="L71" s="49"/>
      <c r="M71" s="49" t="n">
        <f aca="false">H71+SUM(I71:L71)</f>
        <v>15520</v>
      </c>
      <c r="N71" s="49" t="n">
        <v>5840.55</v>
      </c>
      <c r="O71" s="50" t="n">
        <f aca="false">N71/$M71</f>
        <v>0.376324097938144</v>
      </c>
      <c r="P71" s="49" t="n">
        <v>5840.55</v>
      </c>
      <c r="Q71" s="50" t="n">
        <f aca="false">P71/$M71</f>
        <v>0.376324097938144</v>
      </c>
      <c r="R71" s="49" t="n">
        <v>15519.94</v>
      </c>
      <c r="S71" s="50" t="n">
        <f aca="false">R71/$M71</f>
        <v>0.999996134020619</v>
      </c>
      <c r="T71" s="49" t="n">
        <v>15519.94</v>
      </c>
      <c r="U71" s="51" t="n">
        <f aca="false">T71/$M71</f>
        <v>0.999996134020619</v>
      </c>
      <c r="V71" s="46" t="n">
        <v>0</v>
      </c>
      <c r="W71" s="48" t="n">
        <f aca="false">V71</f>
        <v>0</v>
      </c>
    </row>
    <row r="72" customFormat="false" ht="13.9" hidden="false" customHeight="true" outlineLevel="0" collapsed="false">
      <c r="B72" s="44"/>
      <c r="C72" s="45" t="s">
        <v>65</v>
      </c>
      <c r="D72" s="49" t="n">
        <v>0</v>
      </c>
      <c r="E72" s="49" t="n">
        <v>0</v>
      </c>
      <c r="F72" s="49" t="n">
        <v>0</v>
      </c>
      <c r="G72" s="49" t="n">
        <v>15717</v>
      </c>
      <c r="H72" s="49" t="n">
        <v>500</v>
      </c>
      <c r="I72" s="49"/>
      <c r="J72" s="49" t="n">
        <v>600</v>
      </c>
      <c r="K72" s="49"/>
      <c r="L72" s="49"/>
      <c r="M72" s="49" t="n">
        <f aca="false">H72+SUM(I72:L72)</f>
        <v>1100</v>
      </c>
      <c r="N72" s="49" t="n">
        <v>400</v>
      </c>
      <c r="O72" s="50" t="n">
        <f aca="false">N72/$M72</f>
        <v>0.363636363636364</v>
      </c>
      <c r="P72" s="49" t="n">
        <v>925</v>
      </c>
      <c r="Q72" s="50" t="n">
        <f aca="false">P72/$M72</f>
        <v>0.840909090909091</v>
      </c>
      <c r="R72" s="49" t="n">
        <v>1200</v>
      </c>
      <c r="S72" s="50" t="n">
        <f aca="false">R72/$M72</f>
        <v>1.09090909090909</v>
      </c>
      <c r="T72" s="49" t="n">
        <v>1385</v>
      </c>
      <c r="U72" s="51" t="n">
        <f aca="false">T72/$M72</f>
        <v>1.25909090909091</v>
      </c>
      <c r="V72" s="46" t="n">
        <v>0</v>
      </c>
      <c r="W72" s="48" t="n">
        <f aca="false">V72</f>
        <v>0</v>
      </c>
    </row>
    <row r="73" customFormat="false" ht="13.9" hidden="false" customHeight="true" outlineLevel="0" collapsed="false">
      <c r="B73" s="44"/>
      <c r="C73" s="45" t="s">
        <v>66</v>
      </c>
      <c r="D73" s="49" t="n">
        <v>3424</v>
      </c>
      <c r="E73" s="49" t="n">
        <v>3249</v>
      </c>
      <c r="F73" s="49" t="n">
        <v>3900</v>
      </c>
      <c r="G73" s="49" t="n">
        <v>5745</v>
      </c>
      <c r="H73" s="49" t="n">
        <v>5745</v>
      </c>
      <c r="I73" s="49"/>
      <c r="J73" s="49"/>
      <c r="K73" s="49"/>
      <c r="L73" s="49"/>
      <c r="M73" s="49" t="n">
        <f aca="false">H73+SUM(I73:L73)</f>
        <v>5745</v>
      </c>
      <c r="N73" s="49" t="n">
        <v>1980</v>
      </c>
      <c r="O73" s="50" t="n">
        <f aca="false">N73/$M73</f>
        <v>0.344647519582245</v>
      </c>
      <c r="P73" s="49" t="n">
        <v>2330</v>
      </c>
      <c r="Q73" s="50" t="n">
        <f aca="false">P73/$M73</f>
        <v>0.405570060922541</v>
      </c>
      <c r="R73" s="49" t="n">
        <v>3255</v>
      </c>
      <c r="S73" s="50" t="n">
        <f aca="false">R73/$M73</f>
        <v>0.566579634464752</v>
      </c>
      <c r="T73" s="49" t="n">
        <v>4520</v>
      </c>
      <c r="U73" s="51" t="n">
        <f aca="false">T73/$M73</f>
        <v>0.786771105308964</v>
      </c>
      <c r="V73" s="46" t="n">
        <f aca="false">H73</f>
        <v>5745</v>
      </c>
      <c r="W73" s="48" t="n">
        <f aca="false">V73</f>
        <v>5745</v>
      </c>
    </row>
    <row r="74" customFormat="false" ht="13.9" hidden="false" customHeight="true" outlineLevel="0" collapsed="false">
      <c r="B74" s="44"/>
      <c r="C74" s="45" t="s">
        <v>67</v>
      </c>
      <c r="D74" s="49" t="n">
        <v>927</v>
      </c>
      <c r="E74" s="49" t="n">
        <v>536</v>
      </c>
      <c r="F74" s="49" t="n">
        <v>550</v>
      </c>
      <c r="G74" s="49" t="n">
        <v>656</v>
      </c>
      <c r="H74" s="49" t="n">
        <v>660</v>
      </c>
      <c r="I74" s="49"/>
      <c r="J74" s="49"/>
      <c r="K74" s="49"/>
      <c r="L74" s="49"/>
      <c r="M74" s="49" t="n">
        <f aca="false">H74+SUM(I74:L74)</f>
        <v>660</v>
      </c>
      <c r="N74" s="49" t="n">
        <v>0</v>
      </c>
      <c r="O74" s="50" t="n">
        <f aca="false">N74/$M74</f>
        <v>0</v>
      </c>
      <c r="P74" s="49" t="n">
        <v>255</v>
      </c>
      <c r="Q74" s="50" t="n">
        <f aca="false">P74/$M74</f>
        <v>0.386363636363636</v>
      </c>
      <c r="R74" s="49" t="n">
        <v>255</v>
      </c>
      <c r="S74" s="50" t="n">
        <f aca="false">R74/$M74</f>
        <v>0.386363636363636</v>
      </c>
      <c r="T74" s="49" t="n">
        <v>255</v>
      </c>
      <c r="U74" s="51" t="n">
        <f aca="false">T74/$M74</f>
        <v>0.386363636363636</v>
      </c>
      <c r="V74" s="46" t="n">
        <f aca="false">H74</f>
        <v>660</v>
      </c>
      <c r="W74" s="48" t="n">
        <f aca="false">V74</f>
        <v>660</v>
      </c>
    </row>
    <row r="75" customFormat="false" ht="13.9" hidden="false" customHeight="true" outlineLevel="0" collapsed="false">
      <c r="B75" s="44"/>
      <c r="C75" s="45" t="s">
        <v>68</v>
      </c>
      <c r="D75" s="49" t="n">
        <v>480</v>
      </c>
      <c r="E75" s="49" t="n">
        <v>360</v>
      </c>
      <c r="F75" s="49" t="n">
        <v>500</v>
      </c>
      <c r="G75" s="49" t="n">
        <v>600</v>
      </c>
      <c r="H75" s="49" t="n">
        <v>600</v>
      </c>
      <c r="I75" s="49"/>
      <c r="J75" s="49"/>
      <c r="K75" s="49"/>
      <c r="L75" s="49"/>
      <c r="M75" s="49" t="n">
        <f aca="false">H75+SUM(I75:L75)</f>
        <v>600</v>
      </c>
      <c r="N75" s="49" t="n">
        <v>0</v>
      </c>
      <c r="O75" s="50" t="n">
        <f aca="false">N75/$M75</f>
        <v>0</v>
      </c>
      <c r="P75" s="49" t="n">
        <v>0</v>
      </c>
      <c r="Q75" s="50" t="n">
        <f aca="false">P75/$M75</f>
        <v>0</v>
      </c>
      <c r="R75" s="49" t="n">
        <v>120</v>
      </c>
      <c r="S75" s="50" t="n">
        <f aca="false">R75/$M75</f>
        <v>0.2</v>
      </c>
      <c r="T75" s="49" t="n">
        <v>120</v>
      </c>
      <c r="U75" s="51" t="n">
        <f aca="false">T75/$M75</f>
        <v>0.2</v>
      </c>
      <c r="V75" s="46" t="n">
        <f aca="false">H75</f>
        <v>600</v>
      </c>
      <c r="W75" s="48" t="n">
        <f aca="false">V75</f>
        <v>600</v>
      </c>
    </row>
    <row r="76" customFormat="false" ht="13.9" hidden="false" customHeight="true" outlineLevel="0" collapsed="false">
      <c r="B76" s="44"/>
      <c r="C76" s="45" t="s">
        <v>69</v>
      </c>
      <c r="D76" s="46" t="n">
        <v>3518.98</v>
      </c>
      <c r="E76" s="46" t="n">
        <v>2110.32</v>
      </c>
      <c r="F76" s="46" t="n">
        <v>3133</v>
      </c>
      <c r="G76" s="46" t="n">
        <v>5364</v>
      </c>
      <c r="H76" s="46" t="n">
        <v>0</v>
      </c>
      <c r="I76" s="46" t="n">
        <v>2000</v>
      </c>
      <c r="J76" s="46" t="n">
        <v>2000</v>
      </c>
      <c r="K76" s="46" t="n">
        <f aca="false">1549+384</f>
        <v>1933</v>
      </c>
      <c r="L76" s="46"/>
      <c r="M76" s="46" t="n">
        <f aca="false">H76+SUM(I76:L76)</f>
        <v>5933</v>
      </c>
      <c r="N76" s="46" t="n">
        <v>4328.46</v>
      </c>
      <c r="O76" s="2" t="n">
        <f aca="false">N76/$M76</f>
        <v>0.729556716669476</v>
      </c>
      <c r="P76" s="46" t="n">
        <v>5296.96</v>
      </c>
      <c r="Q76" s="2" t="n">
        <f aca="false">P76/$M76</f>
        <v>0.892796224506995</v>
      </c>
      <c r="R76" s="46" t="n">
        <v>5932.76</v>
      </c>
      <c r="S76" s="2" t="n">
        <f aca="false">R76/$M76</f>
        <v>0.99995954828923</v>
      </c>
      <c r="T76" s="46" t="n">
        <v>5993.29</v>
      </c>
      <c r="U76" s="47" t="n">
        <f aca="false">T76/$M76</f>
        <v>1.01016180684308</v>
      </c>
      <c r="V76" s="46" t="n">
        <v>0</v>
      </c>
      <c r="W76" s="48" t="n">
        <f aca="false">V76</f>
        <v>0</v>
      </c>
    </row>
    <row r="77" customFormat="false" ht="13.9" hidden="false" customHeight="true" outlineLevel="0" collapsed="false">
      <c r="B77" s="52"/>
      <c r="C77" s="53" t="s">
        <v>70</v>
      </c>
      <c r="D77" s="54" t="n">
        <v>8367.37</v>
      </c>
      <c r="E77" s="54" t="n">
        <v>9519.4</v>
      </c>
      <c r="F77" s="54" t="n">
        <v>9500</v>
      </c>
      <c r="G77" s="54" t="n">
        <v>9925</v>
      </c>
      <c r="H77" s="54" t="n">
        <v>10315</v>
      </c>
      <c r="I77" s="54"/>
      <c r="J77" s="54"/>
      <c r="K77" s="54"/>
      <c r="L77" s="54"/>
      <c r="M77" s="54" t="n">
        <f aca="false">H77+SUM(I77:L77)</f>
        <v>10315</v>
      </c>
      <c r="N77" s="54" t="n">
        <v>1570.96</v>
      </c>
      <c r="O77" s="55" t="n">
        <f aca="false">N77/$M77</f>
        <v>0.152298594280174</v>
      </c>
      <c r="P77" s="54" t="n">
        <v>2698.67</v>
      </c>
      <c r="Q77" s="55" t="n">
        <f aca="false">P77/$M77</f>
        <v>0.261625787687833</v>
      </c>
      <c r="R77" s="54" t="n">
        <v>4148.1</v>
      </c>
      <c r="S77" s="55" t="n">
        <f aca="false">R77/$M77</f>
        <v>0.402142510906447</v>
      </c>
      <c r="T77" s="54" t="n">
        <v>8182.35</v>
      </c>
      <c r="U77" s="56" t="n">
        <f aca="false">T77/$M77</f>
        <v>0.793247697527872</v>
      </c>
      <c r="V77" s="54" t="n">
        <f aca="false">H77</f>
        <v>10315</v>
      </c>
      <c r="W77" s="57" t="n">
        <f aca="false">V77</f>
        <v>10315</v>
      </c>
    </row>
    <row r="79" customFormat="false" ht="13.9" hidden="false" customHeight="true" outlineLevel="0" collapsed="false">
      <c r="A79" s="19" t="s">
        <v>71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20"/>
      <c r="P79" s="19"/>
      <c r="Q79" s="19"/>
      <c r="R79" s="19"/>
      <c r="S79" s="19"/>
      <c r="T79" s="19"/>
      <c r="U79" s="19"/>
      <c r="V79" s="19"/>
      <c r="W79" s="19"/>
    </row>
    <row r="80" customFormat="false" ht="13.9" hidden="false" customHeight="true" outlineLevel="0" collapsed="false">
      <c r="A80" s="6"/>
      <c r="B80" s="6"/>
      <c r="C80" s="6"/>
      <c r="D80" s="7" t="s">
        <v>1</v>
      </c>
      <c r="E80" s="7" t="s">
        <v>2</v>
      </c>
      <c r="F80" s="7" t="s">
        <v>3</v>
      </c>
      <c r="G80" s="7" t="s">
        <v>4</v>
      </c>
      <c r="H80" s="7" t="s">
        <v>5</v>
      </c>
      <c r="I80" s="7" t="s">
        <v>6</v>
      </c>
      <c r="J80" s="7" t="s">
        <v>7</v>
      </c>
      <c r="K80" s="7" t="s">
        <v>8</v>
      </c>
      <c r="L80" s="7" t="s">
        <v>9</v>
      </c>
      <c r="M80" s="7" t="s">
        <v>10</v>
      </c>
      <c r="N80" s="7" t="s">
        <v>11</v>
      </c>
      <c r="O80" s="8" t="s">
        <v>12</v>
      </c>
      <c r="P80" s="7" t="s">
        <v>13</v>
      </c>
      <c r="Q80" s="8" t="s">
        <v>14</v>
      </c>
      <c r="R80" s="7" t="s">
        <v>15</v>
      </c>
      <c r="S80" s="8" t="s">
        <v>16</v>
      </c>
      <c r="T80" s="7" t="s">
        <v>17</v>
      </c>
      <c r="U80" s="8" t="s">
        <v>18</v>
      </c>
      <c r="V80" s="7" t="s">
        <v>19</v>
      </c>
      <c r="W80" s="7" t="s">
        <v>20</v>
      </c>
    </row>
    <row r="81" customFormat="false" ht="13.9" hidden="false" customHeight="true" outlineLevel="0" collapsed="false">
      <c r="A81" s="21" t="s">
        <v>21</v>
      </c>
      <c r="B81" s="22" t="n">
        <v>111</v>
      </c>
      <c r="C81" s="22" t="s">
        <v>22</v>
      </c>
      <c r="D81" s="23" t="n">
        <f aca="false">D121</f>
        <v>611082.49</v>
      </c>
      <c r="E81" s="58" t="n">
        <f aca="false">E121</f>
        <v>1081145.62</v>
      </c>
      <c r="F81" s="58" t="n">
        <f aca="false">F121</f>
        <v>1700576</v>
      </c>
      <c r="G81" s="58" t="n">
        <f aca="false">G121</f>
        <v>1594147</v>
      </c>
      <c r="H81" s="58" t="n">
        <f aca="false">H121</f>
        <v>980789</v>
      </c>
      <c r="I81" s="58" t="n">
        <f aca="false">I121</f>
        <v>703</v>
      </c>
      <c r="J81" s="58" t="n">
        <f aca="false">J121</f>
        <v>8489</v>
      </c>
      <c r="K81" s="58" t="n">
        <f aca="false">K121</f>
        <v>25228</v>
      </c>
      <c r="L81" s="58" t="n">
        <f aca="false">L121</f>
        <v>19654</v>
      </c>
      <c r="M81" s="58" t="n">
        <f aca="false">M121</f>
        <v>1034863</v>
      </c>
      <c r="N81" s="58" t="n">
        <f aca="false">N121</f>
        <v>205329.35</v>
      </c>
      <c r="O81" s="59" t="n">
        <f aca="false">N81/$M81</f>
        <v>0.198412108655928</v>
      </c>
      <c r="P81" s="58" t="n">
        <f aca="false">P121</f>
        <v>356196.23</v>
      </c>
      <c r="Q81" s="59" t="n">
        <f aca="false">P81/$M81</f>
        <v>0.344196507170514</v>
      </c>
      <c r="R81" s="58" t="n">
        <f aca="false">R121</f>
        <v>536104.26</v>
      </c>
      <c r="S81" s="59" t="n">
        <f aca="false">R81/$M81</f>
        <v>0.51804370240312</v>
      </c>
      <c r="T81" s="58" t="n">
        <f aca="false">T121</f>
        <v>712245.14</v>
      </c>
      <c r="U81" s="59" t="n">
        <f aca="false">T81/$M81</f>
        <v>0.688250657333386</v>
      </c>
      <c r="V81" s="58" t="n">
        <f aca="false">V121</f>
        <v>646157</v>
      </c>
      <c r="W81" s="58" t="n">
        <f aca="false">W121</f>
        <v>651913</v>
      </c>
    </row>
    <row r="82" customFormat="false" ht="13.9" hidden="false" customHeight="true" outlineLevel="0" collapsed="false">
      <c r="A82" s="21" t="s">
        <v>21</v>
      </c>
      <c r="B82" s="22" t="n">
        <v>71</v>
      </c>
      <c r="C82" s="22" t="s">
        <v>24</v>
      </c>
      <c r="D82" s="23" t="n">
        <f aca="false">D123</f>
        <v>1400</v>
      </c>
      <c r="E82" s="23" t="n">
        <f aca="false">E123</f>
        <v>1400</v>
      </c>
      <c r="F82" s="23" t="n">
        <f aca="false">F123</f>
        <v>1400</v>
      </c>
      <c r="G82" s="23" t="n">
        <f aca="false">G123</f>
        <v>1400</v>
      </c>
      <c r="H82" s="23" t="n">
        <f aca="false">H123</f>
        <v>1400</v>
      </c>
      <c r="I82" s="23" t="n">
        <f aca="false">I123</f>
        <v>0</v>
      </c>
      <c r="J82" s="23" t="n">
        <f aca="false">J123</f>
        <v>0</v>
      </c>
      <c r="K82" s="23" t="n">
        <f aca="false">K123</f>
        <v>0</v>
      </c>
      <c r="L82" s="23" t="n">
        <f aca="false">L123</f>
        <v>0</v>
      </c>
      <c r="M82" s="23" t="n">
        <f aca="false">M123</f>
        <v>1400</v>
      </c>
      <c r="N82" s="23" t="n">
        <f aca="false">N123</f>
        <v>0</v>
      </c>
      <c r="O82" s="24" t="n">
        <f aca="false">N82/$M82</f>
        <v>0</v>
      </c>
      <c r="P82" s="23" t="n">
        <f aca="false">P123</f>
        <v>1400</v>
      </c>
      <c r="Q82" s="24" t="n">
        <f aca="false">P82/$M82</f>
        <v>1</v>
      </c>
      <c r="R82" s="23" t="n">
        <f aca="false">R123</f>
        <v>1400</v>
      </c>
      <c r="S82" s="24" t="n">
        <f aca="false">R82/$M82</f>
        <v>1</v>
      </c>
      <c r="T82" s="23" t="n">
        <f aca="false">T123</f>
        <v>1400</v>
      </c>
      <c r="U82" s="24" t="n">
        <f aca="false">T82/$M82</f>
        <v>1</v>
      </c>
      <c r="V82" s="23" t="n">
        <f aca="false">V123</f>
        <v>1400</v>
      </c>
      <c r="W82" s="23" t="n">
        <f aca="false">W123</f>
        <v>1400</v>
      </c>
    </row>
    <row r="83" customFormat="false" ht="13.9" hidden="false" customHeight="true" outlineLevel="0" collapsed="false">
      <c r="A83" s="21" t="s">
        <v>21</v>
      </c>
      <c r="B83" s="22" t="n">
        <v>72</v>
      </c>
      <c r="C83" s="22" t="s">
        <v>25</v>
      </c>
      <c r="D83" s="23" t="n">
        <f aca="false">D126</f>
        <v>0</v>
      </c>
      <c r="E83" s="23" t="n">
        <f aca="false">E126</f>
        <v>6535.22</v>
      </c>
      <c r="F83" s="23" t="n">
        <f aca="false">F126</f>
        <v>3150</v>
      </c>
      <c r="G83" s="23" t="n">
        <f aca="false">G126</f>
        <v>4298</v>
      </c>
      <c r="H83" s="23" t="n">
        <f aca="false">H126</f>
        <v>7395</v>
      </c>
      <c r="I83" s="23" t="n">
        <f aca="false">I126</f>
        <v>0</v>
      </c>
      <c r="J83" s="23" t="n">
        <f aca="false">J126</f>
        <v>0</v>
      </c>
      <c r="K83" s="23" t="n">
        <f aca="false">K126</f>
        <v>0</v>
      </c>
      <c r="L83" s="23" t="n">
        <f aca="false">L126</f>
        <v>-1230</v>
      </c>
      <c r="M83" s="23" t="n">
        <f aca="false">M126</f>
        <v>6165</v>
      </c>
      <c r="N83" s="23" t="n">
        <f aca="false">N126</f>
        <v>1431.66</v>
      </c>
      <c r="O83" s="24" t="n">
        <f aca="false">N83/$M83</f>
        <v>0.232223844282238</v>
      </c>
      <c r="P83" s="23" t="n">
        <f aca="false">P126</f>
        <v>3967.56</v>
      </c>
      <c r="Q83" s="24" t="n">
        <f aca="false">P83/$M83</f>
        <v>0.64356204379562</v>
      </c>
      <c r="R83" s="23" t="n">
        <f aca="false">R126</f>
        <v>5373.64</v>
      </c>
      <c r="S83" s="24" t="n">
        <f aca="false">R83/$M83</f>
        <v>0.871636658556367</v>
      </c>
      <c r="T83" s="23" t="n">
        <f aca="false">T126</f>
        <v>5430.66</v>
      </c>
      <c r="U83" s="24" t="n">
        <f aca="false">T83/$M83</f>
        <v>0.880885644768857</v>
      </c>
      <c r="V83" s="23" t="n">
        <f aca="false">V126</f>
        <v>7395</v>
      </c>
      <c r="W83" s="23" t="n">
        <f aca="false">W126</f>
        <v>7395</v>
      </c>
    </row>
    <row r="84" customFormat="false" ht="13.9" hidden="false" customHeight="true" outlineLevel="0" collapsed="false">
      <c r="A84" s="17"/>
      <c r="B84" s="18"/>
      <c r="C84" s="25" t="s">
        <v>30</v>
      </c>
      <c r="D84" s="26" t="n">
        <f aca="false">SUM(D81:D83)</f>
        <v>612482.49</v>
      </c>
      <c r="E84" s="26" t="n">
        <f aca="false">SUM(E81:E83)</f>
        <v>1089080.84</v>
      </c>
      <c r="F84" s="26" t="n">
        <f aca="false">SUM(F81:F83)</f>
        <v>1705126</v>
      </c>
      <c r="G84" s="26" t="n">
        <f aca="false">SUM(G81:G83)</f>
        <v>1599845</v>
      </c>
      <c r="H84" s="26" t="n">
        <f aca="false">SUM(H81:H83)</f>
        <v>989584</v>
      </c>
      <c r="I84" s="26" t="n">
        <f aca="false">SUM(I81:I83)</f>
        <v>703</v>
      </c>
      <c r="J84" s="26" t="n">
        <f aca="false">SUM(J81:J83)</f>
        <v>8489</v>
      </c>
      <c r="K84" s="26" t="n">
        <f aca="false">SUM(K81:K83)</f>
        <v>25228</v>
      </c>
      <c r="L84" s="26" t="n">
        <f aca="false">SUM(L81:L83)</f>
        <v>18424</v>
      </c>
      <c r="M84" s="26" t="n">
        <f aca="false">SUM(M81:M83)</f>
        <v>1042428</v>
      </c>
      <c r="N84" s="26" t="n">
        <f aca="false">SUM(N81:N83)</f>
        <v>206761.01</v>
      </c>
      <c r="O84" s="27" t="n">
        <f aca="false">N84/$M84</f>
        <v>0.198345602765851</v>
      </c>
      <c r="P84" s="26" t="n">
        <f aca="false">SUM(P81:P83)</f>
        <v>361563.79</v>
      </c>
      <c r="Q84" s="27" t="n">
        <f aca="false">P84/$M84</f>
        <v>0.346847734327934</v>
      </c>
      <c r="R84" s="26" t="n">
        <f aca="false">SUM(R81:R83)</f>
        <v>542877.9</v>
      </c>
      <c r="S84" s="27" t="n">
        <f aca="false">R84/$M84</f>
        <v>0.520782154738745</v>
      </c>
      <c r="T84" s="26" t="n">
        <f aca="false">SUM(T81:T83)</f>
        <v>719075.8</v>
      </c>
      <c r="U84" s="27" t="n">
        <f aca="false">T84/$M84</f>
        <v>0.689808600689928</v>
      </c>
      <c r="V84" s="26" t="n">
        <f aca="false">SUM(V81:V83)</f>
        <v>654952</v>
      </c>
      <c r="W84" s="26" t="n">
        <f aca="false">SUM(W81:W83)</f>
        <v>660708</v>
      </c>
    </row>
    <row r="86" customFormat="false" ht="13.9" hidden="false" customHeight="true" outlineLevel="0" collapsed="false">
      <c r="A86" s="60" t="s">
        <v>72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/>
      <c r="P86" s="60"/>
      <c r="Q86" s="60"/>
      <c r="R86" s="60"/>
      <c r="S86" s="60"/>
      <c r="T86" s="60"/>
      <c r="U86" s="60"/>
      <c r="V86" s="60"/>
      <c r="W86" s="60"/>
    </row>
    <row r="87" customFormat="false" ht="13.9" hidden="false" customHeight="true" outlineLevel="0" collapsed="false">
      <c r="A87" s="7" t="s">
        <v>33</v>
      </c>
      <c r="B87" s="7" t="s">
        <v>34</v>
      </c>
      <c r="C87" s="7" t="s">
        <v>35</v>
      </c>
      <c r="D87" s="7" t="s">
        <v>1</v>
      </c>
      <c r="E87" s="7" t="s">
        <v>2</v>
      </c>
      <c r="F87" s="7" t="s">
        <v>3</v>
      </c>
      <c r="G87" s="7" t="s">
        <v>4</v>
      </c>
      <c r="H87" s="7" t="s">
        <v>5</v>
      </c>
      <c r="I87" s="7" t="s">
        <v>6</v>
      </c>
      <c r="J87" s="7" t="s">
        <v>7</v>
      </c>
      <c r="K87" s="7" t="s">
        <v>8</v>
      </c>
      <c r="L87" s="7" t="s">
        <v>9</v>
      </c>
      <c r="M87" s="7" t="s">
        <v>10</v>
      </c>
      <c r="N87" s="7" t="s">
        <v>11</v>
      </c>
      <c r="O87" s="8" t="s">
        <v>12</v>
      </c>
      <c r="P87" s="7" t="s">
        <v>13</v>
      </c>
      <c r="Q87" s="8" t="s">
        <v>14</v>
      </c>
      <c r="R87" s="7" t="s">
        <v>15</v>
      </c>
      <c r="S87" s="8" t="s">
        <v>16</v>
      </c>
      <c r="T87" s="7" t="s">
        <v>17</v>
      </c>
      <c r="U87" s="8" t="s">
        <v>18</v>
      </c>
      <c r="V87" s="7" t="s">
        <v>19</v>
      </c>
      <c r="W87" s="7" t="s">
        <v>20</v>
      </c>
    </row>
    <row r="88" customFormat="false" ht="13.9" hidden="false" customHeight="true" outlineLevel="0" collapsed="false">
      <c r="A88" s="62" t="s">
        <v>49</v>
      </c>
      <c r="B88" s="10" t="n">
        <v>312001</v>
      </c>
      <c r="C88" s="10" t="s">
        <v>73</v>
      </c>
      <c r="D88" s="63" t="n">
        <v>405813</v>
      </c>
      <c r="E88" s="63" t="n">
        <v>421262</v>
      </c>
      <c r="F88" s="64" t="n">
        <v>451919</v>
      </c>
      <c r="G88" s="63" t="n">
        <v>463138</v>
      </c>
      <c r="H88" s="64" t="n">
        <v>525190</v>
      </c>
      <c r="I88" s="64"/>
      <c r="J88" s="64"/>
      <c r="K88" s="64"/>
      <c r="L88" s="64" t="n">
        <v>-11894</v>
      </c>
      <c r="M88" s="64" t="n">
        <f aca="false">H88+SUM(I88:L88)</f>
        <v>513296</v>
      </c>
      <c r="N88" s="64" t="n">
        <v>123109</v>
      </c>
      <c r="O88" s="65" t="n">
        <f aca="false">N88/$M88</f>
        <v>0.239840170194196</v>
      </c>
      <c r="P88" s="64" t="n">
        <v>246217</v>
      </c>
      <c r="Q88" s="65" t="n">
        <f aca="false">P88/$M88</f>
        <v>0.479678392194757</v>
      </c>
      <c r="R88" s="64" t="n">
        <v>370525</v>
      </c>
      <c r="S88" s="65" t="n">
        <f aca="false">R88/$M88</f>
        <v>0.721854446557152</v>
      </c>
      <c r="T88" s="64" t="n">
        <v>519878</v>
      </c>
      <c r="U88" s="65" t="n">
        <f aca="false">T88/$M88</f>
        <v>1.01282301050466</v>
      </c>
      <c r="V88" s="63" t="n">
        <f aca="false">H88</f>
        <v>525190</v>
      </c>
      <c r="W88" s="63" t="n">
        <f aca="false">V88</f>
        <v>525190</v>
      </c>
    </row>
    <row r="89" customFormat="false" ht="13.9" hidden="false" customHeight="true" outlineLevel="0" collapsed="false">
      <c r="A89" s="62"/>
      <c r="B89" s="10" t="n">
        <v>312001</v>
      </c>
      <c r="C89" s="10" t="s">
        <v>74</v>
      </c>
      <c r="D89" s="63" t="n">
        <v>1127</v>
      </c>
      <c r="E89" s="63" t="n">
        <v>1900</v>
      </c>
      <c r="F89" s="64" t="n">
        <v>1800</v>
      </c>
      <c r="G89" s="63" t="n">
        <v>1800</v>
      </c>
      <c r="H89" s="64" t="n">
        <v>1800</v>
      </c>
      <c r="I89" s="64"/>
      <c r="J89" s="64"/>
      <c r="K89" s="64"/>
      <c r="L89" s="64" t="n">
        <v>50</v>
      </c>
      <c r="M89" s="64" t="n">
        <f aca="false">H89+SUM(I89:L89)</f>
        <v>1850</v>
      </c>
      <c r="N89" s="64" t="n">
        <v>1200</v>
      </c>
      <c r="O89" s="65" t="n">
        <f aca="false">N89/$M89</f>
        <v>0.648648648648649</v>
      </c>
      <c r="P89" s="64" t="n">
        <v>1200</v>
      </c>
      <c r="Q89" s="65" t="n">
        <f aca="false">P89/$M89</f>
        <v>0.648648648648649</v>
      </c>
      <c r="R89" s="64" t="n">
        <v>1200</v>
      </c>
      <c r="S89" s="65" t="n">
        <f aca="false">R89/$M89</f>
        <v>0.648648648648649</v>
      </c>
      <c r="T89" s="64" t="n">
        <v>1850</v>
      </c>
      <c r="U89" s="65" t="n">
        <f aca="false">T89/$M89</f>
        <v>1</v>
      </c>
      <c r="V89" s="63" t="n">
        <f aca="false">H89</f>
        <v>1800</v>
      </c>
      <c r="W89" s="63" t="n">
        <f aca="false">V89</f>
        <v>1800</v>
      </c>
    </row>
    <row r="90" customFormat="false" ht="13.9" hidden="false" customHeight="true" outlineLevel="0" collapsed="false">
      <c r="A90" s="62"/>
      <c r="B90" s="10" t="n">
        <v>312001</v>
      </c>
      <c r="C90" s="10" t="s">
        <v>75</v>
      </c>
      <c r="D90" s="63" t="n">
        <v>4612</v>
      </c>
      <c r="E90" s="63" t="n">
        <v>5040</v>
      </c>
      <c r="F90" s="64" t="n">
        <v>5544</v>
      </c>
      <c r="G90" s="63" t="n">
        <v>9610</v>
      </c>
      <c r="H90" s="64" t="n">
        <v>6098</v>
      </c>
      <c r="I90" s="64"/>
      <c r="J90" s="64"/>
      <c r="K90" s="64"/>
      <c r="L90" s="64" t="n">
        <v>13409</v>
      </c>
      <c r="M90" s="64" t="n">
        <f aca="false">H90+SUM(I90:L90)</f>
        <v>19507</v>
      </c>
      <c r="N90" s="64" t="n">
        <v>6502</v>
      </c>
      <c r="O90" s="65" t="n">
        <f aca="false">N90/$M90</f>
        <v>0.333316245450351</v>
      </c>
      <c r="P90" s="64" t="n">
        <v>13005</v>
      </c>
      <c r="Q90" s="65" t="n">
        <f aca="false">P90/$M90</f>
        <v>0.666683754549649</v>
      </c>
      <c r="R90" s="64" t="n">
        <v>19507</v>
      </c>
      <c r="S90" s="65" t="n">
        <f aca="false">R90/$M90</f>
        <v>1</v>
      </c>
      <c r="T90" s="64" t="n">
        <v>19507</v>
      </c>
      <c r="U90" s="65" t="n">
        <f aca="false">T90/$M90</f>
        <v>1</v>
      </c>
      <c r="V90" s="63" t="n">
        <f aca="false">H90</f>
        <v>6098</v>
      </c>
      <c r="W90" s="63" t="n">
        <f aca="false">V90</f>
        <v>6098</v>
      </c>
    </row>
    <row r="91" customFormat="false" ht="13.9" hidden="false" customHeight="true" outlineLevel="0" collapsed="false">
      <c r="A91" s="62"/>
      <c r="B91" s="10" t="n">
        <v>312001</v>
      </c>
      <c r="C91" s="10" t="s">
        <v>76</v>
      </c>
      <c r="D91" s="63" t="n">
        <v>5913</v>
      </c>
      <c r="E91" s="63" t="n">
        <v>5818</v>
      </c>
      <c r="F91" s="64" t="n">
        <v>6482</v>
      </c>
      <c r="G91" s="63" t="n">
        <v>5875</v>
      </c>
      <c r="H91" s="64" t="n">
        <v>6615</v>
      </c>
      <c r="I91" s="64"/>
      <c r="J91" s="64"/>
      <c r="K91" s="64"/>
      <c r="L91" s="64" t="n">
        <v>-874</v>
      </c>
      <c r="M91" s="64" t="n">
        <f aca="false">H91+SUM(I91:L91)</f>
        <v>5741</v>
      </c>
      <c r="N91" s="64" t="n">
        <v>3629</v>
      </c>
      <c r="O91" s="65" t="n">
        <f aca="false">N91/$M91</f>
        <v>0.632119839749173</v>
      </c>
      <c r="P91" s="64" t="n">
        <v>3629</v>
      </c>
      <c r="Q91" s="65" t="n">
        <f aca="false">P91/$M91</f>
        <v>0.632119839749173</v>
      </c>
      <c r="R91" s="64" t="n">
        <v>3629</v>
      </c>
      <c r="S91" s="65" t="n">
        <f aca="false">R91/$M91</f>
        <v>0.632119839749173</v>
      </c>
      <c r="T91" s="64" t="n">
        <v>5741</v>
      </c>
      <c r="U91" s="65" t="n">
        <f aca="false">T91/$M91</f>
        <v>1</v>
      </c>
      <c r="V91" s="63" t="n">
        <f aca="false">H91</f>
        <v>6615</v>
      </c>
      <c r="W91" s="63" t="n">
        <f aca="false">V91</f>
        <v>6615</v>
      </c>
    </row>
    <row r="92" customFormat="false" ht="13.9" hidden="false" customHeight="true" outlineLevel="0" collapsed="false">
      <c r="A92" s="62"/>
      <c r="B92" s="10" t="n">
        <v>312001</v>
      </c>
      <c r="C92" s="10" t="s">
        <v>77</v>
      </c>
      <c r="D92" s="63" t="n">
        <v>3115</v>
      </c>
      <c r="E92" s="63" t="n">
        <v>2372</v>
      </c>
      <c r="F92" s="64" t="n">
        <v>7786</v>
      </c>
      <c r="G92" s="63" t="n">
        <v>31550</v>
      </c>
      <c r="H92" s="64" t="n">
        <v>38050</v>
      </c>
      <c r="I92" s="64"/>
      <c r="J92" s="64"/>
      <c r="K92" s="64"/>
      <c r="L92" s="64" t="n">
        <v>2835</v>
      </c>
      <c r="M92" s="64" t="n">
        <f aca="false">H92+SUM(I92:L92)</f>
        <v>40885</v>
      </c>
      <c r="N92" s="64" t="n">
        <v>39552</v>
      </c>
      <c r="O92" s="65" t="n">
        <f aca="false">N92/$M92</f>
        <v>0.96739635563165</v>
      </c>
      <c r="P92" s="64" t="n">
        <v>39552</v>
      </c>
      <c r="Q92" s="65" t="n">
        <f aca="false">P92/$M92</f>
        <v>0.96739635563165</v>
      </c>
      <c r="R92" s="64" t="n">
        <v>40885.2</v>
      </c>
      <c r="S92" s="65" t="n">
        <f aca="false">R92/$M92</f>
        <v>1.0000048917696</v>
      </c>
      <c r="T92" s="64" t="n">
        <v>40885.2</v>
      </c>
      <c r="U92" s="65" t="n">
        <f aca="false">T92/$M92</f>
        <v>1.0000048917696</v>
      </c>
      <c r="V92" s="63" t="n">
        <f aca="false">H92</f>
        <v>38050</v>
      </c>
      <c r="W92" s="63" t="n">
        <f aca="false">V92</f>
        <v>38050</v>
      </c>
    </row>
    <row r="93" customFormat="false" ht="13.9" hidden="false" customHeight="true" outlineLevel="0" collapsed="false">
      <c r="A93" s="62"/>
      <c r="B93" s="10" t="n">
        <v>312001</v>
      </c>
      <c r="C93" s="10" t="s">
        <v>78</v>
      </c>
      <c r="D93" s="63" t="n">
        <v>431.6</v>
      </c>
      <c r="E93" s="63" t="n">
        <v>398.4</v>
      </c>
      <c r="F93" s="64" t="n">
        <v>400</v>
      </c>
      <c r="G93" s="63" t="n">
        <v>465</v>
      </c>
      <c r="H93" s="64" t="n">
        <v>565</v>
      </c>
      <c r="I93" s="64"/>
      <c r="J93" s="64"/>
      <c r="K93" s="64"/>
      <c r="L93" s="64" t="n">
        <v>-50</v>
      </c>
      <c r="M93" s="64" t="n">
        <f aca="false">H93+SUM(I93:L93)</f>
        <v>515</v>
      </c>
      <c r="N93" s="64" t="n">
        <v>249</v>
      </c>
      <c r="O93" s="65" t="n">
        <f aca="false">N93/$M93</f>
        <v>0.483495145631068</v>
      </c>
      <c r="P93" s="64" t="n">
        <v>249</v>
      </c>
      <c r="Q93" s="65" t="n">
        <f aca="false">P93/$M93</f>
        <v>0.483495145631068</v>
      </c>
      <c r="R93" s="64" t="n">
        <v>514.6</v>
      </c>
      <c r="S93" s="65" t="n">
        <f aca="false">R93/$M93</f>
        <v>0.999223300970874</v>
      </c>
      <c r="T93" s="64" t="n">
        <v>514.6</v>
      </c>
      <c r="U93" s="65" t="n">
        <f aca="false">T93/$M93</f>
        <v>0.999223300970874</v>
      </c>
      <c r="V93" s="63" t="n">
        <f aca="false">H93</f>
        <v>565</v>
      </c>
      <c r="W93" s="63" t="n">
        <f aca="false">V93</f>
        <v>565</v>
      </c>
    </row>
    <row r="94" customFormat="false" ht="13.9" hidden="false" customHeight="true" outlineLevel="0" collapsed="false">
      <c r="A94" s="62"/>
      <c r="B94" s="10" t="n">
        <v>312001</v>
      </c>
      <c r="C94" s="10" t="s">
        <v>79</v>
      </c>
      <c r="D94" s="63" t="n">
        <v>9826</v>
      </c>
      <c r="E94" s="63" t="n">
        <v>7609</v>
      </c>
      <c r="F94" s="64" t="n">
        <f aca="false">12336-F93</f>
        <v>11936</v>
      </c>
      <c r="G94" s="63" t="n">
        <v>10838</v>
      </c>
      <c r="H94" s="64" t="n">
        <f aca="false">3000+4500+1000</f>
        <v>8500</v>
      </c>
      <c r="I94" s="64"/>
      <c r="J94" s="64"/>
      <c r="K94" s="64"/>
      <c r="L94" s="64" t="n">
        <v>6296</v>
      </c>
      <c r="M94" s="64" t="n">
        <f aca="false">H94+SUM(I94:L94)</f>
        <v>14796</v>
      </c>
      <c r="N94" s="64" t="n">
        <v>8000</v>
      </c>
      <c r="O94" s="65" t="n">
        <f aca="false">N94/$M94</f>
        <v>0.540686672073533</v>
      </c>
      <c r="P94" s="64" t="n">
        <v>8000</v>
      </c>
      <c r="Q94" s="65" t="n">
        <f aca="false">P94/$M94</f>
        <v>0.540686672073533</v>
      </c>
      <c r="R94" s="64" t="n">
        <v>14796</v>
      </c>
      <c r="S94" s="65" t="n">
        <f aca="false">R94/$M94</f>
        <v>1</v>
      </c>
      <c r="T94" s="64" t="n">
        <v>15596</v>
      </c>
      <c r="U94" s="65" t="n">
        <f aca="false">T94/$M94</f>
        <v>1.05406866720735</v>
      </c>
      <c r="V94" s="63" t="n">
        <f aca="false">H94</f>
        <v>8500</v>
      </c>
      <c r="W94" s="63" t="n">
        <f aca="false">V94</f>
        <v>8500</v>
      </c>
    </row>
    <row r="95" customFormat="false" ht="13.9" hidden="false" customHeight="true" outlineLevel="0" collapsed="false">
      <c r="A95" s="62"/>
      <c r="B95" s="10" t="n">
        <v>312001</v>
      </c>
      <c r="C95" s="10" t="s">
        <v>80</v>
      </c>
      <c r="D95" s="63" t="n">
        <v>4296</v>
      </c>
      <c r="E95" s="63" t="n">
        <v>4798</v>
      </c>
      <c r="F95" s="64" t="n">
        <v>4300</v>
      </c>
      <c r="G95" s="63" t="n">
        <v>4524</v>
      </c>
      <c r="H95" s="64" t="n">
        <f aca="false">G95</f>
        <v>4524</v>
      </c>
      <c r="I95" s="64"/>
      <c r="J95" s="64"/>
      <c r="K95" s="64"/>
      <c r="L95" s="64" t="n">
        <v>10</v>
      </c>
      <c r="M95" s="64" t="n">
        <f aca="false">H95+SUM(I95:L95)</f>
        <v>4534</v>
      </c>
      <c r="N95" s="64" t="n">
        <v>2533</v>
      </c>
      <c r="O95" s="65" t="n">
        <f aca="false">N95/$M95</f>
        <v>0.55866784296427</v>
      </c>
      <c r="P95" s="64" t="n">
        <v>2533</v>
      </c>
      <c r="Q95" s="65" t="n">
        <f aca="false">P95/$M95</f>
        <v>0.55866784296427</v>
      </c>
      <c r="R95" s="64" t="n">
        <v>2533</v>
      </c>
      <c r="S95" s="65" t="n">
        <f aca="false">R95/$M95</f>
        <v>0.55866784296427</v>
      </c>
      <c r="T95" s="64" t="n">
        <v>4534</v>
      </c>
      <c r="U95" s="65" t="n">
        <f aca="false">T95/$M95</f>
        <v>1</v>
      </c>
      <c r="V95" s="63" t="n">
        <f aca="false">H95</f>
        <v>4524</v>
      </c>
      <c r="W95" s="63" t="n">
        <f aca="false">V95</f>
        <v>4524</v>
      </c>
    </row>
    <row r="96" customFormat="false" ht="13.9" hidden="false" customHeight="true" outlineLevel="0" collapsed="false">
      <c r="A96" s="62"/>
      <c r="B96" s="10" t="n">
        <v>312001</v>
      </c>
      <c r="C96" s="10" t="s">
        <v>81</v>
      </c>
      <c r="D96" s="63" t="n">
        <v>889</v>
      </c>
      <c r="E96" s="63" t="n">
        <v>966</v>
      </c>
      <c r="F96" s="64" t="n">
        <v>970</v>
      </c>
      <c r="G96" s="63" t="n">
        <v>973</v>
      </c>
      <c r="H96" s="64" t="n">
        <f aca="false">G96</f>
        <v>973</v>
      </c>
      <c r="I96" s="64"/>
      <c r="J96" s="64"/>
      <c r="K96" s="64"/>
      <c r="L96" s="64" t="n">
        <v>25</v>
      </c>
      <c r="M96" s="64" t="n">
        <f aca="false">H96+SUM(I96:L96)</f>
        <v>998</v>
      </c>
      <c r="N96" s="64" t="n">
        <v>537</v>
      </c>
      <c r="O96" s="65" t="n">
        <f aca="false">N96/$M96</f>
        <v>0.538076152304609</v>
      </c>
      <c r="P96" s="64" t="n">
        <v>537</v>
      </c>
      <c r="Q96" s="65" t="n">
        <f aca="false">P96/$M96</f>
        <v>0.538076152304609</v>
      </c>
      <c r="R96" s="64" t="n">
        <v>537</v>
      </c>
      <c r="S96" s="65" t="n">
        <f aca="false">R96/$M96</f>
        <v>0.538076152304609</v>
      </c>
      <c r="T96" s="64" t="n">
        <v>998</v>
      </c>
      <c r="U96" s="65" t="n">
        <f aca="false">T96/$M96</f>
        <v>1</v>
      </c>
      <c r="V96" s="63" t="n">
        <f aca="false">H96</f>
        <v>973</v>
      </c>
      <c r="W96" s="63" t="n">
        <f aca="false">V96</f>
        <v>973</v>
      </c>
    </row>
    <row r="97" customFormat="false" ht="13.9" hidden="false" customHeight="true" outlineLevel="0" collapsed="false">
      <c r="A97" s="62"/>
      <c r="B97" s="10" t="n">
        <v>312001</v>
      </c>
      <c r="C97" s="10" t="s">
        <v>82</v>
      </c>
      <c r="D97" s="63" t="n">
        <v>1058.4</v>
      </c>
      <c r="E97" s="63" t="n">
        <v>1065.12</v>
      </c>
      <c r="F97" s="64" t="n">
        <v>1060</v>
      </c>
      <c r="G97" s="63" t="n">
        <v>1117</v>
      </c>
      <c r="H97" s="64" t="n">
        <v>900</v>
      </c>
      <c r="I97" s="64"/>
      <c r="J97" s="64" t="n">
        <v>2000</v>
      </c>
      <c r="K97" s="64" t="n">
        <v>764</v>
      </c>
      <c r="L97" s="64" t="n">
        <v>824</v>
      </c>
      <c r="M97" s="64" t="n">
        <f aca="false">H97+SUM(I97:L97)</f>
        <v>4488</v>
      </c>
      <c r="N97" s="64" t="n">
        <v>471.61</v>
      </c>
      <c r="O97" s="65" t="n">
        <f aca="false">N97/$M97</f>
        <v>0.105082442067736</v>
      </c>
      <c r="P97" s="64" t="n">
        <v>1390.31</v>
      </c>
      <c r="Q97" s="65" t="n">
        <f aca="false">P97/$M97</f>
        <v>0.309783868092692</v>
      </c>
      <c r="R97" s="64" t="n">
        <v>2724.26</v>
      </c>
      <c r="S97" s="65" t="n">
        <f aca="false">R97/$M97</f>
        <v>0.607009803921569</v>
      </c>
      <c r="T97" s="64" t="n">
        <v>4487.71</v>
      </c>
      <c r="U97" s="65" t="n">
        <f aca="false">T97/$M97</f>
        <v>0.999935383244207</v>
      </c>
      <c r="V97" s="63" t="n">
        <f aca="false">H97</f>
        <v>900</v>
      </c>
      <c r="W97" s="63" t="n">
        <f aca="false">V97</f>
        <v>900</v>
      </c>
    </row>
    <row r="98" customFormat="false" ht="13.9" hidden="false" customHeight="true" outlineLevel="0" collapsed="false">
      <c r="A98" s="62"/>
      <c r="B98" s="10" t="n">
        <v>312001</v>
      </c>
      <c r="C98" s="10" t="s">
        <v>83</v>
      </c>
      <c r="D98" s="63"/>
      <c r="E98" s="63"/>
      <c r="F98" s="64"/>
      <c r="G98" s="63"/>
      <c r="H98" s="64" t="n">
        <v>0</v>
      </c>
      <c r="I98" s="64"/>
      <c r="J98" s="64" t="n">
        <v>5700</v>
      </c>
      <c r="K98" s="64"/>
      <c r="L98" s="64"/>
      <c r="M98" s="64" t="n">
        <f aca="false">H98+SUM(I98:L98)</f>
        <v>5700</v>
      </c>
      <c r="N98" s="64" t="n">
        <v>0</v>
      </c>
      <c r="O98" s="65" t="n">
        <f aca="false">N98/$M98</f>
        <v>0</v>
      </c>
      <c r="P98" s="64" t="n">
        <v>5700</v>
      </c>
      <c r="Q98" s="65" t="n">
        <f aca="false">P98/$M98</f>
        <v>1</v>
      </c>
      <c r="R98" s="64" t="n">
        <v>5700</v>
      </c>
      <c r="S98" s="65" t="n">
        <f aca="false">R98/$M98</f>
        <v>1</v>
      </c>
      <c r="T98" s="64" t="n">
        <v>5700</v>
      </c>
      <c r="U98" s="65" t="n">
        <f aca="false">T98/$M98</f>
        <v>1</v>
      </c>
      <c r="V98" s="63"/>
      <c r="W98" s="63"/>
    </row>
    <row r="99" customFormat="false" ht="13.9" hidden="false" customHeight="true" outlineLevel="0" collapsed="false">
      <c r="A99" s="62"/>
      <c r="B99" s="10" t="n">
        <v>312001</v>
      </c>
      <c r="C99" s="10" t="s">
        <v>84</v>
      </c>
      <c r="D99" s="63" t="n">
        <v>1328.8</v>
      </c>
      <c r="E99" s="63" t="n">
        <v>1545.58</v>
      </c>
      <c r="F99" s="64" t="n">
        <v>3000</v>
      </c>
      <c r="G99" s="63" t="n">
        <v>4446</v>
      </c>
      <c r="H99" s="64" t="n">
        <v>1500</v>
      </c>
      <c r="I99" s="64" t="n">
        <v>703</v>
      </c>
      <c r="J99" s="64"/>
      <c r="K99" s="64"/>
      <c r="L99" s="64"/>
      <c r="M99" s="64" t="n">
        <f aca="false">H99+SUM(I99:L99)</f>
        <v>2203</v>
      </c>
      <c r="N99" s="64" t="n">
        <v>2202.92</v>
      </c>
      <c r="O99" s="65" t="n">
        <f aca="false">N99/$M99</f>
        <v>0.999963685882887</v>
      </c>
      <c r="P99" s="64" t="n">
        <v>2202.92</v>
      </c>
      <c r="Q99" s="65" t="n">
        <f aca="false">P99/$M99</f>
        <v>0.999963685882887</v>
      </c>
      <c r="R99" s="64" t="n">
        <v>2202.92</v>
      </c>
      <c r="S99" s="65" t="n">
        <f aca="false">R99/$M99</f>
        <v>0.999963685882887</v>
      </c>
      <c r="T99" s="64" t="n">
        <v>2202.92</v>
      </c>
      <c r="U99" s="65" t="n">
        <f aca="false">T99/$M99</f>
        <v>0.999963685882887</v>
      </c>
      <c r="V99" s="63" t="n">
        <v>0</v>
      </c>
      <c r="W99" s="63" t="n">
        <v>1500</v>
      </c>
    </row>
    <row r="100" customFormat="false" ht="13.9" hidden="false" customHeight="true" outlineLevel="0" collapsed="false">
      <c r="A100" s="62"/>
      <c r="B100" s="10" t="n">
        <v>312001</v>
      </c>
      <c r="C100" s="10" t="s">
        <v>85</v>
      </c>
      <c r="D100" s="63" t="n">
        <v>38400</v>
      </c>
      <c r="E100" s="63" t="n">
        <v>32364</v>
      </c>
      <c r="F100" s="64" t="n">
        <v>35712</v>
      </c>
      <c r="G100" s="63" t="n">
        <v>35712</v>
      </c>
      <c r="H100" s="64" t="n">
        <v>38688</v>
      </c>
      <c r="I100" s="64"/>
      <c r="J100" s="64"/>
      <c r="K100" s="64"/>
      <c r="L100" s="64" t="n">
        <v>5404</v>
      </c>
      <c r="M100" s="64" t="n">
        <f aca="false">H100+SUM(I100:L100)</f>
        <v>44092</v>
      </c>
      <c r="N100" s="64" t="n">
        <v>9619.15</v>
      </c>
      <c r="O100" s="65" t="n">
        <f aca="false">N100/$M100</f>
        <v>0.218160890864556</v>
      </c>
      <c r="P100" s="64" t="n">
        <v>19238.3</v>
      </c>
      <c r="Q100" s="65" t="n">
        <f aca="false">P100/$M100</f>
        <v>0.436321781729112</v>
      </c>
      <c r="R100" s="64" t="n">
        <v>28963.15</v>
      </c>
      <c r="S100" s="65" t="n">
        <f aca="false">R100/$M100</f>
        <v>0.65687993286764</v>
      </c>
      <c r="T100" s="64" t="n">
        <v>44092</v>
      </c>
      <c r="U100" s="65" t="n">
        <f aca="false">T100/$M100</f>
        <v>1</v>
      </c>
      <c r="V100" s="63" t="n">
        <v>42558</v>
      </c>
      <c r="W100" s="63" t="n">
        <v>46814</v>
      </c>
    </row>
    <row r="101" customFormat="false" ht="13.9" hidden="false" customHeight="true" outlineLevel="0" collapsed="false">
      <c r="A101" s="62"/>
      <c r="B101" s="10" t="n">
        <v>312001</v>
      </c>
      <c r="C101" s="10" t="s">
        <v>86</v>
      </c>
      <c r="D101" s="63" t="n">
        <v>0</v>
      </c>
      <c r="E101" s="63" t="n">
        <v>1625</v>
      </c>
      <c r="F101" s="64" t="n">
        <v>0</v>
      </c>
      <c r="G101" s="63" t="n">
        <v>0</v>
      </c>
      <c r="H101" s="64" t="n">
        <v>0</v>
      </c>
      <c r="I101" s="64"/>
      <c r="J101" s="64"/>
      <c r="K101" s="64"/>
      <c r="L101" s="64"/>
      <c r="M101" s="64" t="n">
        <f aca="false">H101+SUM(I101:L101)</f>
        <v>0</v>
      </c>
      <c r="N101" s="64" t="n">
        <v>0</v>
      </c>
      <c r="O101" s="65" t="e">
        <f aca="false">N101/$M101</f>
        <v>#DIV/0!</v>
      </c>
      <c r="P101" s="64" t="n">
        <v>0</v>
      </c>
      <c r="Q101" s="65" t="e">
        <f aca="false">P101/$M101</f>
        <v>#DIV/0!</v>
      </c>
      <c r="R101" s="64" t="n">
        <v>0</v>
      </c>
      <c r="S101" s="65" t="e">
        <f aca="false">R101/$M101</f>
        <v>#DIV/0!</v>
      </c>
      <c r="T101" s="64" t="n">
        <v>0</v>
      </c>
      <c r="U101" s="65" t="e">
        <f aca="false">T101/$M101</f>
        <v>#DIV/0!</v>
      </c>
      <c r="V101" s="63" t="n">
        <f aca="false">H101</f>
        <v>0</v>
      </c>
      <c r="W101" s="63" t="n">
        <f aca="false">V101</f>
        <v>0</v>
      </c>
    </row>
    <row r="102" customFormat="false" ht="13.9" hidden="false" customHeight="true" outlineLevel="0" collapsed="false">
      <c r="A102" s="62"/>
      <c r="B102" s="10" t="n">
        <v>312001</v>
      </c>
      <c r="C102" s="10" t="s">
        <v>87</v>
      </c>
      <c r="D102" s="63" t="n">
        <v>12279.12</v>
      </c>
      <c r="E102" s="63" t="n">
        <v>17055.14</v>
      </c>
      <c r="F102" s="64" t="n">
        <v>25870</v>
      </c>
      <c r="G102" s="63" t="n">
        <v>22853</v>
      </c>
      <c r="H102" s="64" t="n">
        <v>7002</v>
      </c>
      <c r="I102" s="64"/>
      <c r="J102" s="64"/>
      <c r="K102" s="64" t="n">
        <v>-5181</v>
      </c>
      <c r="L102" s="64"/>
      <c r="M102" s="64" t="n">
        <f aca="false">H102+SUM(I102:L102)</f>
        <v>1821</v>
      </c>
      <c r="N102" s="64" t="n">
        <v>1821.52</v>
      </c>
      <c r="O102" s="65" t="n">
        <f aca="false">N102/$M102</f>
        <v>1.00028555738605</v>
      </c>
      <c r="P102" s="64" t="n">
        <v>1821.52</v>
      </c>
      <c r="Q102" s="65" t="n">
        <f aca="false">P102/$M102</f>
        <v>1.00028555738605</v>
      </c>
      <c r="R102" s="64" t="n">
        <v>1821.52</v>
      </c>
      <c r="S102" s="65" t="n">
        <f aca="false">R102/$M102</f>
        <v>1.00028555738605</v>
      </c>
      <c r="T102" s="64" t="n">
        <v>1821.52</v>
      </c>
      <c r="U102" s="65" t="n">
        <f aca="false">T102/$M102</f>
        <v>1.00028555738605</v>
      </c>
      <c r="V102" s="64" t="n">
        <f aca="false">výdaje!Y361</f>
        <v>0</v>
      </c>
      <c r="W102" s="63" t="n">
        <f aca="false">V102</f>
        <v>0</v>
      </c>
    </row>
    <row r="103" customFormat="false" ht="13.9" hidden="false" customHeight="true" outlineLevel="0" collapsed="false">
      <c r="A103" s="62"/>
      <c r="B103" s="10" t="n">
        <v>312001</v>
      </c>
      <c r="C103" s="10" t="s">
        <v>88</v>
      </c>
      <c r="D103" s="63"/>
      <c r="E103" s="63"/>
      <c r="F103" s="64"/>
      <c r="G103" s="63"/>
      <c r="H103" s="64" t="n">
        <v>0</v>
      </c>
      <c r="I103" s="64"/>
      <c r="J103" s="64"/>
      <c r="K103" s="64" t="n">
        <v>29645</v>
      </c>
      <c r="L103" s="64"/>
      <c r="M103" s="64" t="n">
        <f aca="false">H103+SUM(I103:L103)</f>
        <v>29645</v>
      </c>
      <c r="N103" s="64" t="n">
        <v>0</v>
      </c>
      <c r="O103" s="65" t="n">
        <f aca="false">N103/$M103</f>
        <v>0</v>
      </c>
      <c r="P103" s="64" t="n">
        <v>0</v>
      </c>
      <c r="Q103" s="65" t="n">
        <f aca="false">P103/$M103</f>
        <v>0</v>
      </c>
      <c r="R103" s="64" t="n">
        <v>29644.43</v>
      </c>
      <c r="S103" s="65" t="n">
        <f aca="false">R103/$M103</f>
        <v>0.999980772474279</v>
      </c>
      <c r="T103" s="64" t="n">
        <v>29644.43</v>
      </c>
      <c r="U103" s="65" t="n">
        <f aca="false">T103/$M103</f>
        <v>0.999980772474279</v>
      </c>
      <c r="V103" s="64" t="n">
        <f aca="false">výdaje!Y362</f>
        <v>0</v>
      </c>
      <c r="W103" s="63" t="n">
        <f aca="false">V103</f>
        <v>0</v>
      </c>
    </row>
    <row r="104" customFormat="false" ht="13.9" hidden="false" customHeight="true" outlineLevel="0" collapsed="false">
      <c r="A104" s="62"/>
      <c r="B104" s="10" t="n">
        <v>312001</v>
      </c>
      <c r="C104" s="10" t="s">
        <v>89</v>
      </c>
      <c r="D104" s="63"/>
      <c r="E104" s="63"/>
      <c r="F104" s="64"/>
      <c r="G104" s="63" t="n">
        <v>3094</v>
      </c>
      <c r="H104" s="64" t="n">
        <v>0</v>
      </c>
      <c r="I104" s="64"/>
      <c r="J104" s="64"/>
      <c r="K104" s="64"/>
      <c r="L104" s="64"/>
      <c r="M104" s="64" t="n">
        <f aca="false">H104+SUM(I104:L104)</f>
        <v>0</v>
      </c>
      <c r="N104" s="64" t="n">
        <v>0</v>
      </c>
      <c r="O104" s="65" t="e">
        <f aca="false">N104/$M104</f>
        <v>#DIV/0!</v>
      </c>
      <c r="P104" s="64" t="n">
        <v>0</v>
      </c>
      <c r="Q104" s="65" t="e">
        <f aca="false">P104/$M104</f>
        <v>#DIV/0!</v>
      </c>
      <c r="R104" s="64" t="n">
        <v>0</v>
      </c>
      <c r="S104" s="65" t="e">
        <f aca="false">R104/$M104</f>
        <v>#DIV/0!</v>
      </c>
      <c r="T104" s="64" t="n">
        <v>0</v>
      </c>
      <c r="U104" s="65" t="e">
        <f aca="false">T104/$M104</f>
        <v>#DIV/0!</v>
      </c>
      <c r="V104" s="64" t="n">
        <f aca="false">výdaje!Y362</f>
        <v>0</v>
      </c>
      <c r="W104" s="63" t="n">
        <f aca="false">V104</f>
        <v>0</v>
      </c>
    </row>
    <row r="105" customFormat="false" ht="13.9" hidden="false" customHeight="true" outlineLevel="0" collapsed="false">
      <c r="A105" s="62"/>
      <c r="B105" s="10" t="n">
        <v>312001</v>
      </c>
      <c r="C105" s="10" t="s">
        <v>90</v>
      </c>
      <c r="D105" s="63"/>
      <c r="E105" s="63"/>
      <c r="F105" s="64"/>
      <c r="G105" s="63" t="n">
        <v>5445</v>
      </c>
      <c r="H105" s="64" t="n">
        <v>0</v>
      </c>
      <c r="I105" s="64"/>
      <c r="J105" s="64"/>
      <c r="K105" s="64"/>
      <c r="L105" s="64"/>
      <c r="M105" s="64" t="n">
        <f aca="false">H105+SUM(I105:L105)</f>
        <v>0</v>
      </c>
      <c r="N105" s="64" t="n">
        <v>0</v>
      </c>
      <c r="O105" s="65" t="e">
        <f aca="false">N105/$M105</f>
        <v>#DIV/0!</v>
      </c>
      <c r="P105" s="64" t="n">
        <v>0</v>
      </c>
      <c r="Q105" s="65" t="e">
        <f aca="false">P105/$M105</f>
        <v>#DIV/0!</v>
      </c>
      <c r="R105" s="64" t="n">
        <v>0</v>
      </c>
      <c r="S105" s="65" t="e">
        <f aca="false">R105/$M105</f>
        <v>#DIV/0!</v>
      </c>
      <c r="T105" s="64" t="n">
        <v>0</v>
      </c>
      <c r="U105" s="65" t="e">
        <f aca="false">T105/$M105</f>
        <v>#DIV/0!</v>
      </c>
      <c r="V105" s="64" t="n">
        <f aca="false">výdaje!Y363</f>
        <v>0</v>
      </c>
      <c r="W105" s="63" t="n">
        <f aca="false">V105</f>
        <v>0</v>
      </c>
    </row>
    <row r="106" customFormat="false" ht="13.9" hidden="false" customHeight="true" outlineLevel="0" collapsed="false">
      <c r="A106" s="62"/>
      <c r="B106" s="10" t="n">
        <v>312001</v>
      </c>
      <c r="C106" s="10" t="s">
        <v>91</v>
      </c>
      <c r="D106" s="63"/>
      <c r="E106" s="63"/>
      <c r="F106" s="64" t="n">
        <v>137658</v>
      </c>
      <c r="G106" s="63" t="n">
        <v>2478</v>
      </c>
      <c r="H106" s="64" t="n">
        <v>0</v>
      </c>
      <c r="I106" s="64"/>
      <c r="J106" s="64"/>
      <c r="K106" s="64"/>
      <c r="L106" s="64"/>
      <c r="M106" s="64" t="n">
        <f aca="false">H106+SUM(I106:L106)</f>
        <v>0</v>
      </c>
      <c r="N106" s="64" t="n">
        <v>0</v>
      </c>
      <c r="O106" s="65" t="e">
        <f aca="false">N106/$M106</f>
        <v>#DIV/0!</v>
      </c>
      <c r="P106" s="64" t="n">
        <v>0</v>
      </c>
      <c r="Q106" s="65" t="e">
        <f aca="false">P106/$M106</f>
        <v>#DIV/0!</v>
      </c>
      <c r="R106" s="64" t="n">
        <v>0</v>
      </c>
      <c r="S106" s="65" t="e">
        <f aca="false">R106/$M106</f>
        <v>#DIV/0!</v>
      </c>
      <c r="T106" s="64" t="n">
        <v>0</v>
      </c>
      <c r="U106" s="65" t="e">
        <f aca="false">T106/$M106</f>
        <v>#DIV/0!</v>
      </c>
      <c r="V106" s="64" t="n">
        <f aca="false">výdaje!Y364</f>
        <v>0</v>
      </c>
      <c r="W106" s="63" t="n">
        <f aca="false">V106</f>
        <v>0</v>
      </c>
    </row>
    <row r="107" customFormat="false" ht="13.9" hidden="false" customHeight="true" outlineLevel="0" collapsed="false">
      <c r="A107" s="62"/>
      <c r="B107" s="10" t="n">
        <v>312012</v>
      </c>
      <c r="C107" s="10" t="s">
        <v>92</v>
      </c>
      <c r="D107" s="63" t="n">
        <v>2935.08</v>
      </c>
      <c r="E107" s="63" t="n">
        <v>3477.63</v>
      </c>
      <c r="F107" s="64" t="n">
        <v>3500</v>
      </c>
      <c r="G107" s="63" t="n">
        <v>3500</v>
      </c>
      <c r="H107" s="64" t="n">
        <f aca="false">G107</f>
        <v>3500</v>
      </c>
      <c r="I107" s="64"/>
      <c r="J107" s="64" t="n">
        <v>1084</v>
      </c>
      <c r="K107" s="64"/>
      <c r="L107" s="64"/>
      <c r="M107" s="64" t="n">
        <f aca="false">H107+SUM(I107:L107)</f>
        <v>4584</v>
      </c>
      <c r="N107" s="64" t="n">
        <v>0</v>
      </c>
      <c r="O107" s="65" t="n">
        <f aca="false">N107/$M107</f>
        <v>0</v>
      </c>
      <c r="P107" s="64" t="n">
        <v>4584.09</v>
      </c>
      <c r="Q107" s="65" t="n">
        <f aca="false">P107/$M107</f>
        <v>1.00001963350785</v>
      </c>
      <c r="R107" s="64" t="n">
        <v>4584.09</v>
      </c>
      <c r="S107" s="65" t="n">
        <f aca="false">R107/$M107</f>
        <v>1.00001963350785</v>
      </c>
      <c r="T107" s="64" t="n">
        <v>4584.09</v>
      </c>
      <c r="U107" s="65" t="n">
        <f aca="false">T107/$M107</f>
        <v>1.00001963350785</v>
      </c>
      <c r="V107" s="63" t="n">
        <f aca="false">H107</f>
        <v>3500</v>
      </c>
      <c r="W107" s="63" t="n">
        <f aca="false">V107</f>
        <v>3500</v>
      </c>
    </row>
    <row r="108" customFormat="false" ht="13.9" hidden="false" customHeight="true" outlineLevel="0" collapsed="false">
      <c r="A108" s="62"/>
      <c r="B108" s="10" t="n">
        <v>312012</v>
      </c>
      <c r="C108" s="10" t="s">
        <v>93</v>
      </c>
      <c r="D108" s="63" t="n">
        <v>136.34</v>
      </c>
      <c r="E108" s="63" t="n">
        <v>135.35</v>
      </c>
      <c r="F108" s="64" t="n">
        <v>136</v>
      </c>
      <c r="G108" s="63" t="n">
        <v>136</v>
      </c>
      <c r="H108" s="64" t="n">
        <f aca="false">G108</f>
        <v>136</v>
      </c>
      <c r="I108" s="64"/>
      <c r="J108" s="64"/>
      <c r="K108" s="64"/>
      <c r="L108" s="64"/>
      <c r="M108" s="64" t="n">
        <f aca="false">H108+SUM(I108:L108)</f>
        <v>136</v>
      </c>
      <c r="N108" s="64" t="n">
        <v>0</v>
      </c>
      <c r="O108" s="65" t="n">
        <f aca="false">N108/$M108</f>
        <v>0</v>
      </c>
      <c r="P108" s="64" t="n">
        <v>135.65</v>
      </c>
      <c r="Q108" s="65" t="n">
        <f aca="false">P108/$M108</f>
        <v>0.997426470588235</v>
      </c>
      <c r="R108" s="64" t="n">
        <v>135.65</v>
      </c>
      <c r="S108" s="65" t="n">
        <f aca="false">R108/$M108</f>
        <v>0.997426470588235</v>
      </c>
      <c r="T108" s="64" t="n">
        <v>135.65</v>
      </c>
      <c r="U108" s="65" t="n">
        <f aca="false">T108/$M108</f>
        <v>0.997426470588235</v>
      </c>
      <c r="V108" s="63" t="n">
        <f aca="false">H108</f>
        <v>136</v>
      </c>
      <c r="W108" s="63" t="n">
        <f aca="false">V108</f>
        <v>136</v>
      </c>
    </row>
    <row r="109" customFormat="false" ht="13.9" hidden="false" customHeight="true" outlineLevel="0" collapsed="false">
      <c r="A109" s="62"/>
      <c r="B109" s="10" t="n">
        <v>312012</v>
      </c>
      <c r="C109" s="10" t="s">
        <v>94</v>
      </c>
      <c r="D109" s="63" t="n">
        <v>294.93</v>
      </c>
      <c r="E109" s="63" t="n">
        <v>294.12</v>
      </c>
      <c r="F109" s="64" t="n">
        <v>295</v>
      </c>
      <c r="G109" s="63" t="n">
        <v>295</v>
      </c>
      <c r="H109" s="64" t="n">
        <f aca="false">G109</f>
        <v>295</v>
      </c>
      <c r="I109" s="64"/>
      <c r="J109" s="64" t="n">
        <v>3</v>
      </c>
      <c r="K109" s="64"/>
      <c r="L109" s="64"/>
      <c r="M109" s="64" t="n">
        <f aca="false">H109+SUM(I109:L109)</f>
        <v>298</v>
      </c>
      <c r="N109" s="64" t="n">
        <v>0</v>
      </c>
      <c r="O109" s="65" t="n">
        <f aca="false">N109/$M109</f>
        <v>0</v>
      </c>
      <c r="P109" s="64" t="n">
        <v>298.29</v>
      </c>
      <c r="Q109" s="65" t="n">
        <f aca="false">P109/$M109</f>
        <v>1.00097315436242</v>
      </c>
      <c r="R109" s="64" t="n">
        <v>298.29</v>
      </c>
      <c r="S109" s="65" t="n">
        <f aca="false">R109/$M109</f>
        <v>1.00097315436242</v>
      </c>
      <c r="T109" s="64" t="n">
        <v>298.29</v>
      </c>
      <c r="U109" s="65" t="n">
        <f aca="false">T109/$M109</f>
        <v>1.00097315436242</v>
      </c>
      <c r="V109" s="63" t="n">
        <f aca="false">H109</f>
        <v>295</v>
      </c>
      <c r="W109" s="63" t="n">
        <f aca="false">V109</f>
        <v>295</v>
      </c>
    </row>
    <row r="110" customFormat="false" ht="13.9" hidden="false" customHeight="true" outlineLevel="0" collapsed="false">
      <c r="A110" s="62"/>
      <c r="B110" s="10" t="n">
        <v>312012</v>
      </c>
      <c r="C110" s="10" t="s">
        <v>95</v>
      </c>
      <c r="D110" s="63" t="n">
        <v>4204.14</v>
      </c>
      <c r="E110" s="63" t="n">
        <v>4466.45</v>
      </c>
      <c r="F110" s="64" t="n">
        <v>4465</v>
      </c>
      <c r="G110" s="63" t="n">
        <v>5120</v>
      </c>
      <c r="H110" s="64" t="n">
        <v>5120</v>
      </c>
      <c r="I110" s="64"/>
      <c r="J110" s="64" t="n">
        <v>-289</v>
      </c>
      <c r="K110" s="64"/>
      <c r="L110" s="64" t="n">
        <v>798</v>
      </c>
      <c r="M110" s="64" t="n">
        <f aca="false">H110+SUM(I110:L110)</f>
        <v>5629</v>
      </c>
      <c r="N110" s="64" t="n">
        <v>4831.35</v>
      </c>
      <c r="O110" s="65" t="n">
        <f aca="false">N110/$M110</f>
        <v>0.858296322615029</v>
      </c>
      <c r="P110" s="64" t="n">
        <v>4831.35</v>
      </c>
      <c r="Q110" s="65" t="n">
        <f aca="false">P110/$M110</f>
        <v>0.858296322615029</v>
      </c>
      <c r="R110" s="64" t="n">
        <v>4831.35</v>
      </c>
      <c r="S110" s="65" t="n">
        <f aca="false">R110/$M110</f>
        <v>0.858296322615029</v>
      </c>
      <c r="T110" s="64" t="n">
        <v>5629.44</v>
      </c>
      <c r="U110" s="65" t="n">
        <f aca="false">T110/$M110</f>
        <v>1.00007816663706</v>
      </c>
      <c r="V110" s="63" t="n">
        <f aca="false">H110</f>
        <v>5120</v>
      </c>
      <c r="W110" s="63" t="n">
        <f aca="false">V110</f>
        <v>5120</v>
      </c>
    </row>
    <row r="111" customFormat="false" ht="13.9" hidden="false" customHeight="true" outlineLevel="0" collapsed="false">
      <c r="A111" s="62"/>
      <c r="B111" s="10" t="n">
        <v>312012</v>
      </c>
      <c r="C111" s="10" t="s">
        <v>96</v>
      </c>
      <c r="D111" s="63" t="n">
        <v>1213.08</v>
      </c>
      <c r="E111" s="63" t="n">
        <v>1074.29</v>
      </c>
      <c r="F111" s="64" t="n">
        <v>1081</v>
      </c>
      <c r="G111" s="63" t="n">
        <v>1081</v>
      </c>
      <c r="H111" s="64" t="n">
        <f aca="false">G111</f>
        <v>1081</v>
      </c>
      <c r="I111" s="64"/>
      <c r="J111" s="64" t="n">
        <v>-9</v>
      </c>
      <c r="K111" s="64"/>
      <c r="L111" s="64"/>
      <c r="M111" s="64" t="n">
        <f aca="false">H111+SUM(I111:L111)</f>
        <v>1072</v>
      </c>
      <c r="N111" s="64" t="n">
        <v>1071.8</v>
      </c>
      <c r="O111" s="65" t="n">
        <f aca="false">N111/$M111</f>
        <v>0.999813432835821</v>
      </c>
      <c r="P111" s="64" t="n">
        <v>1071.8</v>
      </c>
      <c r="Q111" s="65" t="n">
        <f aca="false">P111/$M111</f>
        <v>0.999813432835821</v>
      </c>
      <c r="R111" s="64" t="n">
        <v>1071.8</v>
      </c>
      <c r="S111" s="65" t="n">
        <f aca="false">R111/$M111</f>
        <v>0.999813432835821</v>
      </c>
      <c r="T111" s="64" t="n">
        <v>1071.8</v>
      </c>
      <c r="U111" s="65" t="n">
        <f aca="false">T111/$M111</f>
        <v>0.999813432835821</v>
      </c>
      <c r="V111" s="63" t="n">
        <f aca="false">H111</f>
        <v>1081</v>
      </c>
      <c r="W111" s="63" t="n">
        <f aca="false">V111</f>
        <v>1081</v>
      </c>
    </row>
    <row r="112" customFormat="false" ht="13.9" hidden="false" customHeight="true" outlineLevel="0" collapsed="false">
      <c r="A112" s="62"/>
      <c r="B112" s="10" t="n">
        <v>312012</v>
      </c>
      <c r="C112" s="10" t="s">
        <v>97</v>
      </c>
      <c r="D112" s="63" t="n">
        <v>210</v>
      </c>
      <c r="E112" s="63" t="n">
        <v>231.76</v>
      </c>
      <c r="F112" s="64" t="n">
        <v>210</v>
      </c>
      <c r="G112" s="63" t="n">
        <v>3413</v>
      </c>
      <c r="H112" s="64" t="n">
        <v>252</v>
      </c>
      <c r="I112" s="64"/>
      <c r="J112" s="64"/>
      <c r="K112" s="64"/>
      <c r="L112" s="64" t="n">
        <v>2821</v>
      </c>
      <c r="M112" s="64" t="n">
        <f aca="false">H112+SUM(I112:L112)</f>
        <v>3073</v>
      </c>
      <c r="N112" s="64" t="n">
        <v>0</v>
      </c>
      <c r="O112" s="65" t="n">
        <f aca="false">N112/$M112</f>
        <v>0</v>
      </c>
      <c r="P112" s="64" t="n">
        <v>0</v>
      </c>
      <c r="Q112" s="65" t="n">
        <f aca="false">P112/$M112</f>
        <v>0</v>
      </c>
      <c r="R112" s="64" t="n">
        <v>0</v>
      </c>
      <c r="S112" s="65" t="n">
        <f aca="false">R112/$M112</f>
        <v>0</v>
      </c>
      <c r="T112" s="64" t="n">
        <v>3073.49</v>
      </c>
      <c r="U112" s="65" t="n">
        <f aca="false">T112/$M112</f>
        <v>1.00015945330296</v>
      </c>
      <c r="V112" s="63" t="n">
        <f aca="false">H112</f>
        <v>252</v>
      </c>
      <c r="W112" s="63" t="n">
        <f aca="false">V112</f>
        <v>252</v>
      </c>
    </row>
    <row r="113" customFormat="false" ht="13.9" hidden="false" customHeight="true" outlineLevel="0" collapsed="false">
      <c r="A113" s="62"/>
      <c r="B113" s="10" t="n">
        <v>322001</v>
      </c>
      <c r="C113" s="10" t="s">
        <v>98</v>
      </c>
      <c r="D113" s="63"/>
      <c r="E113" s="63" t="n">
        <v>282834</v>
      </c>
      <c r="F113" s="64" t="n">
        <v>605166</v>
      </c>
      <c r="G113" s="63" t="n">
        <v>498789</v>
      </c>
      <c r="H113" s="64" t="n">
        <v>0</v>
      </c>
      <c r="I113" s="64"/>
      <c r="J113" s="64"/>
      <c r="K113" s="64"/>
      <c r="L113" s="64"/>
      <c r="M113" s="64" t="n">
        <f aca="false">H113+SUM(I113:L113)</f>
        <v>0</v>
      </c>
      <c r="N113" s="64" t="n">
        <v>0</v>
      </c>
      <c r="O113" s="65" t="e">
        <f aca="false">N113/$M113</f>
        <v>#DIV/0!</v>
      </c>
      <c r="P113" s="64" t="n">
        <v>0</v>
      </c>
      <c r="Q113" s="65" t="e">
        <f aca="false">P113/$M113</f>
        <v>#DIV/0!</v>
      </c>
      <c r="R113" s="64" t="n">
        <v>0</v>
      </c>
      <c r="S113" s="65" t="e">
        <f aca="false">R113/$M113</f>
        <v>#DIV/0!</v>
      </c>
      <c r="T113" s="64" t="n">
        <v>0</v>
      </c>
      <c r="U113" s="65" t="e">
        <f aca="false">T113/$M113</f>
        <v>#DIV/0!</v>
      </c>
      <c r="V113" s="63" t="n">
        <f aca="false">H113</f>
        <v>0</v>
      </c>
      <c r="W113" s="63" t="n">
        <f aca="false">V113</f>
        <v>0</v>
      </c>
    </row>
    <row r="114" customFormat="false" ht="13.9" hidden="false" customHeight="true" outlineLevel="0" collapsed="false">
      <c r="A114" s="62"/>
      <c r="B114" s="10" t="n">
        <v>322001</v>
      </c>
      <c r="C114" s="10" t="s">
        <v>99</v>
      </c>
      <c r="D114" s="63"/>
      <c r="E114" s="63"/>
      <c r="F114" s="64" t="n">
        <v>390000</v>
      </c>
      <c r="G114" s="63" t="n">
        <v>338952</v>
      </c>
      <c r="H114" s="64" t="n">
        <v>0</v>
      </c>
      <c r="I114" s="64"/>
      <c r="J114" s="64"/>
      <c r="K114" s="64"/>
      <c r="L114" s="64"/>
      <c r="M114" s="64" t="n">
        <f aca="false">H114+SUM(I114:L114)</f>
        <v>0</v>
      </c>
      <c r="N114" s="64" t="n">
        <v>0</v>
      </c>
      <c r="O114" s="65" t="e">
        <f aca="false">N114/$M114</f>
        <v>#DIV/0!</v>
      </c>
      <c r="P114" s="64" t="n">
        <v>0</v>
      </c>
      <c r="Q114" s="65" t="e">
        <f aca="false">P114/$M114</f>
        <v>#DIV/0!</v>
      </c>
      <c r="R114" s="64" t="n">
        <v>0</v>
      </c>
      <c r="S114" s="65" t="e">
        <f aca="false">R114/$M114</f>
        <v>#DIV/0!</v>
      </c>
      <c r="T114" s="64" t="n">
        <v>0</v>
      </c>
      <c r="U114" s="65" t="e">
        <f aca="false">T114/$M114</f>
        <v>#DIV/0!</v>
      </c>
      <c r="V114" s="63" t="n">
        <f aca="false">H114</f>
        <v>0</v>
      </c>
      <c r="W114" s="63" t="n">
        <f aca="false">V114</f>
        <v>0</v>
      </c>
    </row>
    <row r="115" customFormat="false" ht="13.9" hidden="false" customHeight="true" outlineLevel="0" collapsed="false">
      <c r="A115" s="62"/>
      <c r="B115" s="10" t="n">
        <v>322001</v>
      </c>
      <c r="C115" s="10" t="s">
        <v>100</v>
      </c>
      <c r="D115" s="63"/>
      <c r="E115" s="63" t="n">
        <v>249669.78</v>
      </c>
      <c r="F115" s="64"/>
      <c r="G115" s="63"/>
      <c r="H115" s="64" t="n">
        <v>0</v>
      </c>
      <c r="I115" s="64"/>
      <c r="J115" s="64"/>
      <c r="K115" s="64"/>
      <c r="L115" s="64"/>
      <c r="M115" s="64" t="n">
        <f aca="false">H115+SUM(I115:L115)</f>
        <v>0</v>
      </c>
      <c r="N115" s="64" t="n">
        <v>0</v>
      </c>
      <c r="O115" s="65" t="e">
        <f aca="false">N115/$M115</f>
        <v>#DIV/0!</v>
      </c>
      <c r="P115" s="64" t="n">
        <v>0</v>
      </c>
      <c r="Q115" s="65" t="e">
        <f aca="false">P115/$M115</f>
        <v>#DIV/0!</v>
      </c>
      <c r="R115" s="64" t="n">
        <v>0</v>
      </c>
      <c r="S115" s="65" t="e">
        <f aca="false">R115/$M115</f>
        <v>#DIV/0!</v>
      </c>
      <c r="T115" s="64" t="n">
        <v>0</v>
      </c>
      <c r="U115" s="65" t="e">
        <f aca="false">T115/$M115</f>
        <v>#DIV/0!</v>
      </c>
      <c r="V115" s="63" t="n">
        <f aca="false">H115</f>
        <v>0</v>
      </c>
      <c r="W115" s="63" t="n">
        <f aca="false">V115</f>
        <v>0</v>
      </c>
    </row>
    <row r="116" customFormat="false" ht="13.9" hidden="false" customHeight="true" outlineLevel="0" collapsed="false">
      <c r="A116" s="62"/>
      <c r="B116" s="10" t="n">
        <v>322001</v>
      </c>
      <c r="C116" s="10" t="s">
        <v>101</v>
      </c>
      <c r="D116" s="63"/>
      <c r="E116" s="63"/>
      <c r="F116" s="64"/>
      <c r="G116" s="63" t="n">
        <v>137657</v>
      </c>
      <c r="H116" s="64" t="n">
        <v>0</v>
      </c>
      <c r="I116" s="64"/>
      <c r="J116" s="64"/>
      <c r="K116" s="64"/>
      <c r="L116" s="64"/>
      <c r="M116" s="64" t="n">
        <f aca="false">H116+SUM(I116:L116)</f>
        <v>0</v>
      </c>
      <c r="N116" s="64" t="n">
        <v>0</v>
      </c>
      <c r="O116" s="65" t="e">
        <f aca="false">N116/$M116</f>
        <v>#DIV/0!</v>
      </c>
      <c r="P116" s="64" t="n">
        <v>0</v>
      </c>
      <c r="Q116" s="65" t="e">
        <f aca="false">P116/$M116</f>
        <v>#DIV/0!</v>
      </c>
      <c r="R116" s="64" t="n">
        <v>0</v>
      </c>
      <c r="S116" s="65" t="e">
        <f aca="false">R116/$M116</f>
        <v>#DIV/0!</v>
      </c>
      <c r="T116" s="64" t="n">
        <v>0</v>
      </c>
      <c r="U116" s="65" t="e">
        <f aca="false">T116/$M116</f>
        <v>#DIV/0!</v>
      </c>
      <c r="V116" s="63" t="n">
        <f aca="false">H116</f>
        <v>0</v>
      </c>
      <c r="W116" s="63" t="n">
        <f aca="false">V116</f>
        <v>0</v>
      </c>
    </row>
    <row r="117" customFormat="false" ht="13.9" hidden="false" customHeight="true" outlineLevel="0" collapsed="false">
      <c r="A117" s="62"/>
      <c r="B117" s="10" t="n">
        <v>322001</v>
      </c>
      <c r="C117" s="10" t="s">
        <v>102</v>
      </c>
      <c r="D117" s="63"/>
      <c r="E117" s="63" t="n">
        <v>30000</v>
      </c>
      <c r="F117" s="64"/>
      <c r="G117" s="63"/>
      <c r="H117" s="64" t="n">
        <v>0</v>
      </c>
      <c r="I117" s="64"/>
      <c r="J117" s="64"/>
      <c r="K117" s="64"/>
      <c r="L117" s="64"/>
      <c r="M117" s="64" t="n">
        <f aca="false">H117+SUM(I117:L117)</f>
        <v>0</v>
      </c>
      <c r="N117" s="64" t="n">
        <v>0</v>
      </c>
      <c r="O117" s="65" t="e">
        <f aca="false">N117/$M117</f>
        <v>#DIV/0!</v>
      </c>
      <c r="P117" s="64" t="n">
        <v>0</v>
      </c>
      <c r="Q117" s="65" t="e">
        <f aca="false">P117/$M117</f>
        <v>#DIV/0!</v>
      </c>
      <c r="R117" s="64" t="n">
        <v>0</v>
      </c>
      <c r="S117" s="65" t="e">
        <f aca="false">R117/$M117</f>
        <v>#DIV/0!</v>
      </c>
      <c r="T117" s="64" t="n">
        <v>0</v>
      </c>
      <c r="U117" s="65" t="e">
        <f aca="false">T117/$M117</f>
        <v>#DIV/0!</v>
      </c>
      <c r="V117" s="63" t="n">
        <f aca="false">H117</f>
        <v>0</v>
      </c>
      <c r="W117" s="63" t="n">
        <f aca="false">V117</f>
        <v>0</v>
      </c>
    </row>
    <row r="118" customFormat="false" ht="13.9" hidden="false" customHeight="true" outlineLevel="0" collapsed="false">
      <c r="A118" s="62"/>
      <c r="B118" s="10" t="n">
        <v>322001</v>
      </c>
      <c r="C118" s="10" t="s">
        <v>103</v>
      </c>
      <c r="D118" s="63"/>
      <c r="E118" s="63"/>
      <c r="F118" s="64"/>
      <c r="G118" s="63"/>
      <c r="H118" s="64" t="n">
        <v>200000</v>
      </c>
      <c r="I118" s="64"/>
      <c r="J118" s="64"/>
      <c r="K118" s="64"/>
      <c r="L118" s="64"/>
      <c r="M118" s="64" t="n">
        <f aca="false">H118+SUM(I118:L118)</f>
        <v>200000</v>
      </c>
      <c r="N118" s="64" t="n">
        <v>0</v>
      </c>
      <c r="O118" s="65" t="n">
        <f aca="false">N118/$M118</f>
        <v>0</v>
      </c>
      <c r="P118" s="64" t="n">
        <v>0</v>
      </c>
      <c r="Q118" s="65" t="n">
        <f aca="false">P118/$M118</f>
        <v>0</v>
      </c>
      <c r="R118" s="64" t="n">
        <v>0</v>
      </c>
      <c r="S118" s="65" t="n">
        <f aca="false">R118/$M118</f>
        <v>0</v>
      </c>
      <c r="T118" s="64" t="n">
        <v>0</v>
      </c>
      <c r="U118" s="65" t="n">
        <f aca="false">T118/$M118</f>
        <v>0</v>
      </c>
      <c r="V118" s="63" t="n">
        <v>0</v>
      </c>
      <c r="W118" s="63" t="n">
        <v>0</v>
      </c>
    </row>
    <row r="119" customFormat="false" ht="13.9" hidden="false" customHeight="true" outlineLevel="0" collapsed="false">
      <c r="A119" s="62"/>
      <c r="B119" s="10" t="n">
        <v>322001</v>
      </c>
      <c r="C119" s="10" t="s">
        <v>104</v>
      </c>
      <c r="D119" s="63" t="n">
        <v>113000</v>
      </c>
      <c r="E119" s="63"/>
      <c r="F119" s="63"/>
      <c r="G119" s="63"/>
      <c r="H119" s="63" t="n">
        <v>130000</v>
      </c>
      <c r="I119" s="63"/>
      <c r="J119" s="63"/>
      <c r="K119" s="63"/>
      <c r="L119" s="63"/>
      <c r="M119" s="63" t="n">
        <f aca="false">H119+SUM(I119:L119)</f>
        <v>130000</v>
      </c>
      <c r="N119" s="63" t="n">
        <v>0</v>
      </c>
      <c r="O119" s="66" t="n">
        <f aca="false">N119/$M119</f>
        <v>0</v>
      </c>
      <c r="P119" s="63" t="n">
        <v>0</v>
      </c>
      <c r="Q119" s="66" t="n">
        <f aca="false">P119/$M119</f>
        <v>0</v>
      </c>
      <c r="R119" s="63" t="n">
        <v>0</v>
      </c>
      <c r="S119" s="66" t="n">
        <f aca="false">R119/$M119</f>
        <v>0</v>
      </c>
      <c r="T119" s="63" t="n">
        <v>0</v>
      </c>
      <c r="U119" s="66" t="n">
        <f aca="false">T119/$M119</f>
        <v>0</v>
      </c>
      <c r="V119" s="63" t="n">
        <v>0</v>
      </c>
      <c r="W119" s="63" t="n">
        <v>0</v>
      </c>
    </row>
    <row r="120" customFormat="false" ht="13.9" hidden="false" customHeight="true" outlineLevel="0" collapsed="false">
      <c r="A120" s="62"/>
      <c r="B120" s="10" t="n">
        <v>331001</v>
      </c>
      <c r="C120" s="10" t="s">
        <v>105</v>
      </c>
      <c r="D120" s="63"/>
      <c r="E120" s="63" t="n">
        <v>5144</v>
      </c>
      <c r="F120" s="63" t="n">
        <v>1286</v>
      </c>
      <c r="G120" s="64" t="n">
        <v>1286</v>
      </c>
      <c r="H120" s="64" t="n">
        <v>0</v>
      </c>
      <c r="I120" s="64"/>
      <c r="J120" s="64"/>
      <c r="K120" s="64"/>
      <c r="L120" s="64"/>
      <c r="M120" s="64" t="n">
        <f aca="false">H120+SUM(I120:L120)</f>
        <v>0</v>
      </c>
      <c r="N120" s="64" t="n">
        <v>0</v>
      </c>
      <c r="O120" s="65" t="e">
        <f aca="false">N120/$M120</f>
        <v>#DIV/0!</v>
      </c>
      <c r="P120" s="64" t="n">
        <v>0</v>
      </c>
      <c r="Q120" s="65" t="e">
        <f aca="false">P120/$M120</f>
        <v>#DIV/0!</v>
      </c>
      <c r="R120" s="64" t="n">
        <v>0</v>
      </c>
      <c r="S120" s="65" t="e">
        <f aca="false">R120/$M120</f>
        <v>#DIV/0!</v>
      </c>
      <c r="T120" s="64" t="n">
        <v>0</v>
      </c>
      <c r="U120" s="65" t="e">
        <f aca="false">T120/$M120</f>
        <v>#DIV/0!</v>
      </c>
      <c r="V120" s="63" t="n">
        <v>0</v>
      </c>
      <c r="W120" s="63" t="n">
        <f aca="false">V120</f>
        <v>0</v>
      </c>
    </row>
    <row r="121" customFormat="false" ht="13.9" hidden="false" customHeight="true" outlineLevel="0" collapsed="false">
      <c r="A121" s="67" t="s">
        <v>106</v>
      </c>
      <c r="B121" s="13" t="n">
        <v>111</v>
      </c>
      <c r="C121" s="13" t="s">
        <v>22</v>
      </c>
      <c r="D121" s="14" t="n">
        <f aca="false">SUM(D88:D120)</f>
        <v>611082.49</v>
      </c>
      <c r="E121" s="14" t="n">
        <f aca="false">SUM(E88:E120)</f>
        <v>1081145.62</v>
      </c>
      <c r="F121" s="14" t="n">
        <f aca="false">SUM(F88:F120)</f>
        <v>1700576</v>
      </c>
      <c r="G121" s="14" t="n">
        <f aca="false">SUM(G88:G120)</f>
        <v>1594147</v>
      </c>
      <c r="H121" s="14" t="n">
        <f aca="false">SUM(H88:H120)</f>
        <v>980789</v>
      </c>
      <c r="I121" s="14" t="n">
        <f aca="false">SUM(I88:I120)</f>
        <v>703</v>
      </c>
      <c r="J121" s="14" t="n">
        <f aca="false">SUM(J88:J120)</f>
        <v>8489</v>
      </c>
      <c r="K121" s="14" t="n">
        <f aca="false">SUM(K88:K120)</f>
        <v>25228</v>
      </c>
      <c r="L121" s="14" t="n">
        <f aca="false">SUM(L88:L120)</f>
        <v>19654</v>
      </c>
      <c r="M121" s="14" t="n">
        <f aca="false">SUM(M88:M120)</f>
        <v>1034863</v>
      </c>
      <c r="N121" s="14" t="n">
        <f aca="false">SUM(N88:N120)</f>
        <v>205329.35</v>
      </c>
      <c r="O121" s="15" t="n">
        <f aca="false">N121/$M121</f>
        <v>0.198412108655928</v>
      </c>
      <c r="P121" s="14" t="n">
        <f aca="false">SUM(P88:P120)</f>
        <v>356196.23</v>
      </c>
      <c r="Q121" s="15" t="n">
        <f aca="false">P121/$M121</f>
        <v>0.344196507170514</v>
      </c>
      <c r="R121" s="14" t="n">
        <f aca="false">SUM(R88:R120)</f>
        <v>536104.26</v>
      </c>
      <c r="S121" s="15" t="n">
        <f aca="false">R121/$M121</f>
        <v>0.51804370240312</v>
      </c>
      <c r="T121" s="14" t="n">
        <f aca="false">SUM(T88:T120)</f>
        <v>712245.14</v>
      </c>
      <c r="U121" s="15" t="n">
        <f aca="false">T121/$M121</f>
        <v>0.688250657333386</v>
      </c>
      <c r="V121" s="14" t="n">
        <f aca="false">SUM(V88:V120)</f>
        <v>646157</v>
      </c>
      <c r="W121" s="14" t="n">
        <f aca="false">SUM(W88:W120)</f>
        <v>651913</v>
      </c>
    </row>
    <row r="122" customFormat="false" ht="13.9" hidden="false" customHeight="true" outlineLevel="0" collapsed="false">
      <c r="A122" s="68" t="s">
        <v>49</v>
      </c>
      <c r="B122" s="10" t="n">
        <v>311</v>
      </c>
      <c r="C122" s="10" t="s">
        <v>107</v>
      </c>
      <c r="D122" s="11" t="n">
        <v>1400</v>
      </c>
      <c r="E122" s="63" t="n">
        <v>1400</v>
      </c>
      <c r="F122" s="63" t="n">
        <v>1400</v>
      </c>
      <c r="G122" s="63" t="n">
        <v>1400</v>
      </c>
      <c r="H122" s="64" t="n">
        <v>1400</v>
      </c>
      <c r="I122" s="64"/>
      <c r="J122" s="64"/>
      <c r="K122" s="64"/>
      <c r="L122" s="64"/>
      <c r="M122" s="64" t="n">
        <f aca="false">H122+SUM(I122:L122)</f>
        <v>1400</v>
      </c>
      <c r="N122" s="64" t="n">
        <v>0</v>
      </c>
      <c r="O122" s="65" t="n">
        <f aca="false">N122/$M122</f>
        <v>0</v>
      </c>
      <c r="P122" s="64" t="n">
        <v>1400</v>
      </c>
      <c r="Q122" s="65" t="n">
        <f aca="false">P122/$M122</f>
        <v>1</v>
      </c>
      <c r="R122" s="64" t="n">
        <v>1400</v>
      </c>
      <c r="S122" s="65" t="n">
        <f aca="false">R122/$M122</f>
        <v>1</v>
      </c>
      <c r="T122" s="64" t="n">
        <v>1400</v>
      </c>
      <c r="U122" s="65" t="n">
        <f aca="false">T122/$M122</f>
        <v>1</v>
      </c>
      <c r="V122" s="63" t="n">
        <f aca="false">H122</f>
        <v>1400</v>
      </c>
      <c r="W122" s="63" t="n">
        <f aca="false">V122</f>
        <v>1400</v>
      </c>
    </row>
    <row r="123" customFormat="false" ht="13.9" hidden="false" customHeight="true" outlineLevel="0" collapsed="false">
      <c r="A123" s="67" t="s">
        <v>106</v>
      </c>
      <c r="B123" s="13" t="n">
        <v>71</v>
      </c>
      <c r="C123" s="13" t="s">
        <v>24</v>
      </c>
      <c r="D123" s="14" t="n">
        <f aca="false">SUM(D122:D122)</f>
        <v>1400</v>
      </c>
      <c r="E123" s="14" t="n">
        <f aca="false">SUM(E122:E122)</f>
        <v>1400</v>
      </c>
      <c r="F123" s="14" t="n">
        <f aca="false">SUM(F122:F122)</f>
        <v>1400</v>
      </c>
      <c r="G123" s="14" t="n">
        <f aca="false">SUM(G122:G122)</f>
        <v>1400</v>
      </c>
      <c r="H123" s="14" t="n">
        <f aca="false">SUM(H122:H122)</f>
        <v>1400</v>
      </c>
      <c r="I123" s="14" t="n">
        <f aca="false">SUM(I122:I122)</f>
        <v>0</v>
      </c>
      <c r="J123" s="14" t="n">
        <f aca="false">SUM(J122:J122)</f>
        <v>0</v>
      </c>
      <c r="K123" s="14" t="n">
        <f aca="false">SUM(K122:K122)</f>
        <v>0</v>
      </c>
      <c r="L123" s="14" t="n">
        <f aca="false">SUM(L122:L122)</f>
        <v>0</v>
      </c>
      <c r="M123" s="14" t="n">
        <f aca="false">SUM(M122:M122)</f>
        <v>1400</v>
      </c>
      <c r="N123" s="14" t="n">
        <f aca="false">SUM(N122:N122)</f>
        <v>0</v>
      </c>
      <c r="O123" s="15" t="n">
        <f aca="false">N123/$M123</f>
        <v>0</v>
      </c>
      <c r="P123" s="14" t="n">
        <f aca="false">SUM(P122:P122)</f>
        <v>1400</v>
      </c>
      <c r="Q123" s="15" t="n">
        <f aca="false">P123/$M123</f>
        <v>1</v>
      </c>
      <c r="R123" s="14" t="n">
        <f aca="false">SUM(R122:R122)</f>
        <v>1400</v>
      </c>
      <c r="S123" s="15" t="n">
        <f aca="false">R123/$M123</f>
        <v>1</v>
      </c>
      <c r="T123" s="14" t="n">
        <f aca="false">SUM(T122:T122)</f>
        <v>1400</v>
      </c>
      <c r="U123" s="15" t="n">
        <f aca="false">T123/$M123</f>
        <v>1</v>
      </c>
      <c r="V123" s="14" t="n">
        <f aca="false">SUM(V122:V122)</f>
        <v>1400</v>
      </c>
      <c r="W123" s="14" t="n">
        <f aca="false">SUM(W122:W122)</f>
        <v>1400</v>
      </c>
    </row>
    <row r="124" customFormat="false" ht="13.9" hidden="false" customHeight="true" outlineLevel="0" collapsed="false">
      <c r="A124" s="38" t="s">
        <v>49</v>
      </c>
      <c r="B124" s="10" t="n">
        <v>311</v>
      </c>
      <c r="C124" s="10" t="s">
        <v>107</v>
      </c>
      <c r="D124" s="11"/>
      <c r="E124" s="63" t="n">
        <v>652.21</v>
      </c>
      <c r="F124" s="63" t="n">
        <v>650</v>
      </c>
      <c r="G124" s="63" t="n">
        <v>1798</v>
      </c>
      <c r="H124" s="64" t="n">
        <v>795</v>
      </c>
      <c r="I124" s="64"/>
      <c r="J124" s="64"/>
      <c r="K124" s="64"/>
      <c r="L124" s="64"/>
      <c r="M124" s="64" t="n">
        <f aca="false">H124+SUM(I124:L124)</f>
        <v>795</v>
      </c>
      <c r="N124" s="64" t="n">
        <v>6.84</v>
      </c>
      <c r="O124" s="65" t="n">
        <f aca="false">N124/$M124</f>
        <v>0.00860377358490566</v>
      </c>
      <c r="P124" s="64" t="n">
        <v>46.94</v>
      </c>
      <c r="Q124" s="65" t="n">
        <f aca="false">P124/$M124</f>
        <v>0.0590440251572327</v>
      </c>
      <c r="R124" s="64" t="n">
        <v>46.94</v>
      </c>
      <c r="S124" s="65" t="n">
        <f aca="false">R124/$M124</f>
        <v>0.0590440251572327</v>
      </c>
      <c r="T124" s="64" t="n">
        <v>62.6</v>
      </c>
      <c r="U124" s="65" t="n">
        <f aca="false">T124/$M124</f>
        <v>0.0787421383647799</v>
      </c>
      <c r="V124" s="63" t="n">
        <f aca="false">H124</f>
        <v>795</v>
      </c>
      <c r="W124" s="63" t="n">
        <f aca="false">V124</f>
        <v>795</v>
      </c>
    </row>
    <row r="125" customFormat="false" ht="13.9" hidden="false" customHeight="true" outlineLevel="0" collapsed="false">
      <c r="A125" s="38"/>
      <c r="B125" s="10" t="n">
        <v>311</v>
      </c>
      <c r="C125" s="10" t="s">
        <v>108</v>
      </c>
      <c r="D125" s="11"/>
      <c r="E125" s="63" t="n">
        <v>5883.01</v>
      </c>
      <c r="F125" s="63" t="n">
        <v>2500</v>
      </c>
      <c r="G125" s="64" t="n">
        <v>2500</v>
      </c>
      <c r="H125" s="64" t="n">
        <f aca="false">760+5840</f>
        <v>6600</v>
      </c>
      <c r="I125" s="64"/>
      <c r="J125" s="64"/>
      <c r="K125" s="64"/>
      <c r="L125" s="64" t="n">
        <v>-1230</v>
      </c>
      <c r="M125" s="64" t="n">
        <f aca="false">H125+SUM(I125:L125)</f>
        <v>5370</v>
      </c>
      <c r="N125" s="64" t="n">
        <v>1424.82</v>
      </c>
      <c r="O125" s="65" t="n">
        <f aca="false">N125/$M125</f>
        <v>0.265329608938547</v>
      </c>
      <c r="P125" s="64" t="n">
        <v>3920.62</v>
      </c>
      <c r="Q125" s="65" t="n">
        <f aca="false">P125/$M125</f>
        <v>0.730096834264432</v>
      </c>
      <c r="R125" s="64" t="n">
        <v>5326.7</v>
      </c>
      <c r="S125" s="65" t="n">
        <f aca="false">R125/$M125</f>
        <v>0.991936685288641</v>
      </c>
      <c r="T125" s="64" t="n">
        <v>5368.06</v>
      </c>
      <c r="U125" s="65" t="n">
        <f aca="false">T125/$M125</f>
        <v>0.999638733705773</v>
      </c>
      <c r="V125" s="63" t="n">
        <f aca="false">H125</f>
        <v>6600</v>
      </c>
      <c r="W125" s="63" t="n">
        <f aca="false">V125</f>
        <v>6600</v>
      </c>
    </row>
    <row r="126" customFormat="false" ht="13.9" hidden="false" customHeight="true" outlineLevel="0" collapsed="false">
      <c r="A126" s="67" t="s">
        <v>106</v>
      </c>
      <c r="B126" s="13" t="n">
        <v>72</v>
      </c>
      <c r="C126" s="13" t="s">
        <v>25</v>
      </c>
      <c r="D126" s="14" t="n">
        <f aca="false">SUM(D124:D125)</f>
        <v>0</v>
      </c>
      <c r="E126" s="14" t="n">
        <f aca="false">SUM(E124:E125)</f>
        <v>6535.22</v>
      </c>
      <c r="F126" s="14" t="n">
        <f aca="false">SUM(F124:F125)</f>
        <v>3150</v>
      </c>
      <c r="G126" s="14" t="n">
        <f aca="false">SUM(G124:G125)</f>
        <v>4298</v>
      </c>
      <c r="H126" s="14" t="n">
        <f aca="false">SUM(H124:H125)</f>
        <v>7395</v>
      </c>
      <c r="I126" s="14" t="n">
        <f aca="false">SUM(I124:I125)</f>
        <v>0</v>
      </c>
      <c r="J126" s="14" t="n">
        <f aca="false">SUM(J124:J125)</f>
        <v>0</v>
      </c>
      <c r="K126" s="14" t="n">
        <f aca="false">SUM(K124:K125)</f>
        <v>0</v>
      </c>
      <c r="L126" s="14" t="n">
        <f aca="false">SUM(L124:L125)</f>
        <v>-1230</v>
      </c>
      <c r="M126" s="14" t="n">
        <f aca="false">SUM(M124:M125)</f>
        <v>6165</v>
      </c>
      <c r="N126" s="14" t="n">
        <f aca="false">SUM(N124:N125)</f>
        <v>1431.66</v>
      </c>
      <c r="O126" s="15" t="n">
        <f aca="false">N126/$M126</f>
        <v>0.232223844282238</v>
      </c>
      <c r="P126" s="14" t="n">
        <f aca="false">SUM(P124:P125)</f>
        <v>3967.56</v>
      </c>
      <c r="Q126" s="15" t="n">
        <f aca="false">P126/$M126</f>
        <v>0.64356204379562</v>
      </c>
      <c r="R126" s="14" t="n">
        <f aca="false">SUM(R124:R125)</f>
        <v>5373.64</v>
      </c>
      <c r="S126" s="15" t="n">
        <f aca="false">R126/$M126</f>
        <v>0.871636658556367</v>
      </c>
      <c r="T126" s="14" t="n">
        <f aca="false">SUM(T124:T125)</f>
        <v>5430.66</v>
      </c>
      <c r="U126" s="15" t="n">
        <f aca="false">T126/$M126</f>
        <v>0.880885644768857</v>
      </c>
      <c r="V126" s="14" t="n">
        <f aca="false">SUM(V124:V125)</f>
        <v>7395</v>
      </c>
      <c r="W126" s="14" t="n">
        <f aca="false">SUM(W124:W125)</f>
        <v>7395</v>
      </c>
    </row>
    <row r="128" customFormat="false" ht="13.9" hidden="false" customHeight="true" outlineLevel="0" collapsed="false">
      <c r="A128" s="19" t="s">
        <v>109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20"/>
      <c r="P128" s="19"/>
      <c r="Q128" s="19"/>
      <c r="R128" s="19"/>
      <c r="S128" s="19"/>
      <c r="T128" s="19"/>
      <c r="U128" s="19"/>
      <c r="V128" s="19"/>
      <c r="W128" s="19"/>
    </row>
    <row r="129" customFormat="false" ht="13.9" hidden="false" customHeight="true" outlineLevel="0" collapsed="false">
      <c r="A129" s="6"/>
      <c r="B129" s="6"/>
      <c r="C129" s="6"/>
      <c r="D129" s="7" t="s">
        <v>1</v>
      </c>
      <c r="E129" s="7" t="s">
        <v>2</v>
      </c>
      <c r="F129" s="7" t="s">
        <v>3</v>
      </c>
      <c r="G129" s="7" t="s">
        <v>4</v>
      </c>
      <c r="H129" s="7" t="s">
        <v>5</v>
      </c>
      <c r="I129" s="7" t="s">
        <v>6</v>
      </c>
      <c r="J129" s="7" t="s">
        <v>7</v>
      </c>
      <c r="K129" s="7" t="s">
        <v>8</v>
      </c>
      <c r="L129" s="7" t="s">
        <v>9</v>
      </c>
      <c r="M129" s="7" t="s">
        <v>10</v>
      </c>
      <c r="N129" s="7" t="s">
        <v>11</v>
      </c>
      <c r="O129" s="8" t="s">
        <v>12</v>
      </c>
      <c r="P129" s="7" t="s">
        <v>13</v>
      </c>
      <c r="Q129" s="8" t="s">
        <v>14</v>
      </c>
      <c r="R129" s="7" t="s">
        <v>15</v>
      </c>
      <c r="S129" s="8" t="s">
        <v>16</v>
      </c>
      <c r="T129" s="7" t="s">
        <v>17</v>
      </c>
      <c r="U129" s="8" t="s">
        <v>18</v>
      </c>
      <c r="V129" s="7" t="s">
        <v>19</v>
      </c>
      <c r="W129" s="7" t="s">
        <v>20</v>
      </c>
    </row>
    <row r="130" customFormat="false" ht="13.9" hidden="false" customHeight="true" outlineLevel="0" collapsed="false">
      <c r="A130" s="21" t="s">
        <v>21</v>
      </c>
      <c r="B130" s="22" t="n">
        <v>131</v>
      </c>
      <c r="C130" s="22" t="s">
        <v>47</v>
      </c>
      <c r="D130" s="23" t="n">
        <f aca="false">D137+D141</f>
        <v>1030.96</v>
      </c>
      <c r="E130" s="23" t="n">
        <f aca="false">E137+E141</f>
        <v>116750.27</v>
      </c>
      <c r="F130" s="23" t="n">
        <f aca="false">F137+F141</f>
        <v>3111</v>
      </c>
      <c r="G130" s="23" t="n">
        <f aca="false">G137+G141</f>
        <v>3138</v>
      </c>
      <c r="H130" s="23" t="n">
        <f aca="false">H137+H141</f>
        <v>0</v>
      </c>
      <c r="I130" s="23" t="n">
        <f aca="false">I137+I141</f>
        <v>0</v>
      </c>
      <c r="J130" s="23" t="n">
        <f aca="false">J137+J141</f>
        <v>14604</v>
      </c>
      <c r="K130" s="23" t="n">
        <f aca="false">K137+K141</f>
        <v>0</v>
      </c>
      <c r="L130" s="23" t="n">
        <f aca="false">L137+L141</f>
        <v>286</v>
      </c>
      <c r="M130" s="23" t="n">
        <f aca="false">M137+M141</f>
        <v>14890</v>
      </c>
      <c r="N130" s="23" t="n">
        <f aca="false">N137+N141</f>
        <v>2187.41</v>
      </c>
      <c r="O130" s="24" t="n">
        <f aca="false">N130/$M130</f>
        <v>0.146904633982539</v>
      </c>
      <c r="P130" s="23" t="n">
        <f aca="false">P137+P141</f>
        <v>14889.34</v>
      </c>
      <c r="Q130" s="24" t="n">
        <f aca="false">P130/$M130</f>
        <v>0.999955674949631</v>
      </c>
      <c r="R130" s="23" t="n">
        <f aca="false">R137+R141</f>
        <v>14889.34</v>
      </c>
      <c r="S130" s="24" t="n">
        <f aca="false">R130/$M130</f>
        <v>0.999955674949631</v>
      </c>
      <c r="T130" s="23" t="n">
        <f aca="false">T137+T141</f>
        <v>14889.34</v>
      </c>
      <c r="U130" s="24" t="n">
        <f aca="false">T130/$M130</f>
        <v>0.999955674949631</v>
      </c>
      <c r="V130" s="23" t="n">
        <f aca="false">V137+V141</f>
        <v>0</v>
      </c>
      <c r="W130" s="23" t="n">
        <f aca="false">W137+W141</f>
        <v>0</v>
      </c>
    </row>
    <row r="131" customFormat="false" ht="13.9" hidden="false" customHeight="true" outlineLevel="0" collapsed="false">
      <c r="A131" s="21"/>
      <c r="B131" s="22" t="n">
        <v>41</v>
      </c>
      <c r="C131" s="22" t="s">
        <v>23</v>
      </c>
      <c r="D131" s="23" t="n">
        <f aca="false">D138+D139</f>
        <v>191209</v>
      </c>
      <c r="E131" s="23" t="n">
        <f aca="false">E138+E139</f>
        <v>335003</v>
      </c>
      <c r="F131" s="23" t="n">
        <f aca="false">F138+F139</f>
        <v>170588</v>
      </c>
      <c r="G131" s="23" t="n">
        <f aca="false">G138+G139</f>
        <v>165361</v>
      </c>
      <c r="H131" s="23" t="n">
        <f aca="false">H138+H139</f>
        <v>410336</v>
      </c>
      <c r="I131" s="23" t="n">
        <f aca="false">I138+I139</f>
        <v>0</v>
      </c>
      <c r="J131" s="23" t="n">
        <f aca="false">J138+J139</f>
        <v>-15304</v>
      </c>
      <c r="K131" s="23" t="n">
        <f aca="false">K138+K139</f>
        <v>-33642</v>
      </c>
      <c r="L131" s="23" t="n">
        <f aca="false">L138+L139</f>
        <v>0</v>
      </c>
      <c r="M131" s="23" t="n">
        <f aca="false">M138+M139</f>
        <v>361390</v>
      </c>
      <c r="N131" s="23" t="n">
        <f aca="false">N138+N139</f>
        <v>0</v>
      </c>
      <c r="O131" s="24" t="n">
        <f aca="false">N131/$M131</f>
        <v>0</v>
      </c>
      <c r="P131" s="23" t="n">
        <f aca="false">P138+P139</f>
        <v>361389.5</v>
      </c>
      <c r="Q131" s="24" t="n">
        <f aca="false">P131/$M131</f>
        <v>0.999998616453139</v>
      </c>
      <c r="R131" s="23" t="n">
        <f aca="false">R138+R139</f>
        <v>361389.5</v>
      </c>
      <c r="S131" s="24" t="n">
        <f aca="false">R131/$M131</f>
        <v>0.999998616453139</v>
      </c>
      <c r="T131" s="23" t="n">
        <f aca="false">T138+T139</f>
        <v>361389.5</v>
      </c>
      <c r="U131" s="24" t="n">
        <f aca="false">T131/$M131</f>
        <v>0.999998616453139</v>
      </c>
      <c r="V131" s="23" t="n">
        <f aca="false">V138+V139</f>
        <v>0</v>
      </c>
      <c r="W131" s="23" t="n">
        <f aca="false">W138+W139</f>
        <v>0</v>
      </c>
    </row>
    <row r="132" customFormat="false" ht="13.9" hidden="false" customHeight="true" outlineLevel="0" collapsed="false">
      <c r="A132" s="21"/>
      <c r="B132" s="22" t="n">
        <v>52</v>
      </c>
      <c r="C132" s="22" t="s">
        <v>28</v>
      </c>
      <c r="D132" s="23" t="n">
        <v>0</v>
      </c>
      <c r="E132" s="23" t="n">
        <v>0</v>
      </c>
      <c r="F132" s="23" t="n">
        <v>0</v>
      </c>
      <c r="G132" s="23" t="n">
        <v>0</v>
      </c>
      <c r="H132" s="23" t="n">
        <v>0</v>
      </c>
      <c r="I132" s="23" t="n">
        <v>0</v>
      </c>
      <c r="J132" s="23" t="n">
        <v>0</v>
      </c>
      <c r="K132" s="23" t="n">
        <v>0</v>
      </c>
      <c r="L132" s="23" t="n">
        <v>0</v>
      </c>
      <c r="M132" s="23" t="n">
        <v>0</v>
      </c>
      <c r="N132" s="23" t="n">
        <v>0</v>
      </c>
      <c r="O132" s="24" t="e">
        <f aca="false">N132/$M132</f>
        <v>#DIV/0!</v>
      </c>
      <c r="P132" s="23" t="n">
        <v>0</v>
      </c>
      <c r="Q132" s="24" t="e">
        <f aca="false">P132/$M132</f>
        <v>#DIV/0!</v>
      </c>
      <c r="R132" s="23" t="n">
        <v>0</v>
      </c>
      <c r="S132" s="24" t="e">
        <f aca="false">R132/$M132</f>
        <v>#DIV/0!</v>
      </c>
      <c r="T132" s="23" t="n">
        <v>0</v>
      </c>
      <c r="U132" s="24" t="e">
        <f aca="false">T132/$M132</f>
        <v>#DIV/0!</v>
      </c>
      <c r="V132" s="23" t="n">
        <v>0</v>
      </c>
      <c r="W132" s="23" t="n">
        <v>0</v>
      </c>
    </row>
    <row r="133" customFormat="false" ht="13.9" hidden="false" customHeight="true" outlineLevel="0" collapsed="false">
      <c r="A133" s="21"/>
      <c r="B133" s="22" t="n">
        <v>71</v>
      </c>
      <c r="C133" s="22" t="s">
        <v>24</v>
      </c>
      <c r="D133" s="23" t="n">
        <f aca="false">D140+D142</f>
        <v>16000</v>
      </c>
      <c r="E133" s="23" t="n">
        <f aca="false">E140+E142</f>
        <v>75210.5</v>
      </c>
      <c r="F133" s="23" t="n">
        <f aca="false">F140+F142</f>
        <v>4500</v>
      </c>
      <c r="G133" s="23" t="n">
        <f aca="false">G140+G142</f>
        <v>5318</v>
      </c>
      <c r="H133" s="23" t="n">
        <f aca="false">H140+H142</f>
        <v>3000</v>
      </c>
      <c r="I133" s="23" t="n">
        <f aca="false">I140+I142</f>
        <v>60</v>
      </c>
      <c r="J133" s="23" t="n">
        <f aca="false">J140+J142</f>
        <v>700</v>
      </c>
      <c r="K133" s="23" t="n">
        <f aca="false">K140+K142</f>
        <v>0</v>
      </c>
      <c r="L133" s="23" t="n">
        <f aca="false">L140+L142</f>
        <v>0</v>
      </c>
      <c r="M133" s="23" t="n">
        <f aca="false">M140+M142</f>
        <v>3760</v>
      </c>
      <c r="N133" s="23" t="n">
        <f aca="false">N140+N142</f>
        <v>2620.3</v>
      </c>
      <c r="O133" s="24" t="n">
        <f aca="false">N133/$M133</f>
        <v>0.696888297872341</v>
      </c>
      <c r="P133" s="23" t="n">
        <f aca="false">P140+P142</f>
        <v>6320.3</v>
      </c>
      <c r="Q133" s="24" t="n">
        <f aca="false">P133/$M133</f>
        <v>1.68093085106383</v>
      </c>
      <c r="R133" s="23" t="n">
        <f aca="false">R140+R142</f>
        <v>6320.3</v>
      </c>
      <c r="S133" s="24" t="n">
        <f aca="false">R133/$M133</f>
        <v>1.68093085106383</v>
      </c>
      <c r="T133" s="23" t="n">
        <f aca="false">T140+T142</f>
        <v>6320.3</v>
      </c>
      <c r="U133" s="24" t="n">
        <f aca="false">T133/$M133</f>
        <v>1.68093085106383</v>
      </c>
      <c r="V133" s="23" t="n">
        <f aca="false">V140+V142</f>
        <v>0</v>
      </c>
      <c r="W133" s="23" t="n">
        <f aca="false">W140+W142</f>
        <v>0</v>
      </c>
    </row>
    <row r="134" customFormat="false" ht="13.9" hidden="false" customHeight="true" outlineLevel="0" collapsed="false">
      <c r="A134" s="21"/>
      <c r="B134" s="22" t="n">
        <v>72</v>
      </c>
      <c r="C134" s="22" t="s">
        <v>25</v>
      </c>
      <c r="D134" s="23" t="n">
        <f aca="false">D143</f>
        <v>0</v>
      </c>
      <c r="E134" s="23" t="n">
        <f aca="false">E143</f>
        <v>0</v>
      </c>
      <c r="F134" s="23" t="n">
        <f aca="false">F143</f>
        <v>0</v>
      </c>
      <c r="G134" s="23" t="n">
        <f aca="false">G143</f>
        <v>0</v>
      </c>
      <c r="H134" s="23" t="n">
        <f aca="false">H143</f>
        <v>0</v>
      </c>
      <c r="I134" s="23" t="n">
        <f aca="false">I143</f>
        <v>0</v>
      </c>
      <c r="J134" s="23" t="n">
        <f aca="false">J143</f>
        <v>0</v>
      </c>
      <c r="K134" s="23" t="n">
        <f aca="false">K143</f>
        <v>0</v>
      </c>
      <c r="L134" s="23" t="n">
        <f aca="false">L143</f>
        <v>10179</v>
      </c>
      <c r="M134" s="23" t="n">
        <f aca="false">M143</f>
        <v>10179</v>
      </c>
      <c r="N134" s="23" t="n">
        <f aca="false">N143</f>
        <v>10178.58</v>
      </c>
      <c r="O134" s="24" t="n">
        <f aca="false">N134/$M134</f>
        <v>0.999958738579428</v>
      </c>
      <c r="P134" s="23" t="n">
        <f aca="false">P143</f>
        <v>10178.58</v>
      </c>
      <c r="Q134" s="24" t="n">
        <f aca="false">P134/$M134</f>
        <v>0.999958738579428</v>
      </c>
      <c r="R134" s="23" t="n">
        <f aca="false">R143</f>
        <v>10178.58</v>
      </c>
      <c r="S134" s="24" t="n">
        <f aca="false">R134/$M134</f>
        <v>0.999958738579428</v>
      </c>
      <c r="T134" s="23" t="n">
        <f aca="false">T143</f>
        <v>10178.58</v>
      </c>
      <c r="U134" s="24" t="n">
        <f aca="false">T134/$M134</f>
        <v>0.999958738579428</v>
      </c>
      <c r="V134" s="23" t="n">
        <f aca="false">V143</f>
        <v>0</v>
      </c>
      <c r="W134" s="23" t="n">
        <f aca="false">W143</f>
        <v>0</v>
      </c>
    </row>
    <row r="135" customFormat="false" ht="13.9" hidden="false" customHeight="true" outlineLevel="0" collapsed="false">
      <c r="A135" s="17"/>
      <c r="B135" s="18"/>
      <c r="C135" s="25" t="s">
        <v>30</v>
      </c>
      <c r="D135" s="26" t="n">
        <f aca="false">SUM(D130:D134)</f>
        <v>208239.96</v>
      </c>
      <c r="E135" s="26" t="n">
        <f aca="false">SUM(E130:E134)</f>
        <v>526963.77</v>
      </c>
      <c r="F135" s="26" t="n">
        <f aca="false">SUM(F130:F134)</f>
        <v>178199</v>
      </c>
      <c r="G135" s="26" t="n">
        <f aca="false">SUM(G130:G134)</f>
        <v>173817</v>
      </c>
      <c r="H135" s="26" t="n">
        <f aca="false">SUM(H130:H134)</f>
        <v>413336</v>
      </c>
      <c r="I135" s="26" t="n">
        <f aca="false">SUM(I130:I134)</f>
        <v>60</v>
      </c>
      <c r="J135" s="26" t="n">
        <f aca="false">SUM(J130:J134)</f>
        <v>0</v>
      </c>
      <c r="K135" s="26" t="n">
        <f aca="false">SUM(K130:K134)</f>
        <v>-33642</v>
      </c>
      <c r="L135" s="26" t="n">
        <f aca="false">SUM(L130:L134)</f>
        <v>10465</v>
      </c>
      <c r="M135" s="26" t="n">
        <f aca="false">SUM(M130:M134)</f>
        <v>390219</v>
      </c>
      <c r="N135" s="26" t="n">
        <f aca="false">SUM(N130:N134)</f>
        <v>14986.29</v>
      </c>
      <c r="O135" s="27" t="n">
        <f aca="false">N135/$M135</f>
        <v>0.0384048188325017</v>
      </c>
      <c r="P135" s="26" t="n">
        <f aca="false">SUM(P130:P134)</f>
        <v>392777.72</v>
      </c>
      <c r="Q135" s="27" t="n">
        <f aca="false">P135/$M135</f>
        <v>1.0065571384274</v>
      </c>
      <c r="R135" s="26" t="n">
        <f aca="false">SUM(R130:R134)</f>
        <v>392777.72</v>
      </c>
      <c r="S135" s="27" t="n">
        <f aca="false">R135/$M135</f>
        <v>1.0065571384274</v>
      </c>
      <c r="T135" s="26" t="n">
        <f aca="false">SUM(T130:T134)</f>
        <v>392777.72</v>
      </c>
      <c r="U135" s="27" t="n">
        <f aca="false">T135/$M135</f>
        <v>1.0065571384274</v>
      </c>
      <c r="V135" s="26" t="n">
        <f aca="false">SUM(V130:V134)</f>
        <v>0</v>
      </c>
      <c r="W135" s="26" t="n">
        <f aca="false">SUM(W130:W134)</f>
        <v>0</v>
      </c>
    </row>
    <row r="137" customFormat="false" ht="13.9" hidden="false" customHeight="true" outlineLevel="0" collapsed="false">
      <c r="B137" s="39" t="s">
        <v>57</v>
      </c>
      <c r="C137" s="17" t="s">
        <v>110</v>
      </c>
      <c r="D137" s="40" t="n">
        <v>1030.96</v>
      </c>
      <c r="E137" s="40" t="n">
        <v>116750.27</v>
      </c>
      <c r="F137" s="40" t="n">
        <f aca="false">ROUND(E101+16.61+1469.26,0)</f>
        <v>3111</v>
      </c>
      <c r="G137" s="40" t="n">
        <v>3138</v>
      </c>
      <c r="H137" s="40"/>
      <c r="I137" s="40"/>
      <c r="J137" s="40" t="n">
        <v>14604</v>
      </c>
      <c r="K137" s="40"/>
      <c r="L137" s="40"/>
      <c r="M137" s="40" t="n">
        <f aca="false">H137+SUM(I137:L137)</f>
        <v>14604</v>
      </c>
      <c r="N137" s="40" t="n">
        <v>0</v>
      </c>
      <c r="O137" s="41" t="n">
        <f aca="false">N137/$M137</f>
        <v>0</v>
      </c>
      <c r="P137" s="40" t="n">
        <v>14603.93</v>
      </c>
      <c r="Q137" s="41" t="n">
        <f aca="false">P137/$M137</f>
        <v>0.999995206792659</v>
      </c>
      <c r="R137" s="40" t="n">
        <v>14603.93</v>
      </c>
      <c r="S137" s="41" t="n">
        <f aca="false">R137/$M137</f>
        <v>0.999995206792659</v>
      </c>
      <c r="T137" s="40" t="n">
        <v>14603.93</v>
      </c>
      <c r="U137" s="42" t="n">
        <f aca="false">T137/$M137</f>
        <v>0.999995206792659</v>
      </c>
      <c r="V137" s="40"/>
      <c r="W137" s="43"/>
    </row>
    <row r="138" customFormat="false" ht="13.9" hidden="false" customHeight="true" outlineLevel="0" collapsed="false">
      <c r="B138" s="44"/>
      <c r="C138" s="1" t="s">
        <v>111</v>
      </c>
      <c r="D138" s="46" t="n">
        <v>58819</v>
      </c>
      <c r="E138" s="46" t="n">
        <v>148582.56</v>
      </c>
      <c r="F138" s="46" t="n">
        <f aca="false">ROUND(137682.92+495.91+1.5+31836+3682.9,0)-F137-F139-F143</f>
        <v>170588</v>
      </c>
      <c r="G138" s="46" t="n">
        <v>165361</v>
      </c>
      <c r="H138" s="46" t="n">
        <f aca="false">G147-H137-H139-H140</f>
        <v>410336</v>
      </c>
      <c r="I138" s="46"/>
      <c r="J138" s="46" t="n">
        <v>-218871</v>
      </c>
      <c r="K138" s="46" t="n">
        <f aca="false">-1549-32093</f>
        <v>-33642</v>
      </c>
      <c r="L138" s="46"/>
      <c r="M138" s="46" t="n">
        <f aca="false">H138+SUM(I138:L138)</f>
        <v>157823</v>
      </c>
      <c r="N138" s="46" t="n">
        <v>0</v>
      </c>
      <c r="O138" s="2" t="n">
        <f aca="false">N138/$M138</f>
        <v>0</v>
      </c>
      <c r="P138" s="46" t="n">
        <v>157822.74</v>
      </c>
      <c r="Q138" s="2" t="n">
        <f aca="false">P138/$M138</f>
        <v>0.999998352584858</v>
      </c>
      <c r="R138" s="46" t="n">
        <v>157822.74</v>
      </c>
      <c r="S138" s="2" t="n">
        <f aca="false">R138/$M138</f>
        <v>0.999998352584858</v>
      </c>
      <c r="T138" s="46" t="n">
        <v>157822.74</v>
      </c>
      <c r="U138" s="47" t="n">
        <f aca="false">T138/$M138</f>
        <v>0.999998352584858</v>
      </c>
      <c r="V138" s="46"/>
      <c r="W138" s="48"/>
    </row>
    <row r="139" customFormat="false" ht="13.9" hidden="false" customHeight="true" outlineLevel="0" collapsed="false">
      <c r="B139" s="44"/>
      <c r="C139" s="45" t="s">
        <v>112</v>
      </c>
      <c r="D139" s="46" t="n">
        <v>132390</v>
      </c>
      <c r="E139" s="46" t="n">
        <v>186420.44</v>
      </c>
      <c r="F139" s="46"/>
      <c r="G139" s="49"/>
      <c r="H139" s="46"/>
      <c r="I139" s="46"/>
      <c r="J139" s="46" t="n">
        <v>203567</v>
      </c>
      <c r="K139" s="46"/>
      <c r="L139" s="46"/>
      <c r="M139" s="46" t="n">
        <f aca="false">H139+SUM(I139:L139)</f>
        <v>203567</v>
      </c>
      <c r="N139" s="46" t="n">
        <v>0</v>
      </c>
      <c r="O139" s="2" t="n">
        <f aca="false">N139/$M139</f>
        <v>0</v>
      </c>
      <c r="P139" s="46" t="n">
        <v>203566.76</v>
      </c>
      <c r="Q139" s="2" t="n">
        <f aca="false">P139/$M139</f>
        <v>0.999998821026984</v>
      </c>
      <c r="R139" s="46" t="n">
        <v>203566.76</v>
      </c>
      <c r="S139" s="2" t="n">
        <f aca="false">R139/$M139</f>
        <v>0.999998821026984</v>
      </c>
      <c r="T139" s="46" t="n">
        <v>203566.76</v>
      </c>
      <c r="U139" s="47" t="n">
        <f aca="false">T139/$M139</f>
        <v>0.999998821026984</v>
      </c>
      <c r="V139" s="46"/>
      <c r="W139" s="48"/>
    </row>
    <row r="140" customFormat="false" ht="13.9" hidden="false" customHeight="true" outlineLevel="0" collapsed="false">
      <c r="B140" s="44"/>
      <c r="C140" s="69" t="s">
        <v>113</v>
      </c>
      <c r="D140" s="70" t="n">
        <v>16000</v>
      </c>
      <c r="E140" s="70" t="n">
        <v>75210.5</v>
      </c>
      <c r="F140" s="70" t="n">
        <v>4500</v>
      </c>
      <c r="G140" s="71" t="n">
        <v>5318</v>
      </c>
      <c r="H140" s="70" t="n">
        <v>3000</v>
      </c>
      <c r="I140" s="70" t="n">
        <v>60</v>
      </c>
      <c r="J140" s="70" t="n">
        <v>700</v>
      </c>
      <c r="K140" s="70"/>
      <c r="L140" s="70"/>
      <c r="M140" s="70" t="n">
        <f aca="false">H140+SUM(I140:L140)</f>
        <v>3760</v>
      </c>
      <c r="N140" s="70" t="n">
        <v>60.3</v>
      </c>
      <c r="O140" s="72" t="n">
        <f aca="false">N140/$M140</f>
        <v>0.0160372340425532</v>
      </c>
      <c r="P140" s="70" t="n">
        <v>3760.3</v>
      </c>
      <c r="Q140" s="72" t="n">
        <f aca="false">P140/$M140</f>
        <v>1.00007978723404</v>
      </c>
      <c r="R140" s="70" t="n">
        <v>3760.3</v>
      </c>
      <c r="S140" s="72" t="n">
        <f aca="false">R140/$M140</f>
        <v>1.00007978723404</v>
      </c>
      <c r="T140" s="70" t="n">
        <v>3760.3</v>
      </c>
      <c r="U140" s="47" t="n">
        <f aca="false">T140/$M140</f>
        <v>1.00007978723404</v>
      </c>
      <c r="V140" s="70"/>
      <c r="W140" s="48"/>
    </row>
    <row r="141" customFormat="false" ht="13.9" hidden="false" customHeight="true" outlineLevel="0" collapsed="false">
      <c r="B141" s="44"/>
      <c r="C141" s="45" t="s">
        <v>114</v>
      </c>
      <c r="D141" s="46"/>
      <c r="E141" s="46"/>
      <c r="F141" s="46"/>
      <c r="G141" s="49"/>
      <c r="H141" s="46"/>
      <c r="I141" s="46"/>
      <c r="J141" s="46"/>
      <c r="K141" s="46"/>
      <c r="L141" s="46" t="n">
        <v>286</v>
      </c>
      <c r="M141" s="70" t="n">
        <f aca="false">H141+SUM(I141:L141)</f>
        <v>286</v>
      </c>
      <c r="N141" s="46" t="n">
        <v>2187.41</v>
      </c>
      <c r="O141" s="72" t="n">
        <f aca="false">N141/$M141</f>
        <v>7.64828671328671</v>
      </c>
      <c r="P141" s="46" t="n">
        <v>285.41</v>
      </c>
      <c r="Q141" s="72" t="n">
        <f aca="false">P141/$M141</f>
        <v>0.997937062937063</v>
      </c>
      <c r="R141" s="46" t="n">
        <v>285.41</v>
      </c>
      <c r="S141" s="72" t="n">
        <f aca="false">R141/$M141</f>
        <v>0.997937062937063</v>
      </c>
      <c r="T141" s="46" t="n">
        <v>285.41</v>
      </c>
      <c r="U141" s="47" t="n">
        <f aca="false">T141/$M141</f>
        <v>0.997937062937063</v>
      </c>
      <c r="V141" s="46"/>
      <c r="W141" s="48"/>
    </row>
    <row r="142" customFormat="false" ht="13.9" hidden="false" customHeight="true" outlineLevel="0" collapsed="false">
      <c r="B142" s="44"/>
      <c r="C142" s="45" t="s">
        <v>115</v>
      </c>
      <c r="D142" s="46"/>
      <c r="E142" s="46"/>
      <c r="F142" s="46"/>
      <c r="G142" s="49"/>
      <c r="H142" s="46"/>
      <c r="I142" s="46"/>
      <c r="J142" s="46"/>
      <c r="K142" s="46"/>
      <c r="L142" s="46"/>
      <c r="M142" s="70" t="n">
        <f aca="false">H142+SUM(I142:L142)</f>
        <v>0</v>
      </c>
      <c r="N142" s="46" t="n">
        <v>2560</v>
      </c>
      <c r="O142" s="72" t="e">
        <f aca="false">N142/$M142</f>
        <v>#DIV/0!</v>
      </c>
      <c r="P142" s="46" t="n">
        <v>2560</v>
      </c>
      <c r="Q142" s="72" t="e">
        <f aca="false">P142/$M142</f>
        <v>#DIV/0!</v>
      </c>
      <c r="R142" s="46" t="n">
        <v>2560</v>
      </c>
      <c r="S142" s="72" t="e">
        <f aca="false">R142/$M142</f>
        <v>#DIV/0!</v>
      </c>
      <c r="T142" s="46" t="n">
        <v>2560</v>
      </c>
      <c r="U142" s="47" t="e">
        <f aca="false">T142/$M142</f>
        <v>#DIV/0!</v>
      </c>
      <c r="V142" s="46"/>
      <c r="W142" s="48"/>
    </row>
    <row r="143" customFormat="false" ht="13.9" hidden="false" customHeight="true" outlineLevel="0" collapsed="false">
      <c r="B143" s="52"/>
      <c r="C143" s="53" t="s">
        <v>116</v>
      </c>
      <c r="D143" s="54"/>
      <c r="E143" s="54"/>
      <c r="F143" s="54"/>
      <c r="G143" s="73"/>
      <c r="H143" s="54"/>
      <c r="I143" s="54"/>
      <c r="J143" s="54"/>
      <c r="K143" s="54"/>
      <c r="L143" s="54" t="n">
        <v>10179</v>
      </c>
      <c r="M143" s="54" t="n">
        <f aca="false">H143+SUM(I143:L143)</f>
        <v>10179</v>
      </c>
      <c r="N143" s="54" t="n">
        <v>10178.58</v>
      </c>
      <c r="O143" s="55" t="n">
        <f aca="false">N143/$M143</f>
        <v>0.999958738579428</v>
      </c>
      <c r="P143" s="54" t="n">
        <v>10178.58</v>
      </c>
      <c r="Q143" s="55" t="n">
        <f aca="false">P143/$M143</f>
        <v>0.999958738579428</v>
      </c>
      <c r="R143" s="54" t="n">
        <v>10178.58</v>
      </c>
      <c r="S143" s="55" t="n">
        <f aca="false">R143/$M143</f>
        <v>0.999958738579428</v>
      </c>
      <c r="T143" s="54" t="n">
        <v>10178.58</v>
      </c>
      <c r="U143" s="56" t="n">
        <f aca="false">T143/$M143</f>
        <v>0.999958738579428</v>
      </c>
      <c r="V143" s="54"/>
      <c r="W143" s="57"/>
    </row>
    <row r="145" customFormat="false" ht="13.9" hidden="false" customHeight="true" outlineLevel="0" collapsed="false">
      <c r="A145" s="19" t="s">
        <v>117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20"/>
      <c r="P145" s="19"/>
      <c r="Q145" s="19"/>
      <c r="R145" s="19"/>
      <c r="S145" s="19"/>
      <c r="T145" s="19"/>
      <c r="U145" s="19"/>
      <c r="V145" s="19"/>
      <c r="W145" s="19"/>
    </row>
    <row r="146" customFormat="false" ht="13.9" hidden="false" customHeight="true" outlineLevel="0" collapsed="false">
      <c r="A146" s="6"/>
      <c r="B146" s="6"/>
      <c r="C146" s="6"/>
      <c r="D146" s="7" t="s">
        <v>1</v>
      </c>
      <c r="E146" s="7" t="s">
        <v>2</v>
      </c>
      <c r="F146" s="7" t="s">
        <v>3</v>
      </c>
      <c r="G146" s="7" t="s">
        <v>4</v>
      </c>
      <c r="H146" s="7" t="s">
        <v>5</v>
      </c>
      <c r="I146" s="7" t="s">
        <v>6</v>
      </c>
      <c r="J146" s="7" t="s">
        <v>7</v>
      </c>
      <c r="K146" s="7" t="s">
        <v>8</v>
      </c>
      <c r="L146" s="7" t="s">
        <v>9</v>
      </c>
      <c r="M146" s="7" t="s">
        <v>10</v>
      </c>
      <c r="N146" s="7" t="s">
        <v>11</v>
      </c>
      <c r="O146" s="8" t="s">
        <v>12</v>
      </c>
      <c r="P146" s="7" t="s">
        <v>13</v>
      </c>
      <c r="Q146" s="8" t="s">
        <v>14</v>
      </c>
      <c r="R146" s="7" t="s">
        <v>15</v>
      </c>
      <c r="S146" s="8" t="s">
        <v>16</v>
      </c>
      <c r="T146" s="7" t="s">
        <v>17</v>
      </c>
      <c r="U146" s="8" t="s">
        <v>18</v>
      </c>
      <c r="V146" s="7" t="s">
        <v>19</v>
      </c>
      <c r="W146" s="7" t="s">
        <v>20</v>
      </c>
    </row>
    <row r="147" customFormat="false" ht="13.9" hidden="false" customHeight="true" outlineLevel="0" collapsed="false">
      <c r="D147" s="23" t="n">
        <f aca="false">D22-výdaje!G20</f>
        <v>403186.8</v>
      </c>
      <c r="E147" s="23" t="n">
        <f aca="false">E22-výdaje!H20</f>
        <v>175691.97</v>
      </c>
      <c r="F147" s="23" t="n">
        <f aca="false">F22-výdaje!I20</f>
        <v>159229</v>
      </c>
      <c r="G147" s="23" t="n">
        <f aca="false">G22-výdaje!J20</f>
        <v>413336</v>
      </c>
      <c r="H147" s="23" t="n">
        <f aca="false">H22-výdaje!K20</f>
        <v>0</v>
      </c>
      <c r="I147" s="23" t="n">
        <f aca="false">I22-výdaje!L20</f>
        <v>0</v>
      </c>
      <c r="J147" s="23" t="n">
        <f aca="false">J22-výdaje!M20</f>
        <v>0</v>
      </c>
      <c r="K147" s="23" t="n">
        <f aca="false">K22-výdaje!N20</f>
        <v>97038</v>
      </c>
      <c r="L147" s="23" t="n">
        <f aca="false">L22-výdaje!O20</f>
        <v>0</v>
      </c>
      <c r="M147" s="23" t="n">
        <f aca="false">M22-výdaje!P20</f>
        <v>97038</v>
      </c>
      <c r="N147" s="23" t="n">
        <f aca="false">N22-výdaje!Q20</f>
        <v>250029.03</v>
      </c>
      <c r="O147" s="24" t="n">
        <f aca="false">N147/$M147</f>
        <v>2.57660947257775</v>
      </c>
      <c r="P147" s="23" t="n">
        <f aca="false">P22-výdaje!S20</f>
        <v>657564.44</v>
      </c>
      <c r="Q147" s="24" t="n">
        <f aca="false">P147/$M147</f>
        <v>6.77636018879202</v>
      </c>
      <c r="R147" s="23" t="n">
        <f aca="false">R22-výdaje!U20</f>
        <v>812441.81</v>
      </c>
      <c r="S147" s="24" t="n">
        <f aca="false">R147/$M147</f>
        <v>8.37240885014118</v>
      </c>
      <c r="T147" s="23" t="n">
        <f aca="false">T22-výdaje!W20</f>
        <v>793560.44</v>
      </c>
      <c r="U147" s="24" t="n">
        <f aca="false">T147/$M147</f>
        <v>8.1778317772419</v>
      </c>
      <c r="V147" s="23" t="n">
        <f aca="false">V22-výdaje!Y20</f>
        <v>-1450</v>
      </c>
      <c r="W147" s="23" t="n">
        <f aca="false">W22-výdaje!Z20</f>
        <v>-1450</v>
      </c>
    </row>
  </sheetData>
  <mergeCells count="10">
    <mergeCell ref="A3:A21"/>
    <mergeCell ref="A31:A39"/>
    <mergeCell ref="A44:A46"/>
    <mergeCell ref="A51:A52"/>
    <mergeCell ref="A54:A59"/>
    <mergeCell ref="A61:A62"/>
    <mergeCell ref="A81:A83"/>
    <mergeCell ref="A88:A120"/>
    <mergeCell ref="A124:A125"/>
    <mergeCell ref="A130:A134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&amp;L&amp;"Arial,Normálne"&amp;10&amp;KffffffCerpanie a plnenie rozpočtu 2020&amp;C&amp;"Arial,Normálne"&amp;10&amp;KffffffObec Nesluša&amp;R&amp;"Arial,Normálne"&amp;10&amp;KffffffStav k 31. 12. 2020</oddHeader>
    <oddFooter>&amp;L&amp;"Arial,Normálne"&amp;10&amp;KffffffSchválený UOZ_V-24/2019&amp;R&amp;"Arial,Normálne"&amp;10&amp;KffffffPosledná úprava: starostka, 15. 12. 2020</oddFooter>
  </headerFooter>
  <rowBreaks count="4" manualBreakCount="4">
    <brk id="23" man="true" max="16383" min="0"/>
    <brk id="41" man="true" max="16383" min="0"/>
    <brk id="78" man="true" max="16383" min="0"/>
    <brk id="127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653"/>
  <sheetViews>
    <sheetView showFormulas="false" showGridLines="true" showRowColHeaders="true" showZeros="true" rightToLeft="false" tabSelected="false" showOutlineSymbols="true" defaultGridColor="false" view="normal" topLeftCell="D1" colorId="22" zoomScale="100" zoomScaleNormal="100" zoomScalePageLayoutView="100" workbookViewId="0">
      <selection pane="topLeft" activeCell="D1" activeCellId="0" sqref="D1"/>
    </sheetView>
  </sheetViews>
  <sheetFormatPr defaultColWidth="11.53515625" defaultRowHeight="13.9" zeroHeight="false" outlineLevelRow="0" outlineLevelCol="0"/>
  <cols>
    <col collapsed="false" customWidth="true" hidden="true" outlineLevel="0" max="1" min="1" style="1" width="2.7"/>
    <col collapsed="false" customWidth="true" hidden="true" outlineLevel="0" max="2" min="2" style="1" width="3.11"/>
    <col collapsed="false" customWidth="true" hidden="true" outlineLevel="0" max="3" min="3" style="1" width="2.97"/>
    <col collapsed="false" customWidth="true" hidden="false" outlineLevel="0" max="4" min="4" style="1" width="11.61"/>
    <col collapsed="false" customWidth="true" hidden="false" outlineLevel="0" max="5" min="5" style="1" width="8.64"/>
    <col collapsed="false" customWidth="true" hidden="false" outlineLevel="0" max="6" min="6" style="1" width="18.09"/>
    <col collapsed="false" customWidth="true" hidden="true" outlineLevel="0" max="10" min="7" style="1" width="11.22"/>
    <col collapsed="false" customWidth="true" hidden="false" outlineLevel="0" max="11" min="11" style="1" width="10.97"/>
    <col collapsed="false" customWidth="true" hidden="true" outlineLevel="0" max="15" min="12" style="1" width="10.97"/>
    <col collapsed="false" customWidth="true" hidden="false" outlineLevel="0" max="17" min="16" style="1" width="10.97"/>
    <col collapsed="false" customWidth="true" hidden="false" outlineLevel="0" max="18" min="18" style="2" width="5.46"/>
    <col collapsed="false" customWidth="true" hidden="false" outlineLevel="0" max="19" min="19" style="1" width="10.97"/>
    <col collapsed="false" customWidth="true" hidden="false" outlineLevel="0" max="20" min="20" style="2" width="5.46"/>
    <col collapsed="false" customWidth="true" hidden="false" outlineLevel="0" max="21" min="21" style="1" width="10.97"/>
    <col collapsed="false" customWidth="true" hidden="false" outlineLevel="0" max="22" min="22" style="2" width="5.46"/>
    <col collapsed="false" customWidth="true" hidden="false" outlineLevel="0" max="23" min="23" style="1" width="10.97"/>
    <col collapsed="false" customWidth="true" hidden="false" outlineLevel="0" max="24" min="24" style="2" width="5.46"/>
    <col collapsed="false" customWidth="true" hidden="true" outlineLevel="0" max="26" min="25" style="1" width="11.22"/>
    <col collapsed="false" customWidth="true" hidden="false" outlineLevel="0" max="64" min="27" style="1" width="8.64"/>
  </cols>
  <sheetData>
    <row r="1" customFormat="false" ht="13.9" hidden="false" customHeight="true" outlineLevel="0" collapsed="false">
      <c r="A1" s="1" t="s">
        <v>118</v>
      </c>
      <c r="B1" s="1" t="s">
        <v>119</v>
      </c>
      <c r="C1" s="1" t="s">
        <v>120</v>
      </c>
      <c r="D1" s="3" t="s">
        <v>121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5"/>
      <c r="U1" s="4"/>
      <c r="V1" s="5"/>
      <c r="W1" s="4"/>
      <c r="X1" s="5"/>
      <c r="Y1" s="4"/>
      <c r="Z1" s="4"/>
    </row>
    <row r="2" customFormat="false" ht="13.9" hidden="false" customHeight="true" outlineLevel="0" collapsed="false">
      <c r="D2" s="6"/>
      <c r="E2" s="6"/>
      <c r="F2" s="6"/>
      <c r="G2" s="7" t="s">
        <v>1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8" t="s">
        <v>12</v>
      </c>
      <c r="S2" s="7" t="s">
        <v>13</v>
      </c>
      <c r="T2" s="8" t="s">
        <v>14</v>
      </c>
      <c r="U2" s="7" t="s">
        <v>15</v>
      </c>
      <c r="V2" s="8" t="s">
        <v>16</v>
      </c>
      <c r="W2" s="7" t="s">
        <v>17</v>
      </c>
      <c r="X2" s="8" t="s">
        <v>18</v>
      </c>
      <c r="Y2" s="7" t="s">
        <v>19</v>
      </c>
      <c r="Z2" s="7" t="s">
        <v>20</v>
      </c>
    </row>
    <row r="3" customFormat="false" ht="13.9" hidden="false" customHeight="true" outlineLevel="0" collapsed="false">
      <c r="D3" s="74" t="s">
        <v>21</v>
      </c>
      <c r="E3" s="10" t="n">
        <v>111</v>
      </c>
      <c r="F3" s="10" t="s">
        <v>22</v>
      </c>
      <c r="G3" s="11" t="n">
        <f aca="false">G24+G151+G241+G286+G373+G470</f>
        <v>487164.73</v>
      </c>
      <c r="H3" s="11" t="n">
        <f aca="false">H24+H151+H241+H286+H373+H470</f>
        <v>520218.89</v>
      </c>
      <c r="I3" s="11" t="n">
        <f aca="false">I24+I151+I241+I286+I373+I470</f>
        <v>701585</v>
      </c>
      <c r="J3" s="11" t="n">
        <f aca="false">J24+J151+J241+J286+J373+J470</f>
        <v>566596</v>
      </c>
      <c r="K3" s="11" t="n">
        <f aca="false">K24+K151+K241+K286+K373+K470</f>
        <v>650786</v>
      </c>
      <c r="L3" s="11" t="n">
        <f aca="false">L24+L151+L241+L286+L373+L470</f>
        <v>703</v>
      </c>
      <c r="M3" s="11" t="n">
        <f aca="false">M24+M151+M241+M286+M373+M470</f>
        <v>8855</v>
      </c>
      <c r="N3" s="11" t="n">
        <f aca="false">N24+N151+N241+N286+N373+N470</f>
        <v>37401</v>
      </c>
      <c r="O3" s="11" t="n">
        <f aca="false">O24+O151+O241+O286+O373+O470</f>
        <v>20629</v>
      </c>
      <c r="P3" s="11" t="n">
        <f aca="false">P24+P151+P241+P286+P373+P470</f>
        <v>718374</v>
      </c>
      <c r="Q3" s="11" t="n">
        <f aca="false">Q24+Q151+Q241+Q286+Q373+Q470</f>
        <v>131005.03</v>
      </c>
      <c r="R3" s="12" t="n">
        <f aca="false">Q3/$P3</f>
        <v>0.182363267601556</v>
      </c>
      <c r="S3" s="11" t="n">
        <f aca="false">S24+S151+S241+S286+S373+S470</f>
        <v>278602.15</v>
      </c>
      <c r="T3" s="12" t="n">
        <f aca="false">S3/$P3</f>
        <v>0.387823264761809</v>
      </c>
      <c r="U3" s="11" t="n">
        <f aca="false">U24+U151+U241+U286+U373+U470</f>
        <v>446612.01</v>
      </c>
      <c r="V3" s="12" t="n">
        <f aca="false">U3/$P3</f>
        <v>0.621698460690392</v>
      </c>
      <c r="W3" s="11" t="n">
        <f aca="false">W24+W151+W241+W286+W373+W470</f>
        <v>692070.66</v>
      </c>
      <c r="X3" s="12" t="n">
        <f aca="false">W3/$P3</f>
        <v>0.963384894219446</v>
      </c>
      <c r="Y3" s="11" t="n">
        <f aca="false">Y24+Y151+Y241+Y286+Y373+Y470</f>
        <v>646154</v>
      </c>
      <c r="Z3" s="11" t="n">
        <f aca="false">Z24+Z151+Z241+Z286+Z373+Z470</f>
        <v>651910</v>
      </c>
    </row>
    <row r="4" customFormat="false" ht="13.9" hidden="false" customHeight="true" outlineLevel="0" collapsed="false">
      <c r="D4" s="74"/>
      <c r="E4" s="10" t="n">
        <v>41</v>
      </c>
      <c r="F4" s="10" t="s">
        <v>23</v>
      </c>
      <c r="G4" s="11" t="n">
        <f aca="false">G25+G152+G212+G242+G287+G374+G471+G648</f>
        <v>734793.98</v>
      </c>
      <c r="H4" s="11" t="n">
        <f aca="false">H25+H152+H212+H242+H287+H374+H471+H648</f>
        <v>788649.82</v>
      </c>
      <c r="I4" s="11" t="n">
        <f aca="false">I25+I152+I212+I242+I287+I374+I471+I648</f>
        <v>912216</v>
      </c>
      <c r="J4" s="11" t="n">
        <f aca="false">J25+J152+J212+J242+J287+J374+J471+J648</f>
        <v>856222</v>
      </c>
      <c r="K4" s="11" t="n">
        <f aca="false">K25+K152+K212+K242+K287+K374+K471+K648</f>
        <v>974848</v>
      </c>
      <c r="L4" s="11" t="n">
        <f aca="false">L25+L152+L212+L242+L287+L374+L471+L648</f>
        <v>2901</v>
      </c>
      <c r="M4" s="11" t="n">
        <f aca="false">M25+M152+M212+M242+M287+M374+M471+M648</f>
        <v>2634</v>
      </c>
      <c r="N4" s="11" t="n">
        <f aca="false">N25+N152+N212+N242+N287+N374+N471+N648</f>
        <v>-58203</v>
      </c>
      <c r="O4" s="11" t="n">
        <f aca="false">O25+O152+O212+O242+O287+O374+O471+O648</f>
        <v>3722</v>
      </c>
      <c r="P4" s="11" t="n">
        <f aca="false">P25+P152+P212+P242+P287+P374+P471+P648</f>
        <v>925902</v>
      </c>
      <c r="Q4" s="11" t="n">
        <f aca="false">Q25+Q152+Q212+Q242+Q287+Q374+Q471+Q648</f>
        <v>212412.92</v>
      </c>
      <c r="R4" s="12" t="n">
        <f aca="false">Q4/$P4</f>
        <v>0.229411881603021</v>
      </c>
      <c r="S4" s="11" t="n">
        <f aca="false">S25+S152+S212+S242+S287+S374+S471+S648</f>
        <v>386630.42</v>
      </c>
      <c r="T4" s="12" t="n">
        <f aca="false">S4/$P4</f>
        <v>0.417571643651272</v>
      </c>
      <c r="U4" s="11" t="n">
        <f aca="false">U25+U152+U212+U242+U287+U374+U471+U648</f>
        <v>548937.84</v>
      </c>
      <c r="V4" s="12" t="n">
        <f aca="false">U4/$P4</f>
        <v>0.59286818691395</v>
      </c>
      <c r="W4" s="11" t="n">
        <f aca="false">W25+W152+W212+W242+W287+W374+W471+W648</f>
        <v>786886.63</v>
      </c>
      <c r="X4" s="12" t="n">
        <f aca="false">W4/$P4</f>
        <v>0.849859520770017</v>
      </c>
      <c r="Y4" s="11" t="n">
        <f aca="false">Y25+Y152+Y212+Y242+Y287+Y374+Y471+Y648</f>
        <v>981291</v>
      </c>
      <c r="Z4" s="11" t="n">
        <f aca="false">Z25+Z152+Z212+Z242+Z287+Z374+Z471+Z648</f>
        <v>1032161</v>
      </c>
    </row>
    <row r="5" customFormat="false" ht="13.9" hidden="false" customHeight="true" outlineLevel="0" collapsed="false">
      <c r="D5" s="74"/>
      <c r="E5" s="10" t="n">
        <v>71</v>
      </c>
      <c r="F5" s="10" t="s">
        <v>24</v>
      </c>
      <c r="G5" s="11" t="n">
        <f aca="false">G288</f>
        <v>1400</v>
      </c>
      <c r="H5" s="11" t="n">
        <f aca="false">H288</f>
        <v>1400</v>
      </c>
      <c r="I5" s="11" t="n">
        <f aca="false">I288</f>
        <v>1400</v>
      </c>
      <c r="J5" s="11" t="n">
        <f aca="false">J288</f>
        <v>1400</v>
      </c>
      <c r="K5" s="11" t="n">
        <f aca="false">K288</f>
        <v>1400</v>
      </c>
      <c r="L5" s="11" t="n">
        <f aca="false">L288</f>
        <v>0</v>
      </c>
      <c r="M5" s="11" t="n">
        <f aca="false">M288</f>
        <v>0</v>
      </c>
      <c r="N5" s="11" t="n">
        <f aca="false">N288</f>
        <v>0</v>
      </c>
      <c r="O5" s="11" t="n">
        <f aca="false">O288</f>
        <v>0</v>
      </c>
      <c r="P5" s="11" t="n">
        <f aca="false">P288</f>
        <v>1400</v>
      </c>
      <c r="Q5" s="11" t="n">
        <f aca="false">Q288</f>
        <v>0</v>
      </c>
      <c r="R5" s="12" t="n">
        <f aca="false">Q5/$P5</f>
        <v>0</v>
      </c>
      <c r="S5" s="11" t="n">
        <f aca="false">S288</f>
        <v>1400</v>
      </c>
      <c r="T5" s="12" t="n">
        <f aca="false">S5/$P5</f>
        <v>1</v>
      </c>
      <c r="U5" s="11" t="n">
        <f aca="false">U288</f>
        <v>1400</v>
      </c>
      <c r="V5" s="12" t="n">
        <f aca="false">U5/$P5</f>
        <v>1</v>
      </c>
      <c r="W5" s="11" t="n">
        <f aca="false">W288</f>
        <v>1400</v>
      </c>
      <c r="X5" s="12" t="n">
        <f aca="false">W5/$P5</f>
        <v>1</v>
      </c>
      <c r="Y5" s="11" t="n">
        <f aca="false">Y288</f>
        <v>1400</v>
      </c>
      <c r="Z5" s="11" t="n">
        <f aca="false">Z288</f>
        <v>1400</v>
      </c>
    </row>
    <row r="6" customFormat="false" ht="13.9" hidden="false" customHeight="true" outlineLevel="0" collapsed="false">
      <c r="D6" s="74"/>
      <c r="E6" s="10" t="n">
        <v>72</v>
      </c>
      <c r="F6" s="10" t="s">
        <v>25</v>
      </c>
      <c r="G6" s="11" t="n">
        <f aca="false">G26+G153+G213+G243+G289+G472</f>
        <v>0</v>
      </c>
      <c r="H6" s="11" t="n">
        <f aca="false">H26+H153+H213+H243+H289+H472</f>
        <v>57128.66</v>
      </c>
      <c r="I6" s="11" t="n">
        <f aca="false">I26+I153+I213+I243+I289+I472</f>
        <v>51390</v>
      </c>
      <c r="J6" s="11" t="n">
        <f aca="false">J26+J153+J213+J243+J289+J472</f>
        <v>60021</v>
      </c>
      <c r="K6" s="11" t="n">
        <f aca="false">K26+K153+K213+K243+K289+K472</f>
        <v>50455</v>
      </c>
      <c r="L6" s="11" t="n">
        <f aca="false">L26+L153+L213+L243+L289+L472</f>
        <v>0</v>
      </c>
      <c r="M6" s="11" t="n">
        <f aca="false">M26+M153+M213+M243+M289+M472</f>
        <v>0</v>
      </c>
      <c r="N6" s="11" t="n">
        <f aca="false">N26+N153+N213+N243+N289+N472</f>
        <v>-2</v>
      </c>
      <c r="O6" s="11" t="n">
        <f aca="false">O26+O153+O213+O243+O289+O472</f>
        <v>3780</v>
      </c>
      <c r="P6" s="11" t="n">
        <f aca="false">P26+P153+P213+P243+P289+P472</f>
        <v>54233</v>
      </c>
      <c r="Q6" s="11" t="n">
        <f aca="false">Q26+Q153+Q213+Q243+Q289+Q472</f>
        <v>9856.52</v>
      </c>
      <c r="R6" s="12" t="n">
        <f aca="false">Q6/$P6</f>
        <v>0.181743956631571</v>
      </c>
      <c r="S6" s="11" t="n">
        <f aca="false">S26+S153+S213+S243+S289+S472</f>
        <v>15667.23</v>
      </c>
      <c r="T6" s="12" t="n">
        <f aca="false">S6/$P6</f>
        <v>0.288887393284532</v>
      </c>
      <c r="U6" s="11" t="n">
        <f aca="false">U26+U153+U213+U243+U289+U472-2560</f>
        <v>26882.58</v>
      </c>
      <c r="V6" s="12" t="n">
        <f aca="false">U6/$P6</f>
        <v>0.495686758984382</v>
      </c>
      <c r="W6" s="11" t="n">
        <f aca="false">W26+W153+W213+W243+W289+W472-2560</f>
        <v>41257.55</v>
      </c>
      <c r="X6" s="12" t="n">
        <f aca="false">W6/$P6</f>
        <v>0.760746224623384</v>
      </c>
      <c r="Y6" s="11" t="n">
        <f aca="false">Y26+Y153+Y213+Y243+Y289+Y472</f>
        <v>50453</v>
      </c>
      <c r="Z6" s="11" t="n">
        <f aca="false">Z26+Z153+Z213+Z243+Z289+Z472</f>
        <v>50453</v>
      </c>
    </row>
    <row r="7" customFormat="false" ht="13.9" hidden="false" customHeight="true" outlineLevel="0" collapsed="false">
      <c r="D7" s="74"/>
      <c r="E7" s="10"/>
      <c r="F7" s="13" t="s">
        <v>122</v>
      </c>
      <c r="G7" s="14" t="n">
        <f aca="false">SUM(G3:G6)</f>
        <v>1223358.71</v>
      </c>
      <c r="H7" s="14" t="n">
        <f aca="false">SUM(H3:H6)</f>
        <v>1367397.37</v>
      </c>
      <c r="I7" s="14" t="n">
        <f aca="false">SUM(I3:I6)</f>
        <v>1666591</v>
      </c>
      <c r="J7" s="14" t="n">
        <f aca="false">SUM(J3:J6)</f>
        <v>1484239</v>
      </c>
      <c r="K7" s="14" t="n">
        <f aca="false">SUM(K3:K6)</f>
        <v>1677489</v>
      </c>
      <c r="L7" s="14" t="n">
        <f aca="false">SUM(L3:L6)</f>
        <v>3604</v>
      </c>
      <c r="M7" s="14" t="n">
        <f aca="false">SUM(M3:M6)</f>
        <v>11489</v>
      </c>
      <c r="N7" s="14" t="n">
        <f aca="false">SUM(N3:N6)</f>
        <v>-20804</v>
      </c>
      <c r="O7" s="14" t="n">
        <f aca="false">SUM(O3:O6)</f>
        <v>28131</v>
      </c>
      <c r="P7" s="14" t="n">
        <f aca="false">SUM(P3:P6)</f>
        <v>1699909</v>
      </c>
      <c r="Q7" s="14" t="n">
        <f aca="false">SUM(Q3:Q6)</f>
        <v>353274.47</v>
      </c>
      <c r="R7" s="15" t="n">
        <f aca="false">Q7/$P7</f>
        <v>0.207819636227586</v>
      </c>
      <c r="S7" s="14" t="n">
        <f aca="false">SUM(S3:S6)</f>
        <v>682299.8</v>
      </c>
      <c r="T7" s="15" t="n">
        <f aca="false">S7/$P7</f>
        <v>0.401374308860063</v>
      </c>
      <c r="U7" s="14" t="n">
        <f aca="false">SUM(U3:U6)</f>
        <v>1023832.43</v>
      </c>
      <c r="V7" s="15" t="n">
        <f aca="false">U7/$P7</f>
        <v>0.602286610636216</v>
      </c>
      <c r="W7" s="14" t="n">
        <f aca="false">SUM(W3:W6)</f>
        <v>1521614.84</v>
      </c>
      <c r="X7" s="15" t="n">
        <f aca="false">W7/$P7</f>
        <v>0.895115467945637</v>
      </c>
      <c r="Y7" s="14" t="n">
        <f aca="false">SUM(Y3:Y6)</f>
        <v>1679298</v>
      </c>
      <c r="Z7" s="14" t="n">
        <f aca="false">SUM(Z3:Z6)</f>
        <v>1735924</v>
      </c>
    </row>
    <row r="8" customFormat="false" ht="13.9" hidden="false" customHeight="true" outlineLevel="0" collapsed="false">
      <c r="D8" s="74"/>
      <c r="E8" s="10" t="n">
        <v>111</v>
      </c>
      <c r="F8" s="10" t="s">
        <v>22</v>
      </c>
      <c r="G8" s="11" t="n">
        <f aca="false">G528</f>
        <v>0</v>
      </c>
      <c r="H8" s="11" t="n">
        <f aca="false">H528</f>
        <v>675504.98</v>
      </c>
      <c r="I8" s="11" t="n">
        <f aca="false">I528</f>
        <v>995166</v>
      </c>
      <c r="J8" s="11" t="n">
        <f aca="false">J528</f>
        <v>975398</v>
      </c>
      <c r="K8" s="11" t="n">
        <f aca="false">K528</f>
        <v>330000</v>
      </c>
      <c r="L8" s="11" t="n">
        <f aca="false">L528</f>
        <v>0</v>
      </c>
      <c r="M8" s="11" t="n">
        <f aca="false">M528</f>
        <v>0</v>
      </c>
      <c r="N8" s="11" t="n">
        <f aca="false">N528</f>
        <v>0</v>
      </c>
      <c r="O8" s="11" t="n">
        <f aca="false">O528</f>
        <v>0</v>
      </c>
      <c r="P8" s="11" t="n">
        <f aca="false">P528</f>
        <v>330000</v>
      </c>
      <c r="Q8" s="11" t="n">
        <f aca="false">Q528</f>
        <v>0</v>
      </c>
      <c r="R8" s="12" t="n">
        <f aca="false">Q8/$P8</f>
        <v>0</v>
      </c>
      <c r="S8" s="11" t="n">
        <f aca="false">S528</f>
        <v>0</v>
      </c>
      <c r="T8" s="12" t="n">
        <f aca="false">S8/$P8</f>
        <v>0</v>
      </c>
      <c r="U8" s="11" t="n">
        <f aca="false">U528</f>
        <v>0</v>
      </c>
      <c r="V8" s="12" t="n">
        <f aca="false">U8/$P8</f>
        <v>0</v>
      </c>
      <c r="W8" s="11" t="n">
        <f aca="false">W528</f>
        <v>0</v>
      </c>
      <c r="X8" s="12" t="n">
        <f aca="false">W8/$P8</f>
        <v>0</v>
      </c>
      <c r="Y8" s="11" t="n">
        <f aca="false">Y528</f>
        <v>0</v>
      </c>
      <c r="Z8" s="11" t="n">
        <f aca="false">Z528</f>
        <v>0</v>
      </c>
    </row>
    <row r="9" customFormat="false" ht="13.9" hidden="false" customHeight="true" outlineLevel="0" collapsed="false">
      <c r="D9" s="74"/>
      <c r="E9" s="10" t="n">
        <v>41</v>
      </c>
      <c r="F9" s="10" t="s">
        <v>23</v>
      </c>
      <c r="G9" s="11" t="n">
        <f aca="false">G529</f>
        <v>275897.18</v>
      </c>
      <c r="H9" s="11" t="n">
        <f aca="false">H529</f>
        <v>541019.75</v>
      </c>
      <c r="I9" s="11" t="n">
        <f aca="false">I529</f>
        <v>362550</v>
      </c>
      <c r="J9" s="11" t="n">
        <f aca="false">J529</f>
        <v>261826</v>
      </c>
      <c r="K9" s="11" t="n">
        <f aca="false">K529</f>
        <v>742710</v>
      </c>
      <c r="L9" s="11" t="n">
        <f aca="false">L529</f>
        <v>1560</v>
      </c>
      <c r="M9" s="11" t="n">
        <f aca="false">M529</f>
        <v>0</v>
      </c>
      <c r="N9" s="11" t="n">
        <f aca="false">N529</f>
        <v>-125208</v>
      </c>
      <c r="O9" s="11" t="n">
        <f aca="false">O529</f>
        <v>6080</v>
      </c>
      <c r="P9" s="11" t="n">
        <f aca="false">P529</f>
        <v>625142</v>
      </c>
      <c r="Q9" s="11" t="n">
        <f aca="false">Q529</f>
        <v>6010.36</v>
      </c>
      <c r="R9" s="12" t="n">
        <f aca="false">Q9/$P9</f>
        <v>0.00961439161022616</v>
      </c>
      <c r="S9" s="11" t="n">
        <f aca="false">S529</f>
        <v>57165.96</v>
      </c>
      <c r="T9" s="12" t="n">
        <f aca="false">S9/$P9</f>
        <v>0.0914447597505847</v>
      </c>
      <c r="U9" s="11" t="n">
        <f aca="false">U529</f>
        <v>82253.55</v>
      </c>
      <c r="V9" s="12" t="n">
        <f aca="false">U9/$P9</f>
        <v>0.131575785981425</v>
      </c>
      <c r="W9" s="11" t="n">
        <f aca="false">W529</f>
        <v>137834.32</v>
      </c>
      <c r="X9" s="12" t="n">
        <f aca="false">W9/$P9</f>
        <v>0.220484817849385</v>
      </c>
      <c r="Y9" s="11" t="n">
        <f aca="false">Y529</f>
        <v>372036</v>
      </c>
      <c r="Z9" s="11" t="n">
        <f aca="false">Z529</f>
        <v>393009</v>
      </c>
    </row>
    <row r="10" customFormat="false" ht="13.9" hidden="false" customHeight="true" outlineLevel="0" collapsed="false">
      <c r="D10" s="74"/>
      <c r="E10" s="10" t="n">
        <v>52</v>
      </c>
      <c r="F10" s="10" t="s">
        <v>28</v>
      </c>
      <c r="G10" s="11" t="n">
        <f aca="false">G530</f>
        <v>0</v>
      </c>
      <c r="H10" s="11" t="n">
        <f aca="false">H530</f>
        <v>0</v>
      </c>
      <c r="I10" s="11" t="n">
        <f aca="false">I530</f>
        <v>0</v>
      </c>
      <c r="J10" s="11" t="n">
        <f aca="false">J530</f>
        <v>0</v>
      </c>
      <c r="K10" s="11" t="n">
        <f aca="false">K530</f>
        <v>0</v>
      </c>
      <c r="L10" s="11" t="n">
        <f aca="false">L530</f>
        <v>0</v>
      </c>
      <c r="M10" s="11" t="n">
        <f aca="false">M530</f>
        <v>0</v>
      </c>
      <c r="N10" s="11" t="n">
        <f aca="false">N530</f>
        <v>0</v>
      </c>
      <c r="O10" s="11" t="n">
        <f aca="false">O530</f>
        <v>0</v>
      </c>
      <c r="P10" s="11" t="n">
        <f aca="false">P530</f>
        <v>0</v>
      </c>
      <c r="Q10" s="11" t="n">
        <f aca="false">Q530</f>
        <v>0</v>
      </c>
      <c r="R10" s="12" t="e">
        <f aca="false">Q10/$P10</f>
        <v>#DIV/0!</v>
      </c>
      <c r="S10" s="11" t="n">
        <f aca="false">S530</f>
        <v>0</v>
      </c>
      <c r="T10" s="12" t="e">
        <f aca="false">S10/$P10</f>
        <v>#DIV/0!</v>
      </c>
      <c r="U10" s="11" t="n">
        <f aca="false">U530</f>
        <v>0</v>
      </c>
      <c r="V10" s="12" t="e">
        <f aca="false">U10/$P10</f>
        <v>#DIV/0!</v>
      </c>
      <c r="W10" s="11" t="n">
        <f aca="false">W530</f>
        <v>0</v>
      </c>
      <c r="X10" s="12" t="e">
        <f aca="false">W10/$P10</f>
        <v>#DIV/0!</v>
      </c>
      <c r="Y10" s="11" t="n">
        <f aca="false">Y530</f>
        <v>0</v>
      </c>
      <c r="Z10" s="11" t="n">
        <f aca="false">Z530</f>
        <v>0</v>
      </c>
    </row>
    <row r="11" customFormat="false" ht="13.9" hidden="false" customHeight="true" outlineLevel="0" collapsed="false">
      <c r="D11" s="74"/>
      <c r="E11" s="10"/>
      <c r="F11" s="13" t="s">
        <v>123</v>
      </c>
      <c r="G11" s="14" t="n">
        <f aca="false">SUM(G8:G10)</f>
        <v>275897.18</v>
      </c>
      <c r="H11" s="14" t="n">
        <f aca="false">SUM(H8:H10)</f>
        <v>1216524.73</v>
      </c>
      <c r="I11" s="14" t="n">
        <f aca="false">SUM(I8:I10)</f>
        <v>1357716</v>
      </c>
      <c r="J11" s="14" t="n">
        <f aca="false">SUM(J8:J10)</f>
        <v>1237224</v>
      </c>
      <c r="K11" s="14" t="n">
        <f aca="false">SUM(K8:K10)</f>
        <v>1072710</v>
      </c>
      <c r="L11" s="14" t="n">
        <f aca="false">SUM(L8:L10)</f>
        <v>1560</v>
      </c>
      <c r="M11" s="14" t="n">
        <f aca="false">SUM(M8:M10)</f>
        <v>0</v>
      </c>
      <c r="N11" s="14" t="n">
        <f aca="false">SUM(N8:N10)</f>
        <v>-125208</v>
      </c>
      <c r="O11" s="14" t="n">
        <f aca="false">SUM(O8:O10)</f>
        <v>6080</v>
      </c>
      <c r="P11" s="14" t="n">
        <f aca="false">SUM(P8:P10)</f>
        <v>955142</v>
      </c>
      <c r="Q11" s="14" t="n">
        <f aca="false">SUM(Q8:Q10)</f>
        <v>6010.36</v>
      </c>
      <c r="R11" s="15" t="n">
        <f aca="false">Q11/$P11</f>
        <v>0.00629263502180828</v>
      </c>
      <c r="S11" s="14" t="n">
        <f aca="false">SUM(S8:S10)</f>
        <v>57165.96</v>
      </c>
      <c r="T11" s="15" t="n">
        <f aca="false">S11/$P11</f>
        <v>0.0598507447060228</v>
      </c>
      <c r="U11" s="14" t="n">
        <f aca="false">SUM(U8:U10)</f>
        <v>82253.55</v>
      </c>
      <c r="V11" s="15" t="n">
        <f aca="false">U11/$P11</f>
        <v>0.0861165669607242</v>
      </c>
      <c r="W11" s="14" t="n">
        <f aca="false">SUM(W8:W10)</f>
        <v>137834.32</v>
      </c>
      <c r="X11" s="15" t="n">
        <f aca="false">W11/$P11</f>
        <v>0.144307673623398</v>
      </c>
      <c r="Y11" s="14" t="n">
        <f aca="false">SUM(Y8:Y10)</f>
        <v>372036</v>
      </c>
      <c r="Z11" s="14" t="n">
        <f aca="false">SUM(Z8:Z10)</f>
        <v>393009</v>
      </c>
    </row>
    <row r="12" customFormat="false" ht="13.9" hidden="false" customHeight="true" outlineLevel="0" collapsed="false">
      <c r="D12" s="74"/>
      <c r="E12" s="10" t="n">
        <v>41</v>
      </c>
      <c r="F12" s="10" t="s">
        <v>23</v>
      </c>
      <c r="G12" s="11" t="n">
        <f aca="false">G649</f>
        <v>0</v>
      </c>
      <c r="H12" s="11" t="n">
        <f aca="false">H649</f>
        <v>0</v>
      </c>
      <c r="I12" s="11" t="n">
        <f aca="false">I649</f>
        <v>0</v>
      </c>
      <c r="J12" s="11" t="n">
        <f aca="false">J649</f>
        <v>0</v>
      </c>
      <c r="K12" s="11" t="n">
        <f aca="false">K649</f>
        <v>0</v>
      </c>
      <c r="L12" s="11" t="n">
        <f aca="false">L649</f>
        <v>0</v>
      </c>
      <c r="M12" s="11" t="n">
        <f aca="false">M649</f>
        <v>0</v>
      </c>
      <c r="N12" s="11" t="n">
        <f aca="false">N649</f>
        <v>0</v>
      </c>
      <c r="O12" s="11" t="n">
        <f aca="false">O649</f>
        <v>0</v>
      </c>
      <c r="P12" s="11" t="n">
        <f aca="false">P649</f>
        <v>0</v>
      </c>
      <c r="Q12" s="11" t="n">
        <f aca="false">Q649</f>
        <v>0</v>
      </c>
      <c r="R12" s="12" t="e">
        <f aca="false">Q12/$P12</f>
        <v>#DIV/0!</v>
      </c>
      <c r="S12" s="11" t="n">
        <f aca="false">S649</f>
        <v>0</v>
      </c>
      <c r="T12" s="12" t="e">
        <f aca="false">S12/$P12</f>
        <v>#DIV/0!</v>
      </c>
      <c r="U12" s="11" t="n">
        <f aca="false">U649</f>
        <v>0</v>
      </c>
      <c r="V12" s="12" t="e">
        <f aca="false">U12/$P12</f>
        <v>#DIV/0!</v>
      </c>
      <c r="W12" s="11" t="n">
        <f aca="false">W649</f>
        <v>0</v>
      </c>
      <c r="X12" s="12" t="e">
        <f aca="false">W12/$P12</f>
        <v>#DIV/0!</v>
      </c>
      <c r="Y12" s="11" t="n">
        <f aca="false">Y649</f>
        <v>0</v>
      </c>
      <c r="Z12" s="11" t="n">
        <f aca="false">Z649</f>
        <v>0</v>
      </c>
    </row>
    <row r="13" customFormat="false" ht="13.9" hidden="false" customHeight="true" outlineLevel="0" collapsed="false">
      <c r="D13" s="74"/>
      <c r="E13" s="10" t="n">
        <v>71</v>
      </c>
      <c r="F13" s="10" t="s">
        <v>24</v>
      </c>
      <c r="G13" s="11" t="n">
        <f aca="false">G643</f>
        <v>0</v>
      </c>
      <c r="H13" s="11" t="n">
        <f aca="false">H643</f>
        <v>70010.5</v>
      </c>
      <c r="I13" s="11" t="n">
        <f aca="false">I643</f>
        <v>4500</v>
      </c>
      <c r="J13" s="11" t="n">
        <f aca="false">J643</f>
        <v>1500</v>
      </c>
      <c r="K13" s="11" t="n">
        <f aca="false">K643</f>
        <v>0</v>
      </c>
      <c r="L13" s="11" t="n">
        <f aca="false">L643</f>
        <v>0</v>
      </c>
      <c r="M13" s="11" t="n">
        <f aca="false">M643</f>
        <v>0</v>
      </c>
      <c r="N13" s="11" t="n">
        <f aca="false">N643</f>
        <v>0</v>
      </c>
      <c r="O13" s="11" t="n">
        <f aca="false">O643</f>
        <v>0</v>
      </c>
      <c r="P13" s="11" t="n">
        <f aca="false">P643</f>
        <v>0</v>
      </c>
      <c r="Q13" s="11" t="n">
        <f aca="false">Q643</f>
        <v>0</v>
      </c>
      <c r="R13" s="12" t="e">
        <f aca="false">Q13/$P13</f>
        <v>#DIV/0!</v>
      </c>
      <c r="S13" s="11" t="n">
        <f aca="false">S643</f>
        <v>0</v>
      </c>
      <c r="T13" s="12" t="e">
        <f aca="false">S13/$P13</f>
        <v>#DIV/0!</v>
      </c>
      <c r="U13" s="11" t="n">
        <v>2560</v>
      </c>
      <c r="V13" s="12" t="e">
        <f aca="false">U13/$P13</f>
        <v>#DIV/0!</v>
      </c>
      <c r="W13" s="11" t="n">
        <f aca="false">W643+2560</f>
        <v>2560</v>
      </c>
      <c r="X13" s="12" t="e">
        <f aca="false">W13/$P13</f>
        <v>#DIV/0!</v>
      </c>
      <c r="Y13" s="11" t="n">
        <f aca="false">Y643</f>
        <v>0</v>
      </c>
      <c r="Z13" s="11" t="n">
        <f aca="false">Z643</f>
        <v>0</v>
      </c>
    </row>
    <row r="14" customFormat="false" ht="13.9" hidden="false" customHeight="true" outlineLevel="0" collapsed="false">
      <c r="D14" s="74"/>
      <c r="E14" s="10"/>
      <c r="F14" s="13" t="s">
        <v>29</v>
      </c>
      <c r="G14" s="14" t="n">
        <f aca="false">SUM(G12:G13)</f>
        <v>0</v>
      </c>
      <c r="H14" s="14" t="n">
        <f aca="false">SUM(H12:H13)</f>
        <v>70010.5</v>
      </c>
      <c r="I14" s="14" t="n">
        <f aca="false">SUM(I12:I13)</f>
        <v>4500</v>
      </c>
      <c r="J14" s="14" t="n">
        <f aca="false">SUM(J12:J13)</f>
        <v>1500</v>
      </c>
      <c r="K14" s="14" t="n">
        <f aca="false">SUM(K12:K13)</f>
        <v>0</v>
      </c>
      <c r="L14" s="14" t="n">
        <f aca="false">SUM(L12:L13)</f>
        <v>0</v>
      </c>
      <c r="M14" s="14" t="n">
        <f aca="false">SUM(M12:M13)</f>
        <v>0</v>
      </c>
      <c r="N14" s="14" t="n">
        <f aca="false">SUM(N12:N13)</f>
        <v>0</v>
      </c>
      <c r="O14" s="14" t="n">
        <f aca="false">SUM(O12:O13)</f>
        <v>0</v>
      </c>
      <c r="P14" s="14" t="n">
        <f aca="false">SUM(P12:P13)</f>
        <v>0</v>
      </c>
      <c r="Q14" s="14" t="n">
        <f aca="false">SUM(Q12:Q13)</f>
        <v>0</v>
      </c>
      <c r="R14" s="15" t="e">
        <f aca="false">Q14/$P14</f>
        <v>#DIV/0!</v>
      </c>
      <c r="S14" s="14" t="n">
        <f aca="false">SUM(S12:S13)</f>
        <v>0</v>
      </c>
      <c r="T14" s="15" t="e">
        <f aca="false">S14/$P14</f>
        <v>#DIV/0!</v>
      </c>
      <c r="U14" s="14" t="n">
        <f aca="false">SUM(U12:U13)</f>
        <v>2560</v>
      </c>
      <c r="V14" s="15" t="e">
        <f aca="false">U14/$P14</f>
        <v>#DIV/0!</v>
      </c>
      <c r="W14" s="14" t="n">
        <f aca="false">SUM(W12:W13)</f>
        <v>2560</v>
      </c>
      <c r="X14" s="15" t="e">
        <f aca="false">W14/$P14</f>
        <v>#DIV/0!</v>
      </c>
      <c r="Y14" s="14" t="n">
        <f aca="false">SUM(Y12:Y13)</f>
        <v>0</v>
      </c>
      <c r="Z14" s="14" t="n">
        <f aca="false">SUM(Z12:Z13)</f>
        <v>0</v>
      </c>
    </row>
    <row r="15" customFormat="false" ht="13.9" hidden="false" customHeight="true" outlineLevel="0" collapsed="false">
      <c r="D15" s="74"/>
      <c r="E15" s="10" t="n">
        <v>111</v>
      </c>
      <c r="F15" s="10" t="s">
        <v>22</v>
      </c>
      <c r="G15" s="11" t="n">
        <f aca="false">G3+G8</f>
        <v>487164.73</v>
      </c>
      <c r="H15" s="11" t="n">
        <f aca="false">H3+H8</f>
        <v>1195723.87</v>
      </c>
      <c r="I15" s="11" t="n">
        <f aca="false">I3+I8</f>
        <v>1696751</v>
      </c>
      <c r="J15" s="11" t="n">
        <f aca="false">J3+J8</f>
        <v>1541994</v>
      </c>
      <c r="K15" s="11" t="n">
        <f aca="false">K3+K8</f>
        <v>980786</v>
      </c>
      <c r="L15" s="11" t="n">
        <f aca="false">L3+L8</f>
        <v>703</v>
      </c>
      <c r="M15" s="11" t="n">
        <f aca="false">M3+M8</f>
        <v>8855</v>
      </c>
      <c r="N15" s="11" t="n">
        <f aca="false">N3+N8</f>
        <v>37401</v>
      </c>
      <c r="O15" s="11" t="n">
        <f aca="false">O3+O8</f>
        <v>20629</v>
      </c>
      <c r="P15" s="11" t="n">
        <f aca="false">P3+P8</f>
        <v>1048374</v>
      </c>
      <c r="Q15" s="11" t="n">
        <f aca="false">Q3+Q8</f>
        <v>131005.03</v>
      </c>
      <c r="R15" s="12" t="n">
        <f aca="false">Q15/$P15</f>
        <v>0.124960205041331</v>
      </c>
      <c r="S15" s="11" t="n">
        <f aca="false">S3+S8</f>
        <v>278602.15</v>
      </c>
      <c r="T15" s="12" t="n">
        <f aca="false">S15/$P15</f>
        <v>0.265746909022925</v>
      </c>
      <c r="U15" s="11" t="n">
        <f aca="false">U3+U8</f>
        <v>446612.01</v>
      </c>
      <c r="V15" s="12" t="n">
        <f aca="false">U15/$P15</f>
        <v>0.426004469778915</v>
      </c>
      <c r="W15" s="11" t="n">
        <f aca="false">W3+W8</f>
        <v>692070.66</v>
      </c>
      <c r="X15" s="12" t="n">
        <f aca="false">W15/$P15</f>
        <v>0.660137183867589</v>
      </c>
      <c r="Y15" s="11" t="n">
        <f aca="false">Y3+Y8</f>
        <v>646154</v>
      </c>
      <c r="Z15" s="11" t="n">
        <f aca="false">Z3+Z8</f>
        <v>651910</v>
      </c>
    </row>
    <row r="16" customFormat="false" ht="13.9" hidden="false" customHeight="true" outlineLevel="0" collapsed="false">
      <c r="D16" s="74"/>
      <c r="E16" s="10" t="n">
        <v>41</v>
      </c>
      <c r="F16" s="10" t="s">
        <v>23</v>
      </c>
      <c r="G16" s="11" t="n">
        <f aca="false">G4+G9+G12</f>
        <v>1010691.16</v>
      </c>
      <c r="H16" s="11" t="n">
        <f aca="false">H4+H9+H12</f>
        <v>1329669.57</v>
      </c>
      <c r="I16" s="11" t="n">
        <f aca="false">I4+I9+I12</f>
        <v>1274766</v>
      </c>
      <c r="J16" s="11" t="n">
        <f aca="false">J4+J9+J12</f>
        <v>1118048</v>
      </c>
      <c r="K16" s="11" t="n">
        <f aca="false">K4+K9+K12</f>
        <v>1717558</v>
      </c>
      <c r="L16" s="11" t="n">
        <f aca="false">L4+L9+L12</f>
        <v>4461</v>
      </c>
      <c r="M16" s="11" t="n">
        <f aca="false">M4+M9+M12</f>
        <v>2634</v>
      </c>
      <c r="N16" s="11" t="n">
        <f aca="false">N4+N9+N12</f>
        <v>-183411</v>
      </c>
      <c r="O16" s="11" t="n">
        <f aca="false">O4+O9+O12</f>
        <v>9802</v>
      </c>
      <c r="P16" s="11" t="n">
        <f aca="false">P4+P9+P12</f>
        <v>1551044</v>
      </c>
      <c r="Q16" s="11" t="n">
        <f aca="false">Q4+Q9+Q12</f>
        <v>218423.28</v>
      </c>
      <c r="R16" s="12" t="n">
        <f aca="false">Q16/$P16</f>
        <v>0.140823393791537</v>
      </c>
      <c r="S16" s="11" t="n">
        <f aca="false">S4+S9+S12</f>
        <v>443796.38</v>
      </c>
      <c r="T16" s="12" t="n">
        <f aca="false">S16/$P16</f>
        <v>0.286127524428707</v>
      </c>
      <c r="U16" s="11" t="n">
        <f aca="false">U4+U9+U12</f>
        <v>631191.39</v>
      </c>
      <c r="V16" s="12" t="n">
        <f aca="false">U16/$P16</f>
        <v>0.406946153687452</v>
      </c>
      <c r="W16" s="11" t="n">
        <f aca="false">W4+W9+W12</f>
        <v>924720.95</v>
      </c>
      <c r="X16" s="12" t="n">
        <f aca="false">W16/$P16</f>
        <v>0.596192596728397</v>
      </c>
      <c r="Y16" s="11" t="n">
        <f aca="false">Y4+Y9+Y12</f>
        <v>1353327</v>
      </c>
      <c r="Z16" s="11" t="n">
        <f aca="false">Z4+Z9+Z12</f>
        <v>1425170</v>
      </c>
    </row>
    <row r="17" customFormat="false" ht="13.9" hidden="false" customHeight="true" outlineLevel="0" collapsed="false">
      <c r="D17" s="74"/>
      <c r="E17" s="10" t="n">
        <v>52</v>
      </c>
      <c r="F17" s="10" t="s">
        <v>28</v>
      </c>
      <c r="G17" s="11" t="n">
        <f aca="false">G10</f>
        <v>0</v>
      </c>
      <c r="H17" s="11" t="n">
        <f aca="false">H10</f>
        <v>0</v>
      </c>
      <c r="I17" s="11" t="n">
        <f aca="false">I10</f>
        <v>0</v>
      </c>
      <c r="J17" s="11" t="n">
        <f aca="false">J10</f>
        <v>0</v>
      </c>
      <c r="K17" s="11" t="n">
        <f aca="false">K10</f>
        <v>0</v>
      </c>
      <c r="L17" s="11" t="n">
        <f aca="false">L10</f>
        <v>0</v>
      </c>
      <c r="M17" s="11" t="n">
        <f aca="false">M10</f>
        <v>0</v>
      </c>
      <c r="N17" s="11" t="n">
        <f aca="false">N10</f>
        <v>0</v>
      </c>
      <c r="O17" s="11" t="n">
        <f aca="false">O10</f>
        <v>0</v>
      </c>
      <c r="P17" s="11" t="n">
        <f aca="false">P10</f>
        <v>0</v>
      </c>
      <c r="Q17" s="11" t="n">
        <f aca="false">Q10</f>
        <v>0</v>
      </c>
      <c r="R17" s="12" t="e">
        <f aca="false">Q17/$P17</f>
        <v>#DIV/0!</v>
      </c>
      <c r="S17" s="11" t="n">
        <f aca="false">S10</f>
        <v>0</v>
      </c>
      <c r="T17" s="12" t="e">
        <f aca="false">S17/$P17</f>
        <v>#DIV/0!</v>
      </c>
      <c r="U17" s="11" t="n">
        <f aca="false">U10</f>
        <v>0</v>
      </c>
      <c r="V17" s="12" t="e">
        <f aca="false">U17/$P17</f>
        <v>#DIV/0!</v>
      </c>
      <c r="W17" s="11" t="n">
        <f aca="false">W10</f>
        <v>0</v>
      </c>
      <c r="X17" s="12" t="e">
        <f aca="false">W17/$P17</f>
        <v>#DIV/0!</v>
      </c>
      <c r="Y17" s="11" t="n">
        <f aca="false">Y10</f>
        <v>0</v>
      </c>
      <c r="Z17" s="11" t="n">
        <f aca="false">Z10</f>
        <v>0</v>
      </c>
    </row>
    <row r="18" customFormat="false" ht="13.9" hidden="false" customHeight="true" outlineLevel="0" collapsed="false">
      <c r="D18" s="74"/>
      <c r="E18" s="10" t="n">
        <v>71</v>
      </c>
      <c r="F18" s="10" t="s">
        <v>24</v>
      </c>
      <c r="G18" s="11" t="n">
        <f aca="false">G5+G13</f>
        <v>1400</v>
      </c>
      <c r="H18" s="11" t="n">
        <f aca="false">H5+H13</f>
        <v>71410.5</v>
      </c>
      <c r="I18" s="11" t="n">
        <f aca="false">I5+I13</f>
        <v>5900</v>
      </c>
      <c r="J18" s="11" t="n">
        <f aca="false">J5+J13</f>
        <v>2900</v>
      </c>
      <c r="K18" s="11" t="n">
        <f aca="false">K5+K13</f>
        <v>1400</v>
      </c>
      <c r="L18" s="11" t="n">
        <f aca="false">L5+L13</f>
        <v>0</v>
      </c>
      <c r="M18" s="11" t="n">
        <f aca="false">M5+M13</f>
        <v>0</v>
      </c>
      <c r="N18" s="11" t="n">
        <f aca="false">N5+N13</f>
        <v>0</v>
      </c>
      <c r="O18" s="11" t="n">
        <f aca="false">O5+O13</f>
        <v>0</v>
      </c>
      <c r="P18" s="11" t="n">
        <f aca="false">P5+P13</f>
        <v>1400</v>
      </c>
      <c r="Q18" s="11" t="n">
        <f aca="false">Q5+Q13</f>
        <v>0</v>
      </c>
      <c r="R18" s="12" t="n">
        <f aca="false">Q18/$P18</f>
        <v>0</v>
      </c>
      <c r="S18" s="11" t="n">
        <f aca="false">S5+S13</f>
        <v>1400</v>
      </c>
      <c r="T18" s="12" t="n">
        <f aca="false">S18/$P18</f>
        <v>1</v>
      </c>
      <c r="U18" s="11" t="n">
        <f aca="false">U5+U13</f>
        <v>3960</v>
      </c>
      <c r="V18" s="12" t="n">
        <f aca="false">U18/$P18</f>
        <v>2.82857142857143</v>
      </c>
      <c r="W18" s="11" t="n">
        <f aca="false">W5+W13</f>
        <v>3960</v>
      </c>
      <c r="X18" s="12" t="n">
        <f aca="false">W18/$P18</f>
        <v>2.82857142857143</v>
      </c>
      <c r="Y18" s="11" t="n">
        <f aca="false">Y5+Y13</f>
        <v>1400</v>
      </c>
      <c r="Z18" s="11" t="n">
        <f aca="false">Z5+Z13</f>
        <v>1400</v>
      </c>
    </row>
    <row r="19" customFormat="false" ht="13.9" hidden="false" customHeight="true" outlineLevel="0" collapsed="false">
      <c r="D19" s="74"/>
      <c r="E19" s="10" t="n">
        <v>72</v>
      </c>
      <c r="F19" s="10" t="s">
        <v>25</v>
      </c>
      <c r="G19" s="11" t="n">
        <f aca="false">G6</f>
        <v>0</v>
      </c>
      <c r="H19" s="11" t="n">
        <f aca="false">H6</f>
        <v>57128.66</v>
      </c>
      <c r="I19" s="11" t="n">
        <f aca="false">I6</f>
        <v>51390</v>
      </c>
      <c r="J19" s="11" t="n">
        <f aca="false">J6</f>
        <v>60021</v>
      </c>
      <c r="K19" s="11" t="n">
        <f aca="false">K6</f>
        <v>50455</v>
      </c>
      <c r="L19" s="11" t="n">
        <f aca="false">L6</f>
        <v>0</v>
      </c>
      <c r="M19" s="11" t="n">
        <f aca="false">M6</f>
        <v>0</v>
      </c>
      <c r="N19" s="11" t="n">
        <f aca="false">N6</f>
        <v>-2</v>
      </c>
      <c r="O19" s="11" t="n">
        <f aca="false">O6</f>
        <v>3780</v>
      </c>
      <c r="P19" s="11" t="n">
        <f aca="false">P6</f>
        <v>54233</v>
      </c>
      <c r="Q19" s="11" t="n">
        <f aca="false">Q6</f>
        <v>9856.52</v>
      </c>
      <c r="R19" s="12" t="n">
        <f aca="false">Q19/$P19</f>
        <v>0.181743956631571</v>
      </c>
      <c r="S19" s="11" t="n">
        <f aca="false">S6</f>
        <v>15667.23</v>
      </c>
      <c r="T19" s="12" t="n">
        <f aca="false">S19/$P19</f>
        <v>0.288887393284532</v>
      </c>
      <c r="U19" s="11" t="n">
        <f aca="false">U6</f>
        <v>26882.58</v>
      </c>
      <c r="V19" s="12" t="n">
        <f aca="false">U19/$P19</f>
        <v>0.495686758984382</v>
      </c>
      <c r="W19" s="11" t="n">
        <f aca="false">W6</f>
        <v>41257.55</v>
      </c>
      <c r="X19" s="12" t="n">
        <f aca="false">W19/$P19</f>
        <v>0.760746224623384</v>
      </c>
      <c r="Y19" s="11" t="n">
        <f aca="false">Y6</f>
        <v>50453</v>
      </c>
      <c r="Z19" s="11" t="n">
        <f aca="false">Z6</f>
        <v>50453</v>
      </c>
    </row>
    <row r="20" customFormat="false" ht="13.9" hidden="false" customHeight="true" outlineLevel="0" collapsed="false">
      <c r="D20" s="17"/>
      <c r="E20" s="18"/>
      <c r="F20" s="13" t="s">
        <v>124</v>
      </c>
      <c r="G20" s="14" t="n">
        <f aca="false">SUM(G15:G19)</f>
        <v>1499255.89</v>
      </c>
      <c r="H20" s="14" t="n">
        <f aca="false">SUM(H15:H19)</f>
        <v>2653932.6</v>
      </c>
      <c r="I20" s="14" t="n">
        <f aca="false">SUM(I15:I19)</f>
        <v>3028807</v>
      </c>
      <c r="J20" s="14" t="n">
        <f aca="false">SUM(J15:J19)</f>
        <v>2722963</v>
      </c>
      <c r="K20" s="14" t="n">
        <f aca="false">SUM(K15:K19)</f>
        <v>2750199</v>
      </c>
      <c r="L20" s="14" t="n">
        <f aca="false">SUM(L15:L19)</f>
        <v>5164</v>
      </c>
      <c r="M20" s="14" t="n">
        <f aca="false">SUM(M15:M19)</f>
        <v>11489</v>
      </c>
      <c r="N20" s="14" t="n">
        <f aca="false">SUM(N15:N19)</f>
        <v>-146012</v>
      </c>
      <c r="O20" s="14" t="n">
        <f aca="false">SUM(O15:O19)</f>
        <v>34211</v>
      </c>
      <c r="P20" s="14" t="n">
        <f aca="false">SUM(P15:P19)</f>
        <v>2655051</v>
      </c>
      <c r="Q20" s="14" t="n">
        <f aca="false">SUM(Q15:Q19)</f>
        <v>359284.83</v>
      </c>
      <c r="R20" s="15" t="n">
        <f aca="false">Q20/$P20</f>
        <v>0.13532125371603</v>
      </c>
      <c r="S20" s="14" t="n">
        <f aca="false">SUM(S15:S19)</f>
        <v>739465.76</v>
      </c>
      <c r="T20" s="15" t="n">
        <f aca="false">S20/$P20</f>
        <v>0.278512827060572</v>
      </c>
      <c r="U20" s="14" t="n">
        <f aca="false">SUM(U15:U19)</f>
        <v>1108645.98</v>
      </c>
      <c r="V20" s="15" t="n">
        <f aca="false">U20/$P20</f>
        <v>0.41756108639721</v>
      </c>
      <c r="W20" s="14" t="n">
        <f aca="false">SUM(W15:W19)</f>
        <v>1662009.16</v>
      </c>
      <c r="X20" s="15" t="n">
        <f aca="false">W20/$P20</f>
        <v>0.625980126182134</v>
      </c>
      <c r="Y20" s="14" t="n">
        <f aca="false">SUM(Y15:Y19)</f>
        <v>2051334</v>
      </c>
      <c r="Z20" s="14" t="n">
        <f aca="false">SUM(Z15:Z19)</f>
        <v>2128933</v>
      </c>
    </row>
    <row r="22" customFormat="false" ht="13.9" hidden="false" customHeight="true" outlineLevel="0" collapsed="false">
      <c r="D22" s="19" t="s">
        <v>125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customFormat="false" ht="13.9" hidden="false" customHeight="true" outlineLevel="0" collapsed="false">
      <c r="D23" s="6"/>
      <c r="E23" s="6"/>
      <c r="F23" s="6"/>
      <c r="G23" s="7" t="s">
        <v>1</v>
      </c>
      <c r="H23" s="7" t="s">
        <v>2</v>
      </c>
      <c r="I23" s="7" t="s">
        <v>3</v>
      </c>
      <c r="J23" s="7" t="s">
        <v>4</v>
      </c>
      <c r="K23" s="7" t="s">
        <v>5</v>
      </c>
      <c r="L23" s="7" t="s">
        <v>6</v>
      </c>
      <c r="M23" s="7" t="s">
        <v>7</v>
      </c>
      <c r="N23" s="7" t="s">
        <v>8</v>
      </c>
      <c r="O23" s="7" t="s">
        <v>9</v>
      </c>
      <c r="P23" s="7" t="s">
        <v>10</v>
      </c>
      <c r="Q23" s="7" t="s">
        <v>11</v>
      </c>
      <c r="R23" s="8" t="s">
        <v>12</v>
      </c>
      <c r="S23" s="7" t="s">
        <v>13</v>
      </c>
      <c r="T23" s="8" t="s">
        <v>14</v>
      </c>
      <c r="U23" s="7" t="s">
        <v>15</v>
      </c>
      <c r="V23" s="8" t="s">
        <v>16</v>
      </c>
      <c r="W23" s="7" t="s">
        <v>17</v>
      </c>
      <c r="X23" s="8" t="s">
        <v>18</v>
      </c>
      <c r="Y23" s="7" t="s">
        <v>19</v>
      </c>
      <c r="Z23" s="7" t="s">
        <v>20</v>
      </c>
    </row>
    <row r="24" customFormat="false" ht="13.9" hidden="false" customHeight="true" outlineLevel="0" collapsed="false">
      <c r="A24" s="1" t="n">
        <v>1</v>
      </c>
      <c r="D24" s="75" t="s">
        <v>21</v>
      </c>
      <c r="E24" s="22" t="n">
        <v>111</v>
      </c>
      <c r="F24" s="22" t="s">
        <v>47</v>
      </c>
      <c r="G24" s="23" t="n">
        <f aca="false">G31+G123+G147</f>
        <v>10112.37</v>
      </c>
      <c r="H24" s="23" t="n">
        <f aca="false">H31+H123+H147</f>
        <v>11224.28</v>
      </c>
      <c r="I24" s="23" t="n">
        <f aca="false">I31+I123+I147</f>
        <v>12477</v>
      </c>
      <c r="J24" s="23" t="n">
        <f aca="false">J31+J123+J147</f>
        <v>14578</v>
      </c>
      <c r="K24" s="23" t="n">
        <f aca="false">K31+K123+K147</f>
        <v>11632</v>
      </c>
      <c r="L24" s="23" t="n">
        <f aca="false">L31+L123+L147</f>
        <v>703</v>
      </c>
      <c r="M24" s="23" t="n">
        <f aca="false">M31+M123+M147</f>
        <v>6489</v>
      </c>
      <c r="N24" s="23" t="n">
        <f aca="false">N31+N123+N147</f>
        <v>0</v>
      </c>
      <c r="O24" s="23" t="n">
        <f aca="false">O31+O123+O147</f>
        <v>798</v>
      </c>
      <c r="P24" s="23" t="n">
        <f aca="false">P31+P123+P147</f>
        <v>19622</v>
      </c>
      <c r="Q24" s="23" t="n">
        <f aca="false">Q31+Q123+Q147</f>
        <v>3393.5</v>
      </c>
      <c r="R24" s="24" t="n">
        <f aca="false">Q24/$P24</f>
        <v>0.17294363469575</v>
      </c>
      <c r="S24" s="23" t="n">
        <f aca="false">S31+S123+S147</f>
        <v>9546.98</v>
      </c>
      <c r="T24" s="24" t="n">
        <f aca="false">S24/$P24</f>
        <v>0.486544694730405</v>
      </c>
      <c r="U24" s="23" t="n">
        <f aca="false">U31+U123+U147</f>
        <v>11421.54</v>
      </c>
      <c r="V24" s="24" t="n">
        <f aca="false">U24/$P24</f>
        <v>0.582078279482214</v>
      </c>
      <c r="W24" s="23" t="n">
        <f aca="false">W31+W123+W147</f>
        <v>14078.89</v>
      </c>
      <c r="X24" s="24" t="n">
        <f aca="false">W24/$P24</f>
        <v>0.717505351136479</v>
      </c>
      <c r="Y24" s="23" t="n">
        <f aca="false">Y31+Y123+Y147</f>
        <v>10132</v>
      </c>
      <c r="Z24" s="23" t="n">
        <f aca="false">Z31+Z123+Z147</f>
        <v>11632</v>
      </c>
    </row>
    <row r="25" customFormat="false" ht="13.9" hidden="false" customHeight="true" outlineLevel="0" collapsed="false">
      <c r="A25" s="1" t="n">
        <v>1</v>
      </c>
      <c r="D25" s="75"/>
      <c r="E25" s="22" t="n">
        <v>41</v>
      </c>
      <c r="F25" s="22" t="s">
        <v>23</v>
      </c>
      <c r="G25" s="23" t="n">
        <f aca="false">G32+G126+G135</f>
        <v>223431.35</v>
      </c>
      <c r="H25" s="23" t="n">
        <f aca="false">H32+H126+H135</f>
        <v>259697.01</v>
      </c>
      <c r="I25" s="23" t="n">
        <f aca="false">I32+I126+I135</f>
        <v>247876</v>
      </c>
      <c r="J25" s="23" t="n">
        <f aca="false">J32+J126+J135</f>
        <v>256669</v>
      </c>
      <c r="K25" s="23" t="n">
        <f aca="false">K32+K126+K135</f>
        <v>277066</v>
      </c>
      <c r="L25" s="23" t="n">
        <f aca="false">L32+L126+L135</f>
        <v>337</v>
      </c>
      <c r="M25" s="23" t="n">
        <f aca="false">M32+M126+M135</f>
        <v>-821</v>
      </c>
      <c r="N25" s="23" t="n">
        <f aca="false">N32+N126+N135</f>
        <v>-8582</v>
      </c>
      <c r="O25" s="23" t="n">
        <f aca="false">O32+O126+O135</f>
        <v>1362</v>
      </c>
      <c r="P25" s="23" t="n">
        <f aca="false">P32+P126+P135</f>
        <v>269362</v>
      </c>
      <c r="Q25" s="23" t="n">
        <f aca="false">Q32+Q126+Q135</f>
        <v>59138</v>
      </c>
      <c r="R25" s="24" t="n">
        <f aca="false">Q25/$P25</f>
        <v>0.219548414401437</v>
      </c>
      <c r="S25" s="23" t="n">
        <f aca="false">S32+S126+S135</f>
        <v>104663.63</v>
      </c>
      <c r="T25" s="24" t="n">
        <f aca="false">S25/$P25</f>
        <v>0.388561229869098</v>
      </c>
      <c r="U25" s="23" t="n">
        <f aca="false">U32+U126+U135</f>
        <v>162373.34</v>
      </c>
      <c r="V25" s="24" t="n">
        <f aca="false">U25/$P25</f>
        <v>0.60280715171405</v>
      </c>
      <c r="W25" s="23" t="n">
        <f aca="false">W32+W126+W135</f>
        <v>219088.42</v>
      </c>
      <c r="X25" s="24" t="n">
        <f aca="false">W25/$P25</f>
        <v>0.813360533408573</v>
      </c>
      <c r="Y25" s="23" t="n">
        <f aca="false">Y32+Y126+Y135</f>
        <v>269160</v>
      </c>
      <c r="Z25" s="23" t="n">
        <f aca="false">Z32+Z126+Z135</f>
        <v>286895</v>
      </c>
    </row>
    <row r="26" customFormat="false" ht="13.9" hidden="false" customHeight="true" outlineLevel="0" collapsed="false">
      <c r="A26" s="1" t="n">
        <v>1</v>
      </c>
      <c r="D26" s="75"/>
      <c r="E26" s="22" t="n">
        <v>72</v>
      </c>
      <c r="F26" s="22" t="s">
        <v>25</v>
      </c>
      <c r="G26" s="23" t="n">
        <f aca="false">G33</f>
        <v>0</v>
      </c>
      <c r="H26" s="23" t="n">
        <f aca="false">H33</f>
        <v>893</v>
      </c>
      <c r="I26" s="23" t="n">
        <f aca="false">I33</f>
        <v>910</v>
      </c>
      <c r="J26" s="23" t="n">
        <f aca="false">J33</f>
        <v>953</v>
      </c>
      <c r="K26" s="23" t="n">
        <f aca="false">K33</f>
        <v>985</v>
      </c>
      <c r="L26" s="23" t="n">
        <f aca="false">L33</f>
        <v>0</v>
      </c>
      <c r="M26" s="23" t="n">
        <f aca="false">M33</f>
        <v>0</v>
      </c>
      <c r="N26" s="23" t="n">
        <f aca="false">N33</f>
        <v>0</v>
      </c>
      <c r="O26" s="23" t="n">
        <f aca="false">O33</f>
        <v>-114</v>
      </c>
      <c r="P26" s="23" t="n">
        <f aca="false">P33</f>
        <v>871</v>
      </c>
      <c r="Q26" s="23" t="n">
        <f aca="false">Q33</f>
        <v>0</v>
      </c>
      <c r="R26" s="24" t="n">
        <f aca="false">Q26/$P26</f>
        <v>0</v>
      </c>
      <c r="S26" s="23" t="n">
        <f aca="false">S33</f>
        <v>0</v>
      </c>
      <c r="T26" s="24" t="n">
        <f aca="false">S26/$P26</f>
        <v>0</v>
      </c>
      <c r="U26" s="23" t="n">
        <f aca="false">U33</f>
        <v>0</v>
      </c>
      <c r="V26" s="24" t="n">
        <f aca="false">U26/$P26</f>
        <v>0</v>
      </c>
      <c r="W26" s="23" t="n">
        <f aca="false">W33</f>
        <v>780.65</v>
      </c>
      <c r="X26" s="24" t="n">
        <f aca="false">W26/$P26</f>
        <v>0.896268656716418</v>
      </c>
      <c r="Y26" s="23" t="n">
        <f aca="false">Y33</f>
        <v>985</v>
      </c>
      <c r="Z26" s="23" t="n">
        <f aca="false">Z33</f>
        <v>985</v>
      </c>
    </row>
    <row r="27" customFormat="false" ht="13.9" hidden="false" customHeight="true" outlineLevel="0" collapsed="false">
      <c r="A27" s="1" t="n">
        <v>1</v>
      </c>
      <c r="D27" s="17"/>
      <c r="E27" s="18"/>
      <c r="F27" s="25" t="s">
        <v>124</v>
      </c>
      <c r="G27" s="26" t="n">
        <f aca="false">SUM(G24:G26)</f>
        <v>233543.72</v>
      </c>
      <c r="H27" s="26" t="n">
        <f aca="false">SUM(H24:H26)</f>
        <v>271814.29</v>
      </c>
      <c r="I27" s="26" t="n">
        <f aca="false">SUM(I24:I26)</f>
        <v>261263</v>
      </c>
      <c r="J27" s="26" t="n">
        <f aca="false">SUM(J24:J26)</f>
        <v>272200</v>
      </c>
      <c r="K27" s="26" t="n">
        <f aca="false">SUM(K24:K26)</f>
        <v>289683</v>
      </c>
      <c r="L27" s="26" t="n">
        <f aca="false">SUM(L24:L26)</f>
        <v>1040</v>
      </c>
      <c r="M27" s="26" t="n">
        <f aca="false">SUM(M24:M26)</f>
        <v>5668</v>
      </c>
      <c r="N27" s="26" t="n">
        <f aca="false">SUM(N24:N26)</f>
        <v>-8582</v>
      </c>
      <c r="O27" s="26" t="n">
        <f aca="false">SUM(O24:O26)</f>
        <v>2046</v>
      </c>
      <c r="P27" s="26" t="n">
        <f aca="false">SUM(P24:P26)</f>
        <v>289855</v>
      </c>
      <c r="Q27" s="26" t="n">
        <f aca="false">SUM(Q24:Q26)</f>
        <v>62531.5</v>
      </c>
      <c r="R27" s="27" t="n">
        <f aca="false">Q27/$P27</f>
        <v>0.215733728933432</v>
      </c>
      <c r="S27" s="26" t="n">
        <f aca="false">SUM(S24:S26)</f>
        <v>114210.61</v>
      </c>
      <c r="T27" s="27" t="n">
        <f aca="false">S27/$P27</f>
        <v>0.394026703006676</v>
      </c>
      <c r="U27" s="26" t="n">
        <f aca="false">SUM(U24:U26)</f>
        <v>173794.88</v>
      </c>
      <c r="V27" s="27" t="n">
        <f aca="false">U27/$P27</f>
        <v>0.599592485898121</v>
      </c>
      <c r="W27" s="26" t="n">
        <f aca="false">SUM(W24:W26)</f>
        <v>233947.96</v>
      </c>
      <c r="X27" s="27" t="n">
        <f aca="false">W27/$P27</f>
        <v>0.807120663780166</v>
      </c>
      <c r="Y27" s="26" t="n">
        <f aca="false">SUM(Y24:Y26)</f>
        <v>280277</v>
      </c>
      <c r="Z27" s="26" t="n">
        <f aca="false">SUM(Z24:Z26)</f>
        <v>299512</v>
      </c>
    </row>
    <row r="29" customFormat="false" ht="13.9" hidden="false" customHeight="true" outlineLevel="0" collapsed="false">
      <c r="D29" s="28" t="s">
        <v>126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customFormat="false" ht="13.9" hidden="false" customHeight="true" outlineLevel="0" collapsed="false">
      <c r="D30" s="7"/>
      <c r="E30" s="7"/>
      <c r="F30" s="7"/>
      <c r="G30" s="7" t="s">
        <v>1</v>
      </c>
      <c r="H30" s="7" t="s">
        <v>2</v>
      </c>
      <c r="I30" s="7" t="s">
        <v>3</v>
      </c>
      <c r="J30" s="7" t="s">
        <v>4</v>
      </c>
      <c r="K30" s="7" t="s">
        <v>5</v>
      </c>
      <c r="L30" s="7" t="s">
        <v>6</v>
      </c>
      <c r="M30" s="7" t="s">
        <v>7</v>
      </c>
      <c r="N30" s="7" t="s">
        <v>8</v>
      </c>
      <c r="O30" s="7" t="s">
        <v>9</v>
      </c>
      <c r="P30" s="7" t="s">
        <v>10</v>
      </c>
      <c r="Q30" s="7" t="s">
        <v>11</v>
      </c>
      <c r="R30" s="8" t="s">
        <v>12</v>
      </c>
      <c r="S30" s="7" t="s">
        <v>13</v>
      </c>
      <c r="T30" s="8" t="s">
        <v>14</v>
      </c>
      <c r="U30" s="7" t="s">
        <v>15</v>
      </c>
      <c r="V30" s="8" t="s">
        <v>16</v>
      </c>
      <c r="W30" s="7" t="s">
        <v>17</v>
      </c>
      <c r="X30" s="8" t="s">
        <v>18</v>
      </c>
      <c r="Y30" s="7" t="s">
        <v>19</v>
      </c>
      <c r="Z30" s="7" t="s">
        <v>20</v>
      </c>
    </row>
    <row r="31" customFormat="false" ht="13.9" hidden="false" customHeight="true" outlineLevel="0" collapsed="false">
      <c r="A31" s="1" t="n">
        <v>1</v>
      </c>
      <c r="B31" s="1" t="n">
        <v>1</v>
      </c>
      <c r="D31" s="30" t="s">
        <v>21</v>
      </c>
      <c r="E31" s="10" t="n">
        <v>111</v>
      </c>
      <c r="F31" s="10" t="s">
        <v>47</v>
      </c>
      <c r="G31" s="11" t="n">
        <f aca="false">G50+G73+G110</f>
        <v>5848.49</v>
      </c>
      <c r="H31" s="11" t="n">
        <f aca="false">H50+H73+H110</f>
        <v>6065.72</v>
      </c>
      <c r="I31" s="11" t="n">
        <f aca="false">I50+I73+I110</f>
        <v>5841</v>
      </c>
      <c r="J31" s="11" t="n">
        <f aca="false">J50+J73+J110</f>
        <v>6496</v>
      </c>
      <c r="K31" s="11" t="n">
        <f aca="false">K50+K73+K110</f>
        <v>6496</v>
      </c>
      <c r="L31" s="11" t="n">
        <f aca="false">L50+L73+L110</f>
        <v>0</v>
      </c>
      <c r="M31" s="11" t="n">
        <f aca="false">M50+M73+M110</f>
        <v>-295</v>
      </c>
      <c r="N31" s="11" t="n">
        <f aca="false">N50+N73+N110</f>
        <v>0</v>
      </c>
      <c r="O31" s="11" t="n">
        <f aca="false">O50+O73+O110</f>
        <v>798</v>
      </c>
      <c r="P31" s="11" t="n">
        <f aca="false">P50+P73+P110</f>
        <v>6999</v>
      </c>
      <c r="Q31" s="11" t="n">
        <f aca="false">Q50+Q73+Q110</f>
        <v>1444.06</v>
      </c>
      <c r="R31" s="12" t="n">
        <f aca="false">Q31/$P31</f>
        <v>0.20632376053722</v>
      </c>
      <c r="S31" s="11" t="n">
        <f aca="false">S50+S73+S110</f>
        <v>2467.62</v>
      </c>
      <c r="T31" s="12" t="n">
        <f aca="false">S31/$P31</f>
        <v>0.352567509644235</v>
      </c>
      <c r="U31" s="11" t="n">
        <f aca="false">U50+U73+U110</f>
        <v>4342.18</v>
      </c>
      <c r="V31" s="12" t="n">
        <f aca="false">U31/$P31</f>
        <v>0.620400057151022</v>
      </c>
      <c r="W31" s="11" t="n">
        <f aca="false">W50+W73+W110</f>
        <v>6999.53</v>
      </c>
      <c r="X31" s="12" t="n">
        <f aca="false">W31/$P31</f>
        <v>1.00007572510359</v>
      </c>
      <c r="Y31" s="11" t="n">
        <f aca="false">Y50+Y73+Y110</f>
        <v>6496</v>
      </c>
      <c r="Z31" s="11" t="n">
        <f aca="false">Z50+Z73+Z110</f>
        <v>6496</v>
      </c>
    </row>
    <row r="32" customFormat="false" ht="13.9" hidden="false" customHeight="true" outlineLevel="0" collapsed="false">
      <c r="A32" s="1" t="n">
        <v>1</v>
      </c>
      <c r="B32" s="1" t="n">
        <v>1</v>
      </c>
      <c r="D32" s="30"/>
      <c r="E32" s="10" t="n">
        <v>41</v>
      </c>
      <c r="F32" s="10" t="s">
        <v>23</v>
      </c>
      <c r="G32" s="11" t="n">
        <f aca="false">G42+G55+G65+G76+G91+G103+G115</f>
        <v>208855.4</v>
      </c>
      <c r="H32" s="11" t="n">
        <f aca="false">H42+H55+H65+H76+H91+H103+H115</f>
        <v>237304.43</v>
      </c>
      <c r="I32" s="11" t="n">
        <f aca="false">I42+I55+I65+I76+I91+I103+I115</f>
        <v>235198</v>
      </c>
      <c r="J32" s="11" t="n">
        <f aca="false">J42+J55+J65+J76+J91+J103+J115</f>
        <v>246649</v>
      </c>
      <c r="K32" s="11" t="n">
        <f aca="false">K42+K55+K65+K76+K91+K103+K115</f>
        <v>248305</v>
      </c>
      <c r="L32" s="11" t="n">
        <f aca="false">L42+L55+L65+L76+L91+L103+L115</f>
        <v>337</v>
      </c>
      <c r="M32" s="11" t="n">
        <f aca="false">M42+M55+M65+M76+M91+M103+M115</f>
        <v>263</v>
      </c>
      <c r="N32" s="11" t="n">
        <f aca="false">N42+N55+N65+N76+N91+N103+N115</f>
        <v>-15139</v>
      </c>
      <c r="O32" s="11" t="n">
        <f aca="false">O42+O55+O65+O76+O91+O103+O115</f>
        <v>1362</v>
      </c>
      <c r="P32" s="11" t="n">
        <f aca="false">P42+P55+P65+P76+P91+P103+P115</f>
        <v>235128</v>
      </c>
      <c r="Q32" s="11" t="n">
        <f aca="false">Q42+Q55+Q65+Q76+Q91+Q103+Q115</f>
        <v>51196.09</v>
      </c>
      <c r="R32" s="12" t="n">
        <f aca="false">Q32/$P32</f>
        <v>0.217737104896057</v>
      </c>
      <c r="S32" s="11" t="n">
        <f aca="false">S42+S55+S65+S76+S91+S103+S115</f>
        <v>97434.36</v>
      </c>
      <c r="T32" s="12" t="n">
        <f aca="false">S32/$P32</f>
        <v>0.41438858834337</v>
      </c>
      <c r="U32" s="11" t="n">
        <f aca="false">U42+U55+U65+U76+U91+U103+U115</f>
        <v>144511.86</v>
      </c>
      <c r="V32" s="12" t="n">
        <f aca="false">U32/$P32</f>
        <v>0.614609319179341</v>
      </c>
      <c r="W32" s="11" t="n">
        <f aca="false">W42+W55+W65+W76+W91+W103+W115</f>
        <v>195326.44</v>
      </c>
      <c r="X32" s="12" t="n">
        <f aca="false">W32/$P32</f>
        <v>0.830723861045898</v>
      </c>
      <c r="Y32" s="11" t="n">
        <f aca="false">Y42+Y55+Y65+Y76+Y91+Y103+Y115</f>
        <v>255669</v>
      </c>
      <c r="Z32" s="11" t="n">
        <f aca="false">Z42+Z55+Z65+Z76+Z91+Z103+Z115</f>
        <v>273404</v>
      </c>
    </row>
    <row r="33" customFormat="false" ht="13.9" hidden="false" customHeight="true" outlineLevel="0" collapsed="false">
      <c r="A33" s="1" t="n">
        <v>1</v>
      </c>
      <c r="B33" s="1" t="n">
        <v>1</v>
      </c>
      <c r="D33" s="30"/>
      <c r="E33" s="10" t="n">
        <v>72</v>
      </c>
      <c r="F33" s="10" t="s">
        <v>25</v>
      </c>
      <c r="G33" s="11" t="n">
        <f aca="false">G44+G57+G67+G93+G117</f>
        <v>0</v>
      </c>
      <c r="H33" s="11" t="n">
        <f aca="false">H44+H57+H67+H93+H117</f>
        <v>893</v>
      </c>
      <c r="I33" s="11" t="n">
        <f aca="false">I44+I57+I67+I93+I117</f>
        <v>910</v>
      </c>
      <c r="J33" s="11" t="n">
        <f aca="false">J44+J57+J67+J93+J117</f>
        <v>953</v>
      </c>
      <c r="K33" s="11" t="n">
        <f aca="false">K44+K57+K67+K93+K117</f>
        <v>985</v>
      </c>
      <c r="L33" s="11" t="n">
        <f aca="false">L44+L57+L67+L93+L117</f>
        <v>0</v>
      </c>
      <c r="M33" s="11" t="n">
        <f aca="false">M44+M57+M67+M93+M117</f>
        <v>0</v>
      </c>
      <c r="N33" s="11" t="n">
        <f aca="false">N44+N57+N67+N93+N117</f>
        <v>0</v>
      </c>
      <c r="O33" s="11" t="n">
        <f aca="false">O44+O57+O67+O93+O117</f>
        <v>-114</v>
      </c>
      <c r="P33" s="11" t="n">
        <f aca="false">P44+P57+P67+P93+P117</f>
        <v>871</v>
      </c>
      <c r="Q33" s="11" t="n">
        <f aca="false">Q44+Q57+Q67+Q93+Q117</f>
        <v>0</v>
      </c>
      <c r="R33" s="12" t="n">
        <f aca="false">Q33/$P33</f>
        <v>0</v>
      </c>
      <c r="S33" s="11" t="n">
        <f aca="false">S44+S57+S67+S93+S117</f>
        <v>0</v>
      </c>
      <c r="T33" s="12" t="n">
        <f aca="false">S33/$P33</f>
        <v>0</v>
      </c>
      <c r="U33" s="11" t="n">
        <f aca="false">U44+U57+U67+U93+U117</f>
        <v>0</v>
      </c>
      <c r="V33" s="12" t="n">
        <f aca="false">U33/$P33</f>
        <v>0</v>
      </c>
      <c r="W33" s="11" t="n">
        <f aca="false">W44+W57+W67+W93+W117</f>
        <v>780.65</v>
      </c>
      <c r="X33" s="12" t="n">
        <f aca="false">W33/$P33</f>
        <v>0.896268656716418</v>
      </c>
      <c r="Y33" s="11" t="n">
        <f aca="false">Y44+Y57+Y67+Y93+Y117</f>
        <v>985</v>
      </c>
      <c r="Z33" s="11" t="n">
        <f aca="false">Z44+Z57+Z67+Z93+Z117</f>
        <v>985</v>
      </c>
    </row>
    <row r="34" customFormat="false" ht="13.9" hidden="false" customHeight="true" outlineLevel="0" collapsed="false">
      <c r="A34" s="1" t="n">
        <v>1</v>
      </c>
      <c r="B34" s="1" t="n">
        <v>1</v>
      </c>
      <c r="D34" s="17"/>
      <c r="E34" s="18"/>
      <c r="F34" s="13" t="s">
        <v>124</v>
      </c>
      <c r="G34" s="14" t="n">
        <f aca="false">SUM(G31:G33)</f>
        <v>214703.89</v>
      </c>
      <c r="H34" s="14" t="n">
        <f aca="false">SUM(H31:H33)</f>
        <v>244263.15</v>
      </c>
      <c r="I34" s="14" t="n">
        <f aca="false">SUM(I31:I33)</f>
        <v>241949</v>
      </c>
      <c r="J34" s="14" t="n">
        <f aca="false">SUM(J31:J33)</f>
        <v>254098</v>
      </c>
      <c r="K34" s="14" t="n">
        <f aca="false">SUM(K31:K33)</f>
        <v>255786</v>
      </c>
      <c r="L34" s="14" t="n">
        <f aca="false">SUM(L31:L33)</f>
        <v>337</v>
      </c>
      <c r="M34" s="14" t="n">
        <f aca="false">SUM(M31:M33)</f>
        <v>-32</v>
      </c>
      <c r="N34" s="14" t="n">
        <f aca="false">SUM(N31:N33)</f>
        <v>-15139</v>
      </c>
      <c r="O34" s="14" t="n">
        <f aca="false">SUM(O31:O33)</f>
        <v>2046</v>
      </c>
      <c r="P34" s="14" t="n">
        <f aca="false">SUM(P31:P33)</f>
        <v>242998</v>
      </c>
      <c r="Q34" s="14" t="n">
        <f aca="false">SUM(Q31:Q33)</f>
        <v>52640.15</v>
      </c>
      <c r="R34" s="15" t="n">
        <f aca="false">Q34/$P34</f>
        <v>0.216627914633042</v>
      </c>
      <c r="S34" s="14" t="n">
        <f aca="false">SUM(S31:S33)</f>
        <v>99901.98</v>
      </c>
      <c r="T34" s="15" t="n">
        <f aca="false">S34/$P34</f>
        <v>0.411122642984716</v>
      </c>
      <c r="U34" s="14" t="n">
        <f aca="false">SUM(U31:U33)</f>
        <v>148854.04</v>
      </c>
      <c r="V34" s="15" t="n">
        <f aca="false">U34/$P34</f>
        <v>0.612573107597593</v>
      </c>
      <c r="W34" s="14" t="n">
        <f aca="false">SUM(W31:W33)</f>
        <v>203106.62</v>
      </c>
      <c r="X34" s="15" t="n">
        <f aca="false">W34/$P34</f>
        <v>0.835836591247664</v>
      </c>
      <c r="Y34" s="14" t="n">
        <f aca="false">SUM(Y31:Y33)</f>
        <v>263150</v>
      </c>
      <c r="Z34" s="14" t="n">
        <f aca="false">SUM(Z31:Z33)</f>
        <v>280885</v>
      </c>
    </row>
    <row r="36" customFormat="false" ht="13.9" hidden="false" customHeight="true" outlineLevel="0" collapsed="false">
      <c r="D36" s="60" t="s">
        <v>127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customFormat="false" ht="13.9" hidden="false" customHeight="true" outlineLevel="0" collapsed="false">
      <c r="D37" s="7" t="s">
        <v>33</v>
      </c>
      <c r="E37" s="7" t="s">
        <v>34</v>
      </c>
      <c r="F37" s="7" t="s">
        <v>35</v>
      </c>
      <c r="G37" s="7" t="s">
        <v>1</v>
      </c>
      <c r="H37" s="7" t="s">
        <v>2</v>
      </c>
      <c r="I37" s="7" t="s">
        <v>3</v>
      </c>
      <c r="J37" s="7" t="s">
        <v>4</v>
      </c>
      <c r="K37" s="7" t="s">
        <v>5</v>
      </c>
      <c r="L37" s="7" t="s">
        <v>6</v>
      </c>
      <c r="M37" s="7" t="s">
        <v>7</v>
      </c>
      <c r="N37" s="7" t="s">
        <v>8</v>
      </c>
      <c r="O37" s="7" t="s">
        <v>9</v>
      </c>
      <c r="P37" s="7" t="s">
        <v>10</v>
      </c>
      <c r="Q37" s="7" t="s">
        <v>11</v>
      </c>
      <c r="R37" s="8" t="s">
        <v>12</v>
      </c>
      <c r="S37" s="7" t="s">
        <v>13</v>
      </c>
      <c r="T37" s="8" t="s">
        <v>14</v>
      </c>
      <c r="U37" s="7" t="s">
        <v>15</v>
      </c>
      <c r="V37" s="8" t="s">
        <v>16</v>
      </c>
      <c r="W37" s="7" t="s">
        <v>17</v>
      </c>
      <c r="X37" s="8" t="s">
        <v>18</v>
      </c>
      <c r="Y37" s="7" t="s">
        <v>19</v>
      </c>
      <c r="Z37" s="7" t="s">
        <v>20</v>
      </c>
    </row>
    <row r="38" customFormat="false" ht="13.9" hidden="false" customHeight="true" outlineLevel="0" collapsed="false">
      <c r="A38" s="1" t="n">
        <v>1</v>
      </c>
      <c r="B38" s="1" t="n">
        <v>1</v>
      </c>
      <c r="C38" s="1" t="n">
        <v>1</v>
      </c>
      <c r="D38" s="76" t="s">
        <v>128</v>
      </c>
      <c r="E38" s="10" t="n">
        <v>610</v>
      </c>
      <c r="F38" s="10" t="s">
        <v>129</v>
      </c>
      <c r="G38" s="11" t="n">
        <v>28450</v>
      </c>
      <c r="H38" s="11" t="n">
        <v>28230.47</v>
      </c>
      <c r="I38" s="11" t="n">
        <v>43149</v>
      </c>
      <c r="J38" s="11" t="n">
        <v>43673</v>
      </c>
      <c r="K38" s="33" t="n">
        <v>49269</v>
      </c>
      <c r="L38" s="33"/>
      <c r="M38" s="33"/>
      <c r="N38" s="33"/>
      <c r="O38" s="33"/>
      <c r="P38" s="33" t="n">
        <f aca="false">K38+SUM(L38:O38)</f>
        <v>49269</v>
      </c>
      <c r="Q38" s="33" t="n">
        <v>11496.65</v>
      </c>
      <c r="R38" s="34" t="n">
        <f aca="false">Q38/$P38</f>
        <v>0.233344496539406</v>
      </c>
      <c r="S38" s="33" t="n">
        <v>23255.06</v>
      </c>
      <c r="T38" s="34" t="n">
        <f aca="false">S38/$P38</f>
        <v>0.472001867299925</v>
      </c>
      <c r="U38" s="33" t="n">
        <v>35075.98</v>
      </c>
      <c r="V38" s="34" t="n">
        <f aca="false">U38/$P38</f>
        <v>0.711927987172461</v>
      </c>
      <c r="W38" s="33" t="n">
        <v>46893.75</v>
      </c>
      <c r="X38" s="34" t="n">
        <f aca="false">W38/$P38</f>
        <v>0.951790172319308</v>
      </c>
      <c r="Y38" s="11" t="n">
        <v>54196</v>
      </c>
      <c r="Z38" s="11" t="n">
        <v>59616</v>
      </c>
    </row>
    <row r="39" customFormat="false" ht="13.9" hidden="false" customHeight="true" outlineLevel="0" collapsed="false">
      <c r="A39" s="1" t="n">
        <v>1</v>
      </c>
      <c r="B39" s="1" t="n">
        <v>1</v>
      </c>
      <c r="C39" s="1" t="n">
        <v>1</v>
      </c>
      <c r="D39" s="76"/>
      <c r="E39" s="10" t="n">
        <v>620</v>
      </c>
      <c r="F39" s="10" t="s">
        <v>130</v>
      </c>
      <c r="G39" s="11" t="n">
        <v>11988.79</v>
      </c>
      <c r="H39" s="11" t="n">
        <v>11924.68</v>
      </c>
      <c r="I39" s="11" t="n">
        <v>17515</v>
      </c>
      <c r="J39" s="11" t="n">
        <v>17396</v>
      </c>
      <c r="K39" s="11" t="n">
        <v>19843</v>
      </c>
      <c r="L39" s="11"/>
      <c r="M39" s="11"/>
      <c r="N39" s="11"/>
      <c r="O39" s="11"/>
      <c r="P39" s="11" t="n">
        <f aca="false">K39+SUM(L39:O39)</f>
        <v>19843</v>
      </c>
      <c r="Q39" s="11" t="n">
        <v>5021.12</v>
      </c>
      <c r="R39" s="12" t="n">
        <f aca="false">Q39/$P39</f>
        <v>0.253042382704228</v>
      </c>
      <c r="S39" s="11" t="n">
        <v>8415.05</v>
      </c>
      <c r="T39" s="12" t="n">
        <f aca="false">S39/$P39</f>
        <v>0.424081540089704</v>
      </c>
      <c r="U39" s="11" t="n">
        <v>12806.46</v>
      </c>
      <c r="V39" s="12" t="n">
        <f aca="false">U39/$P39</f>
        <v>0.645389306052512</v>
      </c>
      <c r="W39" s="11" t="n">
        <v>17196.67</v>
      </c>
      <c r="X39" s="12" t="n">
        <f aca="false">W39/$P39</f>
        <v>0.866636597288716</v>
      </c>
      <c r="Y39" s="11" t="n">
        <v>22374</v>
      </c>
      <c r="Z39" s="11" t="n">
        <v>24377</v>
      </c>
    </row>
    <row r="40" customFormat="false" ht="13.9" hidden="false" customHeight="true" outlineLevel="0" collapsed="false">
      <c r="A40" s="1" t="n">
        <v>1</v>
      </c>
      <c r="B40" s="1" t="n">
        <v>1</v>
      </c>
      <c r="C40" s="1" t="n">
        <v>1</v>
      </c>
      <c r="D40" s="76"/>
      <c r="E40" s="10" t="n">
        <v>630</v>
      </c>
      <c r="F40" s="10" t="s">
        <v>131</v>
      </c>
      <c r="G40" s="11" t="n">
        <v>8555.7</v>
      </c>
      <c r="H40" s="11" t="n">
        <v>9167.96</v>
      </c>
      <c r="I40" s="33" t="n">
        <f aca="false">5785+3660</f>
        <v>9445</v>
      </c>
      <c r="J40" s="11" t="n">
        <v>8364</v>
      </c>
      <c r="K40" s="33" t="n">
        <f aca="false">6106+2830</f>
        <v>8936</v>
      </c>
      <c r="L40" s="33"/>
      <c r="M40" s="33"/>
      <c r="N40" s="33"/>
      <c r="O40" s="33"/>
      <c r="P40" s="33" t="n">
        <f aca="false">K40+SUM(L40:O40)</f>
        <v>8936</v>
      </c>
      <c r="Q40" s="33" t="n">
        <v>3129.16</v>
      </c>
      <c r="R40" s="34" t="n">
        <f aca="false">Q40/$P40</f>
        <v>0.350174574753805</v>
      </c>
      <c r="S40" s="33" t="n">
        <v>3816.41</v>
      </c>
      <c r="T40" s="34" t="n">
        <f aca="false">S40/$P40</f>
        <v>0.427082587287377</v>
      </c>
      <c r="U40" s="33" t="n">
        <v>4593</v>
      </c>
      <c r="V40" s="34" t="n">
        <f aca="false">U40/$P40</f>
        <v>0.51398836168308</v>
      </c>
      <c r="W40" s="33" t="n">
        <v>5330.35</v>
      </c>
      <c r="X40" s="34" t="n">
        <f aca="false">W40/$P40</f>
        <v>0.59650290957923</v>
      </c>
      <c r="Y40" s="11" t="n">
        <f aca="false">8197+2830</f>
        <v>11027</v>
      </c>
      <c r="Z40" s="11" t="n">
        <f aca="false">8257+2830</f>
        <v>11087</v>
      </c>
    </row>
    <row r="41" customFormat="false" ht="13.9" hidden="false" customHeight="true" outlineLevel="0" collapsed="false">
      <c r="A41" s="1" t="n">
        <v>1</v>
      </c>
      <c r="B41" s="1" t="n">
        <v>1</v>
      </c>
      <c r="C41" s="1" t="n">
        <v>1</v>
      </c>
      <c r="D41" s="76"/>
      <c r="E41" s="10" t="n">
        <v>640</v>
      </c>
      <c r="F41" s="10" t="s">
        <v>132</v>
      </c>
      <c r="G41" s="11" t="n">
        <v>0</v>
      </c>
      <c r="H41" s="11" t="n">
        <v>19.26</v>
      </c>
      <c r="I41" s="11" t="n">
        <v>0</v>
      </c>
      <c r="J41" s="11" t="n">
        <v>0</v>
      </c>
      <c r="K41" s="11" t="n">
        <v>0</v>
      </c>
      <c r="L41" s="11"/>
      <c r="M41" s="11"/>
      <c r="N41" s="11"/>
      <c r="O41" s="11"/>
      <c r="P41" s="11" t="n">
        <f aca="false">K41+SUM(L41:O41)</f>
        <v>0</v>
      </c>
      <c r="Q41" s="11" t="n">
        <v>0</v>
      </c>
      <c r="R41" s="12" t="e">
        <f aca="false">Q41/$P41</f>
        <v>#DIV/0!</v>
      </c>
      <c r="S41" s="11" t="n">
        <v>0</v>
      </c>
      <c r="T41" s="12" t="e">
        <f aca="false">S41/$P41</f>
        <v>#DIV/0!</v>
      </c>
      <c r="U41" s="11" t="n">
        <v>0</v>
      </c>
      <c r="V41" s="12" t="e">
        <f aca="false">U41/$P41</f>
        <v>#DIV/0!</v>
      </c>
      <c r="W41" s="11" t="n">
        <v>0</v>
      </c>
      <c r="X41" s="12" t="e">
        <f aca="false">W41/$P41</f>
        <v>#DIV/0!</v>
      </c>
      <c r="Y41" s="11" t="n">
        <f aca="false">K41</f>
        <v>0</v>
      </c>
      <c r="Z41" s="11" t="n">
        <f aca="false">Y41</f>
        <v>0</v>
      </c>
    </row>
    <row r="42" customFormat="false" ht="13.9" hidden="false" customHeight="true" outlineLevel="0" collapsed="false">
      <c r="A42" s="1" t="n">
        <v>1</v>
      </c>
      <c r="B42" s="1" t="n">
        <v>1</v>
      </c>
      <c r="C42" s="1" t="n">
        <v>1</v>
      </c>
      <c r="D42" s="77" t="s">
        <v>21</v>
      </c>
      <c r="E42" s="35" t="n">
        <v>41</v>
      </c>
      <c r="F42" s="35" t="s">
        <v>23</v>
      </c>
      <c r="G42" s="36" t="n">
        <f aca="false">SUM(G38:G41)</f>
        <v>48994.49</v>
      </c>
      <c r="H42" s="36" t="n">
        <f aca="false">SUM(H38:H41)</f>
        <v>49342.37</v>
      </c>
      <c r="I42" s="36" t="n">
        <f aca="false">SUM(I38:I41)</f>
        <v>70109</v>
      </c>
      <c r="J42" s="36" t="n">
        <f aca="false">SUM(J38:J41)</f>
        <v>69433</v>
      </c>
      <c r="K42" s="36" t="n">
        <f aca="false">SUM(K38:K41)</f>
        <v>78048</v>
      </c>
      <c r="L42" s="36" t="n">
        <f aca="false">SUM(L38:L41)</f>
        <v>0</v>
      </c>
      <c r="M42" s="36" t="n">
        <f aca="false">SUM(M38:M41)</f>
        <v>0</v>
      </c>
      <c r="N42" s="36" t="n">
        <f aca="false">SUM(N38:N41)</f>
        <v>0</v>
      </c>
      <c r="O42" s="36" t="n">
        <f aca="false">SUM(O38:O41)</f>
        <v>0</v>
      </c>
      <c r="P42" s="36" t="n">
        <f aca="false">SUM(P38:P41)</f>
        <v>78048</v>
      </c>
      <c r="Q42" s="36" t="n">
        <f aca="false">SUM(Q38:Q41)</f>
        <v>19646.93</v>
      </c>
      <c r="R42" s="37" t="n">
        <f aca="false">Q42/$P42</f>
        <v>0.251728807913079</v>
      </c>
      <c r="S42" s="36" t="n">
        <f aca="false">SUM(S38:S41)</f>
        <v>35486.52</v>
      </c>
      <c r="T42" s="37" t="n">
        <f aca="false">S42/$P42</f>
        <v>0.454675584255843</v>
      </c>
      <c r="U42" s="36" t="n">
        <f aca="false">SUM(U38:U41)</f>
        <v>52475.44</v>
      </c>
      <c r="V42" s="37" t="n">
        <f aca="false">U42/$P42</f>
        <v>0.672348298482985</v>
      </c>
      <c r="W42" s="36" t="n">
        <f aca="false">SUM(W38:W41)</f>
        <v>69420.77</v>
      </c>
      <c r="X42" s="37" t="n">
        <f aca="false">W42/$P42</f>
        <v>0.889462510250102</v>
      </c>
      <c r="Y42" s="36" t="n">
        <f aca="false">SUM(Y38:Y41)</f>
        <v>87597</v>
      </c>
      <c r="Z42" s="36" t="n">
        <f aca="false">SUM(Z38:Z41)</f>
        <v>95080</v>
      </c>
    </row>
    <row r="43" customFormat="false" ht="13.9" hidden="false" customHeight="true" outlineLevel="0" collapsed="false">
      <c r="A43" s="1" t="n">
        <v>1</v>
      </c>
      <c r="B43" s="1" t="n">
        <v>1</v>
      </c>
      <c r="C43" s="1" t="n">
        <v>1</v>
      </c>
      <c r="D43" s="10" t="s">
        <v>128</v>
      </c>
      <c r="E43" s="10" t="n">
        <v>640</v>
      </c>
      <c r="F43" s="10" t="s">
        <v>132</v>
      </c>
      <c r="G43" s="11" t="n">
        <v>0</v>
      </c>
      <c r="H43" s="11" t="n">
        <v>124.62</v>
      </c>
      <c r="I43" s="11" t="n">
        <v>125</v>
      </c>
      <c r="J43" s="11" t="n">
        <v>136</v>
      </c>
      <c r="K43" s="11" t="n">
        <v>140</v>
      </c>
      <c r="L43" s="11"/>
      <c r="M43" s="11"/>
      <c r="N43" s="11"/>
      <c r="O43" s="11" t="n">
        <v>6</v>
      </c>
      <c r="P43" s="11" t="n">
        <f aca="false">K43+SUM(L43:O43)</f>
        <v>146</v>
      </c>
      <c r="Q43" s="11" t="n">
        <v>0</v>
      </c>
      <c r="R43" s="12" t="n">
        <f aca="false">Q43/$P43</f>
        <v>0</v>
      </c>
      <c r="S43" s="11" t="n">
        <v>0</v>
      </c>
      <c r="T43" s="12" t="n">
        <f aca="false">S43/$P43</f>
        <v>0</v>
      </c>
      <c r="U43" s="11" t="n">
        <v>0</v>
      </c>
      <c r="V43" s="12" t="n">
        <f aca="false">U43/$P43</f>
        <v>0</v>
      </c>
      <c r="W43" s="11" t="n">
        <v>145.6</v>
      </c>
      <c r="X43" s="12" t="n">
        <f aca="false">W43/$P43</f>
        <v>0.997260273972603</v>
      </c>
      <c r="Y43" s="11" t="n">
        <f aca="false">K43</f>
        <v>140</v>
      </c>
      <c r="Z43" s="11" t="n">
        <f aca="false">Y43</f>
        <v>140</v>
      </c>
    </row>
    <row r="44" customFormat="false" ht="13.9" hidden="false" customHeight="true" outlineLevel="0" collapsed="false">
      <c r="A44" s="1" t="n">
        <v>1</v>
      </c>
      <c r="B44" s="1" t="n">
        <v>1</v>
      </c>
      <c r="C44" s="1" t="n">
        <v>1</v>
      </c>
      <c r="D44" s="77" t="s">
        <v>21</v>
      </c>
      <c r="E44" s="78" t="n">
        <v>72</v>
      </c>
      <c r="F44" s="35" t="s">
        <v>25</v>
      </c>
      <c r="G44" s="36" t="n">
        <f aca="false">SUM(G43)</f>
        <v>0</v>
      </c>
      <c r="H44" s="36" t="n">
        <f aca="false">SUM(H43)</f>
        <v>124.62</v>
      </c>
      <c r="I44" s="36" t="n">
        <f aca="false">SUM(I43)</f>
        <v>125</v>
      </c>
      <c r="J44" s="36" t="n">
        <f aca="false">SUM(J43)</f>
        <v>136</v>
      </c>
      <c r="K44" s="36" t="n">
        <f aca="false">SUM(K43)</f>
        <v>140</v>
      </c>
      <c r="L44" s="36" t="n">
        <f aca="false">SUM(L43)</f>
        <v>0</v>
      </c>
      <c r="M44" s="36" t="n">
        <f aca="false">SUM(M43)</f>
        <v>0</v>
      </c>
      <c r="N44" s="36" t="n">
        <f aca="false">SUM(N43)</f>
        <v>0</v>
      </c>
      <c r="O44" s="36" t="n">
        <f aca="false">SUM(O43)</f>
        <v>6</v>
      </c>
      <c r="P44" s="36" t="n">
        <f aca="false">SUM(P43)</f>
        <v>146</v>
      </c>
      <c r="Q44" s="36" t="n">
        <f aca="false">SUM(Q43)</f>
        <v>0</v>
      </c>
      <c r="R44" s="37" t="n">
        <f aca="false">Q44/$P44</f>
        <v>0</v>
      </c>
      <c r="S44" s="36" t="n">
        <f aca="false">SUM(S43)</f>
        <v>0</v>
      </c>
      <c r="T44" s="37" t="n">
        <f aca="false">S44/$P44</f>
        <v>0</v>
      </c>
      <c r="U44" s="36" t="n">
        <f aca="false">SUM(U43)</f>
        <v>0</v>
      </c>
      <c r="V44" s="37" t="n">
        <f aca="false">U44/$P44</f>
        <v>0</v>
      </c>
      <c r="W44" s="36" t="n">
        <f aca="false">SUM(W43)</f>
        <v>145.6</v>
      </c>
      <c r="X44" s="37" t="n">
        <f aca="false">W44/$P44</f>
        <v>0.997260273972603</v>
      </c>
      <c r="Y44" s="36" t="n">
        <f aca="false">SUM(Y43)</f>
        <v>140</v>
      </c>
      <c r="Z44" s="36" t="n">
        <f aca="false">SUM(Z43)</f>
        <v>140</v>
      </c>
    </row>
    <row r="45" customFormat="false" ht="13.9" hidden="false" customHeight="true" outlineLevel="0" collapsed="false">
      <c r="A45" s="1" t="n">
        <v>1</v>
      </c>
      <c r="B45" s="1" t="n">
        <v>1</v>
      </c>
      <c r="C45" s="1" t="n">
        <v>1</v>
      </c>
      <c r="D45" s="79"/>
      <c r="E45" s="80"/>
      <c r="F45" s="13" t="s">
        <v>124</v>
      </c>
      <c r="G45" s="14" t="n">
        <f aca="false">G42+G44</f>
        <v>48994.49</v>
      </c>
      <c r="H45" s="14" t="n">
        <f aca="false">H42+H44</f>
        <v>49466.99</v>
      </c>
      <c r="I45" s="14" t="n">
        <f aca="false">I42+I44</f>
        <v>70234</v>
      </c>
      <c r="J45" s="14" t="n">
        <f aca="false">J42+J44</f>
        <v>69569</v>
      </c>
      <c r="K45" s="14" t="n">
        <f aca="false">K42+K44</f>
        <v>78188</v>
      </c>
      <c r="L45" s="14" t="n">
        <f aca="false">L42+L44</f>
        <v>0</v>
      </c>
      <c r="M45" s="14" t="n">
        <f aca="false">M42+M44</f>
        <v>0</v>
      </c>
      <c r="N45" s="14" t="n">
        <f aca="false">N42+N44</f>
        <v>0</v>
      </c>
      <c r="O45" s="14" t="n">
        <f aca="false">O42+O44</f>
        <v>6</v>
      </c>
      <c r="P45" s="14" t="n">
        <f aca="false">P42+P44</f>
        <v>78194</v>
      </c>
      <c r="Q45" s="14" t="n">
        <f aca="false">Q42+Q44</f>
        <v>19646.93</v>
      </c>
      <c r="R45" s="15" t="n">
        <f aca="false">Q45/$P45</f>
        <v>0.251258792234698</v>
      </c>
      <c r="S45" s="14" t="n">
        <f aca="false">S42+S44</f>
        <v>35486.52</v>
      </c>
      <c r="T45" s="15" t="n">
        <f aca="false">S45/$P45</f>
        <v>0.453826636314807</v>
      </c>
      <c r="U45" s="14" t="n">
        <f aca="false">U42+U44</f>
        <v>52475.44</v>
      </c>
      <c r="V45" s="15" t="n">
        <f aca="false">U45/$P45</f>
        <v>0.671092922730644</v>
      </c>
      <c r="W45" s="14" t="n">
        <f aca="false">W42+W44</f>
        <v>69566.37</v>
      </c>
      <c r="X45" s="15" t="n">
        <f aca="false">W45/$P45</f>
        <v>0.889663784945136</v>
      </c>
      <c r="Y45" s="14" t="n">
        <f aca="false">Y42+Y44</f>
        <v>87737</v>
      </c>
      <c r="Z45" s="14" t="n">
        <f aca="false">Z42+Z44</f>
        <v>95220</v>
      </c>
    </row>
    <row r="46" customFormat="false" ht="13.9" hidden="false" customHeight="true" outlineLevel="0" collapsed="false">
      <c r="D46" s="81"/>
      <c r="E46" s="31"/>
      <c r="F46" s="31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3"/>
      <c r="S46" s="82"/>
      <c r="T46" s="83"/>
      <c r="U46" s="82"/>
      <c r="V46" s="83"/>
      <c r="W46" s="82"/>
      <c r="X46" s="83"/>
      <c r="Y46" s="82"/>
      <c r="Z46" s="82"/>
    </row>
    <row r="47" customFormat="false" ht="13.9" hidden="false" customHeight="true" outlineLevel="0" collapsed="false">
      <c r="D47" s="60" t="s">
        <v>133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customFormat="false" ht="13.9" hidden="false" customHeight="true" outlineLevel="0" collapsed="false">
      <c r="D48" s="7" t="s">
        <v>33</v>
      </c>
      <c r="E48" s="7" t="s">
        <v>34</v>
      </c>
      <c r="F48" s="7" t="s">
        <v>35</v>
      </c>
      <c r="G48" s="7" t="s">
        <v>1</v>
      </c>
      <c r="H48" s="7" t="s">
        <v>2</v>
      </c>
      <c r="I48" s="7" t="s">
        <v>3</v>
      </c>
      <c r="J48" s="7" t="s">
        <v>4</v>
      </c>
      <c r="K48" s="7" t="s">
        <v>5</v>
      </c>
      <c r="L48" s="7" t="s">
        <v>6</v>
      </c>
      <c r="M48" s="7" t="s">
        <v>7</v>
      </c>
      <c r="N48" s="7" t="s">
        <v>8</v>
      </c>
      <c r="O48" s="7" t="s">
        <v>9</v>
      </c>
      <c r="P48" s="7" t="s">
        <v>10</v>
      </c>
      <c r="Q48" s="7" t="s">
        <v>11</v>
      </c>
      <c r="R48" s="8" t="s">
        <v>12</v>
      </c>
      <c r="S48" s="7" t="s">
        <v>13</v>
      </c>
      <c r="T48" s="8" t="s">
        <v>14</v>
      </c>
      <c r="U48" s="7" t="s">
        <v>15</v>
      </c>
      <c r="V48" s="8" t="s">
        <v>16</v>
      </c>
      <c r="W48" s="7" t="s">
        <v>17</v>
      </c>
      <c r="X48" s="8" t="s">
        <v>18</v>
      </c>
      <c r="Y48" s="7" t="s">
        <v>19</v>
      </c>
      <c r="Z48" s="7" t="s">
        <v>20</v>
      </c>
    </row>
    <row r="49" customFormat="false" ht="13.9" hidden="false" customHeight="true" outlineLevel="0" collapsed="false">
      <c r="A49" s="1" t="n">
        <v>1</v>
      </c>
      <c r="B49" s="1" t="n">
        <v>1</v>
      </c>
      <c r="C49" s="1" t="n">
        <v>2</v>
      </c>
      <c r="D49" s="10" t="s">
        <v>128</v>
      </c>
      <c r="E49" s="10" t="n">
        <v>610</v>
      </c>
      <c r="F49" s="10" t="s">
        <v>129</v>
      </c>
      <c r="G49" s="11" t="n">
        <v>431.27</v>
      </c>
      <c r="H49" s="11" t="n">
        <v>294.12</v>
      </c>
      <c r="I49" s="11" t="n">
        <f aca="false">príjmy!F109</f>
        <v>295</v>
      </c>
      <c r="J49" s="11" t="n">
        <v>295</v>
      </c>
      <c r="K49" s="11" t="n">
        <f aca="false">príjmy!H109</f>
        <v>295</v>
      </c>
      <c r="L49" s="11"/>
      <c r="M49" s="11" t="n">
        <v>3</v>
      </c>
      <c r="N49" s="11"/>
      <c r="O49" s="11"/>
      <c r="P49" s="11" t="n">
        <f aca="false">K49+SUM(L49:O49)</f>
        <v>298</v>
      </c>
      <c r="Q49" s="11" t="n">
        <v>0</v>
      </c>
      <c r="R49" s="12" t="n">
        <f aca="false">Q49/$P49</f>
        <v>0</v>
      </c>
      <c r="S49" s="11" t="n">
        <v>298.29</v>
      </c>
      <c r="T49" s="12" t="n">
        <f aca="false">S49/$P49</f>
        <v>1.00097315436242</v>
      </c>
      <c r="U49" s="11" t="n">
        <v>298.29</v>
      </c>
      <c r="V49" s="12" t="n">
        <f aca="false">U49/$P49</f>
        <v>1.00097315436242</v>
      </c>
      <c r="W49" s="11" t="n">
        <v>298.29</v>
      </c>
      <c r="X49" s="12" t="n">
        <f aca="false">W49/$P49</f>
        <v>1.00097315436242</v>
      </c>
      <c r="Y49" s="11" t="n">
        <f aca="false">príjmy!V109</f>
        <v>295</v>
      </c>
      <c r="Z49" s="11" t="n">
        <f aca="false">príjmy!W109</f>
        <v>295</v>
      </c>
    </row>
    <row r="50" customFormat="false" ht="13.9" hidden="false" customHeight="true" outlineLevel="0" collapsed="false">
      <c r="A50" s="1" t="n">
        <v>1</v>
      </c>
      <c r="B50" s="1" t="n">
        <v>1</v>
      </c>
      <c r="C50" s="1" t="n">
        <v>2</v>
      </c>
      <c r="D50" s="77" t="s">
        <v>21</v>
      </c>
      <c r="E50" s="35" t="n">
        <v>111</v>
      </c>
      <c r="F50" s="35" t="s">
        <v>134</v>
      </c>
      <c r="G50" s="36" t="n">
        <f aca="false">SUM(G49)</f>
        <v>431.27</v>
      </c>
      <c r="H50" s="36" t="n">
        <f aca="false">SUM(H49)</f>
        <v>294.12</v>
      </c>
      <c r="I50" s="36" t="n">
        <f aca="false">SUM(I49)</f>
        <v>295</v>
      </c>
      <c r="J50" s="36" t="n">
        <f aca="false">SUM(J49)</f>
        <v>295</v>
      </c>
      <c r="K50" s="36" t="n">
        <f aca="false">SUM(K49)</f>
        <v>295</v>
      </c>
      <c r="L50" s="36" t="n">
        <f aca="false">SUM(L49)</f>
        <v>0</v>
      </c>
      <c r="M50" s="36" t="n">
        <f aca="false">SUM(M49)</f>
        <v>3</v>
      </c>
      <c r="N50" s="36" t="n">
        <f aca="false">SUM(N49)</f>
        <v>0</v>
      </c>
      <c r="O50" s="36" t="n">
        <f aca="false">SUM(O49)</f>
        <v>0</v>
      </c>
      <c r="P50" s="36" t="n">
        <f aca="false">SUM(P49)</f>
        <v>298</v>
      </c>
      <c r="Q50" s="36" t="n">
        <f aca="false">SUM(Q49)</f>
        <v>0</v>
      </c>
      <c r="R50" s="37" t="n">
        <f aca="false">Q50/$P50</f>
        <v>0</v>
      </c>
      <c r="S50" s="36" t="n">
        <f aca="false">SUM(S49)</f>
        <v>298.29</v>
      </c>
      <c r="T50" s="37" t="n">
        <f aca="false">S50/$P50</f>
        <v>1.00097315436242</v>
      </c>
      <c r="U50" s="36" t="n">
        <f aca="false">SUM(U49)</f>
        <v>298.29</v>
      </c>
      <c r="V50" s="37" t="n">
        <f aca="false">U50/$P50</f>
        <v>1.00097315436242</v>
      </c>
      <c r="W50" s="36" t="n">
        <f aca="false">SUM(W49)</f>
        <v>298.29</v>
      </c>
      <c r="X50" s="37" t="n">
        <f aca="false">W50/$P50</f>
        <v>1.00097315436242</v>
      </c>
      <c r="Y50" s="36" t="n">
        <f aca="false">SUM(Y49)</f>
        <v>295</v>
      </c>
      <c r="Z50" s="36" t="n">
        <f aca="false">SUM(Z49)</f>
        <v>295</v>
      </c>
    </row>
    <row r="51" customFormat="false" ht="13.9" hidden="false" customHeight="true" outlineLevel="0" collapsed="false">
      <c r="A51" s="1" t="n">
        <v>1</v>
      </c>
      <c r="B51" s="1" t="n">
        <v>1</v>
      </c>
      <c r="C51" s="1" t="n">
        <v>2</v>
      </c>
      <c r="D51" s="76" t="s">
        <v>128</v>
      </c>
      <c r="E51" s="10" t="n">
        <v>610</v>
      </c>
      <c r="F51" s="10" t="s">
        <v>129</v>
      </c>
      <c r="G51" s="11" t="n">
        <v>46054.6</v>
      </c>
      <c r="H51" s="11" t="n">
        <v>52890.33</v>
      </c>
      <c r="I51" s="11" t="n">
        <v>60066</v>
      </c>
      <c r="J51" s="11" t="n">
        <v>59578</v>
      </c>
      <c r="K51" s="33" t="n">
        <v>58978</v>
      </c>
      <c r="L51" s="33"/>
      <c r="M51" s="33"/>
      <c r="N51" s="33"/>
      <c r="O51" s="33"/>
      <c r="P51" s="33" t="n">
        <f aca="false">K51+SUM(L51:O51)</f>
        <v>58978</v>
      </c>
      <c r="Q51" s="33" t="n">
        <v>13470.45</v>
      </c>
      <c r="R51" s="34" t="n">
        <f aca="false">Q51/$P51</f>
        <v>0.22839787717454</v>
      </c>
      <c r="S51" s="33" t="n">
        <v>26712.66</v>
      </c>
      <c r="T51" s="34" t="n">
        <f aca="false">S51/$P51</f>
        <v>0.452925836752687</v>
      </c>
      <c r="U51" s="33" t="n">
        <v>38932.86</v>
      </c>
      <c r="V51" s="34" t="n">
        <f aca="false">U51/$P51</f>
        <v>0.660125131404931</v>
      </c>
      <c r="W51" s="33" t="n">
        <v>53896.7</v>
      </c>
      <c r="X51" s="34" t="n">
        <f aca="false">W51/$P51</f>
        <v>0.913844145274509</v>
      </c>
      <c r="Y51" s="11" t="n">
        <v>64590</v>
      </c>
      <c r="Z51" s="11" t="n">
        <v>70763</v>
      </c>
    </row>
    <row r="52" customFormat="false" ht="13.9" hidden="false" customHeight="true" outlineLevel="0" collapsed="false">
      <c r="A52" s="1" t="n">
        <v>1</v>
      </c>
      <c r="B52" s="1" t="n">
        <v>1</v>
      </c>
      <c r="C52" s="1" t="n">
        <v>2</v>
      </c>
      <c r="D52" s="76"/>
      <c r="E52" s="10" t="n">
        <v>620</v>
      </c>
      <c r="F52" s="10" t="s">
        <v>130</v>
      </c>
      <c r="G52" s="11" t="n">
        <v>17312.18</v>
      </c>
      <c r="H52" s="11" t="n">
        <v>19533.81</v>
      </c>
      <c r="I52" s="11" t="n">
        <v>23036</v>
      </c>
      <c r="J52" s="11" t="n">
        <v>22635</v>
      </c>
      <c r="K52" s="11" t="n">
        <v>22025</v>
      </c>
      <c r="L52" s="11"/>
      <c r="M52" s="11"/>
      <c r="N52" s="11"/>
      <c r="O52" s="11"/>
      <c r="P52" s="11" t="n">
        <f aca="false">K52+SUM(L52:O52)</f>
        <v>22025</v>
      </c>
      <c r="Q52" s="11" t="n">
        <v>4947.71</v>
      </c>
      <c r="R52" s="12" t="n">
        <f aca="false">Q52/$P52</f>
        <v>0.224640635641317</v>
      </c>
      <c r="S52" s="11" t="n">
        <v>8787</v>
      </c>
      <c r="T52" s="12" t="n">
        <f aca="false">S52/$P52</f>
        <v>0.398955732122588</v>
      </c>
      <c r="U52" s="11" t="n">
        <v>13243.83</v>
      </c>
      <c r="V52" s="12" t="n">
        <f aca="false">U52/$P52</f>
        <v>0.60130896708286</v>
      </c>
      <c r="W52" s="11" t="n">
        <v>18796.07</v>
      </c>
      <c r="X52" s="12" t="n">
        <f aca="false">W52/$P52</f>
        <v>0.853397048808172</v>
      </c>
      <c r="Y52" s="11" t="n">
        <v>24099</v>
      </c>
      <c r="Z52" s="11" t="n">
        <v>26381</v>
      </c>
    </row>
    <row r="53" customFormat="false" ht="13.9" hidden="false" customHeight="true" outlineLevel="0" collapsed="false">
      <c r="A53" s="1" t="n">
        <v>1</v>
      </c>
      <c r="B53" s="1" t="n">
        <v>1</v>
      </c>
      <c r="C53" s="1" t="n">
        <v>2</v>
      </c>
      <c r="D53" s="76"/>
      <c r="E53" s="10" t="n">
        <v>630</v>
      </c>
      <c r="F53" s="10" t="s">
        <v>131</v>
      </c>
      <c r="G53" s="11" t="n">
        <v>4771.82</v>
      </c>
      <c r="H53" s="11" t="n">
        <v>4381.31</v>
      </c>
      <c r="I53" s="11" t="n">
        <v>4993</v>
      </c>
      <c r="J53" s="11" t="n">
        <v>5946</v>
      </c>
      <c r="K53" s="11" t="n">
        <f aca="false">4743+1770</f>
        <v>6513</v>
      </c>
      <c r="L53" s="11"/>
      <c r="M53" s="11"/>
      <c r="N53" s="11"/>
      <c r="O53" s="11"/>
      <c r="P53" s="11" t="n">
        <f aca="false">K53+SUM(L53:O53)</f>
        <v>6513</v>
      </c>
      <c r="Q53" s="11" t="n">
        <v>1389.99</v>
      </c>
      <c r="R53" s="12" t="n">
        <f aca="false">Q53/$P53</f>
        <v>0.213417779824965</v>
      </c>
      <c r="S53" s="11" t="n">
        <v>3111.95</v>
      </c>
      <c r="T53" s="12" t="n">
        <f aca="false">S53/$P53</f>
        <v>0.477805926608322</v>
      </c>
      <c r="U53" s="11" t="n">
        <v>4261.09</v>
      </c>
      <c r="V53" s="12" t="n">
        <f aca="false">U53/$P53</f>
        <v>0.654243820052203</v>
      </c>
      <c r="W53" s="11" t="n">
        <v>4785.57</v>
      </c>
      <c r="X53" s="12" t="n">
        <f aca="false">W53/$P53</f>
        <v>0.734771994472593</v>
      </c>
      <c r="Y53" s="11" t="n">
        <f aca="false">4808+1770</f>
        <v>6578</v>
      </c>
      <c r="Z53" s="11" t="n">
        <f aca="false">4864+1770</f>
        <v>6634</v>
      </c>
    </row>
    <row r="54" customFormat="false" ht="13.9" hidden="false" customHeight="true" outlineLevel="0" collapsed="false">
      <c r="A54" s="1" t="n">
        <v>1</v>
      </c>
      <c r="B54" s="1" t="n">
        <v>1</v>
      </c>
      <c r="C54" s="1" t="n">
        <v>2</v>
      </c>
      <c r="D54" s="76"/>
      <c r="E54" s="10" t="n">
        <v>640</v>
      </c>
      <c r="F54" s="10" t="s">
        <v>132</v>
      </c>
      <c r="G54" s="11" t="n">
        <v>228.94</v>
      </c>
      <c r="H54" s="11" t="n">
        <v>0</v>
      </c>
      <c r="I54" s="11" t="n">
        <v>2086</v>
      </c>
      <c r="J54" s="11" t="n">
        <v>2214</v>
      </c>
      <c r="K54" s="11" t="n">
        <v>0</v>
      </c>
      <c r="L54" s="11"/>
      <c r="M54" s="11"/>
      <c r="N54" s="11"/>
      <c r="O54" s="11"/>
      <c r="P54" s="11" t="n">
        <f aca="false">K54+SUM(L54:O54)</f>
        <v>0</v>
      </c>
      <c r="Q54" s="11" t="n">
        <v>0</v>
      </c>
      <c r="R54" s="12" t="e">
        <f aca="false">Q54/$P54</f>
        <v>#DIV/0!</v>
      </c>
      <c r="S54" s="11" t="n">
        <v>0</v>
      </c>
      <c r="T54" s="12" t="e">
        <f aca="false">S54/$P54</f>
        <v>#DIV/0!</v>
      </c>
      <c r="U54" s="11" t="n">
        <v>0</v>
      </c>
      <c r="V54" s="12" t="e">
        <f aca="false">U54/$P54</f>
        <v>#DIV/0!</v>
      </c>
      <c r="W54" s="11" t="n">
        <v>0</v>
      </c>
      <c r="X54" s="12" t="e">
        <f aca="false">W54/$P54</f>
        <v>#DIV/0!</v>
      </c>
      <c r="Y54" s="11" t="n">
        <f aca="false">K54</f>
        <v>0</v>
      </c>
      <c r="Z54" s="11" t="n">
        <f aca="false">Y54</f>
        <v>0</v>
      </c>
    </row>
    <row r="55" customFormat="false" ht="13.9" hidden="false" customHeight="true" outlineLevel="0" collapsed="false">
      <c r="A55" s="1" t="n">
        <v>1</v>
      </c>
      <c r="B55" s="1" t="n">
        <v>1</v>
      </c>
      <c r="C55" s="1" t="n">
        <v>2</v>
      </c>
      <c r="D55" s="77" t="s">
        <v>21</v>
      </c>
      <c r="E55" s="35" t="n">
        <v>41</v>
      </c>
      <c r="F55" s="35" t="s">
        <v>23</v>
      </c>
      <c r="G55" s="36" t="n">
        <f aca="false">SUM(G51:G54)</f>
        <v>68367.54</v>
      </c>
      <c r="H55" s="36" t="n">
        <f aca="false">SUM(H51:H54)</f>
        <v>76805.45</v>
      </c>
      <c r="I55" s="36" t="n">
        <f aca="false">SUM(I51:I54)</f>
        <v>90181</v>
      </c>
      <c r="J55" s="36" t="n">
        <f aca="false">SUM(J51:J54)</f>
        <v>90373</v>
      </c>
      <c r="K55" s="36" t="n">
        <f aca="false">SUM(K51:K54)</f>
        <v>87516</v>
      </c>
      <c r="L55" s="36" t="n">
        <f aca="false">SUM(L51:L54)</f>
        <v>0</v>
      </c>
      <c r="M55" s="36" t="n">
        <f aca="false">SUM(M51:M54)</f>
        <v>0</v>
      </c>
      <c r="N55" s="36" t="n">
        <f aca="false">SUM(N51:N54)</f>
        <v>0</v>
      </c>
      <c r="O55" s="36" t="n">
        <f aca="false">SUM(O51:O54)</f>
        <v>0</v>
      </c>
      <c r="P55" s="36" t="n">
        <f aca="false">SUM(P51:P54)</f>
        <v>87516</v>
      </c>
      <c r="Q55" s="36" t="n">
        <f aca="false">SUM(Q51:Q54)</f>
        <v>19808.15</v>
      </c>
      <c r="R55" s="37" t="n">
        <f aca="false">Q55/$P55</f>
        <v>0.226337469719823</v>
      </c>
      <c r="S55" s="36" t="n">
        <f aca="false">SUM(S51:S54)</f>
        <v>38611.61</v>
      </c>
      <c r="T55" s="37" t="n">
        <f aca="false">S55/$P55</f>
        <v>0.441194867224279</v>
      </c>
      <c r="U55" s="36" t="n">
        <f aca="false">SUM(U51:U54)</f>
        <v>56437.78</v>
      </c>
      <c r="V55" s="37" t="n">
        <f aca="false">U55/$P55</f>
        <v>0.644885278120572</v>
      </c>
      <c r="W55" s="36" t="n">
        <f aca="false">SUM(W51:W54)</f>
        <v>77478.34</v>
      </c>
      <c r="X55" s="37" t="n">
        <f aca="false">W55/$P55</f>
        <v>0.885304858540153</v>
      </c>
      <c r="Y55" s="36" t="n">
        <f aca="false">SUM(Y51:Y54)</f>
        <v>95267</v>
      </c>
      <c r="Z55" s="36" t="n">
        <f aca="false">SUM(Z51:Z54)</f>
        <v>103778</v>
      </c>
    </row>
    <row r="56" customFormat="false" ht="13.9" hidden="false" customHeight="true" outlineLevel="0" collapsed="false">
      <c r="A56" s="1" t="n">
        <v>1</v>
      </c>
      <c r="B56" s="1" t="n">
        <v>1</v>
      </c>
      <c r="C56" s="1" t="n">
        <v>2</v>
      </c>
      <c r="D56" s="10" t="s">
        <v>128</v>
      </c>
      <c r="E56" s="10" t="n">
        <v>640</v>
      </c>
      <c r="F56" s="10" t="s">
        <v>132</v>
      </c>
      <c r="G56" s="11" t="n">
        <v>0</v>
      </c>
      <c r="H56" s="11" t="n">
        <v>459.1</v>
      </c>
      <c r="I56" s="11" t="n">
        <v>460</v>
      </c>
      <c r="J56" s="11" t="n">
        <v>553</v>
      </c>
      <c r="K56" s="11" t="n">
        <v>575</v>
      </c>
      <c r="L56" s="11"/>
      <c r="M56" s="11"/>
      <c r="N56" s="11"/>
      <c r="O56" s="11"/>
      <c r="P56" s="11" t="n">
        <f aca="false">K56+SUM(L56:O56)</f>
        <v>575</v>
      </c>
      <c r="Q56" s="11" t="n">
        <v>0</v>
      </c>
      <c r="R56" s="12" t="n">
        <f aca="false">Q56/$P56</f>
        <v>0</v>
      </c>
      <c r="S56" s="11" t="n">
        <v>0</v>
      </c>
      <c r="T56" s="12" t="n">
        <f aca="false">S56/$P56</f>
        <v>0</v>
      </c>
      <c r="U56" s="11" t="n">
        <v>0</v>
      </c>
      <c r="V56" s="12" t="n">
        <f aca="false">U56/$P56</f>
        <v>0</v>
      </c>
      <c r="W56" s="11" t="n">
        <v>550.55</v>
      </c>
      <c r="X56" s="12" t="n">
        <f aca="false">W56/$P56</f>
        <v>0.957478260869565</v>
      </c>
      <c r="Y56" s="11" t="n">
        <f aca="false">K56</f>
        <v>575</v>
      </c>
      <c r="Z56" s="11" t="n">
        <f aca="false">Y56</f>
        <v>575</v>
      </c>
    </row>
    <row r="57" customFormat="false" ht="13.9" hidden="false" customHeight="true" outlineLevel="0" collapsed="false">
      <c r="A57" s="1" t="n">
        <v>1</v>
      </c>
      <c r="B57" s="1" t="n">
        <v>1</v>
      </c>
      <c r="C57" s="1" t="n">
        <v>2</v>
      </c>
      <c r="D57" s="77" t="s">
        <v>21</v>
      </c>
      <c r="E57" s="78" t="n">
        <v>72</v>
      </c>
      <c r="F57" s="35" t="s">
        <v>25</v>
      </c>
      <c r="G57" s="36" t="n">
        <f aca="false">SUM(G56)</f>
        <v>0</v>
      </c>
      <c r="H57" s="36" t="n">
        <f aca="false">SUM(H56)</f>
        <v>459.1</v>
      </c>
      <c r="I57" s="36" t="n">
        <f aca="false">SUM(I56)</f>
        <v>460</v>
      </c>
      <c r="J57" s="36" t="n">
        <f aca="false">SUM(J56)</f>
        <v>553</v>
      </c>
      <c r="K57" s="36" t="n">
        <f aca="false">SUM(K56)</f>
        <v>575</v>
      </c>
      <c r="L57" s="36" t="n">
        <f aca="false">SUM(L56)</f>
        <v>0</v>
      </c>
      <c r="M57" s="36" t="n">
        <f aca="false">SUM(M56)</f>
        <v>0</v>
      </c>
      <c r="N57" s="36" t="n">
        <f aca="false">SUM(N56)</f>
        <v>0</v>
      </c>
      <c r="O57" s="36" t="n">
        <f aca="false">SUM(O56)</f>
        <v>0</v>
      </c>
      <c r="P57" s="36" t="n">
        <f aca="false">SUM(P56)</f>
        <v>575</v>
      </c>
      <c r="Q57" s="36" t="n">
        <f aca="false">SUM(Q56)</f>
        <v>0</v>
      </c>
      <c r="R57" s="37" t="n">
        <f aca="false">Q57/$P57</f>
        <v>0</v>
      </c>
      <c r="S57" s="36" t="n">
        <f aca="false">SUM(S56)</f>
        <v>0</v>
      </c>
      <c r="T57" s="37" t="n">
        <f aca="false">S57/$P57</f>
        <v>0</v>
      </c>
      <c r="U57" s="36" t="n">
        <f aca="false">SUM(U56)</f>
        <v>0</v>
      </c>
      <c r="V57" s="37" t="n">
        <f aca="false">U57/$P57</f>
        <v>0</v>
      </c>
      <c r="W57" s="36" t="n">
        <f aca="false">SUM(W56)</f>
        <v>550.55</v>
      </c>
      <c r="X57" s="37" t="n">
        <f aca="false">W57/$P57</f>
        <v>0.957478260869565</v>
      </c>
      <c r="Y57" s="36" t="n">
        <f aca="false">SUM(Y56)</f>
        <v>575</v>
      </c>
      <c r="Z57" s="36" t="n">
        <f aca="false">SUM(Z56)</f>
        <v>575</v>
      </c>
    </row>
    <row r="58" customFormat="false" ht="13.9" hidden="false" customHeight="true" outlineLevel="0" collapsed="false">
      <c r="A58" s="1" t="n">
        <v>1</v>
      </c>
      <c r="B58" s="1" t="n">
        <v>1</v>
      </c>
      <c r="C58" s="1" t="n">
        <v>2</v>
      </c>
      <c r="D58" s="79"/>
      <c r="E58" s="80"/>
      <c r="F58" s="13" t="s">
        <v>124</v>
      </c>
      <c r="G58" s="14" t="n">
        <f aca="false">G50+G55+G57</f>
        <v>68798.81</v>
      </c>
      <c r="H58" s="14" t="n">
        <f aca="false">H50+H55+H57</f>
        <v>77558.67</v>
      </c>
      <c r="I58" s="14" t="n">
        <f aca="false">I50+I55+I57</f>
        <v>90936</v>
      </c>
      <c r="J58" s="14" t="n">
        <f aca="false">J50+J55+J57</f>
        <v>91221</v>
      </c>
      <c r="K58" s="14" t="n">
        <f aca="false">K50+K55+K57</f>
        <v>88386</v>
      </c>
      <c r="L58" s="14" t="n">
        <f aca="false">L50+L55+L57</f>
        <v>0</v>
      </c>
      <c r="M58" s="14" t="n">
        <f aca="false">M50+M55+M57</f>
        <v>3</v>
      </c>
      <c r="N58" s="14" t="n">
        <f aca="false">N50+N55+N57</f>
        <v>0</v>
      </c>
      <c r="O58" s="14" t="n">
        <f aca="false">O50+O55+O57</f>
        <v>0</v>
      </c>
      <c r="P58" s="14" t="n">
        <f aca="false">P50+P55+P57</f>
        <v>88389</v>
      </c>
      <c r="Q58" s="14" t="n">
        <f aca="false">Q50+Q55+Q57</f>
        <v>19808.15</v>
      </c>
      <c r="R58" s="15" t="n">
        <f aca="false">Q58/$P58</f>
        <v>0.224101981015737</v>
      </c>
      <c r="S58" s="14" t="n">
        <f aca="false">S50+S55+S57</f>
        <v>38909.9</v>
      </c>
      <c r="T58" s="15" t="n">
        <f aca="false">S58/$P58</f>
        <v>0.440212017332474</v>
      </c>
      <c r="U58" s="14" t="n">
        <f aca="false">U50+U55+U57</f>
        <v>56736.07</v>
      </c>
      <c r="V58" s="15" t="n">
        <f aca="false">U58/$P58</f>
        <v>0.641890619873514</v>
      </c>
      <c r="W58" s="14" t="n">
        <f aca="false">W50+W55+W57</f>
        <v>78327.18</v>
      </c>
      <c r="X58" s="15" t="n">
        <f aca="false">W58/$P58</f>
        <v>0.886164341716729</v>
      </c>
      <c r="Y58" s="14" t="n">
        <f aca="false">Y50+Y55+Y57</f>
        <v>96137</v>
      </c>
      <c r="Z58" s="14" t="n">
        <f aca="false">Z50+Z55+Z57</f>
        <v>104648</v>
      </c>
    </row>
    <row r="59" customFormat="false" ht="13.9" hidden="false" customHeight="true" outlineLevel="0" collapsed="false">
      <c r="D59" s="81"/>
      <c r="E59" s="31"/>
      <c r="F59" s="31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3"/>
      <c r="S59" s="82"/>
      <c r="T59" s="83"/>
      <c r="U59" s="82"/>
      <c r="V59" s="83"/>
      <c r="W59" s="82"/>
      <c r="X59" s="83"/>
      <c r="Y59" s="82"/>
      <c r="Z59" s="82"/>
    </row>
    <row r="60" customFormat="false" ht="13.9" hidden="false" customHeight="true" outlineLevel="0" collapsed="false">
      <c r="D60" s="60" t="s">
        <v>135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customFormat="false" ht="13.9" hidden="false" customHeight="true" outlineLevel="0" collapsed="false">
      <c r="D61" s="7" t="s">
        <v>33</v>
      </c>
      <c r="E61" s="7" t="s">
        <v>34</v>
      </c>
      <c r="F61" s="7" t="s">
        <v>35</v>
      </c>
      <c r="G61" s="7" t="s">
        <v>1</v>
      </c>
      <c r="H61" s="7" t="s">
        <v>2</v>
      </c>
      <c r="I61" s="7" t="s">
        <v>3</v>
      </c>
      <c r="J61" s="7" t="s">
        <v>4</v>
      </c>
      <c r="K61" s="7" t="s">
        <v>5</v>
      </c>
      <c r="L61" s="7" t="s">
        <v>6</v>
      </c>
      <c r="M61" s="7" t="s">
        <v>7</v>
      </c>
      <c r="N61" s="7" t="s">
        <v>8</v>
      </c>
      <c r="O61" s="7" t="s">
        <v>9</v>
      </c>
      <c r="P61" s="7" t="s">
        <v>10</v>
      </c>
      <c r="Q61" s="7" t="s">
        <v>11</v>
      </c>
      <c r="R61" s="8" t="s">
        <v>12</v>
      </c>
      <c r="S61" s="7" t="s">
        <v>13</v>
      </c>
      <c r="T61" s="8" t="s">
        <v>14</v>
      </c>
      <c r="U61" s="7" t="s">
        <v>15</v>
      </c>
      <c r="V61" s="8" t="s">
        <v>16</v>
      </c>
      <c r="W61" s="7" t="s">
        <v>17</v>
      </c>
      <c r="X61" s="8" t="s">
        <v>18</v>
      </c>
      <c r="Y61" s="7" t="s">
        <v>19</v>
      </c>
      <c r="Z61" s="7" t="s">
        <v>20</v>
      </c>
    </row>
    <row r="62" customFormat="false" ht="13.9" hidden="false" customHeight="true" outlineLevel="0" collapsed="false">
      <c r="A62" s="1" t="n">
        <v>1</v>
      </c>
      <c r="B62" s="1" t="n">
        <v>1</v>
      </c>
      <c r="C62" s="1" t="n">
        <v>3</v>
      </c>
      <c r="D62" s="76" t="s">
        <v>136</v>
      </c>
      <c r="E62" s="10" t="n">
        <v>610</v>
      </c>
      <c r="F62" s="10" t="s">
        <v>129</v>
      </c>
      <c r="G62" s="11" t="n">
        <v>3674</v>
      </c>
      <c r="H62" s="11" t="n">
        <v>3838</v>
      </c>
      <c r="I62" s="11" t="n">
        <v>4017</v>
      </c>
      <c r="J62" s="11" t="n">
        <v>4072</v>
      </c>
      <c r="K62" s="11" t="n">
        <v>4279</v>
      </c>
      <c r="L62" s="11"/>
      <c r="M62" s="11"/>
      <c r="N62" s="11"/>
      <c r="O62" s="11" t="n">
        <f aca="false">84+15</f>
        <v>99</v>
      </c>
      <c r="P62" s="11" t="n">
        <f aca="false">K62+SUM(L62:O62)</f>
        <v>4378</v>
      </c>
      <c r="Q62" s="11" t="n">
        <v>1075</v>
      </c>
      <c r="R62" s="12" t="n">
        <f aca="false">Q62/$P62</f>
        <v>0.245545911375057</v>
      </c>
      <c r="S62" s="11" t="n">
        <v>2176</v>
      </c>
      <c r="T62" s="12" t="n">
        <f aca="false">S62/$P62</f>
        <v>0.497030607583371</v>
      </c>
      <c r="U62" s="11" t="n">
        <v>3277</v>
      </c>
      <c r="V62" s="12" t="n">
        <f aca="false">U62/$P62</f>
        <v>0.748515303791686</v>
      </c>
      <c r="W62" s="11" t="n">
        <v>4378</v>
      </c>
      <c r="X62" s="12" t="n">
        <f aca="false">W62/$P62</f>
        <v>1</v>
      </c>
      <c r="Y62" s="11" t="n">
        <v>4707</v>
      </c>
      <c r="Z62" s="11" t="n">
        <v>5178</v>
      </c>
    </row>
    <row r="63" customFormat="false" ht="13.9" hidden="false" customHeight="true" outlineLevel="0" collapsed="false">
      <c r="A63" s="1" t="n">
        <v>1</v>
      </c>
      <c r="B63" s="1" t="n">
        <v>1</v>
      </c>
      <c r="C63" s="1" t="n">
        <v>3</v>
      </c>
      <c r="D63" s="76"/>
      <c r="E63" s="10" t="n">
        <v>620</v>
      </c>
      <c r="F63" s="10" t="s">
        <v>130</v>
      </c>
      <c r="G63" s="11" t="n">
        <v>1283.83</v>
      </c>
      <c r="H63" s="11" t="n">
        <v>1341.16</v>
      </c>
      <c r="I63" s="11" t="n">
        <v>1484</v>
      </c>
      <c r="J63" s="11" t="n">
        <v>1327</v>
      </c>
      <c r="K63" s="11" t="n">
        <v>1581</v>
      </c>
      <c r="L63" s="11"/>
      <c r="M63" s="11"/>
      <c r="N63" s="11"/>
      <c r="O63" s="11" t="n">
        <f aca="false">-86-15</f>
        <v>-101</v>
      </c>
      <c r="P63" s="11" t="n">
        <f aca="false">K63+SUM(L63:O63)</f>
        <v>1480</v>
      </c>
      <c r="Q63" s="11" t="n">
        <v>332.66</v>
      </c>
      <c r="R63" s="12" t="n">
        <f aca="false">Q63/$P63</f>
        <v>0.22477027027027</v>
      </c>
      <c r="S63" s="11" t="n">
        <v>596.5</v>
      </c>
      <c r="T63" s="12" t="n">
        <f aca="false">S63/$P63</f>
        <v>0.403040540540541</v>
      </c>
      <c r="U63" s="11" t="n">
        <v>937.21</v>
      </c>
      <c r="V63" s="12" t="n">
        <f aca="false">U63/$P63</f>
        <v>0.63325</v>
      </c>
      <c r="W63" s="11" t="n">
        <v>1277.92</v>
      </c>
      <c r="X63" s="12" t="n">
        <f aca="false">W63/$P63</f>
        <v>0.863459459459459</v>
      </c>
      <c r="Y63" s="11" t="n">
        <v>1740</v>
      </c>
      <c r="Z63" s="11" t="n">
        <v>1913</v>
      </c>
    </row>
    <row r="64" customFormat="false" ht="13.9" hidden="false" customHeight="true" outlineLevel="0" collapsed="false">
      <c r="A64" s="1" t="n">
        <v>1</v>
      </c>
      <c r="B64" s="1" t="n">
        <v>1</v>
      </c>
      <c r="C64" s="1" t="n">
        <v>3</v>
      </c>
      <c r="D64" s="76"/>
      <c r="E64" s="10" t="n">
        <v>630</v>
      </c>
      <c r="F64" s="10" t="s">
        <v>131</v>
      </c>
      <c r="G64" s="11" t="n">
        <v>1512.96</v>
      </c>
      <c r="H64" s="11" t="n">
        <v>1500.52</v>
      </c>
      <c r="I64" s="11" t="n">
        <v>1533</v>
      </c>
      <c r="J64" s="11" t="n">
        <v>1308</v>
      </c>
      <c r="K64" s="11" t="n">
        <f aca="false">230+1100</f>
        <v>1330</v>
      </c>
      <c r="L64" s="11"/>
      <c r="M64" s="11" t="n">
        <v>211</v>
      </c>
      <c r="N64" s="11" t="n">
        <f aca="false">220+211</f>
        <v>431</v>
      </c>
      <c r="O64" s="11" t="n">
        <v>2</v>
      </c>
      <c r="P64" s="11" t="n">
        <f aca="false">K64+SUM(L64:O64)</f>
        <v>1974</v>
      </c>
      <c r="Q64" s="11" t="n">
        <v>49.45</v>
      </c>
      <c r="R64" s="12" t="n">
        <f aca="false">Q64/$P64</f>
        <v>0.0250506585612969</v>
      </c>
      <c r="S64" s="11" t="n">
        <v>306.19</v>
      </c>
      <c r="T64" s="12" t="n">
        <f aca="false">S64/$P64</f>
        <v>0.155111448834853</v>
      </c>
      <c r="U64" s="11" t="n">
        <v>1901.66</v>
      </c>
      <c r="V64" s="12" t="n">
        <f aca="false">U64/$P64</f>
        <v>0.963353596757852</v>
      </c>
      <c r="W64" s="11" t="n">
        <v>1759.03</v>
      </c>
      <c r="X64" s="12" t="n">
        <f aca="false">W64/$P64</f>
        <v>0.891099290780142</v>
      </c>
      <c r="Y64" s="11" t="n">
        <f aca="false">235+1100</f>
        <v>1335</v>
      </c>
      <c r="Z64" s="11" t="n">
        <f aca="false">240+1100</f>
        <v>1340</v>
      </c>
    </row>
    <row r="65" customFormat="false" ht="13.9" hidden="false" customHeight="true" outlineLevel="0" collapsed="false">
      <c r="A65" s="1" t="n">
        <v>1</v>
      </c>
      <c r="B65" s="1" t="n">
        <v>1</v>
      </c>
      <c r="C65" s="1" t="n">
        <v>3</v>
      </c>
      <c r="D65" s="77" t="s">
        <v>21</v>
      </c>
      <c r="E65" s="35" t="n">
        <v>41</v>
      </c>
      <c r="F65" s="35" t="s">
        <v>23</v>
      </c>
      <c r="G65" s="36" t="n">
        <f aca="false">SUM(G62:G64)</f>
        <v>6470.79</v>
      </c>
      <c r="H65" s="36" t="n">
        <f aca="false">SUM(H62:H64)</f>
        <v>6679.68</v>
      </c>
      <c r="I65" s="36" t="n">
        <f aca="false">SUM(I62:I64)</f>
        <v>7034</v>
      </c>
      <c r="J65" s="36" t="n">
        <f aca="false">SUM(J62:J64)</f>
        <v>6707</v>
      </c>
      <c r="K65" s="36" t="n">
        <f aca="false">SUM(K62:K64)</f>
        <v>7190</v>
      </c>
      <c r="L65" s="36" t="n">
        <f aca="false">SUM(L62:L64)</f>
        <v>0</v>
      </c>
      <c r="M65" s="36" t="n">
        <f aca="false">SUM(M62:M64)</f>
        <v>211</v>
      </c>
      <c r="N65" s="36" t="n">
        <f aca="false">SUM(N62:N64)</f>
        <v>431</v>
      </c>
      <c r="O65" s="36" t="n">
        <f aca="false">SUM(O62:O64)</f>
        <v>0</v>
      </c>
      <c r="P65" s="36" t="n">
        <f aca="false">SUM(P62:P64)</f>
        <v>7832</v>
      </c>
      <c r="Q65" s="36" t="n">
        <f aca="false">SUM(Q62:Q64)</f>
        <v>1457.11</v>
      </c>
      <c r="R65" s="37" t="n">
        <f aca="false">Q65/$P65</f>
        <v>0.186045709908069</v>
      </c>
      <c r="S65" s="36" t="n">
        <f aca="false">SUM(S62:S64)</f>
        <v>3078.69</v>
      </c>
      <c r="T65" s="37" t="n">
        <f aca="false">S65/$P65</f>
        <v>0.393091164453524</v>
      </c>
      <c r="U65" s="36" t="n">
        <f aca="false">SUM(U62:U64)</f>
        <v>6115.87</v>
      </c>
      <c r="V65" s="37" t="n">
        <f aca="false">U65/$P65</f>
        <v>0.780882277834525</v>
      </c>
      <c r="W65" s="36" t="n">
        <f aca="false">SUM(W62:W64)</f>
        <v>7414.95</v>
      </c>
      <c r="X65" s="37" t="n">
        <f aca="false">W65/$P65</f>
        <v>0.94675051072523</v>
      </c>
      <c r="Y65" s="36" t="n">
        <f aca="false">SUM(Y62:Y64)</f>
        <v>7782</v>
      </c>
      <c r="Z65" s="36" t="n">
        <f aca="false">SUM(Z62:Z64)</f>
        <v>8431</v>
      </c>
    </row>
    <row r="66" customFormat="false" ht="13.9" hidden="false" customHeight="true" outlineLevel="0" collapsed="false">
      <c r="A66" s="1" t="n">
        <v>2</v>
      </c>
      <c r="B66" s="1" t="n">
        <v>2</v>
      </c>
      <c r="C66" s="1" t="n">
        <v>4</v>
      </c>
      <c r="D66" s="68" t="s">
        <v>136</v>
      </c>
      <c r="E66" s="10" t="n">
        <v>640</v>
      </c>
      <c r="F66" s="10" t="s">
        <v>132</v>
      </c>
      <c r="G66" s="11" t="n">
        <v>0</v>
      </c>
      <c r="H66" s="11" t="n">
        <v>21.25</v>
      </c>
      <c r="I66" s="11" t="n">
        <v>25</v>
      </c>
      <c r="J66" s="11" t="n">
        <v>25</v>
      </c>
      <c r="K66" s="11" t="n">
        <v>25</v>
      </c>
      <c r="L66" s="11"/>
      <c r="M66" s="11"/>
      <c r="N66" s="11"/>
      <c r="O66" s="11" t="n">
        <v>5</v>
      </c>
      <c r="P66" s="11" t="n">
        <f aca="false">K66+SUM(L66:O66)</f>
        <v>30</v>
      </c>
      <c r="Q66" s="11" t="n">
        <v>0</v>
      </c>
      <c r="R66" s="12" t="n">
        <f aca="false">Q66/$P66</f>
        <v>0</v>
      </c>
      <c r="S66" s="11" t="n">
        <v>0</v>
      </c>
      <c r="T66" s="12" t="n">
        <f aca="false">S66/$P66</f>
        <v>0</v>
      </c>
      <c r="U66" s="11" t="n">
        <v>0</v>
      </c>
      <c r="V66" s="12" t="n">
        <f aca="false">U66/$P66</f>
        <v>0</v>
      </c>
      <c r="W66" s="11" t="n">
        <v>29.9</v>
      </c>
      <c r="X66" s="12" t="n">
        <f aca="false">W66/$P66</f>
        <v>0.996666666666667</v>
      </c>
      <c r="Y66" s="11" t="n">
        <f aca="false">K66</f>
        <v>25</v>
      </c>
      <c r="Z66" s="11" t="n">
        <f aca="false">Y66</f>
        <v>25</v>
      </c>
    </row>
    <row r="67" customFormat="false" ht="13.9" hidden="false" customHeight="true" outlineLevel="0" collapsed="false">
      <c r="A67" s="1" t="n">
        <v>3</v>
      </c>
      <c r="B67" s="1" t="n">
        <v>3</v>
      </c>
      <c r="C67" s="1" t="n">
        <v>5</v>
      </c>
      <c r="D67" s="77" t="s">
        <v>21</v>
      </c>
      <c r="E67" s="35" t="n">
        <v>72</v>
      </c>
      <c r="F67" s="35" t="s">
        <v>25</v>
      </c>
      <c r="G67" s="36" t="n">
        <f aca="false">SUM(G66:G66)</f>
        <v>0</v>
      </c>
      <c r="H67" s="36" t="n">
        <f aca="false">SUM(H66:H66)</f>
        <v>21.25</v>
      </c>
      <c r="I67" s="36" t="n">
        <f aca="false">SUM(I66:I66)</f>
        <v>25</v>
      </c>
      <c r="J67" s="36" t="n">
        <f aca="false">SUM(J66:J66)</f>
        <v>25</v>
      </c>
      <c r="K67" s="36" t="n">
        <f aca="false">SUM(K66:K66)</f>
        <v>25</v>
      </c>
      <c r="L67" s="36" t="n">
        <f aca="false">SUM(L66:L66)</f>
        <v>0</v>
      </c>
      <c r="M67" s="36" t="n">
        <f aca="false">SUM(M66:M66)</f>
        <v>0</v>
      </c>
      <c r="N67" s="36" t="n">
        <f aca="false">SUM(N66:N66)</f>
        <v>0</v>
      </c>
      <c r="O67" s="36" t="n">
        <f aca="false">SUM(O66:O66)</f>
        <v>5</v>
      </c>
      <c r="P67" s="36" t="n">
        <f aca="false">SUM(P66:P66)</f>
        <v>30</v>
      </c>
      <c r="Q67" s="36" t="n">
        <f aca="false">SUM(Q66:Q66)</f>
        <v>0</v>
      </c>
      <c r="R67" s="37" t="n">
        <f aca="false">Q67/$P67</f>
        <v>0</v>
      </c>
      <c r="S67" s="36" t="n">
        <f aca="false">SUM(S66:S66)</f>
        <v>0</v>
      </c>
      <c r="T67" s="37" t="n">
        <f aca="false">S67/$P67</f>
        <v>0</v>
      </c>
      <c r="U67" s="36" t="n">
        <f aca="false">SUM(U66:U66)</f>
        <v>0</v>
      </c>
      <c r="V67" s="37" t="n">
        <f aca="false">U67/$P67</f>
        <v>0</v>
      </c>
      <c r="W67" s="36" t="n">
        <f aca="false">SUM(W66:W66)</f>
        <v>29.9</v>
      </c>
      <c r="X67" s="37" t="n">
        <f aca="false">W67/$P67</f>
        <v>0.996666666666667</v>
      </c>
      <c r="Y67" s="36" t="n">
        <f aca="false">SUM(Y66:Y66)</f>
        <v>25</v>
      </c>
      <c r="Z67" s="36" t="n">
        <f aca="false">SUM(Z66:Z66)</f>
        <v>25</v>
      </c>
    </row>
    <row r="68" customFormat="false" ht="13.9" hidden="false" customHeight="true" outlineLevel="0" collapsed="false">
      <c r="A68" s="1" t="n">
        <v>4</v>
      </c>
      <c r="B68" s="1" t="n">
        <v>4</v>
      </c>
      <c r="C68" s="1" t="n">
        <v>6</v>
      </c>
      <c r="D68" s="79"/>
      <c r="E68" s="80"/>
      <c r="F68" s="13" t="s">
        <v>124</v>
      </c>
      <c r="G68" s="14" t="n">
        <f aca="false">G65+G67</f>
        <v>6470.79</v>
      </c>
      <c r="H68" s="14" t="n">
        <f aca="false">H65+H67</f>
        <v>6700.93</v>
      </c>
      <c r="I68" s="14" t="n">
        <f aca="false">I65+I67</f>
        <v>7059</v>
      </c>
      <c r="J68" s="14" t="n">
        <f aca="false">J65+J67</f>
        <v>6732</v>
      </c>
      <c r="K68" s="14" t="n">
        <f aca="false">K65+K67</f>
        <v>7215</v>
      </c>
      <c r="L68" s="14" t="n">
        <f aca="false">L65+L67</f>
        <v>0</v>
      </c>
      <c r="M68" s="14" t="n">
        <f aca="false">M65+M67</f>
        <v>211</v>
      </c>
      <c r="N68" s="14" t="n">
        <f aca="false">N65+N67</f>
        <v>431</v>
      </c>
      <c r="O68" s="14" t="n">
        <f aca="false">O65+O67</f>
        <v>5</v>
      </c>
      <c r="P68" s="14" t="n">
        <f aca="false">P65+P67</f>
        <v>7862</v>
      </c>
      <c r="Q68" s="14" t="n">
        <f aca="false">Q65+Q67</f>
        <v>1457.11</v>
      </c>
      <c r="R68" s="15" t="n">
        <f aca="false">Q68/$P68</f>
        <v>0.185335792419232</v>
      </c>
      <c r="S68" s="14" t="n">
        <f aca="false">S65+S67</f>
        <v>3078.69</v>
      </c>
      <c r="T68" s="15" t="n">
        <f aca="false">S68/$P68</f>
        <v>0.391591198168405</v>
      </c>
      <c r="U68" s="14" t="n">
        <f aca="false">U65+U67</f>
        <v>6115.87</v>
      </c>
      <c r="V68" s="15" t="n">
        <f aca="false">U68/$P68</f>
        <v>0.777902569320784</v>
      </c>
      <c r="W68" s="14" t="n">
        <f aca="false">W65+W67</f>
        <v>7444.85</v>
      </c>
      <c r="X68" s="15" t="n">
        <f aca="false">W68/$P68</f>
        <v>0.946940981938438</v>
      </c>
      <c r="Y68" s="14" t="n">
        <f aca="false">Y65+Y67</f>
        <v>7807</v>
      </c>
      <c r="Z68" s="14" t="n">
        <f aca="false">Z65+Z67</f>
        <v>8456</v>
      </c>
    </row>
    <row r="69" customFormat="false" ht="13.9" hidden="false" customHeight="true" outlineLevel="0" collapsed="false">
      <c r="D69" s="81"/>
      <c r="E69" s="31"/>
      <c r="F69" s="31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3"/>
      <c r="S69" s="82"/>
      <c r="T69" s="83"/>
      <c r="U69" s="82"/>
      <c r="V69" s="83"/>
      <c r="W69" s="82"/>
      <c r="X69" s="83"/>
      <c r="Y69" s="82"/>
      <c r="Z69" s="82"/>
    </row>
    <row r="70" customFormat="false" ht="13.9" hidden="false" customHeight="true" outlineLevel="0" collapsed="false">
      <c r="D70" s="60" t="s">
        <v>137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customFormat="false" ht="13.9" hidden="false" customHeight="true" outlineLevel="0" collapsed="false">
      <c r="D71" s="7" t="s">
        <v>33</v>
      </c>
      <c r="E71" s="7" t="s">
        <v>34</v>
      </c>
      <c r="F71" s="7" t="s">
        <v>35</v>
      </c>
      <c r="G71" s="7" t="s">
        <v>1</v>
      </c>
      <c r="H71" s="7" t="s">
        <v>2</v>
      </c>
      <c r="I71" s="7" t="s">
        <v>3</v>
      </c>
      <c r="J71" s="7" t="s">
        <v>4</v>
      </c>
      <c r="K71" s="7" t="s">
        <v>5</v>
      </c>
      <c r="L71" s="7" t="s">
        <v>6</v>
      </c>
      <c r="M71" s="7" t="s">
        <v>7</v>
      </c>
      <c r="N71" s="7" t="s">
        <v>8</v>
      </c>
      <c r="O71" s="7" t="s">
        <v>9</v>
      </c>
      <c r="P71" s="7" t="s">
        <v>10</v>
      </c>
      <c r="Q71" s="7" t="s">
        <v>11</v>
      </c>
      <c r="R71" s="8" t="s">
        <v>12</v>
      </c>
      <c r="S71" s="7" t="s">
        <v>13</v>
      </c>
      <c r="T71" s="8" t="s">
        <v>14</v>
      </c>
      <c r="U71" s="7" t="s">
        <v>15</v>
      </c>
      <c r="V71" s="8" t="s">
        <v>16</v>
      </c>
      <c r="W71" s="7" t="s">
        <v>17</v>
      </c>
      <c r="X71" s="8" t="s">
        <v>18</v>
      </c>
      <c r="Y71" s="7" t="s">
        <v>19</v>
      </c>
      <c r="Z71" s="7" t="s">
        <v>20</v>
      </c>
    </row>
    <row r="72" customFormat="false" ht="13.9" hidden="false" customHeight="true" outlineLevel="0" collapsed="false">
      <c r="A72" s="1" t="n">
        <v>1</v>
      </c>
      <c r="B72" s="1" t="n">
        <v>1</v>
      </c>
      <c r="C72" s="1" t="n">
        <v>4</v>
      </c>
      <c r="D72" s="10" t="s">
        <v>128</v>
      </c>
      <c r="E72" s="10" t="n">
        <v>630</v>
      </c>
      <c r="F72" s="10" t="s">
        <v>131</v>
      </c>
      <c r="G72" s="11" t="n">
        <v>0</v>
      </c>
      <c r="H72" s="11" t="n">
        <v>230.86</v>
      </c>
      <c r="I72" s="11" t="n">
        <v>0</v>
      </c>
      <c r="J72" s="11" t="n">
        <v>0</v>
      </c>
      <c r="K72" s="11" t="n">
        <v>0</v>
      </c>
      <c r="L72" s="11"/>
      <c r="M72" s="11"/>
      <c r="N72" s="11"/>
      <c r="O72" s="11"/>
      <c r="P72" s="11" t="n">
        <f aca="false">K72+SUM(L72:O72)</f>
        <v>0</v>
      </c>
      <c r="Q72" s="11" t="n">
        <v>0</v>
      </c>
      <c r="R72" s="12" t="e">
        <f aca="false">Q72/$P72</f>
        <v>#DIV/0!</v>
      </c>
      <c r="S72" s="11" t="n">
        <v>0</v>
      </c>
      <c r="T72" s="12" t="e">
        <f aca="false">S72/$P72</f>
        <v>#DIV/0!</v>
      </c>
      <c r="U72" s="11" t="n">
        <v>0</v>
      </c>
      <c r="V72" s="12" t="e">
        <f aca="false">U72/$P72</f>
        <v>#DIV/0!</v>
      </c>
      <c r="W72" s="11" t="n">
        <v>0</v>
      </c>
      <c r="X72" s="12" t="e">
        <f aca="false">W72/$P72</f>
        <v>#DIV/0!</v>
      </c>
      <c r="Y72" s="11" t="n">
        <f aca="false">K72</f>
        <v>0</v>
      </c>
      <c r="Z72" s="11" t="n">
        <f aca="false">Y72</f>
        <v>0</v>
      </c>
    </row>
    <row r="73" customFormat="false" ht="13.9" hidden="false" customHeight="true" outlineLevel="0" collapsed="false">
      <c r="A73" s="1" t="n">
        <v>1</v>
      </c>
      <c r="B73" s="1" t="n">
        <v>1</v>
      </c>
      <c r="C73" s="1" t="n">
        <v>4</v>
      </c>
      <c r="D73" s="77" t="s">
        <v>21</v>
      </c>
      <c r="E73" s="78" t="s">
        <v>138</v>
      </c>
      <c r="F73" s="35" t="s">
        <v>134</v>
      </c>
      <c r="G73" s="36" t="n">
        <f aca="false">SUM(G72)</f>
        <v>0</v>
      </c>
      <c r="H73" s="36" t="n">
        <f aca="false">SUM(H72)</f>
        <v>230.86</v>
      </c>
      <c r="I73" s="36" t="n">
        <f aca="false">SUM(I72)</f>
        <v>0</v>
      </c>
      <c r="J73" s="36" t="n">
        <f aca="false">SUM(J72)</f>
        <v>0</v>
      </c>
      <c r="K73" s="36" t="n">
        <f aca="false">SUM(K72)</f>
        <v>0</v>
      </c>
      <c r="L73" s="36" t="n">
        <f aca="false">SUM(L72)</f>
        <v>0</v>
      </c>
      <c r="M73" s="36" t="n">
        <f aca="false">SUM(M72)</f>
        <v>0</v>
      </c>
      <c r="N73" s="36" t="n">
        <f aca="false">SUM(N72)</f>
        <v>0</v>
      </c>
      <c r="O73" s="36" t="n">
        <f aca="false">SUM(O72)</f>
        <v>0</v>
      </c>
      <c r="P73" s="36" t="n">
        <f aca="false">SUM(P72)</f>
        <v>0</v>
      </c>
      <c r="Q73" s="36" t="n">
        <f aca="false">SUM(Q72)</f>
        <v>0</v>
      </c>
      <c r="R73" s="37" t="e">
        <f aca="false">Q73/$P73</f>
        <v>#DIV/0!</v>
      </c>
      <c r="S73" s="36" t="n">
        <f aca="false">SUM(S72)</f>
        <v>0</v>
      </c>
      <c r="T73" s="37" t="e">
        <f aca="false">S73/$P73</f>
        <v>#DIV/0!</v>
      </c>
      <c r="U73" s="36" t="n">
        <f aca="false">SUM(U72)</f>
        <v>0</v>
      </c>
      <c r="V73" s="37" t="e">
        <f aca="false">U73/$P73</f>
        <v>#DIV/0!</v>
      </c>
      <c r="W73" s="36" t="n">
        <f aca="false">SUM(W72)</f>
        <v>0</v>
      </c>
      <c r="X73" s="37" t="e">
        <f aca="false">W73/$P73</f>
        <v>#DIV/0!</v>
      </c>
      <c r="Y73" s="36" t="n">
        <f aca="false">SUM(Y72)</f>
        <v>0</v>
      </c>
      <c r="Z73" s="36" t="n">
        <f aca="false">SUM(Z72)</f>
        <v>0</v>
      </c>
    </row>
    <row r="74" customFormat="false" ht="13.9" hidden="false" customHeight="true" outlineLevel="0" collapsed="false">
      <c r="A74" s="1" t="n">
        <v>1</v>
      </c>
      <c r="B74" s="1" t="n">
        <v>1</v>
      </c>
      <c r="C74" s="1" t="n">
        <v>4</v>
      </c>
      <c r="D74" s="38" t="s">
        <v>128</v>
      </c>
      <c r="E74" s="10" t="n">
        <v>630</v>
      </c>
      <c r="F74" s="10" t="s">
        <v>131</v>
      </c>
      <c r="G74" s="11" t="n">
        <v>26035.41</v>
      </c>
      <c r="H74" s="11" t="n">
        <v>40547.19</v>
      </c>
      <c r="I74" s="11" t="n">
        <v>14185</v>
      </c>
      <c r="J74" s="11" t="n">
        <v>15687</v>
      </c>
      <c r="K74" s="11" t="n">
        <v>13080</v>
      </c>
      <c r="L74" s="11"/>
      <c r="M74" s="11"/>
      <c r="N74" s="11" t="n">
        <f aca="false">-220+1389</f>
        <v>1169</v>
      </c>
      <c r="O74" s="11" t="n">
        <v>861</v>
      </c>
      <c r="P74" s="11" t="n">
        <f aca="false">K74+SUM(L74:O74)</f>
        <v>15110</v>
      </c>
      <c r="Q74" s="11" t="n">
        <v>2624.79</v>
      </c>
      <c r="R74" s="12" t="n">
        <f aca="false">Q74/$P74</f>
        <v>0.173712111184646</v>
      </c>
      <c r="S74" s="11" t="n">
        <v>5119.11</v>
      </c>
      <c r="T74" s="12" t="n">
        <f aca="false">S74/$P74</f>
        <v>0.338789543348776</v>
      </c>
      <c r="U74" s="11" t="n">
        <v>8378.53</v>
      </c>
      <c r="V74" s="12" t="n">
        <f aca="false">U74/$P74</f>
        <v>0.55450231634679</v>
      </c>
      <c r="W74" s="11" t="n">
        <v>14593.72</v>
      </c>
      <c r="X74" s="12" t="n">
        <f aca="false">W74/$P74</f>
        <v>0.965831899404368</v>
      </c>
      <c r="Y74" s="11" t="n">
        <f aca="false">K74</f>
        <v>13080</v>
      </c>
      <c r="Z74" s="11" t="n">
        <f aca="false">Y74</f>
        <v>13080</v>
      </c>
    </row>
    <row r="75" customFormat="false" ht="13.9" hidden="false" customHeight="true" outlineLevel="0" collapsed="false">
      <c r="A75" s="1" t="n">
        <v>1</v>
      </c>
      <c r="B75" s="1" t="n">
        <v>1</v>
      </c>
      <c r="C75" s="1" t="n">
        <v>4</v>
      </c>
      <c r="D75" s="38" t="s">
        <v>136</v>
      </c>
      <c r="E75" s="10" t="n">
        <v>630</v>
      </c>
      <c r="F75" s="10" t="s">
        <v>139</v>
      </c>
      <c r="G75" s="11" t="n">
        <v>486.39</v>
      </c>
      <c r="H75" s="11" t="n">
        <v>500.17</v>
      </c>
      <c r="I75" s="11" t="n">
        <v>445</v>
      </c>
      <c r="J75" s="11" t="n">
        <v>332</v>
      </c>
      <c r="K75" s="11" t="n">
        <v>335</v>
      </c>
      <c r="L75" s="11"/>
      <c r="M75" s="11"/>
      <c r="N75" s="11" t="n">
        <v>-189</v>
      </c>
      <c r="O75" s="11" t="n">
        <v>69</v>
      </c>
      <c r="P75" s="11" t="n">
        <f aca="false">K75+SUM(L75:O75)</f>
        <v>215</v>
      </c>
      <c r="Q75" s="11" t="n">
        <v>55.55</v>
      </c>
      <c r="R75" s="12" t="n">
        <f aca="false">Q75/$P75</f>
        <v>0.258372093023256</v>
      </c>
      <c r="S75" s="11" t="n">
        <v>79.45</v>
      </c>
      <c r="T75" s="12" t="n">
        <f aca="false">S75/$P75</f>
        <v>0.36953488372093</v>
      </c>
      <c r="U75" s="11" t="n">
        <v>108.35</v>
      </c>
      <c r="V75" s="12" t="n">
        <f aca="false">U75/$P75</f>
        <v>0.503953488372093</v>
      </c>
      <c r="W75" s="11" t="n">
        <v>209.4</v>
      </c>
      <c r="X75" s="12" t="n">
        <f aca="false">W75/$P75</f>
        <v>0.973953488372093</v>
      </c>
      <c r="Y75" s="11" t="n">
        <f aca="false">K75</f>
        <v>335</v>
      </c>
      <c r="Z75" s="11" t="n">
        <f aca="false">Y75</f>
        <v>335</v>
      </c>
    </row>
    <row r="76" customFormat="false" ht="13.9" hidden="false" customHeight="true" outlineLevel="0" collapsed="false">
      <c r="A76" s="1" t="n">
        <v>1</v>
      </c>
      <c r="B76" s="1" t="n">
        <v>1</v>
      </c>
      <c r="C76" s="1" t="n">
        <v>4</v>
      </c>
      <c r="D76" s="77" t="s">
        <v>21</v>
      </c>
      <c r="E76" s="35" t="n">
        <v>41</v>
      </c>
      <c r="F76" s="35" t="s">
        <v>23</v>
      </c>
      <c r="G76" s="36" t="n">
        <f aca="false">SUM(G74:G75)</f>
        <v>26521.8</v>
      </c>
      <c r="H76" s="36" t="n">
        <f aca="false">SUM(H74:H75)</f>
        <v>41047.36</v>
      </c>
      <c r="I76" s="36" t="n">
        <f aca="false">SUM(I74:I75)</f>
        <v>14630</v>
      </c>
      <c r="J76" s="36" t="n">
        <f aca="false">SUM(J74:J75)</f>
        <v>16019</v>
      </c>
      <c r="K76" s="36" t="n">
        <f aca="false">SUM(K74:K75)</f>
        <v>13415</v>
      </c>
      <c r="L76" s="36" t="n">
        <f aca="false">SUM(L74:L75)</f>
        <v>0</v>
      </c>
      <c r="M76" s="36" t="n">
        <f aca="false">SUM(M74:M75)</f>
        <v>0</v>
      </c>
      <c r="N76" s="36" t="n">
        <f aca="false">SUM(N74:N75)</f>
        <v>980</v>
      </c>
      <c r="O76" s="36" t="n">
        <f aca="false">SUM(O74:O75)</f>
        <v>930</v>
      </c>
      <c r="P76" s="36" t="n">
        <f aca="false">SUM(P74:P75)</f>
        <v>15325</v>
      </c>
      <c r="Q76" s="36" t="n">
        <f aca="false">SUM(Q74:Q75)</f>
        <v>2680.34</v>
      </c>
      <c r="R76" s="37" t="n">
        <f aca="false">Q76/$P76</f>
        <v>0.174899836867863</v>
      </c>
      <c r="S76" s="36" t="n">
        <f aca="false">SUM(S74:S75)</f>
        <v>5198.56</v>
      </c>
      <c r="T76" s="37" t="n">
        <f aca="false">S76/$P76</f>
        <v>0.33922088091354</v>
      </c>
      <c r="U76" s="36" t="n">
        <f aca="false">SUM(U74:U75)</f>
        <v>8486.88</v>
      </c>
      <c r="V76" s="37" t="n">
        <f aca="false">U76/$P76</f>
        <v>0.553793148450245</v>
      </c>
      <c r="W76" s="36" t="n">
        <f aca="false">SUM(W74:W75)</f>
        <v>14803.12</v>
      </c>
      <c r="X76" s="37" t="n">
        <f aca="false">W76/$P76</f>
        <v>0.965945840130506</v>
      </c>
      <c r="Y76" s="36" t="n">
        <f aca="false">SUM(Y74:Y75)</f>
        <v>13415</v>
      </c>
      <c r="Z76" s="36" t="n">
        <f aca="false">SUM(Z74:Z75)</f>
        <v>13415</v>
      </c>
    </row>
    <row r="77" customFormat="false" ht="13.9" hidden="false" customHeight="true" outlineLevel="0" collapsed="false">
      <c r="A77" s="1" t="n">
        <v>1</v>
      </c>
      <c r="B77" s="1" t="n">
        <v>1</v>
      </c>
      <c r="C77" s="1" t="n">
        <v>4</v>
      </c>
      <c r="D77" s="79"/>
      <c r="E77" s="80"/>
      <c r="F77" s="13" t="s">
        <v>124</v>
      </c>
      <c r="G77" s="14" t="n">
        <f aca="false">G73+G76</f>
        <v>26521.8</v>
      </c>
      <c r="H77" s="14" t="n">
        <f aca="false">H73+H76</f>
        <v>41278.22</v>
      </c>
      <c r="I77" s="14" t="n">
        <f aca="false">I73+I76</f>
        <v>14630</v>
      </c>
      <c r="J77" s="14" t="n">
        <f aca="false">J73+J76</f>
        <v>16019</v>
      </c>
      <c r="K77" s="14" t="n">
        <f aca="false">K73+K76</f>
        <v>13415</v>
      </c>
      <c r="L77" s="14" t="n">
        <f aca="false">L73+L76</f>
        <v>0</v>
      </c>
      <c r="M77" s="14" t="n">
        <f aca="false">M73+M76</f>
        <v>0</v>
      </c>
      <c r="N77" s="14" t="n">
        <f aca="false">N73+N76</f>
        <v>980</v>
      </c>
      <c r="O77" s="14" t="n">
        <f aca="false">O73+O76</f>
        <v>930</v>
      </c>
      <c r="P77" s="14" t="n">
        <f aca="false">P73+P76</f>
        <v>15325</v>
      </c>
      <c r="Q77" s="14" t="n">
        <f aca="false">Q73+Q76</f>
        <v>2680.34</v>
      </c>
      <c r="R77" s="15" t="n">
        <f aca="false">Q77/$P77</f>
        <v>0.174899836867863</v>
      </c>
      <c r="S77" s="14" t="n">
        <f aca="false">S73+S76</f>
        <v>5198.56</v>
      </c>
      <c r="T77" s="15" t="n">
        <f aca="false">S77/$P77</f>
        <v>0.33922088091354</v>
      </c>
      <c r="U77" s="14" t="n">
        <f aca="false">U73+U76</f>
        <v>8486.88</v>
      </c>
      <c r="V77" s="15" t="n">
        <f aca="false">U77/$P77</f>
        <v>0.553793148450245</v>
      </c>
      <c r="W77" s="14" t="n">
        <f aca="false">W73+W76</f>
        <v>14803.12</v>
      </c>
      <c r="X77" s="15" t="n">
        <f aca="false">W77/$P77</f>
        <v>0.965945840130506</v>
      </c>
      <c r="Y77" s="14" t="n">
        <f aca="false">Y73+Y76</f>
        <v>13415</v>
      </c>
      <c r="Z77" s="14" t="n">
        <f aca="false">Z73+Z76</f>
        <v>13415</v>
      </c>
    </row>
    <row r="78" customFormat="false" ht="13.9" hidden="false" customHeight="true" outlineLevel="0" collapsed="false">
      <c r="D78" s="81"/>
      <c r="E78" s="31"/>
      <c r="F78" s="31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3"/>
      <c r="S78" s="82"/>
      <c r="T78" s="83"/>
      <c r="U78" s="82"/>
      <c r="V78" s="83"/>
      <c r="W78" s="82"/>
      <c r="X78" s="83"/>
      <c r="Y78" s="82"/>
      <c r="Z78" s="82"/>
    </row>
    <row r="79" customFormat="false" ht="13.9" hidden="false" customHeight="true" outlineLevel="0" collapsed="false">
      <c r="D79" s="81"/>
      <c r="E79" s="39" t="s">
        <v>57</v>
      </c>
      <c r="F79" s="17" t="s">
        <v>140</v>
      </c>
      <c r="G79" s="40" t="n">
        <v>1994.3</v>
      </c>
      <c r="H79" s="40" t="n">
        <v>1980</v>
      </c>
      <c r="I79" s="40" t="n">
        <v>2000</v>
      </c>
      <c r="J79" s="40" t="n">
        <v>2575</v>
      </c>
      <c r="K79" s="40" t="n">
        <v>2575</v>
      </c>
      <c r="L79" s="40"/>
      <c r="M79" s="40"/>
      <c r="N79" s="40"/>
      <c r="O79" s="40"/>
      <c r="P79" s="40" t="n">
        <f aca="false">K79+SUM(L79:O79)</f>
        <v>2575</v>
      </c>
      <c r="Q79" s="40" t="n">
        <v>778.45</v>
      </c>
      <c r="R79" s="41" t="n">
        <f aca="false">Q79/$P79</f>
        <v>0.30231067961165</v>
      </c>
      <c r="S79" s="40" t="n">
        <v>1340.45</v>
      </c>
      <c r="T79" s="41" t="n">
        <f aca="false">S79/$P79</f>
        <v>0.520563106796117</v>
      </c>
      <c r="U79" s="40" t="n">
        <v>1930.05</v>
      </c>
      <c r="V79" s="41" t="n">
        <f aca="false">U79/$P79</f>
        <v>0.749533980582524</v>
      </c>
      <c r="W79" s="40" t="n">
        <v>2486.7</v>
      </c>
      <c r="X79" s="42" t="n">
        <f aca="false">W79/$P79</f>
        <v>0.965708737864078</v>
      </c>
      <c r="Y79" s="40" t="n">
        <f aca="false">K79</f>
        <v>2575</v>
      </c>
      <c r="Z79" s="43" t="n">
        <f aca="false">Y79</f>
        <v>2575</v>
      </c>
    </row>
    <row r="80" customFormat="false" ht="13.9" hidden="false" customHeight="true" outlineLevel="0" collapsed="false">
      <c r="D80" s="81"/>
      <c r="E80" s="44"/>
      <c r="F80" s="84" t="s">
        <v>141</v>
      </c>
      <c r="G80" s="70" t="n">
        <v>2489.95</v>
      </c>
      <c r="H80" s="70" t="n">
        <v>27373.37</v>
      </c>
      <c r="I80" s="70" t="n">
        <v>2500</v>
      </c>
      <c r="J80" s="70" t="n">
        <v>1037</v>
      </c>
      <c r="K80" s="71" t="n">
        <v>1500</v>
      </c>
      <c r="L80" s="71"/>
      <c r="M80" s="71"/>
      <c r="N80" s="71"/>
      <c r="O80" s="71"/>
      <c r="P80" s="71" t="n">
        <f aca="false">K80+SUM(L80:O80)</f>
        <v>1500</v>
      </c>
      <c r="Q80" s="71" t="n">
        <v>0</v>
      </c>
      <c r="R80" s="85" t="n">
        <f aca="false">Q80/$P80</f>
        <v>0</v>
      </c>
      <c r="S80" s="71" t="n">
        <v>0</v>
      </c>
      <c r="T80" s="85" t="n">
        <f aca="false">S80/$P80</f>
        <v>0</v>
      </c>
      <c r="U80" s="71" t="n">
        <v>905.21</v>
      </c>
      <c r="V80" s="85" t="n">
        <f aca="false">U80/$P80</f>
        <v>0.603473333333333</v>
      </c>
      <c r="W80" s="71" t="n">
        <v>1844.33</v>
      </c>
      <c r="X80" s="51" t="n">
        <f aca="false">W80/$P80</f>
        <v>1.22955333333333</v>
      </c>
      <c r="Y80" s="70" t="n">
        <f aca="false">K80</f>
        <v>1500</v>
      </c>
      <c r="Z80" s="48" t="n">
        <f aca="false">Y80</f>
        <v>1500</v>
      </c>
    </row>
    <row r="81" customFormat="false" ht="13.9" hidden="false" customHeight="true" outlineLevel="0" collapsed="false">
      <c r="D81" s="81"/>
      <c r="E81" s="44"/>
      <c r="F81" s="1" t="s">
        <v>142</v>
      </c>
      <c r="G81" s="46" t="n">
        <v>1630</v>
      </c>
      <c r="H81" s="46" t="n">
        <v>1400</v>
      </c>
      <c r="I81" s="46" t="n">
        <v>1400</v>
      </c>
      <c r="J81" s="46" t="n">
        <v>1450</v>
      </c>
      <c r="K81" s="46" t="n">
        <v>1440</v>
      </c>
      <c r="L81" s="46"/>
      <c r="M81" s="46"/>
      <c r="N81" s="46"/>
      <c r="O81" s="46"/>
      <c r="P81" s="46" t="n">
        <f aca="false">K81+SUM(L81:O81)</f>
        <v>1440</v>
      </c>
      <c r="Q81" s="46" t="n">
        <v>360</v>
      </c>
      <c r="R81" s="2" t="n">
        <f aca="false">Q81/$P81</f>
        <v>0.25</v>
      </c>
      <c r="S81" s="46" t="n">
        <v>720</v>
      </c>
      <c r="T81" s="2" t="n">
        <f aca="false">S81/$P81</f>
        <v>0.5</v>
      </c>
      <c r="U81" s="46" t="n">
        <v>1080</v>
      </c>
      <c r="V81" s="2" t="n">
        <f aca="false">U81/$P81</f>
        <v>0.75</v>
      </c>
      <c r="W81" s="46" t="n">
        <v>1671.38</v>
      </c>
      <c r="X81" s="47" t="n">
        <f aca="false">W81/$P81</f>
        <v>1.16068055555556</v>
      </c>
      <c r="Y81" s="46" t="n">
        <f aca="false">K81</f>
        <v>1440</v>
      </c>
      <c r="Z81" s="48" t="n">
        <f aca="false">Y81</f>
        <v>1440</v>
      </c>
    </row>
    <row r="82" customFormat="false" ht="13.9" hidden="false" customHeight="true" outlineLevel="0" collapsed="false">
      <c r="D82" s="81"/>
      <c r="E82" s="44"/>
      <c r="F82" s="84" t="s">
        <v>143</v>
      </c>
      <c r="G82" s="70" t="n">
        <v>2396.9</v>
      </c>
      <c r="H82" s="70" t="n">
        <v>1900.8</v>
      </c>
      <c r="I82" s="70" t="n">
        <v>1900</v>
      </c>
      <c r="J82" s="70" t="n">
        <v>1901</v>
      </c>
      <c r="K82" s="70" t="n">
        <v>1900</v>
      </c>
      <c r="L82" s="70"/>
      <c r="M82" s="70"/>
      <c r="N82" s="70"/>
      <c r="O82" s="70"/>
      <c r="P82" s="70" t="n">
        <f aca="false">K82+SUM(L82:O82)</f>
        <v>1900</v>
      </c>
      <c r="Q82" s="70" t="n">
        <v>475.2</v>
      </c>
      <c r="R82" s="72" t="n">
        <f aca="false">Q82/$P82</f>
        <v>0.250105263157895</v>
      </c>
      <c r="S82" s="70" t="n">
        <v>950.4</v>
      </c>
      <c r="T82" s="72" t="n">
        <f aca="false">S82/$P82</f>
        <v>0.500210526315789</v>
      </c>
      <c r="U82" s="70" t="n">
        <v>1425.6</v>
      </c>
      <c r="V82" s="72" t="n">
        <f aca="false">U82/$P82</f>
        <v>0.750315789473684</v>
      </c>
      <c r="W82" s="70" t="n">
        <v>1900.8</v>
      </c>
      <c r="X82" s="47" t="n">
        <f aca="false">W82/$P82</f>
        <v>1.00042105263158</v>
      </c>
      <c r="Y82" s="70" t="n">
        <f aca="false">K82</f>
        <v>1900</v>
      </c>
      <c r="Z82" s="48" t="n">
        <f aca="false">Y82</f>
        <v>1900</v>
      </c>
    </row>
    <row r="83" customFormat="false" ht="13.9" hidden="false" customHeight="true" outlineLevel="0" collapsed="false">
      <c r="D83" s="81"/>
      <c r="E83" s="52"/>
      <c r="F83" s="86" t="s">
        <v>144</v>
      </c>
      <c r="G83" s="54" t="n">
        <v>12281.22</v>
      </c>
      <c r="H83" s="54" t="n">
        <v>2604.53</v>
      </c>
      <c r="I83" s="54" t="n">
        <v>1002</v>
      </c>
      <c r="J83" s="54" t="n">
        <v>2746</v>
      </c>
      <c r="K83" s="73" t="n">
        <v>0</v>
      </c>
      <c r="L83" s="73" t="n">
        <v>58</v>
      </c>
      <c r="M83" s="73" t="n">
        <v>538</v>
      </c>
      <c r="N83" s="73"/>
      <c r="O83" s="73"/>
      <c r="P83" s="73" t="n">
        <f aca="false">K83+SUM(L83:O83)</f>
        <v>596</v>
      </c>
      <c r="Q83" s="73" t="n">
        <v>57.99</v>
      </c>
      <c r="R83" s="87" t="n">
        <f aca="false">Q83/$P83</f>
        <v>0.0972986577181208</v>
      </c>
      <c r="S83" s="73" t="n">
        <v>176.99</v>
      </c>
      <c r="T83" s="87" t="n">
        <f aca="false">S83/$P83</f>
        <v>0.296963087248322</v>
      </c>
      <c r="U83" s="73" t="n">
        <v>176.99</v>
      </c>
      <c r="V83" s="87" t="n">
        <f aca="false">U83/$P83</f>
        <v>0.296963087248322</v>
      </c>
      <c r="W83" s="73" t="n">
        <v>686.45</v>
      </c>
      <c r="X83" s="88" t="n">
        <f aca="false">W83/$P83</f>
        <v>1.15176174496644</v>
      </c>
      <c r="Y83" s="54" t="n">
        <f aca="false">K83</f>
        <v>0</v>
      </c>
      <c r="Z83" s="57" t="n">
        <f aca="false">Y83</f>
        <v>0</v>
      </c>
    </row>
    <row r="84" customFormat="false" ht="13.9" hidden="false" customHeight="true" outlineLevel="0" collapsed="false">
      <c r="D84" s="81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S84" s="46"/>
      <c r="U84" s="46"/>
      <c r="W84" s="46"/>
      <c r="Y84" s="46"/>
      <c r="Z84" s="46"/>
    </row>
    <row r="85" customFormat="false" ht="13.9" hidden="false" customHeight="true" outlineLevel="0" collapsed="false">
      <c r="D85" s="60" t="s">
        <v>145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customFormat="false" ht="13.9" hidden="false" customHeight="true" outlineLevel="0" collapsed="false">
      <c r="D86" s="7" t="s">
        <v>33</v>
      </c>
      <c r="E86" s="7" t="s">
        <v>34</v>
      </c>
      <c r="F86" s="7" t="s">
        <v>35</v>
      </c>
      <c r="G86" s="7" t="s">
        <v>1</v>
      </c>
      <c r="H86" s="7" t="s">
        <v>2</v>
      </c>
      <c r="I86" s="7" t="s">
        <v>3</v>
      </c>
      <c r="J86" s="7" t="s">
        <v>4</v>
      </c>
      <c r="K86" s="7" t="s">
        <v>5</v>
      </c>
      <c r="L86" s="7" t="s">
        <v>6</v>
      </c>
      <c r="M86" s="7" t="s">
        <v>7</v>
      </c>
      <c r="N86" s="7" t="s">
        <v>8</v>
      </c>
      <c r="O86" s="7" t="s">
        <v>9</v>
      </c>
      <c r="P86" s="7" t="s">
        <v>10</v>
      </c>
      <c r="Q86" s="7" t="s">
        <v>11</v>
      </c>
      <c r="R86" s="8" t="s">
        <v>12</v>
      </c>
      <c r="S86" s="7" t="s">
        <v>13</v>
      </c>
      <c r="T86" s="8" t="s">
        <v>14</v>
      </c>
      <c r="U86" s="7" t="s">
        <v>15</v>
      </c>
      <c r="V86" s="8" t="s">
        <v>16</v>
      </c>
      <c r="W86" s="7" t="s">
        <v>17</v>
      </c>
      <c r="X86" s="8" t="s">
        <v>18</v>
      </c>
      <c r="Y86" s="7" t="s">
        <v>19</v>
      </c>
      <c r="Z86" s="7" t="s">
        <v>20</v>
      </c>
    </row>
    <row r="87" customFormat="false" ht="13.9" hidden="false" customHeight="true" outlineLevel="0" collapsed="false">
      <c r="A87" s="1" t="n">
        <v>1</v>
      </c>
      <c r="B87" s="1" t="n">
        <v>1</v>
      </c>
      <c r="C87" s="1" t="n">
        <v>5</v>
      </c>
      <c r="D87" s="38" t="s">
        <v>128</v>
      </c>
      <c r="E87" s="10" t="n">
        <v>610</v>
      </c>
      <c r="F87" s="10" t="s">
        <v>129</v>
      </c>
      <c r="G87" s="11" t="n">
        <v>11110.92</v>
      </c>
      <c r="H87" s="11" t="n">
        <v>16766.26</v>
      </c>
      <c r="I87" s="11" t="n">
        <v>7780</v>
      </c>
      <c r="J87" s="11" t="n">
        <v>10461</v>
      </c>
      <c r="K87" s="11" t="n">
        <v>7707</v>
      </c>
      <c r="L87" s="11"/>
      <c r="M87" s="11"/>
      <c r="N87" s="11" t="n">
        <v>-7007</v>
      </c>
      <c r="O87" s="11"/>
      <c r="P87" s="11" t="n">
        <f aca="false">K87+SUM(L87:O87)</f>
        <v>700</v>
      </c>
      <c r="Q87" s="11" t="n">
        <v>700</v>
      </c>
      <c r="R87" s="12" t="n">
        <f aca="false">Q87/$P87</f>
        <v>1</v>
      </c>
      <c r="S87" s="11" t="n">
        <v>700</v>
      </c>
      <c r="T87" s="12" t="n">
        <f aca="false">S87/$P87</f>
        <v>1</v>
      </c>
      <c r="U87" s="11" t="n">
        <v>700</v>
      </c>
      <c r="V87" s="12" t="n">
        <f aca="false">U87/$P87</f>
        <v>1</v>
      </c>
      <c r="W87" s="11" t="n">
        <v>700</v>
      </c>
      <c r="X87" s="12" t="n">
        <f aca="false">W87/$P87</f>
        <v>1</v>
      </c>
      <c r="Y87" s="11" t="n">
        <v>0</v>
      </c>
      <c r="Z87" s="11" t="n">
        <v>0</v>
      </c>
    </row>
    <row r="88" customFormat="false" ht="13.9" hidden="false" customHeight="true" outlineLevel="0" collapsed="false">
      <c r="A88" s="1" t="n">
        <v>1</v>
      </c>
      <c r="B88" s="1" t="n">
        <v>1</v>
      </c>
      <c r="C88" s="1" t="n">
        <v>5</v>
      </c>
      <c r="D88" s="38" t="s">
        <v>146</v>
      </c>
      <c r="E88" s="10" t="n">
        <v>620</v>
      </c>
      <c r="F88" s="10" t="s">
        <v>130</v>
      </c>
      <c r="G88" s="11" t="n">
        <v>4590.25</v>
      </c>
      <c r="H88" s="11" t="n">
        <v>6232.09</v>
      </c>
      <c r="I88" s="11" t="n">
        <v>3777</v>
      </c>
      <c r="J88" s="11" t="n">
        <v>4459</v>
      </c>
      <c r="K88" s="11" t="n">
        <v>4291</v>
      </c>
      <c r="L88" s="11"/>
      <c r="M88" s="11"/>
      <c r="N88" s="11" t="n">
        <v>-3856</v>
      </c>
      <c r="O88" s="11" t="n">
        <v>24</v>
      </c>
      <c r="P88" s="11" t="n">
        <f aca="false">K88+SUM(L88:O88)</f>
        <v>459</v>
      </c>
      <c r="Q88" s="11" t="n">
        <v>315.78</v>
      </c>
      <c r="R88" s="12" t="n">
        <f aca="false">Q88/$P88</f>
        <v>0.68797385620915</v>
      </c>
      <c r="S88" s="11" t="n">
        <v>363.2</v>
      </c>
      <c r="T88" s="12" t="n">
        <f aca="false">S88/$P88</f>
        <v>0.791285403050109</v>
      </c>
      <c r="U88" s="11" t="n">
        <v>410.62</v>
      </c>
      <c r="V88" s="12" t="n">
        <f aca="false">U88/$P88</f>
        <v>0.894596949891067</v>
      </c>
      <c r="W88" s="11" t="n">
        <v>458.04</v>
      </c>
      <c r="X88" s="12" t="n">
        <f aca="false">W88/$P88</f>
        <v>0.997908496732026</v>
      </c>
      <c r="Y88" s="11" t="n">
        <v>1443</v>
      </c>
      <c r="Z88" s="11" t="n">
        <v>1443</v>
      </c>
    </row>
    <row r="89" customFormat="false" ht="13.9" hidden="false" customHeight="true" outlineLevel="0" collapsed="false">
      <c r="A89" s="1" t="n">
        <v>1</v>
      </c>
      <c r="B89" s="1" t="n">
        <v>1</v>
      </c>
      <c r="C89" s="1" t="n">
        <v>5</v>
      </c>
      <c r="D89" s="38" t="s">
        <v>147</v>
      </c>
      <c r="E89" s="10" t="n">
        <v>630</v>
      </c>
      <c r="F89" s="10" t="s">
        <v>131</v>
      </c>
      <c r="G89" s="11" t="n">
        <v>28241.26</v>
      </c>
      <c r="H89" s="11" t="n">
        <v>30675.07</v>
      </c>
      <c r="I89" s="11" t="n">
        <v>29643</v>
      </c>
      <c r="J89" s="11" t="n">
        <v>35328</v>
      </c>
      <c r="K89" s="11" t="n">
        <f aca="false">7347+29250</f>
        <v>36597</v>
      </c>
      <c r="L89" s="11"/>
      <c r="M89" s="11"/>
      <c r="N89" s="11" t="n">
        <f aca="false">-1061-4674</f>
        <v>-5735</v>
      </c>
      <c r="O89" s="11" t="n">
        <v>-24</v>
      </c>
      <c r="P89" s="11" t="n">
        <f aca="false">K89+SUM(L89:O89)</f>
        <v>30838</v>
      </c>
      <c r="Q89" s="11" t="n">
        <v>3112.42</v>
      </c>
      <c r="R89" s="12" t="n">
        <f aca="false">Q89/$P89</f>
        <v>0.100928075750697</v>
      </c>
      <c r="S89" s="11" t="n">
        <v>8012.24</v>
      </c>
      <c r="T89" s="12" t="n">
        <f aca="false">S89/$P89</f>
        <v>0.259817108761917</v>
      </c>
      <c r="U89" s="11" t="n">
        <v>13853.99</v>
      </c>
      <c r="V89" s="12" t="n">
        <f aca="false">U89/$P89</f>
        <v>0.449250599909203</v>
      </c>
      <c r="W89" s="11" t="n">
        <v>18565.44</v>
      </c>
      <c r="X89" s="12" t="n">
        <f aca="false">W89/$P89</f>
        <v>0.602031260133601</v>
      </c>
      <c r="Y89" s="11" t="n">
        <f aca="false">6400+29250</f>
        <v>35650</v>
      </c>
      <c r="Z89" s="11" t="n">
        <f aca="false">6400+29250</f>
        <v>35650</v>
      </c>
    </row>
    <row r="90" customFormat="false" ht="13.9" hidden="false" customHeight="true" outlineLevel="0" collapsed="false">
      <c r="A90" s="1" t="n">
        <v>1</v>
      </c>
      <c r="B90" s="1" t="n">
        <v>1</v>
      </c>
      <c r="C90" s="1" t="n">
        <v>5</v>
      </c>
      <c r="D90" s="38" t="s">
        <v>148</v>
      </c>
      <c r="E90" s="10" t="n">
        <v>640</v>
      </c>
      <c r="F90" s="10" t="s">
        <v>132</v>
      </c>
      <c r="G90" s="11" t="n">
        <v>4426.68</v>
      </c>
      <c r="H90" s="11" t="n">
        <v>0</v>
      </c>
      <c r="I90" s="11" t="n">
        <v>0</v>
      </c>
      <c r="J90" s="11" t="n">
        <v>106</v>
      </c>
      <c r="K90" s="11" t="n">
        <v>0</v>
      </c>
      <c r="L90" s="11"/>
      <c r="M90" s="11"/>
      <c r="N90" s="11"/>
      <c r="O90" s="11"/>
      <c r="P90" s="11" t="n">
        <f aca="false">K90+SUM(L90:O90)</f>
        <v>0</v>
      </c>
      <c r="Q90" s="11" t="n">
        <v>0</v>
      </c>
      <c r="R90" s="12" t="e">
        <f aca="false">Q90/$P90</f>
        <v>#DIV/0!</v>
      </c>
      <c r="S90" s="11" t="n">
        <v>0</v>
      </c>
      <c r="T90" s="12" t="e">
        <f aca="false">S90/$P90</f>
        <v>#DIV/0!</v>
      </c>
      <c r="U90" s="11" t="n">
        <v>0</v>
      </c>
      <c r="V90" s="12" t="e">
        <f aca="false">U90/$P90</f>
        <v>#DIV/0!</v>
      </c>
      <c r="W90" s="11" t="n">
        <v>0</v>
      </c>
      <c r="X90" s="12" t="e">
        <f aca="false">W90/$P90</f>
        <v>#DIV/0!</v>
      </c>
      <c r="Y90" s="11" t="n">
        <f aca="false">K90</f>
        <v>0</v>
      </c>
      <c r="Z90" s="11" t="n">
        <f aca="false">Y90</f>
        <v>0</v>
      </c>
    </row>
    <row r="91" customFormat="false" ht="13.9" hidden="false" customHeight="true" outlineLevel="0" collapsed="false">
      <c r="A91" s="1" t="n">
        <v>1</v>
      </c>
      <c r="B91" s="1" t="n">
        <v>1</v>
      </c>
      <c r="C91" s="1" t="n">
        <v>5</v>
      </c>
      <c r="D91" s="77" t="s">
        <v>21</v>
      </c>
      <c r="E91" s="35" t="n">
        <v>41</v>
      </c>
      <c r="F91" s="35" t="s">
        <v>23</v>
      </c>
      <c r="G91" s="36" t="n">
        <f aca="false">SUM(G87:G90)</f>
        <v>48369.11</v>
      </c>
      <c r="H91" s="36" t="n">
        <f aca="false">SUM(H87:H90)</f>
        <v>53673.42</v>
      </c>
      <c r="I91" s="36" t="n">
        <f aca="false">SUM(I87:I90)</f>
        <v>41200</v>
      </c>
      <c r="J91" s="36" t="n">
        <f aca="false">SUM(J87:J90)</f>
        <v>50354</v>
      </c>
      <c r="K91" s="36" t="n">
        <f aca="false">SUM(K87:K90)</f>
        <v>48595</v>
      </c>
      <c r="L91" s="36" t="n">
        <f aca="false">SUM(L87:L90)</f>
        <v>0</v>
      </c>
      <c r="M91" s="36" t="n">
        <f aca="false">SUM(M87:M90)</f>
        <v>0</v>
      </c>
      <c r="N91" s="36" t="n">
        <f aca="false">SUM(N87:N90)</f>
        <v>-16598</v>
      </c>
      <c r="O91" s="36" t="n">
        <f aca="false">SUM(O87:O90)</f>
        <v>0</v>
      </c>
      <c r="P91" s="36" t="n">
        <f aca="false">SUM(P87:P90)</f>
        <v>31997</v>
      </c>
      <c r="Q91" s="36" t="n">
        <f aca="false">SUM(Q87:Q90)</f>
        <v>4128.2</v>
      </c>
      <c r="R91" s="37" t="n">
        <f aca="false">Q91/$P91</f>
        <v>0.129018345469888</v>
      </c>
      <c r="S91" s="36" t="n">
        <f aca="false">SUM(S87:S90)</f>
        <v>9075.44</v>
      </c>
      <c r="T91" s="37" t="n">
        <f aca="false">S91/$P91</f>
        <v>0.283634090696003</v>
      </c>
      <c r="U91" s="36" t="n">
        <f aca="false">SUM(U87:U90)</f>
        <v>14964.61</v>
      </c>
      <c r="V91" s="37" t="n">
        <f aca="false">U91/$P91</f>
        <v>0.467687908241398</v>
      </c>
      <c r="W91" s="36" t="n">
        <f aca="false">SUM(W87:W90)</f>
        <v>19723.48</v>
      </c>
      <c r="X91" s="37" t="n">
        <f aca="false">W91/$P91</f>
        <v>0.616416539050536</v>
      </c>
      <c r="Y91" s="36" t="n">
        <f aca="false">SUM(Y87:Y90)</f>
        <v>37093</v>
      </c>
      <c r="Z91" s="36" t="n">
        <f aca="false">SUM(Z87:Z90)</f>
        <v>37093</v>
      </c>
    </row>
    <row r="92" customFormat="false" ht="13.9" hidden="false" customHeight="true" outlineLevel="0" collapsed="false">
      <c r="A92" s="1" t="n">
        <v>1</v>
      </c>
      <c r="B92" s="1" t="n">
        <v>1</v>
      </c>
      <c r="C92" s="1" t="n">
        <v>5</v>
      </c>
      <c r="D92" s="68" t="s">
        <v>128</v>
      </c>
      <c r="E92" s="10" t="n">
        <v>640</v>
      </c>
      <c r="F92" s="10" t="s">
        <v>132</v>
      </c>
      <c r="G92" s="11" t="n">
        <v>0</v>
      </c>
      <c r="H92" s="11" t="n">
        <v>196.97</v>
      </c>
      <c r="I92" s="11" t="n">
        <v>200</v>
      </c>
      <c r="J92" s="11" t="n">
        <v>120</v>
      </c>
      <c r="K92" s="11" t="n">
        <v>125</v>
      </c>
      <c r="L92" s="11"/>
      <c r="M92" s="11"/>
      <c r="N92" s="11"/>
      <c r="O92" s="11" t="n">
        <v>-125</v>
      </c>
      <c r="P92" s="11" t="n">
        <f aca="false">K92+SUM(L92:O92)</f>
        <v>0</v>
      </c>
      <c r="Q92" s="11" t="n">
        <v>0</v>
      </c>
      <c r="R92" s="12" t="e">
        <f aca="false">Q92/$P92</f>
        <v>#DIV/0!</v>
      </c>
      <c r="S92" s="11" t="n">
        <v>0</v>
      </c>
      <c r="T92" s="12" t="e">
        <f aca="false">S92/$P92</f>
        <v>#DIV/0!</v>
      </c>
      <c r="U92" s="11" t="n">
        <v>0</v>
      </c>
      <c r="V92" s="12" t="e">
        <f aca="false">U92/$P92</f>
        <v>#DIV/0!</v>
      </c>
      <c r="W92" s="11" t="n">
        <v>0</v>
      </c>
      <c r="X92" s="12" t="e">
        <f aca="false">W92/$P92</f>
        <v>#DIV/0!</v>
      </c>
      <c r="Y92" s="11" t="n">
        <f aca="false">K92</f>
        <v>125</v>
      </c>
      <c r="Z92" s="11" t="n">
        <f aca="false">Y92</f>
        <v>125</v>
      </c>
    </row>
    <row r="93" customFormat="false" ht="13.9" hidden="false" customHeight="true" outlineLevel="0" collapsed="false">
      <c r="A93" s="1" t="n">
        <v>1</v>
      </c>
      <c r="B93" s="1" t="n">
        <v>1</v>
      </c>
      <c r="C93" s="1" t="n">
        <v>5</v>
      </c>
      <c r="D93" s="77" t="s">
        <v>21</v>
      </c>
      <c r="E93" s="35" t="n">
        <v>72</v>
      </c>
      <c r="F93" s="35" t="s">
        <v>25</v>
      </c>
      <c r="G93" s="36" t="n">
        <f aca="false">SUM(G92:G92)</f>
        <v>0</v>
      </c>
      <c r="H93" s="36" t="n">
        <f aca="false">SUM(H92:H92)</f>
        <v>196.97</v>
      </c>
      <c r="I93" s="36" t="n">
        <f aca="false">SUM(I92:I92)</f>
        <v>200</v>
      </c>
      <c r="J93" s="36" t="n">
        <f aca="false">SUM(J92:J92)</f>
        <v>120</v>
      </c>
      <c r="K93" s="36" t="n">
        <f aca="false">SUM(K92:K92)</f>
        <v>125</v>
      </c>
      <c r="L93" s="36" t="n">
        <f aca="false">SUM(L92:L92)</f>
        <v>0</v>
      </c>
      <c r="M93" s="36" t="n">
        <f aca="false">SUM(M92:M92)</f>
        <v>0</v>
      </c>
      <c r="N93" s="36" t="n">
        <f aca="false">SUM(N92:N92)</f>
        <v>0</v>
      </c>
      <c r="O93" s="36" t="n">
        <f aca="false">SUM(O92:O92)</f>
        <v>-125</v>
      </c>
      <c r="P93" s="36" t="n">
        <f aca="false">SUM(P92:P92)</f>
        <v>0</v>
      </c>
      <c r="Q93" s="36" t="n">
        <f aca="false">SUM(Q92:Q92)</f>
        <v>0</v>
      </c>
      <c r="R93" s="37" t="e">
        <f aca="false">Q93/$P93</f>
        <v>#DIV/0!</v>
      </c>
      <c r="S93" s="36" t="n">
        <f aca="false">SUM(S92:S92)</f>
        <v>0</v>
      </c>
      <c r="T93" s="37" t="e">
        <f aca="false">S93/$P93</f>
        <v>#DIV/0!</v>
      </c>
      <c r="U93" s="36" t="n">
        <f aca="false">SUM(U92:U92)</f>
        <v>0</v>
      </c>
      <c r="V93" s="37" t="e">
        <f aca="false">U93/$P93</f>
        <v>#DIV/0!</v>
      </c>
      <c r="W93" s="36" t="n">
        <f aca="false">SUM(W92:W92)</f>
        <v>0</v>
      </c>
      <c r="X93" s="37" t="e">
        <f aca="false">W93/$P93</f>
        <v>#DIV/0!</v>
      </c>
      <c r="Y93" s="36" t="n">
        <f aca="false">SUM(Y92:Y92)</f>
        <v>125</v>
      </c>
      <c r="Z93" s="36" t="n">
        <f aca="false">SUM(Z92:Z92)</f>
        <v>125</v>
      </c>
    </row>
    <row r="94" customFormat="false" ht="13.9" hidden="false" customHeight="true" outlineLevel="0" collapsed="false">
      <c r="A94" s="1" t="n">
        <v>1</v>
      </c>
      <c r="B94" s="1" t="n">
        <v>1</v>
      </c>
      <c r="C94" s="1" t="n">
        <v>5</v>
      </c>
      <c r="D94" s="79"/>
      <c r="E94" s="80"/>
      <c r="F94" s="13" t="s">
        <v>124</v>
      </c>
      <c r="G94" s="14" t="n">
        <f aca="false">G91+G93</f>
        <v>48369.11</v>
      </c>
      <c r="H94" s="14" t="n">
        <f aca="false">H91+H93</f>
        <v>53870.39</v>
      </c>
      <c r="I94" s="14" t="n">
        <f aca="false">I91+I93</f>
        <v>41400</v>
      </c>
      <c r="J94" s="14" t="n">
        <f aca="false">J91+J93</f>
        <v>50474</v>
      </c>
      <c r="K94" s="14" t="n">
        <f aca="false">K91+K93</f>
        <v>48720</v>
      </c>
      <c r="L94" s="14" t="n">
        <f aca="false">L91+L93</f>
        <v>0</v>
      </c>
      <c r="M94" s="14" t="n">
        <f aca="false">M91+M93</f>
        <v>0</v>
      </c>
      <c r="N94" s="14" t="n">
        <f aca="false">N91+N93</f>
        <v>-16598</v>
      </c>
      <c r="O94" s="14" t="n">
        <f aca="false">O91+O93</f>
        <v>-125</v>
      </c>
      <c r="P94" s="14" t="n">
        <f aca="false">P91+P93</f>
        <v>31997</v>
      </c>
      <c r="Q94" s="14" t="n">
        <f aca="false">Q91+Q93</f>
        <v>4128.2</v>
      </c>
      <c r="R94" s="15" t="n">
        <f aca="false">Q94/$P94</f>
        <v>0.129018345469888</v>
      </c>
      <c r="S94" s="14" t="n">
        <f aca="false">S91+S93</f>
        <v>9075.44</v>
      </c>
      <c r="T94" s="15" t="n">
        <f aca="false">S94/$P94</f>
        <v>0.283634090696003</v>
      </c>
      <c r="U94" s="14" t="n">
        <f aca="false">U91+U93</f>
        <v>14964.61</v>
      </c>
      <c r="V94" s="15" t="n">
        <f aca="false">U94/$P94</f>
        <v>0.467687908241398</v>
      </c>
      <c r="W94" s="14" t="n">
        <f aca="false">W91+W93</f>
        <v>19723.48</v>
      </c>
      <c r="X94" s="15" t="n">
        <f aca="false">W94/$P94</f>
        <v>0.616416539050536</v>
      </c>
      <c r="Y94" s="14" t="n">
        <f aca="false">Y91+Y93</f>
        <v>37218</v>
      </c>
      <c r="Z94" s="14" t="n">
        <f aca="false">Z91+Z93</f>
        <v>37218</v>
      </c>
    </row>
    <row r="95" customFormat="false" ht="13.9" hidden="false" customHeight="true" outlineLevel="0" collapsed="false">
      <c r="D95" s="81"/>
      <c r="E95" s="31"/>
      <c r="F95" s="31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3"/>
      <c r="S95" s="82"/>
      <c r="T95" s="83"/>
      <c r="U95" s="82"/>
      <c r="V95" s="83"/>
      <c r="W95" s="82"/>
      <c r="X95" s="83"/>
      <c r="Y95" s="82"/>
      <c r="Z95" s="82"/>
    </row>
    <row r="96" customFormat="false" ht="13.9" hidden="false" customHeight="true" outlineLevel="0" collapsed="false">
      <c r="D96" s="81"/>
      <c r="E96" s="39" t="s">
        <v>57</v>
      </c>
      <c r="F96" s="17" t="s">
        <v>149</v>
      </c>
      <c r="G96" s="40" t="n">
        <v>1287</v>
      </c>
      <c r="H96" s="40" t="n">
        <v>1705</v>
      </c>
      <c r="I96" s="40" t="n">
        <v>1595</v>
      </c>
      <c r="J96" s="40" t="n">
        <v>1595</v>
      </c>
      <c r="K96" s="40" t="n">
        <v>1595</v>
      </c>
      <c r="L96" s="40"/>
      <c r="M96" s="40" t="n">
        <v>-418</v>
      </c>
      <c r="N96" s="40"/>
      <c r="O96" s="40"/>
      <c r="P96" s="40" t="n">
        <f aca="false">K96+SUM(L96:O96)</f>
        <v>1177</v>
      </c>
      <c r="Q96" s="40" t="n">
        <v>214</v>
      </c>
      <c r="R96" s="41" t="n">
        <f aca="false">Q96/$P96</f>
        <v>0.181818181818182</v>
      </c>
      <c r="S96" s="40" t="n">
        <v>535</v>
      </c>
      <c r="T96" s="41" t="n">
        <f aca="false">S96/$P96</f>
        <v>0.454545454545455</v>
      </c>
      <c r="U96" s="40" t="n">
        <v>856</v>
      </c>
      <c r="V96" s="41" t="n">
        <f aca="false">U96/$P96</f>
        <v>0.727272727272727</v>
      </c>
      <c r="W96" s="40" t="n">
        <v>1161.42</v>
      </c>
      <c r="X96" s="42" t="n">
        <f aca="false">W96/$P96</f>
        <v>0.986762956669499</v>
      </c>
      <c r="Y96" s="40" t="n">
        <f aca="false">K96</f>
        <v>1595</v>
      </c>
      <c r="Z96" s="43" t="n">
        <f aca="false">Y96</f>
        <v>1595</v>
      </c>
    </row>
    <row r="97" customFormat="false" ht="13.9" hidden="false" customHeight="true" outlineLevel="0" collapsed="false">
      <c r="D97" s="81"/>
      <c r="E97" s="44"/>
      <c r="F97" s="1" t="s">
        <v>150</v>
      </c>
      <c r="G97" s="46" t="n">
        <v>3132.35</v>
      </c>
      <c r="H97" s="46" t="n">
        <v>3576</v>
      </c>
      <c r="I97" s="46" t="n">
        <v>2592</v>
      </c>
      <c r="J97" s="46" t="n">
        <v>2592</v>
      </c>
      <c r="K97" s="46" t="n">
        <v>2590</v>
      </c>
      <c r="L97" s="46"/>
      <c r="M97" s="46" t="n">
        <v>-1030</v>
      </c>
      <c r="N97" s="46"/>
      <c r="O97" s="46"/>
      <c r="P97" s="46" t="n">
        <f aca="false">K97+SUM(L97:O97)</f>
        <v>1560</v>
      </c>
      <c r="Q97" s="46" t="n">
        <v>390</v>
      </c>
      <c r="R97" s="2" t="n">
        <f aca="false">Q97/$P97</f>
        <v>0.25</v>
      </c>
      <c r="S97" s="46" t="n">
        <v>780</v>
      </c>
      <c r="T97" s="2" t="n">
        <f aca="false">S97/$P97</f>
        <v>0.5</v>
      </c>
      <c r="U97" s="46" t="n">
        <v>1170</v>
      </c>
      <c r="V97" s="2" t="n">
        <f aca="false">U97/$P97</f>
        <v>0.75</v>
      </c>
      <c r="W97" s="46" t="n">
        <v>1457.25</v>
      </c>
      <c r="X97" s="47" t="n">
        <f aca="false">W97/$P97</f>
        <v>0.934134615384615</v>
      </c>
      <c r="Y97" s="46" t="n">
        <f aca="false">K97</f>
        <v>2590</v>
      </c>
      <c r="Z97" s="48" t="n">
        <f aca="false">Y97</f>
        <v>2590</v>
      </c>
    </row>
    <row r="98" customFormat="false" ht="13.9" hidden="false" customHeight="true" outlineLevel="0" collapsed="false">
      <c r="D98" s="81"/>
      <c r="E98" s="52"/>
      <c r="F98" s="86" t="s">
        <v>151</v>
      </c>
      <c r="G98" s="54" t="n">
        <v>5504.47</v>
      </c>
      <c r="H98" s="54" t="n">
        <v>8528.31</v>
      </c>
      <c r="I98" s="54" t="n">
        <v>9250</v>
      </c>
      <c r="J98" s="54" t="n">
        <v>8775</v>
      </c>
      <c r="K98" s="73" t="n">
        <v>10000</v>
      </c>
      <c r="L98" s="73"/>
      <c r="M98" s="73"/>
      <c r="N98" s="73"/>
      <c r="O98" s="73"/>
      <c r="P98" s="73" t="n">
        <f aca="false">K98+SUM(L98:O98)</f>
        <v>10000</v>
      </c>
      <c r="Q98" s="73" t="n">
        <v>965.47</v>
      </c>
      <c r="R98" s="87" t="n">
        <f aca="false">Q98/$P98</f>
        <v>0.096547</v>
      </c>
      <c r="S98" s="73" t="n">
        <v>2892.76</v>
      </c>
      <c r="T98" s="87" t="n">
        <f aca="false">S98/$P98</f>
        <v>0.289276</v>
      </c>
      <c r="U98" s="73" t="n">
        <v>4978.33</v>
      </c>
      <c r="V98" s="87" t="n">
        <f aca="false">U98/$P98</f>
        <v>0.497833</v>
      </c>
      <c r="W98" s="73" t="n">
        <v>4434.34</v>
      </c>
      <c r="X98" s="88" t="n">
        <f aca="false">W98/$P98</f>
        <v>0.443434</v>
      </c>
      <c r="Y98" s="54" t="n">
        <f aca="false">K98</f>
        <v>10000</v>
      </c>
      <c r="Z98" s="57" t="n">
        <f aca="false">Y98</f>
        <v>10000</v>
      </c>
    </row>
    <row r="99" customFormat="false" ht="13.9" hidden="false" customHeight="true" outlineLevel="0" collapsed="false">
      <c r="D99" s="81"/>
      <c r="E99" s="31"/>
      <c r="F99" s="31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3"/>
      <c r="S99" s="82"/>
      <c r="T99" s="83"/>
      <c r="U99" s="82"/>
      <c r="V99" s="83"/>
      <c r="W99" s="82"/>
      <c r="X99" s="83"/>
      <c r="Y99" s="82"/>
      <c r="Z99" s="82"/>
    </row>
    <row r="100" customFormat="false" ht="13.9" hidden="false" customHeight="true" outlineLevel="0" collapsed="false">
      <c r="D100" s="60" t="s">
        <v>152</v>
      </c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customFormat="false" ht="13.9" hidden="false" customHeight="true" outlineLevel="0" collapsed="false">
      <c r="D101" s="7" t="s">
        <v>33</v>
      </c>
      <c r="E101" s="7" t="s">
        <v>34</v>
      </c>
      <c r="F101" s="7" t="s">
        <v>35</v>
      </c>
      <c r="G101" s="7" t="s">
        <v>1</v>
      </c>
      <c r="H101" s="7" t="s">
        <v>2</v>
      </c>
      <c r="I101" s="7" t="s">
        <v>3</v>
      </c>
      <c r="J101" s="7" t="s">
        <v>4</v>
      </c>
      <c r="K101" s="7" t="s">
        <v>5</v>
      </c>
      <c r="L101" s="7" t="s">
        <v>6</v>
      </c>
      <c r="M101" s="7" t="s">
        <v>7</v>
      </c>
      <c r="N101" s="7" t="s">
        <v>8</v>
      </c>
      <c r="O101" s="7" t="s">
        <v>9</v>
      </c>
      <c r="P101" s="7" t="s">
        <v>10</v>
      </c>
      <c r="Q101" s="7" t="s">
        <v>11</v>
      </c>
      <c r="R101" s="8" t="s">
        <v>12</v>
      </c>
      <c r="S101" s="7" t="s">
        <v>13</v>
      </c>
      <c r="T101" s="8" t="s">
        <v>14</v>
      </c>
      <c r="U101" s="7" t="s">
        <v>15</v>
      </c>
      <c r="V101" s="8" t="s">
        <v>16</v>
      </c>
      <c r="W101" s="7" t="s">
        <v>17</v>
      </c>
      <c r="X101" s="8" t="s">
        <v>18</v>
      </c>
      <c r="Y101" s="7" t="s">
        <v>19</v>
      </c>
      <c r="Z101" s="7" t="s">
        <v>20</v>
      </c>
    </row>
    <row r="102" customFormat="false" ht="13.9" hidden="false" customHeight="true" outlineLevel="0" collapsed="false">
      <c r="A102" s="1" t="n">
        <v>1</v>
      </c>
      <c r="B102" s="1" t="n">
        <v>1</v>
      </c>
      <c r="C102" s="1" t="n">
        <v>6</v>
      </c>
      <c r="D102" s="76" t="s">
        <v>153</v>
      </c>
      <c r="E102" s="10" t="n">
        <v>630</v>
      </c>
      <c r="F102" s="10" t="s">
        <v>131</v>
      </c>
      <c r="G102" s="11" t="n">
        <v>1721.96</v>
      </c>
      <c r="H102" s="11" t="n">
        <v>1242.83</v>
      </c>
      <c r="I102" s="11" t="n">
        <v>1250</v>
      </c>
      <c r="J102" s="11" t="n">
        <v>1315</v>
      </c>
      <c r="K102" s="11" t="n">
        <v>1310</v>
      </c>
      <c r="L102" s="11" t="n">
        <v>337</v>
      </c>
      <c r="M102" s="11" t="n">
        <v>52</v>
      </c>
      <c r="N102" s="11" t="n">
        <v>48</v>
      </c>
      <c r="O102" s="11" t="n">
        <v>432</v>
      </c>
      <c r="P102" s="11" t="n">
        <f aca="false">K102+SUM(L102:O102)</f>
        <v>2179</v>
      </c>
      <c r="Q102" s="11" t="n">
        <v>1359.56</v>
      </c>
      <c r="R102" s="12" t="n">
        <f aca="false">Q102/$P102</f>
        <v>0.623937586048646</v>
      </c>
      <c r="S102" s="11" t="n">
        <v>1677.01</v>
      </c>
      <c r="T102" s="12" t="n">
        <f aca="false">S102/$P102</f>
        <v>0.769623680587425</v>
      </c>
      <c r="U102" s="11" t="n">
        <v>1724.75</v>
      </c>
      <c r="V102" s="12" t="n">
        <f aca="false">U102/$P102</f>
        <v>0.791532813217072</v>
      </c>
      <c r="W102" s="11" t="n">
        <v>2179.25</v>
      </c>
      <c r="X102" s="12" t="n">
        <f aca="false">W102/$P102</f>
        <v>1.00011473152822</v>
      </c>
      <c r="Y102" s="11" t="n">
        <f aca="false">K102</f>
        <v>1310</v>
      </c>
      <c r="Z102" s="11" t="n">
        <f aca="false">Y102</f>
        <v>1310</v>
      </c>
    </row>
    <row r="103" customFormat="false" ht="13.9" hidden="false" customHeight="true" outlineLevel="0" collapsed="false">
      <c r="A103" s="1" t="n">
        <v>1</v>
      </c>
      <c r="B103" s="1" t="n">
        <v>1</v>
      </c>
      <c r="C103" s="1" t="n">
        <v>6</v>
      </c>
      <c r="D103" s="67" t="s">
        <v>21</v>
      </c>
      <c r="E103" s="13" t="n">
        <v>41</v>
      </c>
      <c r="F103" s="13" t="s">
        <v>23</v>
      </c>
      <c r="G103" s="14" t="n">
        <f aca="false">SUM(G102:G102)</f>
        <v>1721.96</v>
      </c>
      <c r="H103" s="14" t="n">
        <f aca="false">SUM(H102:H102)</f>
        <v>1242.83</v>
      </c>
      <c r="I103" s="14" t="n">
        <f aca="false">SUM(I102:I102)</f>
        <v>1250</v>
      </c>
      <c r="J103" s="14" t="n">
        <f aca="false">SUM(J102:J102)</f>
        <v>1315</v>
      </c>
      <c r="K103" s="14" t="n">
        <f aca="false">SUM(K102:K102)</f>
        <v>1310</v>
      </c>
      <c r="L103" s="14" t="n">
        <f aca="false">SUM(L102:L102)</f>
        <v>337</v>
      </c>
      <c r="M103" s="14" t="n">
        <f aca="false">SUM(M102:M102)</f>
        <v>52</v>
      </c>
      <c r="N103" s="14" t="n">
        <f aca="false">SUM(N102:N102)</f>
        <v>48</v>
      </c>
      <c r="O103" s="14" t="n">
        <f aca="false">SUM(O102:O102)</f>
        <v>432</v>
      </c>
      <c r="P103" s="14" t="n">
        <f aca="false">SUM(P102:P102)</f>
        <v>2179</v>
      </c>
      <c r="Q103" s="14" t="n">
        <f aca="false">SUM(Q102:Q102)</f>
        <v>1359.56</v>
      </c>
      <c r="R103" s="15" t="n">
        <f aca="false">Q103/$P103</f>
        <v>0.623937586048646</v>
      </c>
      <c r="S103" s="14" t="n">
        <f aca="false">SUM(S102:S102)</f>
        <v>1677.01</v>
      </c>
      <c r="T103" s="15" t="n">
        <f aca="false">S103/$P103</f>
        <v>0.769623680587425</v>
      </c>
      <c r="U103" s="14" t="n">
        <f aca="false">SUM(U102:U102)</f>
        <v>1724.75</v>
      </c>
      <c r="V103" s="15" t="n">
        <f aca="false">U103/$P103</f>
        <v>0.791532813217072</v>
      </c>
      <c r="W103" s="14" t="n">
        <f aca="false">SUM(W102:W102)</f>
        <v>2179.25</v>
      </c>
      <c r="X103" s="15" t="n">
        <f aca="false">W103/$P103</f>
        <v>1.00011473152822</v>
      </c>
      <c r="Y103" s="14" t="n">
        <f aca="false">SUM(Y102:Y102)</f>
        <v>1310</v>
      </c>
      <c r="Z103" s="14" t="n">
        <f aca="false">SUM(Z102:Z102)</f>
        <v>1310</v>
      </c>
    </row>
    <row r="104" customFormat="false" ht="13.9" hidden="false" customHeight="true" outlineLevel="0" collapsed="false">
      <c r="D104" s="81"/>
      <c r="E104" s="31"/>
      <c r="F104" s="31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3"/>
      <c r="S104" s="82"/>
      <c r="T104" s="83"/>
      <c r="U104" s="82"/>
      <c r="V104" s="83"/>
      <c r="W104" s="82"/>
      <c r="X104" s="83"/>
      <c r="Y104" s="82"/>
      <c r="Z104" s="82"/>
    </row>
    <row r="105" customFormat="false" ht="13.9" hidden="false" customHeight="true" outlineLevel="0" collapsed="false">
      <c r="D105" s="60" t="s">
        <v>154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customFormat="false" ht="13.9" hidden="false" customHeight="true" outlineLevel="0" collapsed="false">
      <c r="D106" s="7" t="s">
        <v>33</v>
      </c>
      <c r="E106" s="7" t="s">
        <v>34</v>
      </c>
      <c r="F106" s="7" t="s">
        <v>35</v>
      </c>
      <c r="G106" s="7" t="s">
        <v>1</v>
      </c>
      <c r="H106" s="7" t="s">
        <v>2</v>
      </c>
      <c r="I106" s="7" t="s">
        <v>3</v>
      </c>
      <c r="J106" s="7" t="s">
        <v>4</v>
      </c>
      <c r="K106" s="7" t="s">
        <v>5</v>
      </c>
      <c r="L106" s="7" t="s">
        <v>6</v>
      </c>
      <c r="M106" s="7" t="s">
        <v>7</v>
      </c>
      <c r="N106" s="7" t="s">
        <v>8</v>
      </c>
      <c r="O106" s="7" t="s">
        <v>9</v>
      </c>
      <c r="P106" s="7" t="s">
        <v>10</v>
      </c>
      <c r="Q106" s="7" t="s">
        <v>11</v>
      </c>
      <c r="R106" s="8" t="s">
        <v>12</v>
      </c>
      <c r="S106" s="7" t="s">
        <v>13</v>
      </c>
      <c r="T106" s="8" t="s">
        <v>14</v>
      </c>
      <c r="U106" s="7" t="s">
        <v>15</v>
      </c>
      <c r="V106" s="8" t="s">
        <v>16</v>
      </c>
      <c r="W106" s="7" t="s">
        <v>17</v>
      </c>
      <c r="X106" s="8" t="s">
        <v>18</v>
      </c>
      <c r="Y106" s="7" t="s">
        <v>19</v>
      </c>
      <c r="Z106" s="7" t="s">
        <v>20</v>
      </c>
    </row>
    <row r="107" customFormat="false" ht="13.9" hidden="false" customHeight="true" outlineLevel="0" collapsed="false">
      <c r="A107" s="1" t="n">
        <v>1</v>
      </c>
      <c r="B107" s="1" t="n">
        <v>1</v>
      </c>
      <c r="C107" s="1" t="n">
        <v>7</v>
      </c>
      <c r="D107" s="76" t="s">
        <v>155</v>
      </c>
      <c r="E107" s="10" t="n">
        <v>610</v>
      </c>
      <c r="F107" s="10" t="s">
        <v>129</v>
      </c>
      <c r="G107" s="11" t="n">
        <v>3445.84</v>
      </c>
      <c r="H107" s="11" t="n">
        <v>3240.37</v>
      </c>
      <c r="I107" s="11" t="n">
        <v>3460</v>
      </c>
      <c r="J107" s="11" t="n">
        <v>4047</v>
      </c>
      <c r="K107" s="11" t="n">
        <v>3647</v>
      </c>
      <c r="L107" s="11"/>
      <c r="M107" s="11" t="n">
        <v>-298</v>
      </c>
      <c r="N107" s="11"/>
      <c r="O107" s="11" t="n">
        <f aca="false">591+355</f>
        <v>946</v>
      </c>
      <c r="P107" s="11" t="n">
        <f aca="false">K107+SUM(L107:O107)</f>
        <v>4295</v>
      </c>
      <c r="Q107" s="11" t="n">
        <v>1003.63</v>
      </c>
      <c r="R107" s="12" t="n">
        <f aca="false">Q107/$P107</f>
        <v>0.233674039580908</v>
      </c>
      <c r="S107" s="11" t="n">
        <v>1540.29</v>
      </c>
      <c r="T107" s="12" t="n">
        <f aca="false">S107/$P107</f>
        <v>0.35862398137369</v>
      </c>
      <c r="U107" s="11" t="n">
        <v>2862.07</v>
      </c>
      <c r="V107" s="12" t="n">
        <f aca="false">U107/$P107</f>
        <v>0.666372526193248</v>
      </c>
      <c r="W107" s="11" t="n">
        <v>4294.73</v>
      </c>
      <c r="X107" s="12" t="n">
        <f aca="false">W107/$P107</f>
        <v>0.999937136204889</v>
      </c>
      <c r="Y107" s="11" t="n">
        <v>3647</v>
      </c>
      <c r="Z107" s="11" t="n">
        <v>3647</v>
      </c>
    </row>
    <row r="108" customFormat="false" ht="13.9" hidden="false" customHeight="true" outlineLevel="0" collapsed="false">
      <c r="A108" s="1" t="n">
        <v>1</v>
      </c>
      <c r="B108" s="1" t="n">
        <v>1</v>
      </c>
      <c r="C108" s="1" t="n">
        <v>7</v>
      </c>
      <c r="D108" s="76"/>
      <c r="E108" s="10" t="n">
        <v>620</v>
      </c>
      <c r="F108" s="10" t="s">
        <v>130</v>
      </c>
      <c r="G108" s="11" t="n">
        <v>1219.78</v>
      </c>
      <c r="H108" s="11" t="n">
        <v>1177.05</v>
      </c>
      <c r="I108" s="11" t="n">
        <v>1209</v>
      </c>
      <c r="J108" s="11" t="n">
        <v>1421</v>
      </c>
      <c r="K108" s="11" t="n">
        <v>1274</v>
      </c>
      <c r="L108" s="11"/>
      <c r="M108" s="11"/>
      <c r="N108" s="11"/>
      <c r="O108" s="11" t="n">
        <f aca="false">207+64</f>
        <v>271</v>
      </c>
      <c r="P108" s="11" t="n">
        <f aca="false">K108+SUM(L108:O108)</f>
        <v>1545</v>
      </c>
      <c r="Q108" s="11" t="n">
        <v>352.75</v>
      </c>
      <c r="R108" s="12" t="n">
        <f aca="false">Q108/$P108</f>
        <v>0.22831715210356</v>
      </c>
      <c r="S108" s="11" t="n">
        <v>541.36</v>
      </c>
      <c r="T108" s="12" t="n">
        <f aca="false">S108/$P108</f>
        <v>0.350394822006472</v>
      </c>
      <c r="U108" s="11" t="n">
        <v>1050.41</v>
      </c>
      <c r="V108" s="12" t="n">
        <f aca="false">U108/$P108</f>
        <v>0.679877022653722</v>
      </c>
      <c r="W108" s="11" t="n">
        <v>1545.8</v>
      </c>
      <c r="X108" s="12" t="n">
        <f aca="false">W108/$P108</f>
        <v>1.00051779935275</v>
      </c>
      <c r="Y108" s="11" t="n">
        <v>1274</v>
      </c>
      <c r="Z108" s="11" t="n">
        <v>1274</v>
      </c>
    </row>
    <row r="109" customFormat="false" ht="13.9" hidden="false" customHeight="true" outlineLevel="0" collapsed="false">
      <c r="A109" s="1" t="n">
        <v>1</v>
      </c>
      <c r="B109" s="1" t="n">
        <v>1</v>
      </c>
      <c r="C109" s="1" t="n">
        <v>7</v>
      </c>
      <c r="D109" s="76"/>
      <c r="E109" s="10" t="n">
        <v>630</v>
      </c>
      <c r="F109" s="10" t="s">
        <v>131</v>
      </c>
      <c r="G109" s="11" t="n">
        <v>751.6</v>
      </c>
      <c r="H109" s="11" t="n">
        <v>1123.32</v>
      </c>
      <c r="I109" s="11" t="n">
        <v>877</v>
      </c>
      <c r="J109" s="11" t="n">
        <v>733</v>
      </c>
      <c r="K109" s="33" t="n">
        <f aca="false">príjmy!H110+príjmy!H111-K107-K108</f>
        <v>1280</v>
      </c>
      <c r="L109" s="33"/>
      <c r="M109" s="33"/>
      <c r="N109" s="33"/>
      <c r="O109" s="33" t="n">
        <v>-419</v>
      </c>
      <c r="P109" s="33" t="n">
        <f aca="false">K109+SUM(L109:O109)</f>
        <v>861</v>
      </c>
      <c r="Q109" s="33" t="n">
        <v>87.68</v>
      </c>
      <c r="R109" s="34" t="n">
        <f aca="false">Q109/$P109</f>
        <v>0.101835075493612</v>
      </c>
      <c r="S109" s="33" t="n">
        <v>87.68</v>
      </c>
      <c r="T109" s="34" t="n">
        <f aca="false">S109/$P109</f>
        <v>0.101835075493612</v>
      </c>
      <c r="U109" s="33" t="n">
        <v>131.41</v>
      </c>
      <c r="V109" s="34" t="n">
        <f aca="false">U109/$P109</f>
        <v>0.152624854819977</v>
      </c>
      <c r="W109" s="33" t="n">
        <v>860.71</v>
      </c>
      <c r="X109" s="34" t="n">
        <f aca="false">W109/$P109</f>
        <v>0.999663182346109</v>
      </c>
      <c r="Y109" s="11" t="n">
        <f aca="false">K109</f>
        <v>1280</v>
      </c>
      <c r="Z109" s="11" t="n">
        <f aca="false">Y109</f>
        <v>1280</v>
      </c>
    </row>
    <row r="110" customFormat="false" ht="13.9" hidden="false" customHeight="true" outlineLevel="0" collapsed="false">
      <c r="A110" s="1" t="n">
        <v>1</v>
      </c>
      <c r="B110" s="1" t="n">
        <v>1</v>
      </c>
      <c r="C110" s="1" t="n">
        <v>7</v>
      </c>
      <c r="D110" s="77" t="s">
        <v>21</v>
      </c>
      <c r="E110" s="35" t="n">
        <v>111</v>
      </c>
      <c r="F110" s="35" t="s">
        <v>134</v>
      </c>
      <c r="G110" s="36" t="n">
        <f aca="false">SUM(G107:G109)</f>
        <v>5417.22</v>
      </c>
      <c r="H110" s="36" t="n">
        <f aca="false">SUM(H107:H109)</f>
        <v>5540.74</v>
      </c>
      <c r="I110" s="36" t="n">
        <f aca="false">SUM(I107:I109)</f>
        <v>5546</v>
      </c>
      <c r="J110" s="36" t="n">
        <f aca="false">SUM(J107:J109)</f>
        <v>6201</v>
      </c>
      <c r="K110" s="89" t="n">
        <f aca="false">SUM(K107:K109)</f>
        <v>6201</v>
      </c>
      <c r="L110" s="89" t="n">
        <f aca="false">SUM(L107:L109)</f>
        <v>0</v>
      </c>
      <c r="M110" s="89" t="n">
        <f aca="false">SUM(M107:M109)</f>
        <v>-298</v>
      </c>
      <c r="N110" s="89" t="n">
        <f aca="false">SUM(N107:N109)</f>
        <v>0</v>
      </c>
      <c r="O110" s="89" t="n">
        <f aca="false">SUM(O107:O109)</f>
        <v>798</v>
      </c>
      <c r="P110" s="89" t="n">
        <f aca="false">SUM(P107:P109)</f>
        <v>6701</v>
      </c>
      <c r="Q110" s="89" t="n">
        <f aca="false">SUM(Q107:Q109)</f>
        <v>1444.06</v>
      </c>
      <c r="R110" s="90" t="n">
        <f aca="false">Q110/$P110</f>
        <v>0.215499179226981</v>
      </c>
      <c r="S110" s="89" t="n">
        <f aca="false">SUM(S107:S109)</f>
        <v>2169.33</v>
      </c>
      <c r="T110" s="90" t="n">
        <f aca="false">S110/$P110</f>
        <v>0.323732278764363</v>
      </c>
      <c r="U110" s="89" t="n">
        <f aca="false">SUM(U107:U109)</f>
        <v>4043.89</v>
      </c>
      <c r="V110" s="90" t="n">
        <f aca="false">U110/$P110</f>
        <v>0.603475600656618</v>
      </c>
      <c r="W110" s="89" t="n">
        <f aca="false">SUM(W107:W109)</f>
        <v>6701.24</v>
      </c>
      <c r="X110" s="90" t="n">
        <f aca="false">W110/$P110</f>
        <v>1.00003581554992</v>
      </c>
      <c r="Y110" s="36" t="n">
        <f aca="false">SUM(Y107:Y109)</f>
        <v>6201</v>
      </c>
      <c r="Z110" s="36" t="n">
        <f aca="false">SUM(Z107:Z109)</f>
        <v>6201</v>
      </c>
    </row>
    <row r="111" customFormat="false" ht="13.9" hidden="false" customHeight="true" outlineLevel="0" collapsed="false">
      <c r="A111" s="1" t="n">
        <v>1</v>
      </c>
      <c r="B111" s="1" t="n">
        <v>1</v>
      </c>
      <c r="C111" s="1" t="n">
        <v>7</v>
      </c>
      <c r="D111" s="76" t="s">
        <v>155</v>
      </c>
      <c r="E111" s="10" t="n">
        <v>610</v>
      </c>
      <c r="F111" s="10" t="s">
        <v>129</v>
      </c>
      <c r="G111" s="11" t="n">
        <v>5069.7</v>
      </c>
      <c r="H111" s="11" t="n">
        <v>5046.47</v>
      </c>
      <c r="I111" s="11" t="n">
        <v>6784</v>
      </c>
      <c r="J111" s="11" t="n">
        <v>8365</v>
      </c>
      <c r="K111" s="11" t="n">
        <v>7947</v>
      </c>
      <c r="L111" s="11"/>
      <c r="M111" s="11" t="n">
        <v>-145</v>
      </c>
      <c r="N111" s="11"/>
      <c r="O111" s="11"/>
      <c r="P111" s="11" t="n">
        <f aca="false">K111+SUM(L111:O111)</f>
        <v>7802</v>
      </c>
      <c r="Q111" s="11" t="n">
        <v>1254.37</v>
      </c>
      <c r="R111" s="12" t="n">
        <f aca="false">Q111/$P111</f>
        <v>0.160775442194309</v>
      </c>
      <c r="S111" s="11" t="n">
        <v>2793.14</v>
      </c>
      <c r="T111" s="12" t="n">
        <f aca="false">S111/$P111</f>
        <v>0.358003076134325</v>
      </c>
      <c r="U111" s="11" t="n">
        <v>2793.14</v>
      </c>
      <c r="V111" s="12" t="n">
        <f aca="false">U111/$P111</f>
        <v>0.358003076134325</v>
      </c>
      <c r="W111" s="11" t="n">
        <v>2793.14</v>
      </c>
      <c r="X111" s="12" t="n">
        <f aca="false">W111/$P111</f>
        <v>0.358003076134325</v>
      </c>
      <c r="Y111" s="11" t="n">
        <v>8652</v>
      </c>
      <c r="Z111" s="11" t="n">
        <v>9446</v>
      </c>
    </row>
    <row r="112" customFormat="false" ht="13.9" hidden="false" customHeight="true" outlineLevel="0" collapsed="false">
      <c r="A112" s="1" t="n">
        <v>1</v>
      </c>
      <c r="B112" s="1" t="n">
        <v>1</v>
      </c>
      <c r="C112" s="1" t="n">
        <v>7</v>
      </c>
      <c r="D112" s="76"/>
      <c r="E112" s="10" t="n">
        <v>620</v>
      </c>
      <c r="F112" s="10" t="s">
        <v>130</v>
      </c>
      <c r="G112" s="11" t="n">
        <v>1943.42</v>
      </c>
      <c r="H112" s="11" t="n">
        <v>2012.04</v>
      </c>
      <c r="I112" s="11" t="n">
        <v>2555</v>
      </c>
      <c r="J112" s="11" t="n">
        <v>2939</v>
      </c>
      <c r="K112" s="11" t="n">
        <v>2975</v>
      </c>
      <c r="L112" s="11"/>
      <c r="M112" s="11"/>
      <c r="N112" s="11"/>
      <c r="O112" s="11"/>
      <c r="P112" s="11" t="n">
        <f aca="false">K112+SUM(L112:O112)</f>
        <v>2975</v>
      </c>
      <c r="Q112" s="11" t="n">
        <v>634.65</v>
      </c>
      <c r="R112" s="12" t="n">
        <f aca="false">Q112/$P112</f>
        <v>0.213327731092437</v>
      </c>
      <c r="S112" s="11" t="n">
        <v>990.48</v>
      </c>
      <c r="T112" s="12" t="n">
        <f aca="false">S112/$P112</f>
        <v>0.332934453781513</v>
      </c>
      <c r="U112" s="11" t="n">
        <v>990.48</v>
      </c>
      <c r="V112" s="12" t="n">
        <f aca="false">U112/$P112</f>
        <v>0.332934453781513</v>
      </c>
      <c r="W112" s="11" t="n">
        <v>990.48</v>
      </c>
      <c r="X112" s="12" t="n">
        <f aca="false">W112/$P112</f>
        <v>0.332934453781513</v>
      </c>
      <c r="Y112" s="11" t="n">
        <v>3236</v>
      </c>
      <c r="Z112" s="11" t="n">
        <v>3529</v>
      </c>
    </row>
    <row r="113" customFormat="false" ht="13.9" hidden="false" customHeight="true" outlineLevel="0" collapsed="false">
      <c r="A113" s="1" t="n">
        <v>1</v>
      </c>
      <c r="B113" s="1" t="n">
        <v>1</v>
      </c>
      <c r="C113" s="1" t="n">
        <v>7</v>
      </c>
      <c r="D113" s="76"/>
      <c r="E113" s="10" t="n">
        <v>630</v>
      </c>
      <c r="F113" s="10" t="s">
        <v>131</v>
      </c>
      <c r="G113" s="11" t="n">
        <v>1289.24</v>
      </c>
      <c r="H113" s="11" t="n">
        <v>1107.77</v>
      </c>
      <c r="I113" s="11" t="n">
        <v>1455</v>
      </c>
      <c r="J113" s="11" t="n">
        <v>1144</v>
      </c>
      <c r="K113" s="11" t="n">
        <f aca="false">1109+200</f>
        <v>1309</v>
      </c>
      <c r="L113" s="11"/>
      <c r="M113" s="11"/>
      <c r="N113" s="11"/>
      <c r="O113" s="11"/>
      <c r="P113" s="11" t="n">
        <f aca="false">K113+SUM(L113:O113)</f>
        <v>1309</v>
      </c>
      <c r="Q113" s="11" t="n">
        <v>226.78</v>
      </c>
      <c r="R113" s="12" t="n">
        <f aca="false">Q113/$P113</f>
        <v>0.173246753246753</v>
      </c>
      <c r="S113" s="11" t="n">
        <v>378.35</v>
      </c>
      <c r="T113" s="12" t="n">
        <f aca="false">S113/$P113</f>
        <v>0.28903743315508</v>
      </c>
      <c r="U113" s="11" t="n">
        <v>378.35</v>
      </c>
      <c r="V113" s="12" t="n">
        <f aca="false">U113/$P113</f>
        <v>0.28903743315508</v>
      </c>
      <c r="W113" s="11" t="n">
        <v>378.35</v>
      </c>
      <c r="X113" s="12" t="n">
        <f aca="false">W113/$P113</f>
        <v>0.28903743315508</v>
      </c>
      <c r="Y113" s="11" t="n">
        <f aca="false">1117+200</f>
        <v>1317</v>
      </c>
      <c r="Z113" s="11" t="n">
        <f aca="false">1122+200</f>
        <v>1322</v>
      </c>
    </row>
    <row r="114" customFormat="false" ht="13.9" hidden="false" customHeight="true" outlineLevel="0" collapsed="false">
      <c r="A114" s="1" t="n">
        <v>1</v>
      </c>
      <c r="B114" s="1" t="n">
        <v>1</v>
      </c>
      <c r="C114" s="1" t="n">
        <v>7</v>
      </c>
      <c r="D114" s="76"/>
      <c r="E114" s="10" t="n">
        <v>640</v>
      </c>
      <c r="F114" s="10" t="s">
        <v>132</v>
      </c>
      <c r="G114" s="11" t="n">
        <v>107.35</v>
      </c>
      <c r="H114" s="11" t="n">
        <v>347.04</v>
      </c>
      <c r="I114" s="11" t="n">
        <v>0</v>
      </c>
      <c r="J114" s="11" t="n">
        <v>0</v>
      </c>
      <c r="K114" s="11" t="n">
        <v>0</v>
      </c>
      <c r="L114" s="11"/>
      <c r="M114" s="11" t="n">
        <v>145</v>
      </c>
      <c r="N114" s="11"/>
      <c r="O114" s="11"/>
      <c r="P114" s="11" t="n">
        <f aca="false">K114+SUM(L114:O114)</f>
        <v>145</v>
      </c>
      <c r="Q114" s="11" t="n">
        <v>0</v>
      </c>
      <c r="R114" s="12" t="n">
        <f aca="false">Q114/$P114</f>
        <v>0</v>
      </c>
      <c r="S114" s="11" t="n">
        <v>144.56</v>
      </c>
      <c r="T114" s="12" t="n">
        <f aca="false">S114/$P114</f>
        <v>0.996965517241379</v>
      </c>
      <c r="U114" s="11" t="n">
        <v>144.56</v>
      </c>
      <c r="V114" s="12" t="n">
        <f aca="false">U114/$P114</f>
        <v>0.996965517241379</v>
      </c>
      <c r="W114" s="11" t="n">
        <v>144.56</v>
      </c>
      <c r="X114" s="12" t="n">
        <f aca="false">W114/$P114</f>
        <v>0.996965517241379</v>
      </c>
      <c r="Y114" s="11" t="n">
        <f aca="false">K114</f>
        <v>0</v>
      </c>
      <c r="Z114" s="11" t="n">
        <f aca="false">Y114</f>
        <v>0</v>
      </c>
    </row>
    <row r="115" customFormat="false" ht="13.9" hidden="false" customHeight="true" outlineLevel="0" collapsed="false">
      <c r="A115" s="1" t="n">
        <v>1</v>
      </c>
      <c r="B115" s="1" t="n">
        <v>1</v>
      </c>
      <c r="C115" s="1" t="n">
        <v>7</v>
      </c>
      <c r="D115" s="77" t="s">
        <v>21</v>
      </c>
      <c r="E115" s="35" t="n">
        <v>41</v>
      </c>
      <c r="F115" s="35" t="s">
        <v>23</v>
      </c>
      <c r="G115" s="36" t="n">
        <f aca="false">SUM(G111:G114)</f>
        <v>8409.71</v>
      </c>
      <c r="H115" s="36" t="n">
        <f aca="false">SUM(H111:H114)</f>
        <v>8513.32</v>
      </c>
      <c r="I115" s="36" t="n">
        <f aca="false">SUM(I111:I114)</f>
        <v>10794</v>
      </c>
      <c r="J115" s="36" t="n">
        <f aca="false">SUM(J111:J114)</f>
        <v>12448</v>
      </c>
      <c r="K115" s="36" t="n">
        <f aca="false">SUM(K111:K114)</f>
        <v>12231</v>
      </c>
      <c r="L115" s="36" t="n">
        <f aca="false">SUM(L111:L114)</f>
        <v>0</v>
      </c>
      <c r="M115" s="36" t="n">
        <f aca="false">SUM(M111:M114)</f>
        <v>0</v>
      </c>
      <c r="N115" s="36" t="n">
        <f aca="false">SUM(N111:N114)</f>
        <v>0</v>
      </c>
      <c r="O115" s="36" t="n">
        <f aca="false">SUM(O111:O114)</f>
        <v>0</v>
      </c>
      <c r="P115" s="36" t="n">
        <f aca="false">SUM(P111:P114)</f>
        <v>12231</v>
      </c>
      <c r="Q115" s="36" t="n">
        <f aca="false">SUM(Q111:Q114)</f>
        <v>2115.8</v>
      </c>
      <c r="R115" s="37" t="n">
        <f aca="false">Q115/$P115</f>
        <v>0.172986673207424</v>
      </c>
      <c r="S115" s="36" t="n">
        <f aca="false">SUM(S111:S114)</f>
        <v>4306.53</v>
      </c>
      <c r="T115" s="37" t="n">
        <f aca="false">S115/$P115</f>
        <v>0.352099583026735</v>
      </c>
      <c r="U115" s="36" t="n">
        <f aca="false">SUM(U111:U114)</f>
        <v>4306.53</v>
      </c>
      <c r="V115" s="37" t="n">
        <f aca="false">U115/$P115</f>
        <v>0.352099583026735</v>
      </c>
      <c r="W115" s="36" t="n">
        <f aca="false">SUM(W111:W114)</f>
        <v>4306.53</v>
      </c>
      <c r="X115" s="37" t="n">
        <f aca="false">W115/$P115</f>
        <v>0.352099583026735</v>
      </c>
      <c r="Y115" s="36" t="n">
        <f aca="false">SUM(Y111:Y114)</f>
        <v>13205</v>
      </c>
      <c r="Z115" s="36" t="n">
        <f aca="false">SUM(Z111:Z114)</f>
        <v>14297</v>
      </c>
    </row>
    <row r="116" customFormat="false" ht="13.9" hidden="false" customHeight="true" outlineLevel="0" collapsed="false">
      <c r="A116" s="1" t="n">
        <v>1</v>
      </c>
      <c r="B116" s="1" t="n">
        <v>1</v>
      </c>
      <c r="C116" s="1" t="n">
        <v>7</v>
      </c>
      <c r="D116" s="68" t="s">
        <v>155</v>
      </c>
      <c r="E116" s="10" t="n">
        <v>640</v>
      </c>
      <c r="F116" s="10" t="s">
        <v>132</v>
      </c>
      <c r="G116" s="11" t="n">
        <v>0</v>
      </c>
      <c r="H116" s="11" t="n">
        <v>91.06</v>
      </c>
      <c r="I116" s="11" t="n">
        <v>100</v>
      </c>
      <c r="J116" s="11" t="n">
        <v>119</v>
      </c>
      <c r="K116" s="11" t="n">
        <v>120</v>
      </c>
      <c r="L116" s="11"/>
      <c r="M116" s="11"/>
      <c r="N116" s="11"/>
      <c r="O116" s="11"/>
      <c r="P116" s="11" t="n">
        <f aca="false">K116+SUM(L116:O116)</f>
        <v>120</v>
      </c>
      <c r="Q116" s="11" t="n">
        <v>0</v>
      </c>
      <c r="R116" s="12" t="n">
        <f aca="false">Q116/$P116</f>
        <v>0</v>
      </c>
      <c r="S116" s="11" t="n">
        <v>0</v>
      </c>
      <c r="T116" s="12" t="n">
        <f aca="false">S116/$P116</f>
        <v>0</v>
      </c>
      <c r="U116" s="11" t="n">
        <v>0</v>
      </c>
      <c r="V116" s="12" t="n">
        <f aca="false">U116/$P116</f>
        <v>0</v>
      </c>
      <c r="W116" s="11" t="n">
        <v>54.6</v>
      </c>
      <c r="X116" s="12" t="n">
        <f aca="false">W116/$P116</f>
        <v>0.455</v>
      </c>
      <c r="Y116" s="11" t="n">
        <f aca="false">K116</f>
        <v>120</v>
      </c>
      <c r="Z116" s="11" t="n">
        <f aca="false">Y116</f>
        <v>120</v>
      </c>
    </row>
    <row r="117" customFormat="false" ht="13.9" hidden="false" customHeight="true" outlineLevel="0" collapsed="false">
      <c r="A117" s="1" t="n">
        <v>1</v>
      </c>
      <c r="B117" s="1" t="n">
        <v>1</v>
      </c>
      <c r="C117" s="1" t="n">
        <v>7</v>
      </c>
      <c r="D117" s="77" t="s">
        <v>21</v>
      </c>
      <c r="E117" s="35" t="n">
        <v>72</v>
      </c>
      <c r="F117" s="35" t="s">
        <v>25</v>
      </c>
      <c r="G117" s="36" t="n">
        <f aca="false">SUM(G116:G116)</f>
        <v>0</v>
      </c>
      <c r="H117" s="36" t="n">
        <f aca="false">SUM(H116:H116)</f>
        <v>91.06</v>
      </c>
      <c r="I117" s="36" t="n">
        <f aca="false">SUM(I116:I116)</f>
        <v>100</v>
      </c>
      <c r="J117" s="36" t="n">
        <f aca="false">SUM(J116:J116)</f>
        <v>119</v>
      </c>
      <c r="K117" s="36" t="n">
        <f aca="false">SUM(K116:K116)</f>
        <v>120</v>
      </c>
      <c r="L117" s="36" t="n">
        <f aca="false">SUM(L116:L116)</f>
        <v>0</v>
      </c>
      <c r="M117" s="36" t="n">
        <f aca="false">SUM(M116:M116)</f>
        <v>0</v>
      </c>
      <c r="N117" s="36" t="n">
        <f aca="false">SUM(N116:N116)</f>
        <v>0</v>
      </c>
      <c r="O117" s="36" t="n">
        <f aca="false">SUM(O116:O116)</f>
        <v>0</v>
      </c>
      <c r="P117" s="36" t="n">
        <f aca="false">SUM(P116:P116)</f>
        <v>120</v>
      </c>
      <c r="Q117" s="36" t="n">
        <f aca="false">SUM(Q116:Q116)</f>
        <v>0</v>
      </c>
      <c r="R117" s="37" t="n">
        <f aca="false">Q117/$P117</f>
        <v>0</v>
      </c>
      <c r="S117" s="36" t="n">
        <f aca="false">SUM(S116:S116)</f>
        <v>0</v>
      </c>
      <c r="T117" s="37" t="n">
        <f aca="false">S117/$P117</f>
        <v>0</v>
      </c>
      <c r="U117" s="36" t="n">
        <f aca="false">SUM(U116:U116)</f>
        <v>0</v>
      </c>
      <c r="V117" s="37" t="n">
        <f aca="false">U117/$P117</f>
        <v>0</v>
      </c>
      <c r="W117" s="36" t="n">
        <f aca="false">SUM(W116:W116)</f>
        <v>54.6</v>
      </c>
      <c r="X117" s="37" t="n">
        <f aca="false">W117/$P117</f>
        <v>0.455</v>
      </c>
      <c r="Y117" s="36" t="n">
        <f aca="false">SUM(Y116:Y116)</f>
        <v>120</v>
      </c>
      <c r="Z117" s="36" t="n">
        <f aca="false">SUM(Z116:Z116)</f>
        <v>120</v>
      </c>
    </row>
    <row r="118" customFormat="false" ht="13.9" hidden="false" customHeight="true" outlineLevel="0" collapsed="false">
      <c r="A118" s="1" t="n">
        <v>1</v>
      </c>
      <c r="B118" s="1" t="n">
        <v>1</v>
      </c>
      <c r="C118" s="1" t="n">
        <v>7</v>
      </c>
      <c r="D118" s="17"/>
      <c r="E118" s="18"/>
      <c r="F118" s="13" t="s">
        <v>124</v>
      </c>
      <c r="G118" s="14" t="n">
        <f aca="false">G110+G115+G117</f>
        <v>13826.93</v>
      </c>
      <c r="H118" s="14" t="n">
        <f aca="false">H110+H115+H117</f>
        <v>14145.12</v>
      </c>
      <c r="I118" s="14" t="n">
        <f aca="false">I110+I115+I117</f>
        <v>16440</v>
      </c>
      <c r="J118" s="14" t="n">
        <f aca="false">J110+J115+J117</f>
        <v>18768</v>
      </c>
      <c r="K118" s="14" t="n">
        <f aca="false">K110+K115+K117</f>
        <v>18552</v>
      </c>
      <c r="L118" s="14" t="n">
        <f aca="false">L110+L115+L117</f>
        <v>0</v>
      </c>
      <c r="M118" s="14" t="n">
        <f aca="false">M110+M115+M117</f>
        <v>-298</v>
      </c>
      <c r="N118" s="14" t="n">
        <f aca="false">N110+N115+N117</f>
        <v>0</v>
      </c>
      <c r="O118" s="14" t="n">
        <f aca="false">O110+O115+O117</f>
        <v>798</v>
      </c>
      <c r="P118" s="14" t="n">
        <f aca="false">P110+P115+P117</f>
        <v>19052</v>
      </c>
      <c r="Q118" s="14" t="n">
        <f aca="false">Q110+Q115+Q117</f>
        <v>3559.86</v>
      </c>
      <c r="R118" s="15" t="n">
        <f aca="false">Q118/$P118</f>
        <v>0.186849674574848</v>
      </c>
      <c r="S118" s="14" t="n">
        <f aca="false">S110+S115+S117</f>
        <v>6475.86</v>
      </c>
      <c r="T118" s="15" t="n">
        <f aca="false">S118/$P118</f>
        <v>0.339904471971447</v>
      </c>
      <c r="U118" s="14" t="n">
        <f aca="false">U110+U115+U117</f>
        <v>8350.42</v>
      </c>
      <c r="V118" s="15" t="n">
        <f aca="false">U118/$P118</f>
        <v>0.438296241864371</v>
      </c>
      <c r="W118" s="14" t="n">
        <f aca="false">W110+W115+W117</f>
        <v>11062.37</v>
      </c>
      <c r="X118" s="15" t="n">
        <f aca="false">W118/$P118</f>
        <v>0.580640877598152</v>
      </c>
      <c r="Y118" s="14" t="n">
        <f aca="false">Y110+Y115+Y117</f>
        <v>19526</v>
      </c>
      <c r="Z118" s="14" t="n">
        <f aca="false">Z110+Z115+Z117</f>
        <v>20618</v>
      </c>
    </row>
    <row r="120" customFormat="false" ht="13.9" hidden="false" customHeight="true" outlineLevel="0" collapsed="false">
      <c r="D120" s="28" t="s">
        <v>156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customFormat="false" ht="13.9" hidden="false" customHeight="true" outlineLevel="0" collapsed="false">
      <c r="D121" s="7" t="s">
        <v>33</v>
      </c>
      <c r="E121" s="7" t="s">
        <v>34</v>
      </c>
      <c r="F121" s="7" t="s">
        <v>35</v>
      </c>
      <c r="G121" s="7" t="s">
        <v>1</v>
      </c>
      <c r="H121" s="7" t="s">
        <v>2</v>
      </c>
      <c r="I121" s="7" t="s">
        <v>3</v>
      </c>
      <c r="J121" s="7" t="s">
        <v>4</v>
      </c>
      <c r="K121" s="7" t="s">
        <v>5</v>
      </c>
      <c r="L121" s="7" t="s">
        <v>6</v>
      </c>
      <c r="M121" s="7" t="s">
        <v>7</v>
      </c>
      <c r="N121" s="7" t="s">
        <v>8</v>
      </c>
      <c r="O121" s="7" t="s">
        <v>9</v>
      </c>
      <c r="P121" s="7" t="s">
        <v>10</v>
      </c>
      <c r="Q121" s="7" t="s">
        <v>11</v>
      </c>
      <c r="R121" s="8" t="s">
        <v>12</v>
      </c>
      <c r="S121" s="7" t="s">
        <v>13</v>
      </c>
      <c r="T121" s="8" t="s">
        <v>14</v>
      </c>
      <c r="U121" s="7" t="s">
        <v>15</v>
      </c>
      <c r="V121" s="8" t="s">
        <v>16</v>
      </c>
      <c r="W121" s="7" t="s">
        <v>17</v>
      </c>
      <c r="X121" s="8" t="s">
        <v>18</v>
      </c>
      <c r="Y121" s="7" t="s">
        <v>19</v>
      </c>
      <c r="Z121" s="7" t="s">
        <v>20</v>
      </c>
    </row>
    <row r="122" customFormat="false" ht="13.9" hidden="false" customHeight="true" outlineLevel="0" collapsed="false">
      <c r="A122" s="1" t="n">
        <v>1</v>
      </c>
      <c r="B122" s="1" t="n">
        <v>2</v>
      </c>
      <c r="D122" s="10" t="s">
        <v>128</v>
      </c>
      <c r="E122" s="10" t="n">
        <v>640</v>
      </c>
      <c r="F122" s="10" t="s">
        <v>92</v>
      </c>
      <c r="G122" s="11" t="n">
        <v>2935.08</v>
      </c>
      <c r="H122" s="11" t="n">
        <v>3612.98</v>
      </c>
      <c r="I122" s="11" t="n">
        <v>3636</v>
      </c>
      <c r="J122" s="11" t="n">
        <v>3636</v>
      </c>
      <c r="K122" s="11" t="n">
        <f aca="false">príjmy!H107+príjmy!H108</f>
        <v>3636</v>
      </c>
      <c r="L122" s="11"/>
      <c r="M122" s="11" t="n">
        <v>1084</v>
      </c>
      <c r="N122" s="11"/>
      <c r="O122" s="11"/>
      <c r="P122" s="11" t="n">
        <f aca="false">K122+SUM(L122:O122)</f>
        <v>4720</v>
      </c>
      <c r="Q122" s="11" t="n">
        <v>0</v>
      </c>
      <c r="R122" s="12" t="n">
        <f aca="false">Q122/$P122</f>
        <v>0</v>
      </c>
      <c r="S122" s="11" t="n">
        <v>4719.74</v>
      </c>
      <c r="T122" s="12" t="n">
        <f aca="false">S122/$P122</f>
        <v>0.999944915254237</v>
      </c>
      <c r="U122" s="11" t="n">
        <v>4719.74</v>
      </c>
      <c r="V122" s="12" t="n">
        <f aca="false">U122/$P122</f>
        <v>0.999944915254237</v>
      </c>
      <c r="W122" s="11" t="n">
        <v>4719.74</v>
      </c>
      <c r="X122" s="12" t="n">
        <f aca="false">W122/$P122</f>
        <v>0.999944915254237</v>
      </c>
      <c r="Y122" s="11" t="n">
        <f aca="false">príjmy!V107+príjmy!V108</f>
        <v>3636</v>
      </c>
      <c r="Z122" s="11" t="n">
        <f aca="false">príjmy!W107+príjmy!W108</f>
        <v>3636</v>
      </c>
    </row>
    <row r="123" customFormat="false" ht="13.9" hidden="false" customHeight="true" outlineLevel="0" collapsed="false">
      <c r="A123" s="1" t="n">
        <v>1</v>
      </c>
      <c r="B123" s="1" t="n">
        <v>2</v>
      </c>
      <c r="D123" s="77" t="s">
        <v>21</v>
      </c>
      <c r="E123" s="35" t="n">
        <v>111</v>
      </c>
      <c r="F123" s="35" t="s">
        <v>134</v>
      </c>
      <c r="G123" s="36" t="n">
        <f aca="false">SUM(G122)</f>
        <v>2935.08</v>
      </c>
      <c r="H123" s="36" t="n">
        <f aca="false">SUM(H122)</f>
        <v>3612.98</v>
      </c>
      <c r="I123" s="36" t="n">
        <f aca="false">SUM(I122)</f>
        <v>3636</v>
      </c>
      <c r="J123" s="36" t="n">
        <f aca="false">SUM(J122)</f>
        <v>3636</v>
      </c>
      <c r="K123" s="36" t="n">
        <f aca="false">SUM(K122)</f>
        <v>3636</v>
      </c>
      <c r="L123" s="36" t="n">
        <f aca="false">SUM(L122)</f>
        <v>0</v>
      </c>
      <c r="M123" s="36" t="n">
        <f aca="false">SUM(M122)</f>
        <v>1084</v>
      </c>
      <c r="N123" s="36" t="n">
        <f aca="false">SUM(N122)</f>
        <v>0</v>
      </c>
      <c r="O123" s="36" t="n">
        <f aca="false">SUM(O122)</f>
        <v>0</v>
      </c>
      <c r="P123" s="36" t="n">
        <f aca="false">SUM(P122)</f>
        <v>4720</v>
      </c>
      <c r="Q123" s="36" t="n">
        <f aca="false">SUM(Q122)</f>
        <v>0</v>
      </c>
      <c r="R123" s="37" t="n">
        <f aca="false">Q123/$P123</f>
        <v>0</v>
      </c>
      <c r="S123" s="36" t="n">
        <f aca="false">SUM(S122)</f>
        <v>4719.74</v>
      </c>
      <c r="T123" s="37" t="n">
        <f aca="false">S123/$P123</f>
        <v>0.999944915254237</v>
      </c>
      <c r="U123" s="36" t="n">
        <f aca="false">SUM(U122)</f>
        <v>4719.74</v>
      </c>
      <c r="V123" s="37" t="n">
        <f aca="false">U123/$P123</f>
        <v>0.999944915254237</v>
      </c>
      <c r="W123" s="36" t="n">
        <f aca="false">SUM(W122)</f>
        <v>4719.74</v>
      </c>
      <c r="X123" s="37" t="n">
        <f aca="false">W123/$P123</f>
        <v>0.999944915254237</v>
      </c>
      <c r="Y123" s="36" t="n">
        <f aca="false">SUM(Y122)</f>
        <v>3636</v>
      </c>
      <c r="Z123" s="36" t="n">
        <f aca="false">SUM(Z122)</f>
        <v>3636</v>
      </c>
    </row>
    <row r="124" customFormat="false" ht="13.9" hidden="false" customHeight="true" outlineLevel="0" collapsed="false">
      <c r="A124" s="1" t="n">
        <v>1</v>
      </c>
      <c r="B124" s="1" t="n">
        <v>2</v>
      </c>
      <c r="D124" s="30" t="s">
        <v>157</v>
      </c>
      <c r="E124" s="10" t="n">
        <v>640</v>
      </c>
      <c r="F124" s="10" t="s">
        <v>158</v>
      </c>
      <c r="G124" s="11" t="n">
        <v>367</v>
      </c>
      <c r="H124" s="11" t="n">
        <v>211.42</v>
      </c>
      <c r="I124" s="11" t="n">
        <v>322</v>
      </c>
      <c r="J124" s="11" t="n">
        <v>369</v>
      </c>
      <c r="K124" s="11" t="n">
        <v>216</v>
      </c>
      <c r="L124" s="11"/>
      <c r="M124" s="11"/>
      <c r="N124" s="11"/>
      <c r="O124" s="11"/>
      <c r="P124" s="11" t="n">
        <f aca="false">K124+SUM(L124:O124)</f>
        <v>216</v>
      </c>
      <c r="Q124" s="11" t="n">
        <v>107.79</v>
      </c>
      <c r="R124" s="12" t="n">
        <f aca="false">Q124/$P124</f>
        <v>0.499027777777778</v>
      </c>
      <c r="S124" s="11" t="n">
        <v>107.79</v>
      </c>
      <c r="T124" s="12" t="n">
        <f aca="false">S124/$P124</f>
        <v>0.499027777777778</v>
      </c>
      <c r="U124" s="11" t="n">
        <v>215.58</v>
      </c>
      <c r="V124" s="12" t="n">
        <f aca="false">U124/$P124</f>
        <v>0.998055555555556</v>
      </c>
      <c r="W124" s="11" t="n">
        <v>215.58</v>
      </c>
      <c r="X124" s="12" t="n">
        <f aca="false">W124/$P124</f>
        <v>0.998055555555556</v>
      </c>
      <c r="Y124" s="11" t="n">
        <f aca="false">K124</f>
        <v>216</v>
      </c>
      <c r="Z124" s="11" t="n">
        <f aca="false">Y124</f>
        <v>216</v>
      </c>
    </row>
    <row r="125" customFormat="false" ht="13.9" hidden="false" customHeight="true" outlineLevel="0" collapsed="false">
      <c r="A125" s="1" t="n">
        <v>1</v>
      </c>
      <c r="B125" s="1" t="n">
        <v>2</v>
      </c>
      <c r="D125" s="10" t="s">
        <v>128</v>
      </c>
      <c r="E125" s="10" t="n">
        <v>640</v>
      </c>
      <c r="F125" s="10" t="s">
        <v>92</v>
      </c>
      <c r="G125" s="11" t="n">
        <v>5868.38</v>
      </c>
      <c r="H125" s="11" t="n">
        <v>6457.97</v>
      </c>
      <c r="I125" s="11" t="n">
        <v>7022</v>
      </c>
      <c r="J125" s="11" t="n">
        <v>7331</v>
      </c>
      <c r="K125" s="11" t="n">
        <f aca="false">14746-K122</f>
        <v>11110</v>
      </c>
      <c r="L125" s="11"/>
      <c r="M125" s="11" t="n">
        <v>-1084</v>
      </c>
      <c r="N125" s="11"/>
      <c r="O125" s="11"/>
      <c r="P125" s="11" t="n">
        <f aca="false">K125+SUM(L125:O125)</f>
        <v>10026</v>
      </c>
      <c r="Q125" s="11" t="n">
        <v>3686.5</v>
      </c>
      <c r="R125" s="12" t="n">
        <f aca="false">Q125/$P125</f>
        <v>0.36769399561141</v>
      </c>
      <c r="S125" s="11" t="n">
        <v>2653.26</v>
      </c>
      <c r="T125" s="12" t="n">
        <f aca="false">S125/$P125</f>
        <v>0.264637941352484</v>
      </c>
      <c r="U125" s="11" t="n">
        <v>6339.76</v>
      </c>
      <c r="V125" s="12" t="n">
        <f aca="false">U125/$P125</f>
        <v>0.632331936963894</v>
      </c>
      <c r="W125" s="11" t="n">
        <v>10026.26</v>
      </c>
      <c r="X125" s="12" t="n">
        <f aca="false">W125/$P125</f>
        <v>1.0000259325753</v>
      </c>
      <c r="Y125" s="11" t="n">
        <f aca="false">K125</f>
        <v>11110</v>
      </c>
      <c r="Z125" s="11" t="n">
        <f aca="false">Y125</f>
        <v>11110</v>
      </c>
    </row>
    <row r="126" customFormat="false" ht="13.9" hidden="false" customHeight="true" outlineLevel="0" collapsed="false">
      <c r="A126" s="1" t="n">
        <v>1</v>
      </c>
      <c r="B126" s="1" t="n">
        <v>2</v>
      </c>
      <c r="D126" s="77" t="s">
        <v>21</v>
      </c>
      <c r="E126" s="35" t="n">
        <v>41</v>
      </c>
      <c r="F126" s="35" t="s">
        <v>23</v>
      </c>
      <c r="G126" s="36" t="n">
        <f aca="false">SUM(G124:G125)</f>
        <v>6235.38</v>
      </c>
      <c r="H126" s="36" t="n">
        <f aca="false">SUM(H124:H125)</f>
        <v>6669.39</v>
      </c>
      <c r="I126" s="36" t="n">
        <f aca="false">SUM(I124:I125)</f>
        <v>7344</v>
      </c>
      <c r="J126" s="36" t="n">
        <f aca="false">SUM(J124:J125)</f>
        <v>7700</v>
      </c>
      <c r="K126" s="36" t="n">
        <f aca="false">SUM(K124:K125)</f>
        <v>11326</v>
      </c>
      <c r="L126" s="36" t="n">
        <f aca="false">SUM(L124:L125)</f>
        <v>0</v>
      </c>
      <c r="M126" s="36" t="n">
        <f aca="false">SUM(M124:M125)</f>
        <v>-1084</v>
      </c>
      <c r="N126" s="36" t="n">
        <f aca="false">SUM(N124:N125)</f>
        <v>0</v>
      </c>
      <c r="O126" s="36" t="n">
        <f aca="false">SUM(O124:O125)</f>
        <v>0</v>
      </c>
      <c r="P126" s="36" t="n">
        <f aca="false">SUM(P124:P125)</f>
        <v>10242</v>
      </c>
      <c r="Q126" s="36" t="n">
        <f aca="false">SUM(Q124:Q125)</f>
        <v>3794.29</v>
      </c>
      <c r="R126" s="37" t="n">
        <f aca="false">Q126/$P126</f>
        <v>0.370463776606132</v>
      </c>
      <c r="S126" s="36" t="n">
        <f aca="false">SUM(S124:S125)</f>
        <v>2761.05</v>
      </c>
      <c r="T126" s="37" t="n">
        <f aca="false">S126/$P126</f>
        <v>0.269581136496778</v>
      </c>
      <c r="U126" s="36" t="n">
        <f aca="false">SUM(U124:U125)</f>
        <v>6555.34</v>
      </c>
      <c r="V126" s="37" t="n">
        <f aca="false">U126/$P126</f>
        <v>0.64004491310291</v>
      </c>
      <c r="W126" s="36" t="n">
        <f aca="false">SUM(W124:W125)</f>
        <v>10241.84</v>
      </c>
      <c r="X126" s="37" t="n">
        <f aca="false">W126/$P126</f>
        <v>0.999984378051162</v>
      </c>
      <c r="Y126" s="36" t="n">
        <f aca="false">SUM(Y124:Y125)</f>
        <v>11326</v>
      </c>
      <c r="Z126" s="36" t="n">
        <f aca="false">SUM(Z124:Z125)</f>
        <v>11326</v>
      </c>
    </row>
    <row r="127" customFormat="false" ht="13.9" hidden="false" customHeight="true" outlineLevel="0" collapsed="false">
      <c r="A127" s="1" t="n">
        <v>1</v>
      </c>
      <c r="B127" s="1" t="n">
        <v>2</v>
      </c>
      <c r="D127" s="17"/>
      <c r="E127" s="18"/>
      <c r="F127" s="13" t="s">
        <v>124</v>
      </c>
      <c r="G127" s="14" t="n">
        <f aca="false">G123+G126</f>
        <v>9170.46</v>
      </c>
      <c r="H127" s="14" t="n">
        <f aca="false">H123+H126</f>
        <v>10282.37</v>
      </c>
      <c r="I127" s="14" t="n">
        <f aca="false">I123+I126</f>
        <v>10980</v>
      </c>
      <c r="J127" s="14" t="n">
        <f aca="false">J123+J126</f>
        <v>11336</v>
      </c>
      <c r="K127" s="14" t="n">
        <f aca="false">K123+K126</f>
        <v>14962</v>
      </c>
      <c r="L127" s="14" t="n">
        <f aca="false">L123+L126</f>
        <v>0</v>
      </c>
      <c r="M127" s="14" t="n">
        <f aca="false">M123+M126</f>
        <v>0</v>
      </c>
      <c r="N127" s="14" t="n">
        <f aca="false">N123+N126</f>
        <v>0</v>
      </c>
      <c r="O127" s="14" t="n">
        <f aca="false">O123+O126</f>
        <v>0</v>
      </c>
      <c r="P127" s="14" t="n">
        <f aca="false">P123+P126</f>
        <v>14962</v>
      </c>
      <c r="Q127" s="14" t="n">
        <f aca="false">Q123+Q126</f>
        <v>3794.29</v>
      </c>
      <c r="R127" s="15" t="n">
        <f aca="false">Q127/$P127</f>
        <v>0.253595107605935</v>
      </c>
      <c r="S127" s="14" t="n">
        <f aca="false">S123+S126</f>
        <v>7480.79</v>
      </c>
      <c r="T127" s="15" t="n">
        <f aca="false">S127/$P127</f>
        <v>0.499985964443256</v>
      </c>
      <c r="U127" s="14" t="n">
        <f aca="false">U123+U126</f>
        <v>11275.08</v>
      </c>
      <c r="V127" s="15" t="n">
        <f aca="false">U127/$P127</f>
        <v>0.753581072049191</v>
      </c>
      <c r="W127" s="14" t="n">
        <f aca="false">W123+W126</f>
        <v>14961.58</v>
      </c>
      <c r="X127" s="15" t="n">
        <f aca="false">W127/$P127</f>
        <v>0.999971928886512</v>
      </c>
      <c r="Y127" s="14" t="n">
        <f aca="false">Y123+Y126</f>
        <v>14962</v>
      </c>
      <c r="Z127" s="14" t="n">
        <f aca="false">Z123+Z126</f>
        <v>14962</v>
      </c>
    </row>
    <row r="129" customFormat="false" ht="13.9" hidden="false" customHeight="true" outlineLevel="0" collapsed="false">
      <c r="D129" s="28" t="s">
        <v>159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customFormat="false" ht="13.9" hidden="false" customHeight="true" outlineLevel="0" collapsed="false">
      <c r="D130" s="7" t="s">
        <v>33</v>
      </c>
      <c r="E130" s="7" t="s">
        <v>34</v>
      </c>
      <c r="F130" s="7" t="s">
        <v>35</v>
      </c>
      <c r="G130" s="7" t="s">
        <v>1</v>
      </c>
      <c r="H130" s="7" t="s">
        <v>2</v>
      </c>
      <c r="I130" s="7" t="s">
        <v>3</v>
      </c>
      <c r="J130" s="7" t="s">
        <v>4</v>
      </c>
      <c r="K130" s="7" t="s">
        <v>5</v>
      </c>
      <c r="L130" s="7" t="s">
        <v>6</v>
      </c>
      <c r="M130" s="7" t="s">
        <v>7</v>
      </c>
      <c r="N130" s="7" t="s">
        <v>8</v>
      </c>
      <c r="O130" s="7" t="s">
        <v>9</v>
      </c>
      <c r="P130" s="7" t="s">
        <v>10</v>
      </c>
      <c r="Q130" s="7" t="s">
        <v>11</v>
      </c>
      <c r="R130" s="8" t="s">
        <v>12</v>
      </c>
      <c r="S130" s="7" t="s">
        <v>13</v>
      </c>
      <c r="T130" s="8" t="s">
        <v>14</v>
      </c>
      <c r="U130" s="7" t="s">
        <v>15</v>
      </c>
      <c r="V130" s="8" t="s">
        <v>16</v>
      </c>
      <c r="W130" s="7" t="s">
        <v>17</v>
      </c>
      <c r="X130" s="8" t="s">
        <v>18</v>
      </c>
      <c r="Y130" s="7" t="s">
        <v>19</v>
      </c>
      <c r="Z130" s="7" t="s">
        <v>20</v>
      </c>
    </row>
    <row r="131" customFormat="false" ht="13.9" hidden="false" customHeight="true" outlineLevel="0" collapsed="false">
      <c r="A131" s="1" t="n">
        <v>1</v>
      </c>
      <c r="B131" s="1" t="n">
        <v>3</v>
      </c>
      <c r="D131" s="10" t="s">
        <v>160</v>
      </c>
      <c r="E131" s="10" t="n">
        <v>630</v>
      </c>
      <c r="F131" s="10" t="s">
        <v>161</v>
      </c>
      <c r="G131" s="11" t="n">
        <v>2441.6</v>
      </c>
      <c r="H131" s="11" t="n">
        <v>10535.39</v>
      </c>
      <c r="I131" s="11" t="n">
        <v>1800</v>
      </c>
      <c r="J131" s="11" t="n">
        <v>300</v>
      </c>
      <c r="K131" s="11" t="n">
        <v>10300</v>
      </c>
      <c r="L131" s="11"/>
      <c r="M131" s="11"/>
      <c r="N131" s="11" t="n">
        <f aca="false">557+6000</f>
        <v>6557</v>
      </c>
      <c r="O131" s="11"/>
      <c r="P131" s="11" t="n">
        <f aca="false">K131+SUM(L131:O131)</f>
        <v>16857</v>
      </c>
      <c r="Q131" s="11" t="n">
        <v>3318.62</v>
      </c>
      <c r="R131" s="12" t="n">
        <f aca="false">Q131/$P131</f>
        <v>0.196868956516581</v>
      </c>
      <c r="S131" s="11" t="n">
        <v>3318.62</v>
      </c>
      <c r="T131" s="12" t="n">
        <f aca="false">S131/$P131</f>
        <v>0.196868956516581</v>
      </c>
      <c r="U131" s="11" t="n">
        <v>8556.96</v>
      </c>
      <c r="V131" s="12" t="n">
        <f aca="false">U131/$P131</f>
        <v>0.507620573055704</v>
      </c>
      <c r="W131" s="11" t="n">
        <v>9816.96</v>
      </c>
      <c r="X131" s="12" t="n">
        <f aca="false">W131/$P131</f>
        <v>0.582366969211603</v>
      </c>
      <c r="Y131" s="11" t="n">
        <v>300</v>
      </c>
      <c r="Z131" s="11" t="n">
        <f aca="false">Y131</f>
        <v>300</v>
      </c>
    </row>
    <row r="132" customFormat="false" ht="13.9" hidden="false" customHeight="true" outlineLevel="0" collapsed="false">
      <c r="A132" s="1" t="n">
        <v>1</v>
      </c>
      <c r="B132" s="1" t="n">
        <v>3</v>
      </c>
      <c r="D132" s="68" t="s">
        <v>162</v>
      </c>
      <c r="E132" s="10" t="n">
        <v>630</v>
      </c>
      <c r="F132" s="10" t="s">
        <v>163</v>
      </c>
      <c r="G132" s="11" t="n">
        <v>187</v>
      </c>
      <c r="H132" s="11" t="n">
        <v>462</v>
      </c>
      <c r="I132" s="11" t="n">
        <v>253</v>
      </c>
      <c r="J132" s="11" t="n">
        <v>161</v>
      </c>
      <c r="K132" s="11" t="n">
        <v>0</v>
      </c>
      <c r="L132" s="11"/>
      <c r="M132" s="11"/>
      <c r="N132" s="11"/>
      <c r="O132" s="11"/>
      <c r="P132" s="11" t="n">
        <f aca="false">K132+SUM(L132:O132)</f>
        <v>0</v>
      </c>
      <c r="Q132" s="11" t="n">
        <v>0</v>
      </c>
      <c r="R132" s="12" t="e">
        <f aca="false">Q132/$P132</f>
        <v>#DIV/0!</v>
      </c>
      <c r="S132" s="11" t="n">
        <v>0</v>
      </c>
      <c r="T132" s="12" t="e">
        <f aca="false">S132/$P132</f>
        <v>#DIV/0!</v>
      </c>
      <c r="U132" s="11" t="n">
        <v>0</v>
      </c>
      <c r="V132" s="12" t="e">
        <f aca="false">U132/$P132</f>
        <v>#DIV/0!</v>
      </c>
      <c r="W132" s="11" t="n">
        <v>0</v>
      </c>
      <c r="X132" s="12" t="e">
        <f aca="false">W132/$P132</f>
        <v>#DIV/0!</v>
      </c>
      <c r="Y132" s="11" t="n">
        <f aca="false">K132</f>
        <v>0</v>
      </c>
      <c r="Z132" s="11" t="n">
        <f aca="false">Y132</f>
        <v>0</v>
      </c>
    </row>
    <row r="133" customFormat="false" ht="13.9" hidden="false" customHeight="true" outlineLevel="0" collapsed="false">
      <c r="A133" s="1" t="n">
        <v>1</v>
      </c>
      <c r="B133" s="1" t="n">
        <v>3</v>
      </c>
      <c r="D133" s="38" t="s">
        <v>128</v>
      </c>
      <c r="E133" s="10" t="n">
        <v>620</v>
      </c>
      <c r="F133" s="10" t="s">
        <v>130</v>
      </c>
      <c r="G133" s="11" t="n">
        <v>37.72</v>
      </c>
      <c r="H133" s="11" t="n">
        <v>40.65</v>
      </c>
      <c r="I133" s="11" t="n">
        <v>0</v>
      </c>
      <c r="J133" s="11" t="n">
        <v>0</v>
      </c>
      <c r="K133" s="11" t="n">
        <v>0</v>
      </c>
      <c r="L133" s="11"/>
      <c r="M133" s="11"/>
      <c r="N133" s="11"/>
      <c r="O133" s="11"/>
      <c r="P133" s="11" t="n">
        <f aca="false">K133+SUM(L133:O133)</f>
        <v>0</v>
      </c>
      <c r="Q133" s="11" t="n">
        <v>0</v>
      </c>
      <c r="R133" s="12" t="e">
        <f aca="false">Q133/$P133</f>
        <v>#DIV/0!</v>
      </c>
      <c r="S133" s="11" t="n">
        <v>0</v>
      </c>
      <c r="T133" s="12" t="e">
        <f aca="false">S133/$P133</f>
        <v>#DIV/0!</v>
      </c>
      <c r="U133" s="11" t="n">
        <v>0</v>
      </c>
      <c r="V133" s="12" t="e">
        <f aca="false">U133/$P133</f>
        <v>#DIV/0!</v>
      </c>
      <c r="W133" s="11" t="n">
        <v>0</v>
      </c>
      <c r="X133" s="12" t="e">
        <f aca="false">W133/$P133</f>
        <v>#DIV/0!</v>
      </c>
      <c r="Y133" s="11" t="n">
        <v>0</v>
      </c>
      <c r="Z133" s="11" t="n">
        <v>0</v>
      </c>
    </row>
    <row r="134" customFormat="false" ht="13.9" hidden="false" customHeight="true" outlineLevel="0" collapsed="false">
      <c r="A134" s="1" t="n">
        <v>1</v>
      </c>
      <c r="B134" s="1" t="n">
        <v>3</v>
      </c>
      <c r="D134" s="38" t="s">
        <v>128</v>
      </c>
      <c r="E134" s="10" t="n">
        <v>630</v>
      </c>
      <c r="F134" s="10" t="s">
        <v>131</v>
      </c>
      <c r="G134" s="11" t="n">
        <v>5674.25</v>
      </c>
      <c r="H134" s="11" t="n">
        <v>4685.15</v>
      </c>
      <c r="I134" s="11" t="n">
        <v>3281</v>
      </c>
      <c r="J134" s="11" t="n">
        <v>1859</v>
      </c>
      <c r="K134" s="11" t="n">
        <v>7135</v>
      </c>
      <c r="L134" s="11"/>
      <c r="M134" s="11"/>
      <c r="N134" s="11"/>
      <c r="O134" s="11"/>
      <c r="P134" s="11" t="n">
        <f aca="false">K134+SUM(L134:O134)</f>
        <v>7135</v>
      </c>
      <c r="Q134" s="11" t="n">
        <v>829</v>
      </c>
      <c r="R134" s="12" t="n">
        <f aca="false">Q134/$P134</f>
        <v>0.116187806587246</v>
      </c>
      <c r="S134" s="11" t="n">
        <v>1149.6</v>
      </c>
      <c r="T134" s="12" t="n">
        <f aca="false">S134/$P134</f>
        <v>0.161121233356692</v>
      </c>
      <c r="U134" s="11" t="n">
        <v>2749.18</v>
      </c>
      <c r="V134" s="12" t="n">
        <f aca="false">U134/$P134</f>
        <v>0.385309039943938</v>
      </c>
      <c r="W134" s="11" t="n">
        <v>3703.18</v>
      </c>
      <c r="X134" s="12" t="n">
        <f aca="false">W134/$P134</f>
        <v>0.519016117729502</v>
      </c>
      <c r="Y134" s="11" t="n">
        <v>1865</v>
      </c>
      <c r="Z134" s="11" t="n">
        <f aca="false">Y134</f>
        <v>1865</v>
      </c>
    </row>
    <row r="135" customFormat="false" ht="13.9" hidden="false" customHeight="true" outlineLevel="0" collapsed="false">
      <c r="A135" s="1" t="n">
        <v>1</v>
      </c>
      <c r="B135" s="1" t="n">
        <v>3</v>
      </c>
      <c r="D135" s="67" t="s">
        <v>21</v>
      </c>
      <c r="E135" s="13" t="n">
        <v>41</v>
      </c>
      <c r="F135" s="13" t="s">
        <v>23</v>
      </c>
      <c r="G135" s="14" t="n">
        <f aca="false">SUM(G131:G134)</f>
        <v>8340.57</v>
      </c>
      <c r="H135" s="14" t="n">
        <f aca="false">SUM(H131:H134)</f>
        <v>15723.19</v>
      </c>
      <c r="I135" s="14" t="n">
        <f aca="false">SUM(I131:I134)</f>
        <v>5334</v>
      </c>
      <c r="J135" s="14" t="n">
        <f aca="false">SUM(J131:J134)</f>
        <v>2320</v>
      </c>
      <c r="K135" s="14" t="n">
        <f aca="false">SUM(K131:K134)</f>
        <v>17435</v>
      </c>
      <c r="L135" s="14" t="n">
        <f aca="false">SUM(L131:L134)</f>
        <v>0</v>
      </c>
      <c r="M135" s="14" t="n">
        <f aca="false">SUM(M131:M134)</f>
        <v>0</v>
      </c>
      <c r="N135" s="14" t="n">
        <f aca="false">SUM(N131:N134)</f>
        <v>6557</v>
      </c>
      <c r="O135" s="14" t="n">
        <f aca="false">SUM(O131:O134)</f>
        <v>0</v>
      </c>
      <c r="P135" s="14" t="n">
        <f aca="false">SUM(P131:P134)</f>
        <v>23992</v>
      </c>
      <c r="Q135" s="14" t="n">
        <f aca="false">SUM(Q131:Q134)</f>
        <v>4147.62</v>
      </c>
      <c r="R135" s="15" t="n">
        <f aca="false">Q135/$P135</f>
        <v>0.172875125041681</v>
      </c>
      <c r="S135" s="14" t="n">
        <f aca="false">SUM(S131:S134)</f>
        <v>4468.22</v>
      </c>
      <c r="T135" s="15" t="n">
        <f aca="false">S135/$P135</f>
        <v>0.186237912637546</v>
      </c>
      <c r="U135" s="14" t="n">
        <f aca="false">SUM(U131:U134)</f>
        <v>11306.14</v>
      </c>
      <c r="V135" s="15" t="n">
        <f aca="false">U135/$P135</f>
        <v>0.471246248749583</v>
      </c>
      <c r="W135" s="14" t="n">
        <f aca="false">SUM(W131:W134)</f>
        <v>13520.14</v>
      </c>
      <c r="X135" s="15" t="n">
        <f aca="false">W135/$P135</f>
        <v>0.563527009003001</v>
      </c>
      <c r="Y135" s="14" t="n">
        <f aca="false">SUM(Y131:Y134)</f>
        <v>2165</v>
      </c>
      <c r="Z135" s="14" t="n">
        <f aca="false">SUM(Z131:Z134)</f>
        <v>2165</v>
      </c>
    </row>
    <row r="137" customFormat="false" ht="13.9" hidden="false" customHeight="true" outlineLevel="0" collapsed="false">
      <c r="E137" s="39" t="s">
        <v>57</v>
      </c>
      <c r="F137" s="17" t="s">
        <v>149</v>
      </c>
      <c r="G137" s="40" t="n">
        <v>583</v>
      </c>
      <c r="H137" s="40" t="n">
        <v>1122</v>
      </c>
      <c r="I137" s="40" t="n">
        <v>836</v>
      </c>
      <c r="J137" s="40" t="n">
        <v>744</v>
      </c>
      <c r="K137" s="40" t="n">
        <v>585</v>
      </c>
      <c r="L137" s="40"/>
      <c r="M137" s="40" t="n">
        <v>-46</v>
      </c>
      <c r="N137" s="40"/>
      <c r="O137" s="40"/>
      <c r="P137" s="40" t="n">
        <f aca="false">K137+SUM(L137:O137)</f>
        <v>539</v>
      </c>
      <c r="Q137" s="40" t="n">
        <v>98</v>
      </c>
      <c r="R137" s="41" t="n">
        <f aca="false">Q137/$P137</f>
        <v>0.181818181818182</v>
      </c>
      <c r="S137" s="40" t="n">
        <v>245</v>
      </c>
      <c r="T137" s="41" t="n">
        <f aca="false">S137/$P137</f>
        <v>0.454545454545455</v>
      </c>
      <c r="U137" s="40" t="n">
        <v>392</v>
      </c>
      <c r="V137" s="41" t="n">
        <f aca="false">U137/$P137</f>
        <v>0.727272727272727</v>
      </c>
      <c r="W137" s="40" t="n">
        <v>539</v>
      </c>
      <c r="X137" s="42" t="n">
        <f aca="false">W137/$P137</f>
        <v>1</v>
      </c>
      <c r="Y137" s="40" t="n">
        <f aca="false">K137</f>
        <v>585</v>
      </c>
      <c r="Z137" s="43" t="n">
        <f aca="false">Y137</f>
        <v>585</v>
      </c>
    </row>
    <row r="138" customFormat="false" ht="13.9" hidden="false" customHeight="true" outlineLevel="0" collapsed="false">
      <c r="E138" s="44"/>
      <c r="F138" s="1" t="s">
        <v>150</v>
      </c>
      <c r="G138" s="46" t="n">
        <v>1144</v>
      </c>
      <c r="H138" s="46" t="n">
        <v>1260</v>
      </c>
      <c r="I138" s="46" t="n">
        <v>216</v>
      </c>
      <c r="J138" s="46" t="n">
        <v>216</v>
      </c>
      <c r="K138" s="46" t="n">
        <v>220</v>
      </c>
      <c r="L138" s="46"/>
      <c r="M138" s="46" t="n">
        <v>200</v>
      </c>
      <c r="N138" s="46"/>
      <c r="O138" s="46"/>
      <c r="P138" s="46" t="n">
        <f aca="false">K138+SUM(L138:O138)</f>
        <v>420</v>
      </c>
      <c r="Q138" s="46" t="n">
        <v>105</v>
      </c>
      <c r="R138" s="2" t="n">
        <f aca="false">Q138/$P138</f>
        <v>0.25</v>
      </c>
      <c r="S138" s="46" t="n">
        <v>210</v>
      </c>
      <c r="T138" s="2" t="n">
        <f aca="false">S138/$P138</f>
        <v>0.5</v>
      </c>
      <c r="U138" s="46" t="n">
        <v>315</v>
      </c>
      <c r="V138" s="2" t="n">
        <f aca="false">U138/$P138</f>
        <v>0.75</v>
      </c>
      <c r="W138" s="46" t="n">
        <v>420</v>
      </c>
      <c r="X138" s="47" t="n">
        <f aca="false">W138/$P138</f>
        <v>1</v>
      </c>
      <c r="Y138" s="46" t="n">
        <f aca="false">K138</f>
        <v>220</v>
      </c>
      <c r="Z138" s="48" t="n">
        <f aca="false">Y138</f>
        <v>220</v>
      </c>
    </row>
    <row r="139" customFormat="false" ht="13.9" hidden="false" customHeight="true" outlineLevel="0" collapsed="false">
      <c r="E139" s="44"/>
      <c r="F139" s="45" t="s">
        <v>164</v>
      </c>
      <c r="G139" s="46" t="n">
        <v>0</v>
      </c>
      <c r="H139" s="46" t="n">
        <v>9977.39</v>
      </c>
      <c r="I139" s="46" t="n">
        <v>1200</v>
      </c>
      <c r="J139" s="46" t="n">
        <v>0</v>
      </c>
      <c r="K139" s="49" t="n">
        <v>10000</v>
      </c>
      <c r="L139" s="49"/>
      <c r="M139" s="49"/>
      <c r="N139" s="49" t="n">
        <f aca="false">557+6000</f>
        <v>6557</v>
      </c>
      <c r="O139" s="49"/>
      <c r="P139" s="49" t="n">
        <f aca="false">K139+SUM(L139:O139)</f>
        <v>16557</v>
      </c>
      <c r="Q139" s="49" t="n">
        <v>3318.62</v>
      </c>
      <c r="R139" s="50" t="n">
        <f aca="false">Q139/$P139</f>
        <v>0.200436069336232</v>
      </c>
      <c r="S139" s="49" t="n">
        <v>3318.62</v>
      </c>
      <c r="T139" s="50" t="n">
        <f aca="false">S139/$P139</f>
        <v>0.200436069336232</v>
      </c>
      <c r="U139" s="49" t="n">
        <v>8556.96</v>
      </c>
      <c r="V139" s="50" t="n">
        <f aca="false">U139/$P139</f>
        <v>0.516818264178293</v>
      </c>
      <c r="W139" s="49" t="n">
        <v>8556.96</v>
      </c>
      <c r="X139" s="51" t="n">
        <f aca="false">W139/$P139</f>
        <v>0.516818264178293</v>
      </c>
      <c r="Y139" s="46" t="n">
        <v>0</v>
      </c>
      <c r="Z139" s="48" t="n">
        <f aca="false">Y139</f>
        <v>0</v>
      </c>
    </row>
    <row r="140" customFormat="false" ht="13.9" hidden="false" customHeight="true" outlineLevel="0" collapsed="false">
      <c r="E140" s="44"/>
      <c r="F140" s="45" t="s">
        <v>165</v>
      </c>
      <c r="G140" s="49" t="n">
        <v>2959</v>
      </c>
      <c r="H140" s="49" t="n">
        <v>0</v>
      </c>
      <c r="I140" s="46" t="n">
        <v>1600</v>
      </c>
      <c r="J140" s="46" t="n">
        <v>0</v>
      </c>
      <c r="K140" s="49" t="n">
        <v>1000</v>
      </c>
      <c r="L140" s="49"/>
      <c r="M140" s="49"/>
      <c r="N140" s="49"/>
      <c r="O140" s="49"/>
      <c r="P140" s="49" t="n">
        <f aca="false">K140+SUM(L140:O140)</f>
        <v>1000</v>
      </c>
      <c r="Q140" s="49" t="n">
        <v>420</v>
      </c>
      <c r="R140" s="50" t="n">
        <f aca="false">Q140/$P140</f>
        <v>0.42</v>
      </c>
      <c r="S140" s="49" t="n">
        <v>420</v>
      </c>
      <c r="T140" s="50" t="n">
        <f aca="false">S140/$P140</f>
        <v>0.42</v>
      </c>
      <c r="U140" s="49" t="n">
        <v>420</v>
      </c>
      <c r="V140" s="50" t="n">
        <f aca="false">U140/$P140</f>
        <v>0.42</v>
      </c>
      <c r="W140" s="49" t="n">
        <v>660</v>
      </c>
      <c r="X140" s="51" t="n">
        <f aca="false">W140/$P140</f>
        <v>0.66</v>
      </c>
      <c r="Y140" s="46" t="n">
        <v>0</v>
      </c>
      <c r="Z140" s="48" t="n">
        <f aca="false">Y140</f>
        <v>0</v>
      </c>
    </row>
    <row r="141" customFormat="false" ht="13.9" hidden="false" customHeight="true" outlineLevel="0" collapsed="false">
      <c r="E141" s="52"/>
      <c r="F141" s="86" t="s">
        <v>166</v>
      </c>
      <c r="G141" s="54" t="n">
        <v>375.36</v>
      </c>
      <c r="H141" s="54" t="n">
        <v>596.76</v>
      </c>
      <c r="I141" s="54" t="n">
        <v>600</v>
      </c>
      <c r="J141" s="54" t="n">
        <v>733</v>
      </c>
      <c r="K141" s="73" t="n">
        <v>5000</v>
      </c>
      <c r="L141" s="73"/>
      <c r="M141" s="73"/>
      <c r="N141" s="73"/>
      <c r="O141" s="73"/>
      <c r="P141" s="73" t="n">
        <f aca="false">K141+SUM(L141:O141)</f>
        <v>5000</v>
      </c>
      <c r="Q141" s="73" t="n">
        <v>206</v>
      </c>
      <c r="R141" s="87" t="n">
        <f aca="false">Q141/$P141</f>
        <v>0.0412</v>
      </c>
      <c r="S141" s="73" t="n">
        <v>206</v>
      </c>
      <c r="T141" s="87" t="n">
        <f aca="false">S141/$P141</f>
        <v>0.0412</v>
      </c>
      <c r="U141" s="73" t="n">
        <v>1402.03</v>
      </c>
      <c r="V141" s="87" t="n">
        <f aca="false">U141/$P141</f>
        <v>0.280406</v>
      </c>
      <c r="W141" s="73" t="n">
        <v>1864.03</v>
      </c>
      <c r="X141" s="88" t="n">
        <f aca="false">W141/$P141</f>
        <v>0.372806</v>
      </c>
      <c r="Y141" s="54" t="n">
        <v>730</v>
      </c>
      <c r="Z141" s="57" t="n">
        <f aca="false">Y141</f>
        <v>730</v>
      </c>
    </row>
    <row r="142" customFormat="false" ht="13.9" hidden="false" customHeight="true" outlineLevel="0" collapsed="false"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S142" s="46"/>
      <c r="U142" s="46"/>
      <c r="W142" s="46"/>
      <c r="Y142" s="46"/>
      <c r="Z142" s="46"/>
    </row>
    <row r="143" customFormat="false" ht="13.9" hidden="false" customHeight="true" outlineLevel="0" collapsed="false">
      <c r="D143" s="28" t="s">
        <v>167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customFormat="false" ht="13.9" hidden="false" customHeight="true" outlineLevel="0" collapsed="false">
      <c r="D144" s="7" t="s">
        <v>33</v>
      </c>
      <c r="E144" s="7" t="s">
        <v>34</v>
      </c>
      <c r="F144" s="7" t="s">
        <v>35</v>
      </c>
      <c r="G144" s="7" t="s">
        <v>1</v>
      </c>
      <c r="H144" s="7" t="s">
        <v>2</v>
      </c>
      <c r="I144" s="7" t="s">
        <v>3</v>
      </c>
      <c r="J144" s="7" t="s">
        <v>4</v>
      </c>
      <c r="K144" s="7" t="s">
        <v>5</v>
      </c>
      <c r="L144" s="7" t="s">
        <v>6</v>
      </c>
      <c r="M144" s="7" t="s">
        <v>7</v>
      </c>
      <c r="N144" s="7" t="s">
        <v>8</v>
      </c>
      <c r="O144" s="7" t="s">
        <v>9</v>
      </c>
      <c r="P144" s="7" t="s">
        <v>10</v>
      </c>
      <c r="Q144" s="7" t="s">
        <v>11</v>
      </c>
      <c r="R144" s="8" t="s">
        <v>12</v>
      </c>
      <c r="S144" s="7" t="s">
        <v>13</v>
      </c>
      <c r="T144" s="8" t="s">
        <v>14</v>
      </c>
      <c r="U144" s="7" t="s">
        <v>15</v>
      </c>
      <c r="V144" s="8" t="s">
        <v>16</v>
      </c>
      <c r="W144" s="7" t="s">
        <v>17</v>
      </c>
      <c r="X144" s="8" t="s">
        <v>18</v>
      </c>
      <c r="Y144" s="7" t="s">
        <v>19</v>
      </c>
      <c r="Z144" s="7" t="s">
        <v>20</v>
      </c>
    </row>
    <row r="145" customFormat="false" ht="13.9" hidden="false" customHeight="true" outlineLevel="0" collapsed="false">
      <c r="A145" s="1" t="n">
        <v>1</v>
      </c>
      <c r="B145" s="1" t="n">
        <v>4</v>
      </c>
      <c r="D145" s="91" t="s">
        <v>168</v>
      </c>
      <c r="E145" s="92" t="n">
        <v>620</v>
      </c>
      <c r="F145" s="92" t="s">
        <v>130</v>
      </c>
      <c r="G145" s="33" t="n">
        <v>27.45</v>
      </c>
      <c r="H145" s="33" t="n">
        <v>50.81</v>
      </c>
      <c r="I145" s="33" t="n">
        <v>0</v>
      </c>
      <c r="J145" s="33" t="n">
        <v>110</v>
      </c>
      <c r="K145" s="33" t="n">
        <v>55</v>
      </c>
      <c r="L145" s="33" t="n">
        <v>2</v>
      </c>
      <c r="M145" s="33"/>
      <c r="N145" s="33"/>
      <c r="O145" s="33"/>
      <c r="P145" s="33" t="n">
        <f aca="false">K145+SUM(L145:O145)</f>
        <v>57</v>
      </c>
      <c r="Q145" s="33" t="n">
        <v>57.27</v>
      </c>
      <c r="R145" s="34" t="n">
        <f aca="false">Q145/$P145</f>
        <v>1.00473684210526</v>
      </c>
      <c r="S145" s="33" t="n">
        <v>57.27</v>
      </c>
      <c r="T145" s="34" t="n">
        <f aca="false">S145/$P145</f>
        <v>1.00473684210526</v>
      </c>
      <c r="U145" s="33" t="n">
        <v>57.27</v>
      </c>
      <c r="V145" s="34" t="n">
        <f aca="false">U145/$P145</f>
        <v>1.00473684210526</v>
      </c>
      <c r="W145" s="33" t="n">
        <v>57.27</v>
      </c>
      <c r="X145" s="34" t="n">
        <f aca="false">W145/$P145</f>
        <v>1.00473684210526</v>
      </c>
      <c r="Y145" s="11" t="n">
        <v>0</v>
      </c>
      <c r="Z145" s="11" t="n">
        <v>55</v>
      </c>
    </row>
    <row r="146" customFormat="false" ht="13.9" hidden="false" customHeight="true" outlineLevel="0" collapsed="false">
      <c r="A146" s="1" t="n">
        <v>1</v>
      </c>
      <c r="B146" s="1" t="n">
        <v>4</v>
      </c>
      <c r="D146" s="91"/>
      <c r="E146" s="92" t="n">
        <v>630</v>
      </c>
      <c r="F146" s="92" t="s">
        <v>131</v>
      </c>
      <c r="G146" s="33" t="n">
        <v>1301.35</v>
      </c>
      <c r="H146" s="33" t="n">
        <v>1494.77</v>
      </c>
      <c r="I146" s="33" t="n">
        <v>3000</v>
      </c>
      <c r="J146" s="33" t="n">
        <v>4336</v>
      </c>
      <c r="K146" s="33" t="n">
        <f aca="false">príjmy!H99-K145</f>
        <v>1445</v>
      </c>
      <c r="L146" s="33" t="n">
        <v>701</v>
      </c>
      <c r="M146" s="33" t="n">
        <v>5700</v>
      </c>
      <c r="N146" s="33"/>
      <c r="O146" s="33"/>
      <c r="P146" s="33" t="n">
        <f aca="false">K146+SUM(L146:O146)</f>
        <v>7846</v>
      </c>
      <c r="Q146" s="33" t="n">
        <v>1892.17</v>
      </c>
      <c r="R146" s="34" t="n">
        <f aca="false">Q146/$P146</f>
        <v>0.241163650267652</v>
      </c>
      <c r="S146" s="33" t="n">
        <v>2302.35</v>
      </c>
      <c r="T146" s="34" t="n">
        <f aca="false">S146/$P146</f>
        <v>0.293442518480755</v>
      </c>
      <c r="U146" s="33" t="n">
        <v>2302.35</v>
      </c>
      <c r="V146" s="34" t="n">
        <f aca="false">U146/$P146</f>
        <v>0.293442518480755</v>
      </c>
      <c r="W146" s="33" t="n">
        <f aca="false">2145.65+156.7</f>
        <v>2302.35</v>
      </c>
      <c r="X146" s="34" t="n">
        <f aca="false">W146/$P146</f>
        <v>0.293442518480755</v>
      </c>
      <c r="Y146" s="33" t="n">
        <f aca="false">príjmy!V99-Y145</f>
        <v>0</v>
      </c>
      <c r="Z146" s="33" t="n">
        <f aca="false">príjmy!W99-Z145</f>
        <v>1445</v>
      </c>
    </row>
    <row r="147" customFormat="false" ht="13.9" hidden="false" customHeight="true" outlineLevel="0" collapsed="false">
      <c r="A147" s="1" t="n">
        <v>1</v>
      </c>
      <c r="B147" s="1" t="n">
        <v>4</v>
      </c>
      <c r="D147" s="93" t="s">
        <v>21</v>
      </c>
      <c r="E147" s="94" t="n">
        <v>111</v>
      </c>
      <c r="F147" s="94" t="s">
        <v>134</v>
      </c>
      <c r="G147" s="95" t="n">
        <f aca="false">SUM(G145:G146)</f>
        <v>1328.8</v>
      </c>
      <c r="H147" s="95" t="n">
        <f aca="false">SUM(H145:H146)</f>
        <v>1545.58</v>
      </c>
      <c r="I147" s="95" t="n">
        <f aca="false">SUM(I145:I146)</f>
        <v>3000</v>
      </c>
      <c r="J147" s="95" t="n">
        <f aca="false">SUM(J145:J146)</f>
        <v>4446</v>
      </c>
      <c r="K147" s="95" t="n">
        <f aca="false">SUM(K145:K146)</f>
        <v>1500</v>
      </c>
      <c r="L147" s="95" t="n">
        <f aca="false">SUM(L145:L146)</f>
        <v>703</v>
      </c>
      <c r="M147" s="95" t="n">
        <f aca="false">SUM(M145:M146)</f>
        <v>5700</v>
      </c>
      <c r="N147" s="95" t="n">
        <f aca="false">SUM(N145:N146)</f>
        <v>0</v>
      </c>
      <c r="O147" s="95" t="n">
        <f aca="false">SUM(O145:O146)</f>
        <v>0</v>
      </c>
      <c r="P147" s="95" t="n">
        <f aca="false">SUM(P145:P146)</f>
        <v>7903</v>
      </c>
      <c r="Q147" s="95" t="n">
        <f aca="false">SUM(Q145:Q146)</f>
        <v>1949.44</v>
      </c>
      <c r="R147" s="96" t="n">
        <f aca="false">Q147/$P147</f>
        <v>0.24667088447425</v>
      </c>
      <c r="S147" s="95" t="n">
        <f aca="false">SUM(S145:S146)</f>
        <v>2359.62</v>
      </c>
      <c r="T147" s="96" t="n">
        <f aca="false">S147/$P147</f>
        <v>0.298572693913704</v>
      </c>
      <c r="U147" s="95" t="n">
        <f aca="false">SUM(U145:U146)</f>
        <v>2359.62</v>
      </c>
      <c r="V147" s="96" t="n">
        <f aca="false">U147/$P147</f>
        <v>0.298572693913704</v>
      </c>
      <c r="W147" s="95" t="n">
        <f aca="false">SUM(W145:W146)</f>
        <v>2359.62</v>
      </c>
      <c r="X147" s="96" t="n">
        <f aca="false">W147/$P147</f>
        <v>0.298572693913704</v>
      </c>
      <c r="Y147" s="95" t="n">
        <f aca="false">SUM(Y145:Y146)</f>
        <v>0</v>
      </c>
      <c r="Z147" s="95" t="n">
        <f aca="false">SUM(Z145:Z146)</f>
        <v>1500</v>
      </c>
    </row>
    <row r="149" customFormat="false" ht="13.9" hidden="false" customHeight="true" outlineLevel="0" collapsed="false">
      <c r="D149" s="19" t="s">
        <v>169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customFormat="false" ht="13.9" hidden="false" customHeight="true" outlineLevel="0" collapsed="false">
      <c r="D150" s="6"/>
      <c r="E150" s="6"/>
      <c r="F150" s="6"/>
      <c r="G150" s="7" t="s">
        <v>1</v>
      </c>
      <c r="H150" s="7" t="s">
        <v>2</v>
      </c>
      <c r="I150" s="7" t="s">
        <v>3</v>
      </c>
      <c r="J150" s="7" t="s">
        <v>4</v>
      </c>
      <c r="K150" s="7" t="s">
        <v>5</v>
      </c>
      <c r="L150" s="7" t="s">
        <v>6</v>
      </c>
      <c r="M150" s="7" t="s">
        <v>7</v>
      </c>
      <c r="N150" s="7" t="s">
        <v>8</v>
      </c>
      <c r="O150" s="7" t="s">
        <v>9</v>
      </c>
      <c r="P150" s="7" t="s">
        <v>10</v>
      </c>
      <c r="Q150" s="7" t="s">
        <v>11</v>
      </c>
      <c r="R150" s="8" t="s">
        <v>12</v>
      </c>
      <c r="S150" s="7" t="s">
        <v>13</v>
      </c>
      <c r="T150" s="8" t="s">
        <v>14</v>
      </c>
      <c r="U150" s="7" t="s">
        <v>15</v>
      </c>
      <c r="V150" s="8" t="s">
        <v>16</v>
      </c>
      <c r="W150" s="7" t="s">
        <v>17</v>
      </c>
      <c r="X150" s="8" t="s">
        <v>18</v>
      </c>
      <c r="Y150" s="7" t="s">
        <v>19</v>
      </c>
      <c r="Z150" s="7" t="s">
        <v>20</v>
      </c>
    </row>
    <row r="151" customFormat="false" ht="13.9" hidden="false" customHeight="true" outlineLevel="0" collapsed="false">
      <c r="A151" s="1" t="n">
        <v>2</v>
      </c>
      <c r="D151" s="21" t="s">
        <v>21</v>
      </c>
      <c r="E151" s="22" t="n">
        <v>111</v>
      </c>
      <c r="F151" s="22" t="s">
        <v>47</v>
      </c>
      <c r="G151" s="23" t="n">
        <f aca="false">G161+G181+G197</f>
        <v>433833.59</v>
      </c>
      <c r="H151" s="23" t="n">
        <f aca="false">H161+H181+H197</f>
        <v>456466.12</v>
      </c>
      <c r="I151" s="23" t="n">
        <f aca="false">I161+I181+I197</f>
        <v>483233</v>
      </c>
      <c r="J151" s="23" t="n">
        <f aca="false">J161+J181+J197</f>
        <v>482359</v>
      </c>
      <c r="K151" s="23" t="n">
        <f aca="false">K161+K181+K197</f>
        <v>592147</v>
      </c>
      <c r="L151" s="23" t="n">
        <f aca="false">L161+L181+L197</f>
        <v>0</v>
      </c>
      <c r="M151" s="23" t="n">
        <f aca="false">M161+M181+M197</f>
        <v>0</v>
      </c>
      <c r="N151" s="23" t="n">
        <f aca="false">N161+N181+N197</f>
        <v>29645</v>
      </c>
      <c r="O151" s="23" t="n">
        <f aca="false">O161+O181+O197</f>
        <v>10850</v>
      </c>
      <c r="P151" s="23" t="n">
        <f aca="false">P161+P181+P197</f>
        <v>632642</v>
      </c>
      <c r="Q151" s="23" t="n">
        <f aca="false">Q161+Q181+Q197</f>
        <v>104239.48</v>
      </c>
      <c r="R151" s="24" t="n">
        <f aca="false">Q151/$P151</f>
        <v>0.164768510468796</v>
      </c>
      <c r="S151" s="23" t="n">
        <f aca="false">S161+S181+S197</f>
        <v>234382.36</v>
      </c>
      <c r="T151" s="24" t="n">
        <f aca="false">S151/$P151</f>
        <v>0.370481820682155</v>
      </c>
      <c r="U151" s="23" t="n">
        <f aca="false">U161+U181+U197</f>
        <v>389117.68</v>
      </c>
      <c r="V151" s="24" t="n">
        <f aca="false">U151/$P151</f>
        <v>0.615067731829376</v>
      </c>
      <c r="W151" s="23" t="n">
        <f aca="false">W161+W181+W197</f>
        <v>611878.44</v>
      </c>
      <c r="X151" s="24" t="n">
        <f aca="false">W151/$P151</f>
        <v>0.967179605527297</v>
      </c>
      <c r="Y151" s="23" t="n">
        <f aca="false">Y161+Y181+Y197</f>
        <v>592147</v>
      </c>
      <c r="Z151" s="23" t="n">
        <f aca="false">Z161+Z181+Z197</f>
        <v>592147</v>
      </c>
    </row>
    <row r="152" customFormat="false" ht="13.9" hidden="false" customHeight="true" outlineLevel="0" collapsed="false">
      <c r="A152" s="1" t="n">
        <v>2</v>
      </c>
      <c r="D152" s="21"/>
      <c r="E152" s="22" t="n">
        <v>41</v>
      </c>
      <c r="F152" s="22" t="s">
        <v>23</v>
      </c>
      <c r="G152" s="23" t="n">
        <f aca="false">G166+G186+G202</f>
        <v>264846.47</v>
      </c>
      <c r="H152" s="23" t="n">
        <f aca="false">H166+H186+H202</f>
        <v>273337.44</v>
      </c>
      <c r="I152" s="23" t="n">
        <f aca="false">I166+I186+I202</f>
        <v>318201</v>
      </c>
      <c r="J152" s="23" t="n">
        <f aca="false">J166+J186+J202</f>
        <v>305083</v>
      </c>
      <c r="K152" s="23" t="n">
        <f aca="false">K166+K186+K202</f>
        <v>370057</v>
      </c>
      <c r="L152" s="23" t="n">
        <f aca="false">L166+L186+L202</f>
        <v>-7548</v>
      </c>
      <c r="M152" s="23" t="n">
        <f aca="false">M166+M186+M202</f>
        <v>0</v>
      </c>
      <c r="N152" s="23" t="n">
        <f aca="false">N166+N186+N202</f>
        <v>-46645</v>
      </c>
      <c r="O152" s="23" t="n">
        <f aca="false">O166+O186+O202</f>
        <v>0</v>
      </c>
      <c r="P152" s="23" t="n">
        <f aca="false">P166+P186+P202</f>
        <v>315864</v>
      </c>
      <c r="Q152" s="23" t="n">
        <f aca="false">Q166+Q186+Q202</f>
        <v>72333.8</v>
      </c>
      <c r="R152" s="24" t="n">
        <f aca="false">Q152/$P152</f>
        <v>0.229002988628017</v>
      </c>
      <c r="S152" s="23" t="n">
        <f aca="false">S166+S186+S202</f>
        <v>136203.54</v>
      </c>
      <c r="T152" s="24" t="n">
        <f aca="false">S152/$P152</f>
        <v>0.431209444571081</v>
      </c>
      <c r="U152" s="23" t="n">
        <f aca="false">U166+U186+U202</f>
        <v>173270.68</v>
      </c>
      <c r="V152" s="24" t="n">
        <f aca="false">U152/$P152</f>
        <v>0.548561026264468</v>
      </c>
      <c r="W152" s="23" t="n">
        <f aca="false">W166+W186+W202</f>
        <v>258605.11</v>
      </c>
      <c r="X152" s="24" t="n">
        <f aca="false">W152/$P152</f>
        <v>0.818722963047387</v>
      </c>
      <c r="Y152" s="23" t="n">
        <f aca="false">Y166+Y186+Y202</f>
        <v>383656</v>
      </c>
      <c r="Z152" s="23" t="n">
        <f aca="false">Z166+Z186+Z202</f>
        <v>405830</v>
      </c>
    </row>
    <row r="153" customFormat="false" ht="13.9" hidden="false" customHeight="true" outlineLevel="0" collapsed="false">
      <c r="A153" s="1" t="n">
        <v>2</v>
      </c>
      <c r="D153" s="21"/>
      <c r="E153" s="22" t="n">
        <v>72</v>
      </c>
      <c r="F153" s="22" t="s">
        <v>25</v>
      </c>
      <c r="G153" s="23" t="n">
        <f aca="false">G169+G188+G204</f>
        <v>0</v>
      </c>
      <c r="H153" s="23" t="n">
        <f aca="false">H169+H188+H204</f>
        <v>55075.9</v>
      </c>
      <c r="I153" s="23" t="n">
        <f aca="false">I169+I188+I204</f>
        <v>49300</v>
      </c>
      <c r="J153" s="23" t="n">
        <f aca="false">J169+J188+J204</f>
        <v>56682</v>
      </c>
      <c r="K153" s="23" t="n">
        <f aca="false">K169+K188+K204</f>
        <v>48343</v>
      </c>
      <c r="L153" s="23" t="n">
        <f aca="false">L169+L188+L204</f>
        <v>0</v>
      </c>
      <c r="M153" s="23" t="n">
        <f aca="false">M169+M188+M204</f>
        <v>0</v>
      </c>
      <c r="N153" s="23" t="n">
        <f aca="false">N169+N188+N204</f>
        <v>0</v>
      </c>
      <c r="O153" s="23" t="n">
        <f aca="false">O169+O188+O204</f>
        <v>3671</v>
      </c>
      <c r="P153" s="23" t="n">
        <f aca="false">P169+P188+P204</f>
        <v>52014</v>
      </c>
      <c r="Q153" s="23" t="n">
        <f aca="false">Q169+Q188+Q204</f>
        <v>9856.52</v>
      </c>
      <c r="R153" s="24" t="n">
        <f aca="false">Q153/$P153</f>
        <v>0.189497442996116</v>
      </c>
      <c r="S153" s="23" t="n">
        <f aca="false">S169+S188+S204</f>
        <v>15667.23</v>
      </c>
      <c r="T153" s="24" t="n">
        <f aca="false">S153/$P153</f>
        <v>0.301211789133695</v>
      </c>
      <c r="U153" s="23" t="n">
        <f aca="false">U169+U188+U204</f>
        <v>29442.58</v>
      </c>
      <c r="V153" s="24" t="n">
        <f aca="false">U153/$P153</f>
        <v>0.566051063175299</v>
      </c>
      <c r="W153" s="23" t="n">
        <f aca="false">W169+W188+W204</f>
        <v>41689.45</v>
      </c>
      <c r="X153" s="24" t="n">
        <f aca="false">W153/$P153</f>
        <v>0.801504402660822</v>
      </c>
      <c r="Y153" s="23" t="n">
        <f aca="false">Y169+Y188+Y204</f>
        <v>48343</v>
      </c>
      <c r="Z153" s="23" t="n">
        <f aca="false">Z169+Z188+Z204</f>
        <v>48343</v>
      </c>
    </row>
    <row r="154" customFormat="false" ht="13.9" hidden="false" customHeight="true" outlineLevel="0" collapsed="false">
      <c r="A154" s="1" t="n">
        <v>2</v>
      </c>
      <c r="D154" s="17"/>
      <c r="E154" s="18"/>
      <c r="F154" s="25" t="s">
        <v>124</v>
      </c>
      <c r="G154" s="26" t="n">
        <f aca="false">SUM(G151:G153)</f>
        <v>698680.06</v>
      </c>
      <c r="H154" s="26" t="n">
        <f aca="false">SUM(H151:H153)</f>
        <v>784879.46</v>
      </c>
      <c r="I154" s="26" t="n">
        <f aca="false">SUM(I151:I153)</f>
        <v>850734</v>
      </c>
      <c r="J154" s="26" t="n">
        <f aca="false">SUM(J151:J153)</f>
        <v>844124</v>
      </c>
      <c r="K154" s="26" t="n">
        <f aca="false">SUM(K151:K153)</f>
        <v>1010547</v>
      </c>
      <c r="L154" s="26" t="n">
        <f aca="false">SUM(L151:L153)</f>
        <v>-7548</v>
      </c>
      <c r="M154" s="26" t="n">
        <f aca="false">SUM(M151:M153)</f>
        <v>0</v>
      </c>
      <c r="N154" s="26" t="n">
        <f aca="false">SUM(N151:N153)</f>
        <v>-17000</v>
      </c>
      <c r="O154" s="26" t="n">
        <f aca="false">SUM(O151:O153)</f>
        <v>14521</v>
      </c>
      <c r="P154" s="26" t="n">
        <f aca="false">SUM(P151:P153)</f>
        <v>1000520</v>
      </c>
      <c r="Q154" s="26" t="n">
        <f aca="false">SUM(Q151:Q153)</f>
        <v>186429.8</v>
      </c>
      <c r="R154" s="27" t="n">
        <f aca="false">Q154/$P154</f>
        <v>0.186332906888418</v>
      </c>
      <c r="S154" s="26" t="n">
        <f aca="false">SUM(S151:S153)</f>
        <v>386253.13</v>
      </c>
      <c r="T154" s="27" t="n">
        <f aca="false">S154/$P154</f>
        <v>0.386052382760964</v>
      </c>
      <c r="U154" s="26" t="n">
        <f aca="false">SUM(U151:U153)</f>
        <v>591830.94</v>
      </c>
      <c r="V154" s="27" t="n">
        <f aca="false">U154/$P154</f>
        <v>0.591523347859113</v>
      </c>
      <c r="W154" s="26" t="n">
        <f aca="false">SUM(W151:W153)</f>
        <v>912173</v>
      </c>
      <c r="X154" s="27" t="n">
        <f aca="false">W154/$P154</f>
        <v>0.911698916563387</v>
      </c>
      <c r="Y154" s="26" t="n">
        <f aca="false">SUM(Y151:Y153)</f>
        <v>1024146</v>
      </c>
      <c r="Z154" s="26" t="n">
        <f aca="false">SUM(Z151:Z153)</f>
        <v>1046320</v>
      </c>
    </row>
    <row r="156" customFormat="false" ht="13.9" hidden="false" customHeight="true" outlineLevel="0" collapsed="false">
      <c r="D156" s="28" t="s">
        <v>170</v>
      </c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9"/>
      <c r="S156" s="28"/>
      <c r="T156" s="29"/>
      <c r="U156" s="28"/>
      <c r="V156" s="29"/>
      <c r="W156" s="28"/>
      <c r="X156" s="29"/>
      <c r="Y156" s="28"/>
      <c r="Z156" s="28"/>
    </row>
    <row r="157" customFormat="false" ht="13.9" hidden="false" customHeight="true" outlineLevel="0" collapsed="false">
      <c r="D157" s="7" t="s">
        <v>33</v>
      </c>
      <c r="E157" s="7" t="s">
        <v>34</v>
      </c>
      <c r="F157" s="7" t="s">
        <v>35</v>
      </c>
      <c r="G157" s="7" t="s">
        <v>1</v>
      </c>
      <c r="H157" s="7" t="s">
        <v>2</v>
      </c>
      <c r="I157" s="7" t="s">
        <v>3</v>
      </c>
      <c r="J157" s="7" t="s">
        <v>4</v>
      </c>
      <c r="K157" s="7" t="s">
        <v>5</v>
      </c>
      <c r="L157" s="7" t="s">
        <v>6</v>
      </c>
      <c r="M157" s="7" t="s">
        <v>7</v>
      </c>
      <c r="N157" s="7" t="s">
        <v>8</v>
      </c>
      <c r="O157" s="7" t="s">
        <v>9</v>
      </c>
      <c r="P157" s="7" t="s">
        <v>10</v>
      </c>
      <c r="Q157" s="7" t="s">
        <v>11</v>
      </c>
      <c r="R157" s="8" t="s">
        <v>12</v>
      </c>
      <c r="S157" s="7" t="s">
        <v>13</v>
      </c>
      <c r="T157" s="8" t="s">
        <v>14</v>
      </c>
      <c r="U157" s="7" t="s">
        <v>15</v>
      </c>
      <c r="V157" s="8" t="s">
        <v>16</v>
      </c>
      <c r="W157" s="7" t="s">
        <v>17</v>
      </c>
      <c r="X157" s="8" t="s">
        <v>18</v>
      </c>
      <c r="Y157" s="7" t="s">
        <v>19</v>
      </c>
      <c r="Z157" s="7" t="s">
        <v>20</v>
      </c>
    </row>
    <row r="158" customFormat="false" ht="13.9" hidden="false" customHeight="true" outlineLevel="0" collapsed="false">
      <c r="A158" s="1" t="n">
        <v>2</v>
      </c>
      <c r="B158" s="1" t="n">
        <v>1</v>
      </c>
      <c r="D158" s="76" t="s">
        <v>157</v>
      </c>
      <c r="E158" s="10" t="n">
        <v>610</v>
      </c>
      <c r="F158" s="10" t="s">
        <v>129</v>
      </c>
      <c r="G158" s="11" t="n">
        <v>1807</v>
      </c>
      <c r="H158" s="11" t="n">
        <v>2315</v>
      </c>
      <c r="I158" s="11" t="n">
        <v>0</v>
      </c>
      <c r="J158" s="11" t="n">
        <v>1401</v>
      </c>
      <c r="K158" s="11" t="n">
        <v>1400</v>
      </c>
      <c r="L158" s="11"/>
      <c r="M158" s="11"/>
      <c r="N158" s="11" t="n">
        <f aca="false">-1160+21967</f>
        <v>20807</v>
      </c>
      <c r="O158" s="11"/>
      <c r="P158" s="11" t="n">
        <f aca="false">K158+SUM(L158:O158)</f>
        <v>22207</v>
      </c>
      <c r="Q158" s="11" t="n">
        <v>240</v>
      </c>
      <c r="R158" s="12" t="n">
        <f aca="false">Q158/$P158</f>
        <v>0.0108074030711037</v>
      </c>
      <c r="S158" s="11" t="n">
        <v>240</v>
      </c>
      <c r="T158" s="12" t="n">
        <f aca="false">S158/$P158</f>
        <v>0.0108074030711037</v>
      </c>
      <c r="U158" s="11" t="n">
        <v>22206.97</v>
      </c>
      <c r="V158" s="12" t="n">
        <f aca="false">U158/$P158</f>
        <v>0.999998649074616</v>
      </c>
      <c r="W158" s="11" t="n">
        <v>22206.97</v>
      </c>
      <c r="X158" s="12" t="n">
        <f aca="false">W158/$P158</f>
        <v>0.999998649074616</v>
      </c>
      <c r="Y158" s="11" t="n">
        <f aca="false">K158</f>
        <v>1400</v>
      </c>
      <c r="Z158" s="11" t="n">
        <f aca="false">Y158</f>
        <v>1400</v>
      </c>
    </row>
    <row r="159" customFormat="false" ht="13.9" hidden="false" customHeight="true" outlineLevel="0" collapsed="false">
      <c r="A159" s="1" t="n">
        <v>2</v>
      </c>
      <c r="B159" s="1" t="n">
        <v>1</v>
      </c>
      <c r="D159" s="76"/>
      <c r="E159" s="10" t="n">
        <v>620</v>
      </c>
      <c r="F159" s="10" t="s">
        <v>130</v>
      </c>
      <c r="G159" s="11" t="n">
        <v>659.52</v>
      </c>
      <c r="H159" s="11" t="n">
        <v>809.09</v>
      </c>
      <c r="I159" s="11" t="n">
        <v>0</v>
      </c>
      <c r="J159" s="11" t="n">
        <v>490</v>
      </c>
      <c r="K159" s="11" t="n">
        <v>490</v>
      </c>
      <c r="L159" s="11"/>
      <c r="M159" s="11"/>
      <c r="N159" s="11" t="n">
        <f aca="false">-434+7678</f>
        <v>7244</v>
      </c>
      <c r="O159" s="11"/>
      <c r="P159" s="11" t="n">
        <f aca="false">K159+SUM(L159:O159)</f>
        <v>7734</v>
      </c>
      <c r="Q159" s="11" t="n">
        <v>55.92</v>
      </c>
      <c r="R159" s="12" t="n">
        <f aca="false">Q159/$P159</f>
        <v>0.00723041117145074</v>
      </c>
      <c r="S159" s="11" t="n">
        <v>55.92</v>
      </c>
      <c r="T159" s="12" t="n">
        <f aca="false">S159/$P159</f>
        <v>0.00723041117145074</v>
      </c>
      <c r="U159" s="11" t="n">
        <v>7733.38</v>
      </c>
      <c r="V159" s="12" t="n">
        <f aca="false">U159/$P159</f>
        <v>0.999919834497026</v>
      </c>
      <c r="W159" s="11" t="n">
        <v>7733.38</v>
      </c>
      <c r="X159" s="12" t="n">
        <f aca="false">W159/$P159</f>
        <v>0.999919834497026</v>
      </c>
      <c r="Y159" s="11" t="n">
        <f aca="false">K159</f>
        <v>490</v>
      </c>
      <c r="Z159" s="11" t="n">
        <f aca="false">Y159</f>
        <v>490</v>
      </c>
    </row>
    <row r="160" customFormat="false" ht="13.9" hidden="false" customHeight="true" outlineLevel="0" collapsed="false">
      <c r="A160" s="1" t="n">
        <v>2</v>
      </c>
      <c r="B160" s="1" t="n">
        <v>1</v>
      </c>
      <c r="D160" s="76"/>
      <c r="E160" s="10" t="n">
        <v>630</v>
      </c>
      <c r="F160" s="10" t="s">
        <v>131</v>
      </c>
      <c r="G160" s="11" t="n">
        <v>2145.07</v>
      </c>
      <c r="H160" s="11" t="n">
        <v>1673.91</v>
      </c>
      <c r="I160" s="11" t="n">
        <v>4300</v>
      </c>
      <c r="J160" s="11" t="n">
        <v>8077</v>
      </c>
      <c r="K160" s="11" t="n">
        <f aca="false">príjmy!H95-K158-K159</f>
        <v>2634</v>
      </c>
      <c r="L160" s="11"/>
      <c r="M160" s="11"/>
      <c r="N160" s="11" t="n">
        <v>1594</v>
      </c>
      <c r="O160" s="11" t="n">
        <v>10</v>
      </c>
      <c r="P160" s="11" t="n">
        <f aca="false">K160+SUM(L160:O160)</f>
        <v>4238</v>
      </c>
      <c r="Q160" s="11" t="n">
        <v>359.63</v>
      </c>
      <c r="R160" s="12" t="n">
        <f aca="false">Q160/$P160</f>
        <v>0.0848584237848042</v>
      </c>
      <c r="S160" s="11" t="n">
        <v>359.63</v>
      </c>
      <c r="T160" s="12" t="n">
        <f aca="false">S160/$P160</f>
        <v>0.0848584237848042</v>
      </c>
      <c r="U160" s="11" t="n">
        <v>579.47</v>
      </c>
      <c r="V160" s="12" t="n">
        <f aca="false">U160/$P160</f>
        <v>0.136731949032563</v>
      </c>
      <c r="W160" s="11" t="n">
        <v>2367.71</v>
      </c>
      <c r="X160" s="12" t="n">
        <f aca="false">W160/$P160</f>
        <v>0.558685700802265</v>
      </c>
      <c r="Y160" s="11" t="n">
        <f aca="false">príjmy!V95-Y158-Y159</f>
        <v>2634</v>
      </c>
      <c r="Z160" s="11" t="n">
        <f aca="false">príjmy!W95-Z158-Z159</f>
        <v>2634</v>
      </c>
    </row>
    <row r="161" customFormat="false" ht="13.9" hidden="false" customHeight="true" outlineLevel="0" collapsed="false">
      <c r="A161" s="1" t="n">
        <v>2</v>
      </c>
      <c r="B161" s="1" t="n">
        <v>1</v>
      </c>
      <c r="D161" s="77" t="s">
        <v>21</v>
      </c>
      <c r="E161" s="35" t="s">
        <v>171</v>
      </c>
      <c r="F161" s="35" t="s">
        <v>172</v>
      </c>
      <c r="G161" s="36" t="n">
        <f aca="false">SUM(G158:G160)</f>
        <v>4611.59</v>
      </c>
      <c r="H161" s="36" t="n">
        <f aca="false">SUM(H158:H160)</f>
        <v>4798</v>
      </c>
      <c r="I161" s="36" t="n">
        <f aca="false">SUM(I158:I160)</f>
        <v>4300</v>
      </c>
      <c r="J161" s="36" t="n">
        <f aca="false">SUM(J158:J160)</f>
        <v>9968</v>
      </c>
      <c r="K161" s="36" t="n">
        <f aca="false">SUM(K158:K160)</f>
        <v>4524</v>
      </c>
      <c r="L161" s="36" t="n">
        <f aca="false">SUM(L158:L160)</f>
        <v>0</v>
      </c>
      <c r="M161" s="36" t="n">
        <f aca="false">SUM(M158:M160)</f>
        <v>0</v>
      </c>
      <c r="N161" s="36" t="n">
        <f aca="false">SUM(N158:N160)</f>
        <v>29645</v>
      </c>
      <c r="O161" s="36" t="n">
        <f aca="false">SUM(O158:O160)</f>
        <v>10</v>
      </c>
      <c r="P161" s="36" t="n">
        <f aca="false">SUM(P158:P160)</f>
        <v>34179</v>
      </c>
      <c r="Q161" s="36" t="n">
        <f aca="false">SUM(Q158:Q160)</f>
        <v>655.55</v>
      </c>
      <c r="R161" s="37" t="n">
        <f aca="false">Q161/$P161</f>
        <v>0.019179905790105</v>
      </c>
      <c r="S161" s="36" t="n">
        <f aca="false">SUM(S158:S160)</f>
        <v>655.55</v>
      </c>
      <c r="T161" s="37" t="n">
        <f aca="false">S161/$P161</f>
        <v>0.019179905790105</v>
      </c>
      <c r="U161" s="36" t="n">
        <f aca="false">SUM(U158:U160)</f>
        <v>30519.82</v>
      </c>
      <c r="V161" s="37" t="n">
        <f aca="false">U161/$P161</f>
        <v>0.892940694578542</v>
      </c>
      <c r="W161" s="36" t="n">
        <f aca="false">SUM(W158:W160)</f>
        <v>32308.06</v>
      </c>
      <c r="X161" s="37" t="n">
        <f aca="false">W161/$P161</f>
        <v>0.945260540097721</v>
      </c>
      <c r="Y161" s="36" t="n">
        <f aca="false">SUM(Y158:Y160)</f>
        <v>4524</v>
      </c>
      <c r="Z161" s="36" t="n">
        <f aca="false">SUM(Z158:Z160)</f>
        <v>4524</v>
      </c>
    </row>
    <row r="162" customFormat="false" ht="13.9" hidden="false" customHeight="true" outlineLevel="0" collapsed="false">
      <c r="A162" s="1" t="n">
        <v>2</v>
      </c>
      <c r="B162" s="1" t="n">
        <v>1</v>
      </c>
      <c r="D162" s="76" t="s">
        <v>157</v>
      </c>
      <c r="E162" s="10" t="n">
        <v>610</v>
      </c>
      <c r="F162" s="10" t="s">
        <v>129</v>
      </c>
      <c r="G162" s="11" t="n">
        <v>92839.99</v>
      </c>
      <c r="H162" s="11" t="n">
        <v>97764.72</v>
      </c>
      <c r="I162" s="11" t="n">
        <v>111970</v>
      </c>
      <c r="J162" s="11" t="n">
        <v>116754</v>
      </c>
      <c r="K162" s="33" t="n">
        <v>148548</v>
      </c>
      <c r="L162" s="33"/>
      <c r="M162" s="33" t="n">
        <v>-245</v>
      </c>
      <c r="N162" s="33" t="n">
        <f aca="false">-21967-351</f>
        <v>-22318</v>
      </c>
      <c r="O162" s="33" t="n">
        <v>-1225</v>
      </c>
      <c r="P162" s="33" t="n">
        <f aca="false">K162+SUM(L162:O162)</f>
        <v>124760</v>
      </c>
      <c r="Q162" s="33" t="n">
        <v>34544.76</v>
      </c>
      <c r="R162" s="34" t="n">
        <f aca="false">Q162/$P162</f>
        <v>0.27688970823982</v>
      </c>
      <c r="S162" s="33" t="n">
        <v>66233.87</v>
      </c>
      <c r="T162" s="34" t="n">
        <f aca="false">S162/$P162</f>
        <v>0.530890269317089</v>
      </c>
      <c r="U162" s="33" t="n">
        <v>73220.68</v>
      </c>
      <c r="V162" s="34" t="n">
        <f aca="false">U162/$P162</f>
        <v>0.586892273164476</v>
      </c>
      <c r="W162" s="33" t="n">
        <v>103387.31</v>
      </c>
      <c r="X162" s="34" t="n">
        <f aca="false">W162/$P162</f>
        <v>0.828689563962809</v>
      </c>
      <c r="Y162" s="11" t="n">
        <v>156497</v>
      </c>
      <c r="Z162" s="11" t="n">
        <v>171652</v>
      </c>
    </row>
    <row r="163" customFormat="false" ht="13.9" hidden="false" customHeight="true" outlineLevel="0" collapsed="false">
      <c r="A163" s="1" t="n">
        <v>2</v>
      </c>
      <c r="B163" s="1" t="n">
        <v>1</v>
      </c>
      <c r="D163" s="76"/>
      <c r="E163" s="10" t="n">
        <v>620</v>
      </c>
      <c r="F163" s="10" t="s">
        <v>130</v>
      </c>
      <c r="G163" s="11" t="n">
        <v>34064.19</v>
      </c>
      <c r="H163" s="11" t="n">
        <v>35927.8</v>
      </c>
      <c r="I163" s="11" t="n">
        <v>42034</v>
      </c>
      <c r="J163" s="11" t="n">
        <v>41095</v>
      </c>
      <c r="K163" s="11" t="n">
        <v>54888</v>
      </c>
      <c r="L163" s="11"/>
      <c r="M163" s="11"/>
      <c r="N163" s="11" t="n">
        <v>-7678</v>
      </c>
      <c r="O163" s="11"/>
      <c r="P163" s="11" t="n">
        <f aca="false">K163+SUM(L163:O163)</f>
        <v>47210</v>
      </c>
      <c r="Q163" s="11" t="n">
        <v>12467.36</v>
      </c>
      <c r="R163" s="12" t="n">
        <f aca="false">Q163/$P163</f>
        <v>0.264083033255666</v>
      </c>
      <c r="S163" s="11" t="n">
        <v>21239.36</v>
      </c>
      <c r="T163" s="12" t="n">
        <f aca="false">S163/$P163</f>
        <v>0.449891124761703</v>
      </c>
      <c r="U163" s="11" t="n">
        <v>23969.14</v>
      </c>
      <c r="V163" s="12" t="n">
        <f aca="false">U163/$P163</f>
        <v>0.507713196356704</v>
      </c>
      <c r="W163" s="11" t="n">
        <v>34843.87</v>
      </c>
      <c r="X163" s="12" t="n">
        <f aca="false">W163/$P163</f>
        <v>0.738061215844101</v>
      </c>
      <c r="Y163" s="11" t="n">
        <v>57827</v>
      </c>
      <c r="Z163" s="11" t="n">
        <v>63425</v>
      </c>
    </row>
    <row r="164" customFormat="false" ht="13.9" hidden="false" customHeight="true" outlineLevel="0" collapsed="false">
      <c r="A164" s="1" t="n">
        <v>2</v>
      </c>
      <c r="B164" s="1" t="n">
        <v>1</v>
      </c>
      <c r="D164" s="76"/>
      <c r="E164" s="10" t="n">
        <v>630</v>
      </c>
      <c r="F164" s="10" t="s">
        <v>131</v>
      </c>
      <c r="G164" s="11" t="n">
        <v>14865.71</v>
      </c>
      <c r="H164" s="11" t="n">
        <v>16547.16</v>
      </c>
      <c r="I164" s="11" t="n">
        <v>33694</v>
      </c>
      <c r="J164" s="11" t="n">
        <v>21932</v>
      </c>
      <c r="K164" s="11" t="n">
        <f aca="false">10542+11537+12068</f>
        <v>34147</v>
      </c>
      <c r="L164" s="11" t="n">
        <v>-3650</v>
      </c>
      <c r="M164" s="11"/>
      <c r="N164" s="11" t="n">
        <v>-7000</v>
      </c>
      <c r="O164" s="11" t="n">
        <v>1010</v>
      </c>
      <c r="P164" s="11" t="n">
        <f aca="false">K164+SUM(L164:O164)</f>
        <v>24507</v>
      </c>
      <c r="Q164" s="11" t="n">
        <v>5199.92</v>
      </c>
      <c r="R164" s="12" t="n">
        <f aca="false">Q164/$P164</f>
        <v>0.212181009507488</v>
      </c>
      <c r="S164" s="11" t="n">
        <v>8787.41</v>
      </c>
      <c r="T164" s="12" t="n">
        <f aca="false">S164/$P164</f>
        <v>0.358567348104623</v>
      </c>
      <c r="U164" s="11" t="n">
        <v>13228.17</v>
      </c>
      <c r="V164" s="12" t="n">
        <f aca="false">U164/$P164</f>
        <v>0.539771085812217</v>
      </c>
      <c r="W164" s="11" t="n">
        <v>18808.05</v>
      </c>
      <c r="X164" s="12" t="n">
        <f aca="false">W164/$P164</f>
        <v>0.767456236993512</v>
      </c>
      <c r="Y164" s="11" t="n">
        <f aca="false">10627+11537+12068</f>
        <v>34232</v>
      </c>
      <c r="Z164" s="11" t="n">
        <f aca="false">10761+11537+12068</f>
        <v>34366</v>
      </c>
    </row>
    <row r="165" customFormat="false" ht="13.9" hidden="false" customHeight="true" outlineLevel="0" collapsed="false">
      <c r="A165" s="1" t="n">
        <v>2</v>
      </c>
      <c r="B165" s="1" t="n">
        <v>1</v>
      </c>
      <c r="D165" s="76"/>
      <c r="E165" s="10" t="n">
        <v>640</v>
      </c>
      <c r="F165" s="10" t="s">
        <v>132</v>
      </c>
      <c r="G165" s="11" t="n">
        <v>629.14</v>
      </c>
      <c r="H165" s="11" t="n">
        <v>746.48</v>
      </c>
      <c r="I165" s="11" t="n">
        <v>1787</v>
      </c>
      <c r="J165" s="11" t="n">
        <v>2072</v>
      </c>
      <c r="K165" s="11" t="n">
        <v>0</v>
      </c>
      <c r="L165" s="11"/>
      <c r="M165" s="11" t="n">
        <v>245</v>
      </c>
      <c r="N165" s="11" t="n">
        <v>351</v>
      </c>
      <c r="O165" s="11" t="n">
        <v>215</v>
      </c>
      <c r="P165" s="11" t="n">
        <f aca="false">K165+SUM(L165:O165)</f>
        <v>811</v>
      </c>
      <c r="Q165" s="11" t="n">
        <v>0</v>
      </c>
      <c r="R165" s="12" t="n">
        <f aca="false">Q165/$P165</f>
        <v>0</v>
      </c>
      <c r="S165" s="11" t="n">
        <v>0</v>
      </c>
      <c r="T165" s="12" t="n">
        <f aca="false">S165/$P165</f>
        <v>0</v>
      </c>
      <c r="U165" s="11" t="n">
        <v>340.42</v>
      </c>
      <c r="V165" s="12" t="n">
        <f aca="false">U165/$P165</f>
        <v>0.419753390875462</v>
      </c>
      <c r="W165" s="11" t="n">
        <v>810.63</v>
      </c>
      <c r="X165" s="12" t="n">
        <f aca="false">W165/$P165</f>
        <v>0.999543773119605</v>
      </c>
      <c r="Y165" s="11" t="n">
        <v>0</v>
      </c>
      <c r="Z165" s="11" t="n">
        <v>0</v>
      </c>
    </row>
    <row r="166" customFormat="false" ht="13.9" hidden="false" customHeight="true" outlineLevel="0" collapsed="false">
      <c r="A166" s="1" t="n">
        <v>2</v>
      </c>
      <c r="B166" s="1" t="n">
        <v>1</v>
      </c>
      <c r="D166" s="77" t="s">
        <v>21</v>
      </c>
      <c r="E166" s="35" t="n">
        <v>41</v>
      </c>
      <c r="F166" s="35" t="s">
        <v>23</v>
      </c>
      <c r="G166" s="36" t="n">
        <f aca="false">SUM(G162:G165)</f>
        <v>142399.03</v>
      </c>
      <c r="H166" s="36" t="n">
        <f aca="false">SUM(H162:H165)</f>
        <v>150986.16</v>
      </c>
      <c r="I166" s="36" t="n">
        <f aca="false">SUM(I162:I165)</f>
        <v>189485</v>
      </c>
      <c r="J166" s="36" t="n">
        <f aca="false">SUM(J162:J165)</f>
        <v>181853</v>
      </c>
      <c r="K166" s="36" t="n">
        <f aca="false">SUM(K162:K165)</f>
        <v>237583</v>
      </c>
      <c r="L166" s="36" t="n">
        <f aca="false">SUM(L162:L165)</f>
        <v>-3650</v>
      </c>
      <c r="M166" s="36" t="n">
        <f aca="false">SUM(M162:M165)</f>
        <v>0</v>
      </c>
      <c r="N166" s="36" t="n">
        <f aca="false">SUM(N162:N165)</f>
        <v>-36645</v>
      </c>
      <c r="O166" s="36" t="n">
        <f aca="false">SUM(O162:O165)</f>
        <v>0</v>
      </c>
      <c r="P166" s="36" t="n">
        <f aca="false">SUM(P162:P165)</f>
        <v>197288</v>
      </c>
      <c r="Q166" s="36" t="n">
        <f aca="false">SUM(Q162:Q165)</f>
        <v>52212.04</v>
      </c>
      <c r="R166" s="37" t="n">
        <f aca="false">Q166/$P166</f>
        <v>0.264648838246624</v>
      </c>
      <c r="S166" s="36" t="n">
        <f aca="false">SUM(S162:S165)</f>
        <v>96260.64</v>
      </c>
      <c r="T166" s="37" t="n">
        <f aca="false">S166/$P166</f>
        <v>0.487919386886176</v>
      </c>
      <c r="U166" s="36" t="n">
        <f aca="false">SUM(U162:U165)</f>
        <v>110758.41</v>
      </c>
      <c r="V166" s="37" t="n">
        <f aca="false">U166/$P166</f>
        <v>0.561404697700823</v>
      </c>
      <c r="W166" s="36" t="n">
        <f aca="false">SUM(W162:W165)</f>
        <v>157849.86</v>
      </c>
      <c r="X166" s="37" t="n">
        <f aca="false">W166/$P166</f>
        <v>0.800098637524837</v>
      </c>
      <c r="Y166" s="36" t="n">
        <f aca="false">SUM(Y162:Y165)</f>
        <v>248556</v>
      </c>
      <c r="Z166" s="36" t="n">
        <f aca="false">SUM(Z162:Z165)</f>
        <v>269443</v>
      </c>
    </row>
    <row r="167" customFormat="false" ht="13.9" hidden="false" customHeight="true" outlineLevel="0" collapsed="false">
      <c r="A167" s="1" t="n">
        <v>2</v>
      </c>
      <c r="B167" s="1" t="n">
        <v>1</v>
      </c>
      <c r="D167" s="38" t="s">
        <v>157</v>
      </c>
      <c r="E167" s="10" t="n">
        <v>630</v>
      </c>
      <c r="F167" s="10" t="s">
        <v>131</v>
      </c>
      <c r="G167" s="11" t="n">
        <v>0</v>
      </c>
      <c r="H167" s="11" t="n">
        <v>472.46</v>
      </c>
      <c r="I167" s="11" t="n">
        <v>650</v>
      </c>
      <c r="J167" s="11" t="n">
        <v>685</v>
      </c>
      <c r="K167" s="11" t="n">
        <f aca="false">príjmy!H124</f>
        <v>795</v>
      </c>
      <c r="L167" s="11"/>
      <c r="M167" s="11"/>
      <c r="N167" s="11"/>
      <c r="O167" s="11"/>
      <c r="P167" s="33" t="n">
        <f aca="false">K167+SUM(L167:O167)</f>
        <v>795</v>
      </c>
      <c r="Q167" s="11" t="n">
        <v>0</v>
      </c>
      <c r="R167" s="12" t="n">
        <f aca="false">Q167/$P167</f>
        <v>0</v>
      </c>
      <c r="S167" s="11" t="n">
        <v>46.94</v>
      </c>
      <c r="T167" s="12" t="n">
        <f aca="false">S167/$P167</f>
        <v>0.0590440251572327</v>
      </c>
      <c r="U167" s="11" t="n">
        <v>46.94</v>
      </c>
      <c r="V167" s="12" t="n">
        <f aca="false">U167/$P167</f>
        <v>0.0590440251572327</v>
      </c>
      <c r="W167" s="11" t="n">
        <v>785.1</v>
      </c>
      <c r="X167" s="12" t="n">
        <f aca="false">W167/$P167</f>
        <v>0.987547169811321</v>
      </c>
      <c r="Y167" s="11" t="n">
        <f aca="false">K167</f>
        <v>795</v>
      </c>
      <c r="Z167" s="11" t="n">
        <f aca="false">Y167</f>
        <v>795</v>
      </c>
    </row>
    <row r="168" customFormat="false" ht="13.9" hidden="false" customHeight="true" outlineLevel="0" collapsed="false">
      <c r="A168" s="1" t="n">
        <v>2</v>
      </c>
      <c r="B168" s="1" t="n">
        <v>1</v>
      </c>
      <c r="D168" s="38" t="s">
        <v>157</v>
      </c>
      <c r="E168" s="10" t="n">
        <v>640</v>
      </c>
      <c r="F168" s="10" t="s">
        <v>132</v>
      </c>
      <c r="G168" s="11" t="n">
        <v>0</v>
      </c>
      <c r="H168" s="11" t="n">
        <v>937.17</v>
      </c>
      <c r="I168" s="11" t="n">
        <v>940</v>
      </c>
      <c r="J168" s="11" t="n">
        <v>1157</v>
      </c>
      <c r="K168" s="11" t="n">
        <v>1203</v>
      </c>
      <c r="L168" s="11"/>
      <c r="M168" s="11"/>
      <c r="N168" s="11"/>
      <c r="O168" s="11"/>
      <c r="P168" s="11" t="n">
        <f aca="false">K168+SUM(L168:O168)</f>
        <v>1203</v>
      </c>
      <c r="Q168" s="11" t="n">
        <v>13.68</v>
      </c>
      <c r="R168" s="12" t="n">
        <f aca="false">Q168/$P168</f>
        <v>0.0113715710723192</v>
      </c>
      <c r="S168" s="11" t="n">
        <v>0</v>
      </c>
      <c r="T168" s="12" t="n">
        <f aca="false">S168/$P168</f>
        <v>0</v>
      </c>
      <c r="U168" s="11" t="n">
        <v>0</v>
      </c>
      <c r="V168" s="12" t="n">
        <f aca="false">U168/$P168</f>
        <v>0</v>
      </c>
      <c r="W168" s="11" t="n">
        <v>919.75</v>
      </c>
      <c r="X168" s="12" t="n">
        <f aca="false">W168/$P168</f>
        <v>0.764546965918537</v>
      </c>
      <c r="Y168" s="11" t="n">
        <f aca="false">K168</f>
        <v>1203</v>
      </c>
      <c r="Z168" s="11" t="n">
        <f aca="false">Y168</f>
        <v>1203</v>
      </c>
    </row>
    <row r="169" customFormat="false" ht="13.9" hidden="false" customHeight="true" outlineLevel="0" collapsed="false">
      <c r="A169" s="1" t="n">
        <v>2</v>
      </c>
      <c r="B169" s="1" t="n">
        <v>1</v>
      </c>
      <c r="D169" s="77" t="s">
        <v>21</v>
      </c>
      <c r="E169" s="35" t="n">
        <v>72</v>
      </c>
      <c r="F169" s="35" t="s">
        <v>25</v>
      </c>
      <c r="G169" s="36" t="n">
        <f aca="false">SUM(G167:G168)</f>
        <v>0</v>
      </c>
      <c r="H169" s="36" t="n">
        <f aca="false">SUM(H167:H168)</f>
        <v>1409.63</v>
      </c>
      <c r="I169" s="36" t="n">
        <f aca="false">SUM(I167:I168)</f>
        <v>1590</v>
      </c>
      <c r="J169" s="36" t="n">
        <f aca="false">SUM(J167:J168)</f>
        <v>1842</v>
      </c>
      <c r="K169" s="36" t="n">
        <f aca="false">SUM(K167:K168)</f>
        <v>1998</v>
      </c>
      <c r="L169" s="36" t="n">
        <f aca="false">SUM(L167:L168)</f>
        <v>0</v>
      </c>
      <c r="M169" s="36" t="n">
        <f aca="false">SUM(M167:M168)</f>
        <v>0</v>
      </c>
      <c r="N169" s="36" t="n">
        <f aca="false">SUM(N167:N168)</f>
        <v>0</v>
      </c>
      <c r="O169" s="36" t="n">
        <f aca="false">SUM(O167:O168)</f>
        <v>0</v>
      </c>
      <c r="P169" s="36" t="n">
        <f aca="false">SUM(P167:P168)</f>
        <v>1998</v>
      </c>
      <c r="Q169" s="36" t="n">
        <f aca="false">SUM(Q167:Q168)</f>
        <v>13.68</v>
      </c>
      <c r="R169" s="37" t="n">
        <f aca="false">Q169/$P169</f>
        <v>0.00684684684684685</v>
      </c>
      <c r="S169" s="36" t="n">
        <f aca="false">SUM(S167:S168)</f>
        <v>46.94</v>
      </c>
      <c r="T169" s="37" t="n">
        <f aca="false">S169/$P169</f>
        <v>0.0234934934934935</v>
      </c>
      <c r="U169" s="36" t="n">
        <f aca="false">SUM(U167:U168)</f>
        <v>46.94</v>
      </c>
      <c r="V169" s="37" t="n">
        <f aca="false">U169/$P169</f>
        <v>0.0234934934934935</v>
      </c>
      <c r="W169" s="36" t="n">
        <f aca="false">SUM(W167:W168)</f>
        <v>1704.85</v>
      </c>
      <c r="X169" s="37" t="n">
        <f aca="false">W169/$P169</f>
        <v>0.853278278278278</v>
      </c>
      <c r="Y169" s="36" t="n">
        <f aca="false">SUM(Y167:Y168)</f>
        <v>1998</v>
      </c>
      <c r="Z169" s="36" t="n">
        <f aca="false">SUM(Z167:Z168)</f>
        <v>1998</v>
      </c>
    </row>
    <row r="170" customFormat="false" ht="13.9" hidden="false" customHeight="true" outlineLevel="0" collapsed="false">
      <c r="A170" s="1" t="n">
        <v>2</v>
      </c>
      <c r="B170" s="1" t="n">
        <v>1</v>
      </c>
      <c r="D170" s="17"/>
      <c r="E170" s="18"/>
      <c r="F170" s="13" t="s">
        <v>124</v>
      </c>
      <c r="G170" s="14" t="n">
        <f aca="false">G161+G166+G169</f>
        <v>147010.62</v>
      </c>
      <c r="H170" s="14" t="n">
        <f aca="false">H161+H166+H169</f>
        <v>157193.79</v>
      </c>
      <c r="I170" s="14" t="n">
        <f aca="false">I161+I166+I169</f>
        <v>195375</v>
      </c>
      <c r="J170" s="14" t="n">
        <f aca="false">J161+J166+J169</f>
        <v>193663</v>
      </c>
      <c r="K170" s="14" t="n">
        <f aca="false">K161+K166+K169</f>
        <v>244105</v>
      </c>
      <c r="L170" s="14" t="n">
        <f aca="false">L161+L166+L169</f>
        <v>-3650</v>
      </c>
      <c r="M170" s="14" t="n">
        <f aca="false">M161+M166+M169</f>
        <v>0</v>
      </c>
      <c r="N170" s="14" t="n">
        <f aca="false">N161+N166+N169</f>
        <v>-7000</v>
      </c>
      <c r="O170" s="14" t="n">
        <f aca="false">O161+O166+O169</f>
        <v>10</v>
      </c>
      <c r="P170" s="14" t="n">
        <f aca="false">P161+P166+P169</f>
        <v>233465</v>
      </c>
      <c r="Q170" s="14" t="n">
        <f aca="false">Q161+Q166+Q169</f>
        <v>52881.27</v>
      </c>
      <c r="R170" s="15" t="n">
        <f aca="false">Q170/$P170</f>
        <v>0.226506200072816</v>
      </c>
      <c r="S170" s="14" t="n">
        <f aca="false">S161+S166+S169</f>
        <v>96963.13</v>
      </c>
      <c r="T170" s="15" t="n">
        <f aca="false">S170/$P170</f>
        <v>0.415321911207247</v>
      </c>
      <c r="U170" s="14" t="n">
        <f aca="false">U161+U166+U169</f>
        <v>141325.17</v>
      </c>
      <c r="V170" s="15" t="n">
        <f aca="false">U170/$P170</f>
        <v>0.605337716574219</v>
      </c>
      <c r="W170" s="14" t="n">
        <f aca="false">W161+W166+W169</f>
        <v>191862.77</v>
      </c>
      <c r="X170" s="15" t="n">
        <f aca="false">W170/$P170</f>
        <v>0.821805281305549</v>
      </c>
      <c r="Y170" s="14" t="n">
        <f aca="false">Y161+Y166+Y169</f>
        <v>255078</v>
      </c>
      <c r="Z170" s="14" t="n">
        <f aca="false">Z161+Z166+Z169</f>
        <v>275965</v>
      </c>
    </row>
    <row r="172" customFormat="false" ht="13.9" hidden="false" customHeight="true" outlineLevel="0" collapsed="false">
      <c r="E172" s="39" t="s">
        <v>57</v>
      </c>
      <c r="F172" s="17" t="s">
        <v>149</v>
      </c>
      <c r="G172" s="40"/>
      <c r="H172" s="40" t="n">
        <v>387.29</v>
      </c>
      <c r="I172" s="40" t="n">
        <v>1427</v>
      </c>
      <c r="J172" s="40" t="n">
        <v>1652</v>
      </c>
      <c r="K172" s="40" t="n">
        <v>1652</v>
      </c>
      <c r="L172" s="40"/>
      <c r="M172" s="40" t="n">
        <v>-501</v>
      </c>
      <c r="N172" s="40"/>
      <c r="O172" s="40"/>
      <c r="P172" s="40" t="n">
        <f aca="false">K172+SUM(L172:O172)</f>
        <v>1151</v>
      </c>
      <c r="Q172" s="40" t="n">
        <v>295.05</v>
      </c>
      <c r="R172" s="41" t="n">
        <f aca="false">Q172/$P172</f>
        <v>0.256342311033884</v>
      </c>
      <c r="S172" s="40" t="n">
        <v>553.05</v>
      </c>
      <c r="T172" s="41" t="n">
        <f aca="false">S172/$P172</f>
        <v>0.480495221546481</v>
      </c>
      <c r="U172" s="40" t="n">
        <v>823.22</v>
      </c>
      <c r="V172" s="41" t="n">
        <f aca="false">U172/$P172</f>
        <v>0.715221546481321</v>
      </c>
      <c r="W172" s="40" t="n">
        <v>1107.63</v>
      </c>
      <c r="X172" s="42" t="n">
        <f aca="false">W172/$P172</f>
        <v>0.962319721980886</v>
      </c>
      <c r="Y172" s="40" t="n">
        <f aca="false">K172</f>
        <v>1652</v>
      </c>
      <c r="Z172" s="43" t="n">
        <f aca="false">Y172</f>
        <v>1652</v>
      </c>
    </row>
    <row r="173" customFormat="false" ht="13.9" hidden="false" customHeight="true" outlineLevel="0" collapsed="false">
      <c r="E173" s="44"/>
      <c r="F173" s="84" t="s">
        <v>150</v>
      </c>
      <c r="G173" s="70"/>
      <c r="H173" s="70"/>
      <c r="I173" s="70" t="n">
        <v>4400</v>
      </c>
      <c r="J173" s="70" t="n">
        <v>0</v>
      </c>
      <c r="K173" s="71" t="n">
        <v>3400</v>
      </c>
      <c r="L173" s="71"/>
      <c r="M173" s="71" t="n">
        <v>96</v>
      </c>
      <c r="N173" s="71"/>
      <c r="O173" s="71"/>
      <c r="P173" s="71" t="n">
        <f aca="false">K173+SUM(L173:O173)</f>
        <v>3496</v>
      </c>
      <c r="Q173" s="71" t="n">
        <v>874.11</v>
      </c>
      <c r="R173" s="85" t="n">
        <f aca="false">Q173/$P173</f>
        <v>0.250031464530892</v>
      </c>
      <c r="S173" s="71" t="n">
        <v>1748.22</v>
      </c>
      <c r="T173" s="85" t="n">
        <f aca="false">S173/$P173</f>
        <v>0.500062929061785</v>
      </c>
      <c r="U173" s="71" t="n">
        <v>2622.33</v>
      </c>
      <c r="V173" s="85" t="n">
        <f aca="false">U173/$P173</f>
        <v>0.750094393592677</v>
      </c>
      <c r="W173" s="71" t="n">
        <v>2622.33</v>
      </c>
      <c r="X173" s="51" t="n">
        <f aca="false">W173/$P173</f>
        <v>0.750094393592677</v>
      </c>
      <c r="Y173" s="70" t="n">
        <f aca="false">K173</f>
        <v>3400</v>
      </c>
      <c r="Z173" s="48" t="n">
        <f aca="false">Y173</f>
        <v>3400</v>
      </c>
    </row>
    <row r="174" customFormat="false" ht="13.9" hidden="false" customHeight="true" outlineLevel="0" collapsed="false">
      <c r="E174" s="52"/>
      <c r="F174" s="86" t="s">
        <v>173</v>
      </c>
      <c r="G174" s="54"/>
      <c r="H174" s="54"/>
      <c r="I174" s="54"/>
      <c r="J174" s="54" t="n">
        <v>5732</v>
      </c>
      <c r="K174" s="54" t="n">
        <v>0</v>
      </c>
      <c r="L174" s="54"/>
      <c r="M174" s="54"/>
      <c r="N174" s="54"/>
      <c r="O174" s="54"/>
      <c r="P174" s="54" t="n">
        <f aca="false">K174+SUM(L174:O174)</f>
        <v>0</v>
      </c>
      <c r="Q174" s="54" t="n">
        <v>0</v>
      </c>
      <c r="R174" s="55" t="e">
        <f aca="false">Q174/$P174</f>
        <v>#DIV/0!</v>
      </c>
      <c r="S174" s="54" t="n">
        <v>0</v>
      </c>
      <c r="T174" s="55" t="e">
        <f aca="false">S174/$P174</f>
        <v>#DIV/0!</v>
      </c>
      <c r="U174" s="54" t="n">
        <v>0</v>
      </c>
      <c r="V174" s="55" t="e">
        <f aca="false">U174/$P174</f>
        <v>#DIV/0!</v>
      </c>
      <c r="W174" s="54" t="n">
        <v>0</v>
      </c>
      <c r="X174" s="56" t="e">
        <f aca="false">W174/$P174</f>
        <v>#DIV/0!</v>
      </c>
      <c r="Y174" s="54" t="n">
        <f aca="false">K174</f>
        <v>0</v>
      </c>
      <c r="Z174" s="57" t="n">
        <f aca="false">Y174</f>
        <v>0</v>
      </c>
    </row>
    <row r="176" customFormat="false" ht="13.9" hidden="false" customHeight="true" outlineLevel="0" collapsed="false">
      <c r="D176" s="28" t="s">
        <v>174</v>
      </c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9"/>
      <c r="S176" s="28"/>
      <c r="T176" s="29"/>
      <c r="U176" s="28"/>
      <c r="V176" s="29"/>
      <c r="W176" s="28"/>
      <c r="X176" s="29"/>
      <c r="Y176" s="28"/>
      <c r="Z176" s="28"/>
    </row>
    <row r="177" customFormat="false" ht="13.9" hidden="false" customHeight="true" outlineLevel="0" collapsed="false">
      <c r="D177" s="7" t="s">
        <v>33</v>
      </c>
      <c r="E177" s="7" t="s">
        <v>34</v>
      </c>
      <c r="F177" s="7" t="s">
        <v>35</v>
      </c>
      <c r="G177" s="7" t="s">
        <v>1</v>
      </c>
      <c r="H177" s="7" t="s">
        <v>2</v>
      </c>
      <c r="I177" s="7" t="s">
        <v>3</v>
      </c>
      <c r="J177" s="7" t="s">
        <v>4</v>
      </c>
      <c r="K177" s="7" t="s">
        <v>5</v>
      </c>
      <c r="L177" s="7" t="s">
        <v>6</v>
      </c>
      <c r="M177" s="7" t="s">
        <v>7</v>
      </c>
      <c r="N177" s="7" t="s">
        <v>8</v>
      </c>
      <c r="O177" s="7" t="s">
        <v>9</v>
      </c>
      <c r="P177" s="7" t="s">
        <v>10</v>
      </c>
      <c r="Q177" s="7" t="s">
        <v>11</v>
      </c>
      <c r="R177" s="8" t="s">
        <v>12</v>
      </c>
      <c r="S177" s="7" t="s">
        <v>13</v>
      </c>
      <c r="T177" s="8" t="s">
        <v>14</v>
      </c>
      <c r="U177" s="7" t="s">
        <v>15</v>
      </c>
      <c r="V177" s="8" t="s">
        <v>16</v>
      </c>
      <c r="W177" s="7" t="s">
        <v>17</v>
      </c>
      <c r="X177" s="8" t="s">
        <v>18</v>
      </c>
      <c r="Y177" s="7" t="s">
        <v>19</v>
      </c>
      <c r="Z177" s="7" t="s">
        <v>20</v>
      </c>
    </row>
    <row r="178" customFormat="false" ht="13.9" hidden="false" customHeight="true" outlineLevel="0" collapsed="false">
      <c r="A178" s="1" t="n">
        <v>2</v>
      </c>
      <c r="B178" s="1" t="n">
        <v>2</v>
      </c>
      <c r="D178" s="38" t="s">
        <v>175</v>
      </c>
      <c r="E178" s="10" t="n">
        <v>630</v>
      </c>
      <c r="F178" s="10" t="s">
        <v>131</v>
      </c>
      <c r="G178" s="11" t="n">
        <v>883</v>
      </c>
      <c r="H178" s="11" t="n">
        <v>2006.7</v>
      </c>
      <c r="I178" s="11" t="n">
        <v>0</v>
      </c>
      <c r="J178" s="11" t="n">
        <v>3067</v>
      </c>
      <c r="K178" s="11" t="n">
        <v>0</v>
      </c>
      <c r="L178" s="11"/>
      <c r="M178" s="11"/>
      <c r="N178" s="11"/>
      <c r="O178" s="11" t="n">
        <v>6050</v>
      </c>
      <c r="P178" s="11" t="n">
        <f aca="false">K178+SUM(L178:O178)</f>
        <v>6050</v>
      </c>
      <c r="Q178" s="11" t="n">
        <v>2550</v>
      </c>
      <c r="R178" s="12" t="n">
        <f aca="false">Q178/$P178</f>
        <v>0.421487603305785</v>
      </c>
      <c r="S178" s="11" t="n">
        <v>2550</v>
      </c>
      <c r="T178" s="12" t="n">
        <f aca="false">S178/$P178</f>
        <v>0.421487603305785</v>
      </c>
      <c r="U178" s="11" t="n">
        <v>2550</v>
      </c>
      <c r="V178" s="12" t="n">
        <f aca="false">U178/$P178</f>
        <v>0.421487603305785</v>
      </c>
      <c r="W178" s="11" t="n">
        <v>6050</v>
      </c>
      <c r="X178" s="12" t="n">
        <f aca="false">W178/$P178</f>
        <v>1</v>
      </c>
      <c r="Y178" s="11" t="n">
        <f aca="false">K178</f>
        <v>0</v>
      </c>
      <c r="Z178" s="11" t="n">
        <f aca="false">Y178</f>
        <v>0</v>
      </c>
    </row>
    <row r="179" customFormat="false" ht="13.9" hidden="false" customHeight="true" outlineLevel="0" collapsed="false">
      <c r="A179" s="1" t="n">
        <v>2</v>
      </c>
      <c r="B179" s="1" t="n">
        <v>2</v>
      </c>
      <c r="D179" s="38"/>
      <c r="E179" s="10" t="n">
        <v>640</v>
      </c>
      <c r="F179" s="10" t="s">
        <v>132</v>
      </c>
      <c r="G179" s="11" t="n">
        <v>431.6</v>
      </c>
      <c r="H179" s="11" t="n">
        <v>182.6</v>
      </c>
      <c r="I179" s="11" t="n">
        <v>185</v>
      </c>
      <c r="J179" s="11" t="n">
        <v>0</v>
      </c>
      <c r="K179" s="11" t="n">
        <v>0</v>
      </c>
      <c r="L179" s="11"/>
      <c r="M179" s="11"/>
      <c r="N179" s="11"/>
      <c r="O179" s="11"/>
      <c r="P179" s="11" t="n">
        <f aca="false">K179+SUM(L179:O179)</f>
        <v>0</v>
      </c>
      <c r="Q179" s="11" t="n">
        <v>0</v>
      </c>
      <c r="R179" s="12" t="e">
        <f aca="false">Q179/$P179</f>
        <v>#DIV/0!</v>
      </c>
      <c r="S179" s="11" t="n">
        <v>0</v>
      </c>
      <c r="T179" s="12" t="e">
        <f aca="false">S179/$P179</f>
        <v>#DIV/0!</v>
      </c>
      <c r="U179" s="11" t="n">
        <v>0</v>
      </c>
      <c r="V179" s="12" t="e">
        <f aca="false">U179/$P179</f>
        <v>#DIV/0!</v>
      </c>
      <c r="W179" s="11" t="n">
        <v>0</v>
      </c>
      <c r="X179" s="12" t="e">
        <f aca="false">W179/$P179</f>
        <v>#DIV/0!</v>
      </c>
      <c r="Y179" s="11" t="n">
        <f aca="false">K179</f>
        <v>0</v>
      </c>
      <c r="Z179" s="11" t="n">
        <f aca="false">Y179</f>
        <v>0</v>
      </c>
    </row>
    <row r="180" customFormat="false" ht="13.9" hidden="false" customHeight="true" outlineLevel="0" collapsed="false">
      <c r="A180" s="1" t="n">
        <v>2</v>
      </c>
      <c r="B180" s="1" t="n">
        <v>2</v>
      </c>
      <c r="D180" s="38"/>
      <c r="E180" s="10" t="s">
        <v>51</v>
      </c>
      <c r="F180" s="10" t="s">
        <v>22</v>
      </c>
      <c r="G180" s="33" t="n">
        <v>427018.4</v>
      </c>
      <c r="H180" s="33" t="n">
        <v>448512.82</v>
      </c>
      <c r="I180" s="11" t="n">
        <v>477778</v>
      </c>
      <c r="J180" s="33" t="n">
        <v>468351</v>
      </c>
      <c r="K180" s="33" t="n">
        <v>586650</v>
      </c>
      <c r="L180" s="33"/>
      <c r="M180" s="33"/>
      <c r="N180" s="33"/>
      <c r="O180" s="33" t="n">
        <f aca="false">68+4697</f>
        <v>4765</v>
      </c>
      <c r="P180" s="33" t="n">
        <f aca="false">K180+SUM(L180:O180)</f>
        <v>591415</v>
      </c>
      <c r="Q180" s="33" t="n">
        <v>101033.93</v>
      </c>
      <c r="R180" s="34" t="n">
        <f aca="false">Q180/$P180</f>
        <v>0.170834236534413</v>
      </c>
      <c r="S180" s="33" t="n">
        <v>230639.81</v>
      </c>
      <c r="T180" s="34" t="n">
        <f aca="false">S180/$P180</f>
        <v>0.389979642044926</v>
      </c>
      <c r="U180" s="33" t="n">
        <v>355510.86</v>
      </c>
      <c r="V180" s="34" t="n">
        <f aca="false">U180/$P180</f>
        <v>0.601119112636643</v>
      </c>
      <c r="W180" s="33" t="n">
        <v>572522.38</v>
      </c>
      <c r="X180" s="34" t="n">
        <f aca="false">W180/$P180</f>
        <v>0.968055223489428</v>
      </c>
      <c r="Y180" s="11" t="n">
        <f aca="false">K180</f>
        <v>586650</v>
      </c>
      <c r="Z180" s="11" t="n">
        <f aca="false">Y180</f>
        <v>586650</v>
      </c>
    </row>
    <row r="181" customFormat="false" ht="13.9" hidden="false" customHeight="true" outlineLevel="0" collapsed="false">
      <c r="A181" s="1" t="n">
        <v>2</v>
      </c>
      <c r="B181" s="1" t="n">
        <v>2</v>
      </c>
      <c r="D181" s="77" t="s">
        <v>21</v>
      </c>
      <c r="E181" s="35" t="n">
        <v>111</v>
      </c>
      <c r="F181" s="35" t="s">
        <v>134</v>
      </c>
      <c r="G181" s="36" t="n">
        <f aca="false">SUM(G178:G180)</f>
        <v>428333</v>
      </c>
      <c r="H181" s="36" t="n">
        <f aca="false">SUM(H178:H180)</f>
        <v>450702.12</v>
      </c>
      <c r="I181" s="36" t="n">
        <f aca="false">SUM(I178:I180)</f>
        <v>477963</v>
      </c>
      <c r="J181" s="36" t="n">
        <f aca="false">SUM(J178:J180)</f>
        <v>471418</v>
      </c>
      <c r="K181" s="36" t="n">
        <f aca="false">SUM(K178:K180)</f>
        <v>586650</v>
      </c>
      <c r="L181" s="36" t="n">
        <f aca="false">SUM(L178:L180)</f>
        <v>0</v>
      </c>
      <c r="M181" s="36" t="n">
        <f aca="false">SUM(M178:M180)</f>
        <v>0</v>
      </c>
      <c r="N181" s="36" t="n">
        <f aca="false">SUM(N178:N180)</f>
        <v>0</v>
      </c>
      <c r="O181" s="36" t="n">
        <f aca="false">SUM(O178:O180)</f>
        <v>10815</v>
      </c>
      <c r="P181" s="36" t="n">
        <f aca="false">SUM(P178:P180)</f>
        <v>597465</v>
      </c>
      <c r="Q181" s="36" t="n">
        <f aca="false">SUM(Q178:Q180)</f>
        <v>103583.93</v>
      </c>
      <c r="R181" s="37" t="n">
        <f aca="false">Q181/$P181</f>
        <v>0.173372381645787</v>
      </c>
      <c r="S181" s="36" t="n">
        <f aca="false">SUM(S178:S180)</f>
        <v>233189.81</v>
      </c>
      <c r="T181" s="37" t="n">
        <f aca="false">S181/$P181</f>
        <v>0.390298695321065</v>
      </c>
      <c r="U181" s="36" t="n">
        <f aca="false">SUM(U178:U180)</f>
        <v>358060.86</v>
      </c>
      <c r="V181" s="37" t="n">
        <f aca="false">U181/$P181</f>
        <v>0.599300143104617</v>
      </c>
      <c r="W181" s="36" t="n">
        <f aca="false">SUM(W178:W180)</f>
        <v>578572.38</v>
      </c>
      <c r="X181" s="37" t="n">
        <f aca="false">W181/$P181</f>
        <v>0.968378700007532</v>
      </c>
      <c r="Y181" s="36" t="n">
        <f aca="false">SUM(Y178:Y180)</f>
        <v>586650</v>
      </c>
      <c r="Z181" s="36" t="n">
        <f aca="false">SUM(Z178:Z180)</f>
        <v>586650</v>
      </c>
    </row>
    <row r="182" customFormat="false" ht="13.9" hidden="false" customHeight="true" outlineLevel="0" collapsed="false">
      <c r="A182" s="1" t="n">
        <v>2</v>
      </c>
      <c r="B182" s="1" t="n">
        <v>2</v>
      </c>
      <c r="D182" s="38" t="s">
        <v>175</v>
      </c>
      <c r="E182" s="10" t="n">
        <v>630</v>
      </c>
      <c r="F182" s="10" t="s">
        <v>131</v>
      </c>
      <c r="G182" s="11" t="n">
        <v>748.81</v>
      </c>
      <c r="H182" s="11" t="n">
        <v>1965.17</v>
      </c>
      <c r="I182" s="11" t="n">
        <v>1592</v>
      </c>
      <c r="J182" s="11" t="n">
        <v>1439</v>
      </c>
      <c r="K182" s="11" t="n">
        <v>1440</v>
      </c>
      <c r="L182" s="11"/>
      <c r="M182" s="11"/>
      <c r="N182" s="11"/>
      <c r="O182" s="11"/>
      <c r="P182" s="11" t="n">
        <f aca="false">K182+SUM(L182:O182)</f>
        <v>1440</v>
      </c>
      <c r="Q182" s="11" t="n">
        <v>0</v>
      </c>
      <c r="R182" s="12" t="n">
        <f aca="false">Q182/$P182</f>
        <v>0</v>
      </c>
      <c r="S182" s="11" t="n">
        <v>808.71</v>
      </c>
      <c r="T182" s="12" t="n">
        <f aca="false">S182/$P182</f>
        <v>0.561604166666667</v>
      </c>
      <c r="U182" s="11" t="n">
        <v>808.71</v>
      </c>
      <c r="V182" s="12" t="n">
        <f aca="false">U182/$P182</f>
        <v>0.561604166666667</v>
      </c>
      <c r="W182" s="11" t="n">
        <v>1168.71</v>
      </c>
      <c r="X182" s="12" t="n">
        <f aca="false">W182/$P182</f>
        <v>0.811604166666667</v>
      </c>
      <c r="Y182" s="11" t="n">
        <f aca="false">K182</f>
        <v>1440</v>
      </c>
      <c r="Z182" s="11" t="n">
        <f aca="false">Y182</f>
        <v>1440</v>
      </c>
    </row>
    <row r="183" customFormat="false" ht="13.9" hidden="false" customHeight="true" outlineLevel="0" collapsed="false">
      <c r="A183" s="1" t="n">
        <v>2</v>
      </c>
      <c r="B183" s="1" t="n">
        <v>2</v>
      </c>
      <c r="D183" s="38"/>
      <c r="E183" s="10" t="n">
        <v>640</v>
      </c>
      <c r="F183" s="10" t="s">
        <v>132</v>
      </c>
      <c r="G183" s="11" t="n">
        <v>228.89</v>
      </c>
      <c r="H183" s="11" t="n">
        <v>170.52</v>
      </c>
      <c r="I183" s="11" t="n">
        <v>680</v>
      </c>
      <c r="J183" s="11" t="n">
        <v>833</v>
      </c>
      <c r="K183" s="11" t="n">
        <v>835</v>
      </c>
      <c r="L183" s="11"/>
      <c r="M183" s="11"/>
      <c r="N183" s="11"/>
      <c r="O183" s="11"/>
      <c r="P183" s="11" t="n">
        <f aca="false">K183+SUM(L183:O183)</f>
        <v>835</v>
      </c>
      <c r="Q183" s="11" t="n">
        <v>0</v>
      </c>
      <c r="R183" s="12" t="n">
        <f aca="false">Q183/$P183</f>
        <v>0</v>
      </c>
      <c r="S183" s="11" t="n">
        <v>0</v>
      </c>
      <c r="T183" s="12" t="n">
        <f aca="false">S183/$P183</f>
        <v>0</v>
      </c>
      <c r="U183" s="11" t="n">
        <v>0</v>
      </c>
      <c r="V183" s="12" t="n">
        <f aca="false">U183/$P183</f>
        <v>0</v>
      </c>
      <c r="W183" s="11" t="n">
        <v>0</v>
      </c>
      <c r="X183" s="12" t="n">
        <f aca="false">W183/$P183</f>
        <v>0</v>
      </c>
      <c r="Y183" s="11" t="n">
        <f aca="false">K183</f>
        <v>835</v>
      </c>
      <c r="Z183" s="11" t="n">
        <f aca="false">Y183</f>
        <v>835</v>
      </c>
    </row>
    <row r="184" customFormat="false" ht="13.9" hidden="false" customHeight="true" outlineLevel="0" collapsed="false">
      <c r="A184" s="1" t="n">
        <v>2</v>
      </c>
      <c r="B184" s="1" t="n">
        <v>2</v>
      </c>
      <c r="D184" s="38"/>
      <c r="E184" s="10" t="s">
        <v>51</v>
      </c>
      <c r="F184" s="10" t="s">
        <v>176</v>
      </c>
      <c r="G184" s="11" t="n">
        <v>88060.03</v>
      </c>
      <c r="H184" s="11" t="n">
        <v>87928.51</v>
      </c>
      <c r="I184" s="11" t="n">
        <v>79743</v>
      </c>
      <c r="J184" s="33" t="n">
        <v>85805</v>
      </c>
      <c r="K184" s="33" t="n">
        <f aca="false">600+33980+59110-11128</f>
        <v>82562</v>
      </c>
      <c r="L184" s="33" t="n">
        <v>-1938</v>
      </c>
      <c r="M184" s="33"/>
      <c r="N184" s="33"/>
      <c r="O184" s="33"/>
      <c r="P184" s="33" t="n">
        <f aca="false">K184+SUM(L184:O184)</f>
        <v>80624</v>
      </c>
      <c r="Q184" s="33" t="n">
        <v>14355.03</v>
      </c>
      <c r="R184" s="34" t="n">
        <f aca="false">Q184/$P184</f>
        <v>0.178049092081762</v>
      </c>
      <c r="S184" s="33" t="n">
        <v>29924.12</v>
      </c>
      <c r="T184" s="34" t="n">
        <f aca="false">S184/$P184</f>
        <v>0.37115647946021</v>
      </c>
      <c r="U184" s="33" t="n">
        <v>47544.11</v>
      </c>
      <c r="V184" s="34" t="n">
        <f aca="false">U184/$P184</f>
        <v>0.589701701726533</v>
      </c>
      <c r="W184" s="33" t="n">
        <v>82080.35</v>
      </c>
      <c r="X184" s="34" t="n">
        <f aca="false">W184/$P184</f>
        <v>1.01806347985711</v>
      </c>
      <c r="Y184" s="11" t="n">
        <f aca="false">K184</f>
        <v>82562</v>
      </c>
      <c r="Z184" s="11" t="n">
        <f aca="false">Y184</f>
        <v>82562</v>
      </c>
    </row>
    <row r="185" customFormat="false" ht="13.9" hidden="false" customHeight="true" outlineLevel="0" collapsed="false">
      <c r="A185" s="1" t="n">
        <v>2</v>
      </c>
      <c r="B185" s="1" t="n">
        <v>2</v>
      </c>
      <c r="D185" s="1" t="s">
        <v>177</v>
      </c>
      <c r="E185" s="10" t="n">
        <v>630</v>
      </c>
      <c r="F185" s="10" t="s">
        <v>131</v>
      </c>
      <c r="G185" s="11" t="n">
        <v>0</v>
      </c>
      <c r="H185" s="11" t="n">
        <v>859.78</v>
      </c>
      <c r="I185" s="11" t="n">
        <v>7373</v>
      </c>
      <c r="J185" s="33" t="n">
        <v>7075</v>
      </c>
      <c r="K185" s="11" t="n">
        <v>6975</v>
      </c>
      <c r="L185" s="11" t="n">
        <v>456</v>
      </c>
      <c r="M185" s="11"/>
      <c r="N185" s="11"/>
      <c r="O185" s="11"/>
      <c r="P185" s="11" t="n">
        <f aca="false">K185+SUM(L185:O185)</f>
        <v>7431</v>
      </c>
      <c r="Q185" s="11" t="n">
        <v>1933.02</v>
      </c>
      <c r="R185" s="12" t="n">
        <f aca="false">Q185/$P185</f>
        <v>0.260129188534518</v>
      </c>
      <c r="S185" s="11" t="n">
        <v>3223.02</v>
      </c>
      <c r="T185" s="12" t="n">
        <f aca="false">S185/$P185</f>
        <v>0.433726281792491</v>
      </c>
      <c r="U185" s="11" t="n">
        <v>4574.43</v>
      </c>
      <c r="V185" s="12" t="n">
        <f aca="false">U185/$P185</f>
        <v>0.615587404117885</v>
      </c>
      <c r="W185" s="11" t="n">
        <v>6871.88</v>
      </c>
      <c r="X185" s="12" t="n">
        <f aca="false">W185/$P185</f>
        <v>0.92475844435473</v>
      </c>
      <c r="Y185" s="11" t="n">
        <f aca="false">K185</f>
        <v>6975</v>
      </c>
      <c r="Z185" s="11" t="n">
        <f aca="false">Y185</f>
        <v>6975</v>
      </c>
    </row>
    <row r="186" customFormat="false" ht="13.9" hidden="false" customHeight="true" outlineLevel="0" collapsed="false">
      <c r="A186" s="1" t="n">
        <v>2</v>
      </c>
      <c r="B186" s="1" t="n">
        <v>2</v>
      </c>
      <c r="D186" s="77" t="s">
        <v>21</v>
      </c>
      <c r="E186" s="35" t="n">
        <v>41</v>
      </c>
      <c r="F186" s="35" t="s">
        <v>23</v>
      </c>
      <c r="G186" s="36" t="n">
        <f aca="false">SUM(G182:G185)</f>
        <v>89037.73</v>
      </c>
      <c r="H186" s="36" t="n">
        <f aca="false">SUM(H182:H185)</f>
        <v>90923.98</v>
      </c>
      <c r="I186" s="36" t="n">
        <f aca="false">SUM(I182:I185)</f>
        <v>89388</v>
      </c>
      <c r="J186" s="36" t="n">
        <f aca="false">SUM(J182:J185)</f>
        <v>95152</v>
      </c>
      <c r="K186" s="36" t="n">
        <f aca="false">SUM(K182:K185)</f>
        <v>91812</v>
      </c>
      <c r="L186" s="36" t="n">
        <f aca="false">SUM(L182:L185)</f>
        <v>-1482</v>
      </c>
      <c r="M186" s="36" t="n">
        <f aca="false">SUM(M182:M185)</f>
        <v>0</v>
      </c>
      <c r="N186" s="36" t="n">
        <f aca="false">SUM(N182:N185)</f>
        <v>0</v>
      </c>
      <c r="O186" s="36" t="n">
        <f aca="false">SUM(O182:O185)</f>
        <v>0</v>
      </c>
      <c r="P186" s="36" t="n">
        <f aca="false">SUM(P182:P185)</f>
        <v>90330</v>
      </c>
      <c r="Q186" s="36" t="n">
        <f aca="false">SUM(Q182:Q185)</f>
        <v>16288.05</v>
      </c>
      <c r="R186" s="37" t="n">
        <f aca="false">Q186/$P186</f>
        <v>0.180317170375291</v>
      </c>
      <c r="S186" s="36" t="n">
        <f aca="false">SUM(S182:S185)</f>
        <v>33955.85</v>
      </c>
      <c r="T186" s="37" t="n">
        <f aca="false">S186/$P186</f>
        <v>0.375908889626923</v>
      </c>
      <c r="U186" s="36" t="n">
        <f aca="false">SUM(U182:U185)</f>
        <v>52927.25</v>
      </c>
      <c r="V186" s="37" t="n">
        <f aca="false">U186/$P186</f>
        <v>0.585932137717259</v>
      </c>
      <c r="W186" s="36" t="n">
        <f aca="false">SUM(W182:W185)</f>
        <v>90120.94</v>
      </c>
      <c r="X186" s="37" t="n">
        <f aca="false">W186/$P186</f>
        <v>0.997685597254511</v>
      </c>
      <c r="Y186" s="36" t="n">
        <f aca="false">K186</f>
        <v>91812</v>
      </c>
      <c r="Z186" s="36" t="n">
        <f aca="false">SUM(Z182:Z185)</f>
        <v>91812</v>
      </c>
    </row>
    <row r="187" customFormat="false" ht="13.9" hidden="false" customHeight="true" outlineLevel="0" collapsed="false">
      <c r="A187" s="1" t="n">
        <v>2</v>
      </c>
      <c r="B187" s="1" t="n">
        <v>2</v>
      </c>
      <c r="D187" s="38" t="s">
        <v>175</v>
      </c>
      <c r="E187" s="10" t="s">
        <v>51</v>
      </c>
      <c r="F187" s="10" t="s">
        <v>25</v>
      </c>
      <c r="G187" s="11" t="n">
        <v>0</v>
      </c>
      <c r="H187" s="11" t="n">
        <v>53456.9</v>
      </c>
      <c r="I187" s="11" t="n">
        <v>47500</v>
      </c>
      <c r="J187" s="33" t="n">
        <v>54604</v>
      </c>
      <c r="K187" s="33" t="n">
        <v>46100</v>
      </c>
      <c r="L187" s="33"/>
      <c r="M187" s="33"/>
      <c r="N187" s="33"/>
      <c r="O187" s="33" t="n">
        <v>3780</v>
      </c>
      <c r="P187" s="33" t="n">
        <f aca="false">K187+SUM(L187:O187)</f>
        <v>49880</v>
      </c>
      <c r="Q187" s="33" t="n">
        <v>9842.84</v>
      </c>
      <c r="R187" s="34" t="n">
        <f aca="false">Q187/$P187</f>
        <v>0.197330392943063</v>
      </c>
      <c r="S187" s="33" t="n">
        <v>15620.29</v>
      </c>
      <c r="T187" s="34" t="n">
        <f aca="false">S187/$P187</f>
        <v>0.313157377706496</v>
      </c>
      <c r="U187" s="33" t="n">
        <v>29395.64</v>
      </c>
      <c r="V187" s="34" t="n">
        <f aca="false">U187/$P187</f>
        <v>0.589327185244587</v>
      </c>
      <c r="W187" s="33" t="n">
        <v>39950.8</v>
      </c>
      <c r="X187" s="34" t="n">
        <f aca="false">W187/$P187</f>
        <v>0.80093825180433</v>
      </c>
      <c r="Y187" s="11" t="n">
        <f aca="false">K187</f>
        <v>46100</v>
      </c>
      <c r="Z187" s="11" t="n">
        <f aca="false">Y187</f>
        <v>46100</v>
      </c>
    </row>
    <row r="188" customFormat="false" ht="13.9" hidden="false" customHeight="true" outlineLevel="0" collapsed="false">
      <c r="A188" s="1" t="n">
        <v>2</v>
      </c>
      <c r="B188" s="1" t="n">
        <v>2</v>
      </c>
      <c r="D188" s="77" t="s">
        <v>21</v>
      </c>
      <c r="E188" s="35" t="n">
        <v>72</v>
      </c>
      <c r="F188" s="35" t="s">
        <v>25</v>
      </c>
      <c r="G188" s="36" t="n">
        <f aca="false">SUM(G187:G187)</f>
        <v>0</v>
      </c>
      <c r="H188" s="36" t="n">
        <f aca="false">SUM(H187:H187)</f>
        <v>53456.9</v>
      </c>
      <c r="I188" s="36" t="n">
        <f aca="false">SUM(I187:I187)</f>
        <v>47500</v>
      </c>
      <c r="J188" s="36" t="n">
        <f aca="false">SUM(J187:J187)</f>
        <v>54604</v>
      </c>
      <c r="K188" s="36" t="n">
        <f aca="false">SUM(K187:K187)</f>
        <v>46100</v>
      </c>
      <c r="L188" s="36" t="n">
        <f aca="false">SUM(L187:L187)</f>
        <v>0</v>
      </c>
      <c r="M188" s="36" t="n">
        <f aca="false">SUM(M187:M187)</f>
        <v>0</v>
      </c>
      <c r="N188" s="36" t="n">
        <f aca="false">SUM(N187:N187)</f>
        <v>0</v>
      </c>
      <c r="O188" s="36" t="n">
        <f aca="false">SUM(O187:O187)</f>
        <v>3780</v>
      </c>
      <c r="P188" s="36" t="n">
        <f aca="false">SUM(P187:P187)</f>
        <v>49880</v>
      </c>
      <c r="Q188" s="36" t="n">
        <f aca="false">SUM(Q187:Q187)</f>
        <v>9842.84</v>
      </c>
      <c r="R188" s="37" t="n">
        <f aca="false">Q188/$P188</f>
        <v>0.197330392943063</v>
      </c>
      <c r="S188" s="36" t="n">
        <f aca="false">SUM(S187:S187)</f>
        <v>15620.29</v>
      </c>
      <c r="T188" s="37" t="n">
        <f aca="false">S188/$P188</f>
        <v>0.313157377706496</v>
      </c>
      <c r="U188" s="36" t="n">
        <f aca="false">SUM(U187:U187)</f>
        <v>29395.64</v>
      </c>
      <c r="V188" s="37" t="n">
        <f aca="false">U188/$P188</f>
        <v>0.589327185244587</v>
      </c>
      <c r="W188" s="36" t="n">
        <f aca="false">SUM(W187:W187)</f>
        <v>39950.8</v>
      </c>
      <c r="X188" s="37" t="n">
        <f aca="false">W188/$P188</f>
        <v>0.80093825180433</v>
      </c>
      <c r="Y188" s="36" t="n">
        <f aca="false">SUM(Y187:Y187)</f>
        <v>46100</v>
      </c>
      <c r="Z188" s="36" t="n">
        <f aca="false">SUM(Z187:Z187)</f>
        <v>46100</v>
      </c>
    </row>
    <row r="189" customFormat="false" ht="13.9" hidden="false" customHeight="true" outlineLevel="0" collapsed="false">
      <c r="A189" s="1" t="n">
        <v>2</v>
      </c>
      <c r="B189" s="1" t="n">
        <v>2</v>
      </c>
      <c r="D189" s="17"/>
      <c r="E189" s="18"/>
      <c r="F189" s="13" t="s">
        <v>124</v>
      </c>
      <c r="G189" s="14" t="n">
        <f aca="false">G181+G186+G188</f>
        <v>517370.73</v>
      </c>
      <c r="H189" s="14" t="n">
        <f aca="false">H181+H186+H188</f>
        <v>595083</v>
      </c>
      <c r="I189" s="14" t="n">
        <f aca="false">I181+I186+I188</f>
        <v>614851</v>
      </c>
      <c r="J189" s="14" t="n">
        <f aca="false">J181+J186+J188</f>
        <v>621174</v>
      </c>
      <c r="K189" s="14" t="n">
        <f aca="false">K181+K186+K188</f>
        <v>724562</v>
      </c>
      <c r="L189" s="14" t="n">
        <f aca="false">L181+L186+L188</f>
        <v>-1482</v>
      </c>
      <c r="M189" s="14" t="n">
        <f aca="false">M181+M186+M188</f>
        <v>0</v>
      </c>
      <c r="N189" s="14" t="n">
        <f aca="false">N181+N186+N188</f>
        <v>0</v>
      </c>
      <c r="O189" s="14" t="n">
        <f aca="false">O181+O186+O188</f>
        <v>14595</v>
      </c>
      <c r="P189" s="14" t="n">
        <f aca="false">P181+P186+P188</f>
        <v>737675</v>
      </c>
      <c r="Q189" s="14" t="n">
        <f aca="false">Q181+Q186+Q188</f>
        <v>129714.82</v>
      </c>
      <c r="R189" s="15" t="n">
        <f aca="false">Q189/$P189</f>
        <v>0.175842776290372</v>
      </c>
      <c r="S189" s="14" t="n">
        <f aca="false">S181+S186+S188</f>
        <v>282765.95</v>
      </c>
      <c r="T189" s="15" t="n">
        <f aca="false">S189/$P189</f>
        <v>0.383320500220287</v>
      </c>
      <c r="U189" s="14" t="n">
        <f aca="false">U181+U186+U188</f>
        <v>440383.75</v>
      </c>
      <c r="V189" s="15" t="n">
        <f aca="false">U189/$P189</f>
        <v>0.596988850103365</v>
      </c>
      <c r="W189" s="14" t="n">
        <f aca="false">W181+W186+W188</f>
        <v>708644.12</v>
      </c>
      <c r="X189" s="15" t="n">
        <f aca="false">W189/$P189</f>
        <v>0.960645433287017</v>
      </c>
      <c r="Y189" s="14" t="n">
        <f aca="false">Y181+Y186+Y188</f>
        <v>724562</v>
      </c>
      <c r="Z189" s="14" t="n">
        <f aca="false">Z181+Z186+Z188</f>
        <v>724562</v>
      </c>
    </row>
    <row r="191" customFormat="false" ht="13.9" hidden="false" customHeight="true" outlineLevel="0" collapsed="false">
      <c r="E191" s="39" t="s">
        <v>57</v>
      </c>
      <c r="F191" s="17" t="s">
        <v>178</v>
      </c>
      <c r="G191" s="40"/>
      <c r="H191" s="40" t="n">
        <v>1332.27</v>
      </c>
      <c r="I191" s="40" t="n">
        <v>5173</v>
      </c>
      <c r="J191" s="40" t="n">
        <v>5975</v>
      </c>
      <c r="K191" s="40" t="n">
        <v>5975</v>
      </c>
      <c r="L191" s="40"/>
      <c r="M191" s="40" t="n">
        <v>-214</v>
      </c>
      <c r="N191" s="40"/>
      <c r="O191" s="40"/>
      <c r="P191" s="40" t="n">
        <f aca="false">K191+SUM(L191:O191)</f>
        <v>5761</v>
      </c>
      <c r="Q191" s="40" t="n">
        <v>1477.02</v>
      </c>
      <c r="R191" s="41" t="n">
        <f aca="false">Q191/$P191</f>
        <v>0.256382572470057</v>
      </c>
      <c r="S191" s="40" t="n">
        <v>2767.02</v>
      </c>
      <c r="T191" s="41" t="n">
        <f aca="false">S191/$P191</f>
        <v>0.480302030897414</v>
      </c>
      <c r="U191" s="40" t="n">
        <v>4118.43</v>
      </c>
      <c r="V191" s="41" t="n">
        <f aca="false">U191/$P191</f>
        <v>0.714881097031765</v>
      </c>
      <c r="W191" s="40" t="n">
        <v>5541.77</v>
      </c>
      <c r="X191" s="42" t="n">
        <f aca="false">W191/$P191</f>
        <v>0.961945842735636</v>
      </c>
      <c r="Y191" s="40" t="n">
        <f aca="false">K191</f>
        <v>5975</v>
      </c>
      <c r="Z191" s="43" t="n">
        <f aca="false">Y191</f>
        <v>5975</v>
      </c>
    </row>
    <row r="192" customFormat="false" ht="13.9" hidden="false" customHeight="true" outlineLevel="0" collapsed="false">
      <c r="E192" s="52"/>
      <c r="F192" s="86" t="s">
        <v>179</v>
      </c>
      <c r="G192" s="54"/>
      <c r="H192" s="54"/>
      <c r="I192" s="54" t="n">
        <v>2200</v>
      </c>
      <c r="J192" s="54" t="n">
        <v>0</v>
      </c>
      <c r="K192" s="73" t="n">
        <v>1000</v>
      </c>
      <c r="L192" s="73"/>
      <c r="M192" s="73" t="n">
        <v>214</v>
      </c>
      <c r="N192" s="73"/>
      <c r="O192" s="73"/>
      <c r="P192" s="73" t="n">
        <f aca="false">K192+SUM(L192:O192)</f>
        <v>1214</v>
      </c>
      <c r="Q192" s="73" t="n">
        <v>0</v>
      </c>
      <c r="R192" s="87" t="n">
        <f aca="false">Q192/$P192</f>
        <v>0</v>
      </c>
      <c r="S192" s="73" t="n">
        <v>0</v>
      </c>
      <c r="T192" s="87" t="n">
        <f aca="false">S192/$P192</f>
        <v>0</v>
      </c>
      <c r="U192" s="73" t="n">
        <v>0</v>
      </c>
      <c r="V192" s="87" t="n">
        <f aca="false">U192/$P192</f>
        <v>0</v>
      </c>
      <c r="W192" s="73" t="n">
        <v>874.11</v>
      </c>
      <c r="X192" s="88" t="n">
        <f aca="false">W192/$P192</f>
        <v>0.72002471169687</v>
      </c>
      <c r="Y192" s="54" t="n">
        <f aca="false">K192</f>
        <v>1000</v>
      </c>
      <c r="Z192" s="57" t="n">
        <f aca="false">Y192</f>
        <v>1000</v>
      </c>
    </row>
    <row r="194" customFormat="false" ht="13.9" hidden="false" customHeight="true" outlineLevel="0" collapsed="false">
      <c r="D194" s="28" t="s">
        <v>180</v>
      </c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9"/>
      <c r="S194" s="28"/>
      <c r="T194" s="29"/>
      <c r="U194" s="28"/>
      <c r="V194" s="29"/>
      <c r="W194" s="28"/>
      <c r="X194" s="29"/>
      <c r="Y194" s="28"/>
      <c r="Z194" s="28"/>
    </row>
    <row r="195" customFormat="false" ht="13.9" hidden="false" customHeight="true" outlineLevel="0" collapsed="false">
      <c r="D195" s="7" t="s">
        <v>33</v>
      </c>
      <c r="E195" s="7" t="s">
        <v>34</v>
      </c>
      <c r="F195" s="7" t="s">
        <v>35</v>
      </c>
      <c r="G195" s="7" t="s">
        <v>1</v>
      </c>
      <c r="H195" s="7" t="s">
        <v>2</v>
      </c>
      <c r="I195" s="7" t="s">
        <v>3</v>
      </c>
      <c r="J195" s="7" t="s">
        <v>4</v>
      </c>
      <c r="K195" s="7" t="s">
        <v>5</v>
      </c>
      <c r="L195" s="7" t="s">
        <v>6</v>
      </c>
      <c r="M195" s="7" t="s">
        <v>7</v>
      </c>
      <c r="N195" s="7" t="s">
        <v>8</v>
      </c>
      <c r="O195" s="7" t="s">
        <v>9</v>
      </c>
      <c r="P195" s="7" t="s">
        <v>10</v>
      </c>
      <c r="Q195" s="7" t="s">
        <v>11</v>
      </c>
      <c r="R195" s="8" t="s">
        <v>12</v>
      </c>
      <c r="S195" s="7" t="s">
        <v>13</v>
      </c>
      <c r="T195" s="8" t="s">
        <v>14</v>
      </c>
      <c r="U195" s="7" t="s">
        <v>15</v>
      </c>
      <c r="V195" s="8" t="s">
        <v>16</v>
      </c>
      <c r="W195" s="7" t="s">
        <v>17</v>
      </c>
      <c r="X195" s="8" t="s">
        <v>18</v>
      </c>
      <c r="Y195" s="7" t="s">
        <v>19</v>
      </c>
      <c r="Z195" s="7" t="s">
        <v>20</v>
      </c>
    </row>
    <row r="196" customFormat="false" ht="13.9" hidden="false" customHeight="true" outlineLevel="0" collapsed="false">
      <c r="A196" s="1" t="n">
        <v>2</v>
      </c>
      <c r="B196" s="1" t="n">
        <v>3</v>
      </c>
      <c r="D196" s="68" t="s">
        <v>181</v>
      </c>
      <c r="E196" s="10" t="n">
        <v>630</v>
      </c>
      <c r="F196" s="10" t="s">
        <v>131</v>
      </c>
      <c r="G196" s="11" t="n">
        <v>889</v>
      </c>
      <c r="H196" s="11" t="n">
        <v>966</v>
      </c>
      <c r="I196" s="11" t="n">
        <v>970</v>
      </c>
      <c r="J196" s="11" t="n">
        <f aca="false">príjmy!G96</f>
        <v>973</v>
      </c>
      <c r="K196" s="11" t="n">
        <f aca="false">príjmy!H96</f>
        <v>973</v>
      </c>
      <c r="L196" s="11"/>
      <c r="M196" s="11"/>
      <c r="N196" s="11"/>
      <c r="O196" s="11" t="n">
        <v>25</v>
      </c>
      <c r="P196" s="11" t="n">
        <f aca="false">K196+SUM(L196:O196)</f>
        <v>998</v>
      </c>
      <c r="Q196" s="11" t="n">
        <v>0</v>
      </c>
      <c r="R196" s="12" t="n">
        <f aca="false">Q196/$P196</f>
        <v>0</v>
      </c>
      <c r="S196" s="11" t="n">
        <v>537</v>
      </c>
      <c r="T196" s="12" t="n">
        <f aca="false">S196/$P196</f>
        <v>0.538076152304609</v>
      </c>
      <c r="U196" s="11" t="n">
        <v>537</v>
      </c>
      <c r="V196" s="12" t="n">
        <f aca="false">U196/$P196</f>
        <v>0.538076152304609</v>
      </c>
      <c r="W196" s="11" t="n">
        <v>998</v>
      </c>
      <c r="X196" s="12" t="n">
        <f aca="false">W196/$P196</f>
        <v>1</v>
      </c>
      <c r="Y196" s="11" t="n">
        <f aca="false">K196</f>
        <v>973</v>
      </c>
      <c r="Z196" s="11" t="n">
        <f aca="false">Y196</f>
        <v>973</v>
      </c>
    </row>
    <row r="197" customFormat="false" ht="13.9" hidden="false" customHeight="true" outlineLevel="0" collapsed="false">
      <c r="A197" s="1" t="n">
        <v>2</v>
      </c>
      <c r="B197" s="1" t="n">
        <v>3</v>
      </c>
      <c r="D197" s="77" t="s">
        <v>21</v>
      </c>
      <c r="E197" s="35" t="n">
        <v>111</v>
      </c>
      <c r="F197" s="35" t="s">
        <v>134</v>
      </c>
      <c r="G197" s="36" t="n">
        <f aca="false">SUM(G196:G196)</f>
        <v>889</v>
      </c>
      <c r="H197" s="36" t="n">
        <f aca="false">SUM(H196:H196)</f>
        <v>966</v>
      </c>
      <c r="I197" s="36" t="n">
        <f aca="false">SUM(I196:I196)</f>
        <v>970</v>
      </c>
      <c r="J197" s="36" t="n">
        <f aca="false">SUM(J196:J196)</f>
        <v>973</v>
      </c>
      <c r="K197" s="36" t="n">
        <f aca="false">SUM(K196:K196)</f>
        <v>973</v>
      </c>
      <c r="L197" s="36" t="n">
        <f aca="false">SUM(L196:L196)</f>
        <v>0</v>
      </c>
      <c r="M197" s="36" t="n">
        <f aca="false">SUM(M196:M196)</f>
        <v>0</v>
      </c>
      <c r="N197" s="36" t="n">
        <f aca="false">SUM(N196:N196)</f>
        <v>0</v>
      </c>
      <c r="O197" s="36" t="n">
        <f aca="false">SUM(O196:O196)</f>
        <v>25</v>
      </c>
      <c r="P197" s="36" t="n">
        <f aca="false">SUM(P196:P196)</f>
        <v>998</v>
      </c>
      <c r="Q197" s="36" t="n">
        <f aca="false">SUM(Q196:Q196)</f>
        <v>0</v>
      </c>
      <c r="R197" s="37" t="n">
        <f aca="false">Q197/$P197</f>
        <v>0</v>
      </c>
      <c r="S197" s="36" t="n">
        <f aca="false">SUM(S196:S196)</f>
        <v>537</v>
      </c>
      <c r="T197" s="37" t="n">
        <f aca="false">S197/$P197</f>
        <v>0.538076152304609</v>
      </c>
      <c r="U197" s="36" t="n">
        <f aca="false">SUM(U196:U196)</f>
        <v>537</v>
      </c>
      <c r="V197" s="37" t="n">
        <f aca="false">U197/$P197</f>
        <v>0.538076152304609</v>
      </c>
      <c r="W197" s="36" t="n">
        <f aca="false">SUM(W196:W196)</f>
        <v>998</v>
      </c>
      <c r="X197" s="37" t="n">
        <f aca="false">W197/$P197</f>
        <v>1</v>
      </c>
      <c r="Y197" s="36" t="n">
        <f aca="false">SUM(Y196:Y196)</f>
        <v>973</v>
      </c>
      <c r="Z197" s="36" t="n">
        <f aca="false">SUM(Z196:Z196)</f>
        <v>973</v>
      </c>
    </row>
    <row r="198" customFormat="false" ht="13.9" hidden="false" customHeight="true" outlineLevel="0" collapsed="false">
      <c r="A198" s="1" t="n">
        <v>2</v>
      </c>
      <c r="B198" s="1" t="n">
        <v>3</v>
      </c>
      <c r="D198" s="76" t="s">
        <v>181</v>
      </c>
      <c r="E198" s="10" t="n">
        <v>610</v>
      </c>
      <c r="F198" s="10" t="s">
        <v>129</v>
      </c>
      <c r="G198" s="11" t="n">
        <v>9102.94</v>
      </c>
      <c r="H198" s="11" t="n">
        <v>13355.98</v>
      </c>
      <c r="I198" s="11" t="n">
        <v>18135</v>
      </c>
      <c r="J198" s="11" t="n">
        <v>15466</v>
      </c>
      <c r="K198" s="11" t="n">
        <v>9680</v>
      </c>
      <c r="L198" s="11"/>
      <c r="M198" s="11"/>
      <c r="N198" s="11" t="n">
        <v>-106</v>
      </c>
      <c r="O198" s="11"/>
      <c r="P198" s="11" t="n">
        <f aca="false">K198+SUM(L198:O198)</f>
        <v>9574</v>
      </c>
      <c r="Q198" s="11" t="n">
        <v>2068.19</v>
      </c>
      <c r="R198" s="12" t="n">
        <f aca="false">Q198/$P198</f>
        <v>0.216021516607479</v>
      </c>
      <c r="S198" s="11" t="n">
        <v>4054.39</v>
      </c>
      <c r="T198" s="12" t="n">
        <f aca="false">S198/$P198</f>
        <v>0.423479214539378</v>
      </c>
      <c r="U198" s="11" t="n">
        <v>5588.13</v>
      </c>
      <c r="V198" s="12" t="n">
        <f aca="false">U198/$P198</f>
        <v>0.583677668686025</v>
      </c>
      <c r="W198" s="11" t="n">
        <v>6026.95</v>
      </c>
      <c r="X198" s="12" t="n">
        <f aca="false">W198/$P198</f>
        <v>0.629512220597451</v>
      </c>
      <c r="Y198" s="11" t="n">
        <v>10577</v>
      </c>
      <c r="Z198" s="11" t="n">
        <v>11563</v>
      </c>
    </row>
    <row r="199" customFormat="false" ht="13.9" hidden="false" customHeight="true" outlineLevel="0" collapsed="false">
      <c r="A199" s="1" t="n">
        <v>2</v>
      </c>
      <c r="B199" s="1" t="n">
        <v>3</v>
      </c>
      <c r="D199" s="76"/>
      <c r="E199" s="10" t="n">
        <v>620</v>
      </c>
      <c r="F199" s="10" t="s">
        <v>130</v>
      </c>
      <c r="G199" s="11" t="n">
        <v>5685.2</v>
      </c>
      <c r="H199" s="11" t="n">
        <v>6279.96</v>
      </c>
      <c r="I199" s="11" t="n">
        <v>8766</v>
      </c>
      <c r="J199" s="11" t="n">
        <v>5686</v>
      </c>
      <c r="K199" s="11" t="n">
        <v>6234</v>
      </c>
      <c r="L199" s="11"/>
      <c r="M199" s="11"/>
      <c r="N199" s="11"/>
      <c r="O199" s="11"/>
      <c r="P199" s="11" t="n">
        <f aca="false">K199+SUM(L199:O199)</f>
        <v>6234</v>
      </c>
      <c r="Q199" s="11" t="n">
        <v>954.77</v>
      </c>
      <c r="R199" s="12" t="n">
        <f aca="false">Q199/$P199</f>
        <v>0.153155277510427</v>
      </c>
      <c r="S199" s="11" t="n">
        <v>1551.11</v>
      </c>
      <c r="T199" s="12" t="n">
        <f aca="false">S199/$P199</f>
        <v>0.248814565287135</v>
      </c>
      <c r="U199" s="11" t="n">
        <v>2123.94</v>
      </c>
      <c r="V199" s="12" t="n">
        <f aca="false">U199/$P199</f>
        <v>0.340702598652551</v>
      </c>
      <c r="W199" s="11" t="n">
        <v>2283.57</v>
      </c>
      <c r="X199" s="12" t="n">
        <f aca="false">W199/$P199</f>
        <v>0.366308950914341</v>
      </c>
      <c r="Y199" s="11" t="n">
        <v>6503</v>
      </c>
      <c r="Z199" s="11" t="n">
        <v>6796</v>
      </c>
    </row>
    <row r="200" customFormat="false" ht="13.9" hidden="false" customHeight="true" outlineLevel="0" collapsed="false">
      <c r="A200" s="1" t="n">
        <v>2</v>
      </c>
      <c r="B200" s="1" t="n">
        <v>3</v>
      </c>
      <c r="D200" s="76"/>
      <c r="E200" s="10" t="n">
        <v>630</v>
      </c>
      <c r="F200" s="10" t="s">
        <v>131</v>
      </c>
      <c r="G200" s="11" t="n">
        <v>17104.81</v>
      </c>
      <c r="H200" s="11" t="n">
        <v>9849.68</v>
      </c>
      <c r="I200" s="11" t="n">
        <v>12427</v>
      </c>
      <c r="J200" s="11" t="n">
        <v>6853</v>
      </c>
      <c r="K200" s="33" t="n">
        <f aca="false">10449+3280+11019-1450</f>
        <v>23298</v>
      </c>
      <c r="L200" s="33" t="n">
        <v>-2416</v>
      </c>
      <c r="M200" s="33"/>
      <c r="N200" s="33" t="n">
        <v>-10000</v>
      </c>
      <c r="O200" s="33"/>
      <c r="P200" s="33" t="n">
        <f aca="false">K200+SUM(L200:O200)</f>
        <v>10882</v>
      </c>
      <c r="Q200" s="33" t="n">
        <v>810.75</v>
      </c>
      <c r="R200" s="34" t="n">
        <f aca="false">Q200/$P200</f>
        <v>0.0745037676897629</v>
      </c>
      <c r="S200" s="33" t="n">
        <v>381.55</v>
      </c>
      <c r="T200" s="34" t="n">
        <f aca="false">S200/$P200</f>
        <v>0.035062488513141</v>
      </c>
      <c r="U200" s="33" t="n">
        <v>382.87</v>
      </c>
      <c r="V200" s="34" t="n">
        <f aca="false">U200/$P200</f>
        <v>0.0351837897445323</v>
      </c>
      <c r="W200" s="33" t="n">
        <v>833.71</v>
      </c>
      <c r="X200" s="34" t="n">
        <f aca="false">W200/$P200</f>
        <v>0.0766136739569932</v>
      </c>
      <c r="Y200" s="11" t="n">
        <f aca="false">10459+3280+11019</f>
        <v>24758</v>
      </c>
      <c r="Z200" s="11" t="n">
        <f aca="false">10467+3280+11019</f>
        <v>24766</v>
      </c>
    </row>
    <row r="201" customFormat="false" ht="13.9" hidden="false" customHeight="true" outlineLevel="0" collapsed="false">
      <c r="A201" s="1" t="n">
        <v>2</v>
      </c>
      <c r="B201" s="1" t="n">
        <v>3</v>
      </c>
      <c r="D201" s="76"/>
      <c r="E201" s="10" t="n">
        <v>640</v>
      </c>
      <c r="F201" s="10" t="s">
        <v>132</v>
      </c>
      <c r="G201" s="11" t="n">
        <v>1516.76</v>
      </c>
      <c r="H201" s="11" t="n">
        <v>1941.68</v>
      </c>
      <c r="I201" s="11" t="n">
        <v>0</v>
      </c>
      <c r="J201" s="11" t="n">
        <v>73</v>
      </c>
      <c r="K201" s="11" t="n">
        <v>1450</v>
      </c>
      <c r="L201" s="11"/>
      <c r="M201" s="11"/>
      <c r="N201" s="11" t="n">
        <v>106</v>
      </c>
      <c r="O201" s="11"/>
      <c r="P201" s="11" t="n">
        <f aca="false">K201+SUM(L201:O201)</f>
        <v>1556</v>
      </c>
      <c r="Q201" s="11" t="n">
        <v>0</v>
      </c>
      <c r="R201" s="12" t="n">
        <f aca="false">Q201/$P201</f>
        <v>0</v>
      </c>
      <c r="S201" s="11" t="n">
        <v>0</v>
      </c>
      <c r="T201" s="12" t="n">
        <f aca="false">S201/$P201</f>
        <v>0</v>
      </c>
      <c r="U201" s="11" t="n">
        <v>1490.08</v>
      </c>
      <c r="V201" s="12" t="n">
        <f aca="false">U201/$P201</f>
        <v>0.957634961439589</v>
      </c>
      <c r="W201" s="11" t="n">
        <v>1490.08</v>
      </c>
      <c r="X201" s="12" t="n">
        <f aca="false">W201/$P201</f>
        <v>0.957634961439589</v>
      </c>
      <c r="Y201" s="11" t="n">
        <f aca="false">K201</f>
        <v>1450</v>
      </c>
      <c r="Z201" s="11" t="n">
        <f aca="false">Y201</f>
        <v>1450</v>
      </c>
    </row>
    <row r="202" customFormat="false" ht="13.9" hidden="false" customHeight="true" outlineLevel="0" collapsed="false">
      <c r="A202" s="1" t="n">
        <v>2</v>
      </c>
      <c r="B202" s="1" t="n">
        <v>3</v>
      </c>
      <c r="D202" s="77" t="s">
        <v>21</v>
      </c>
      <c r="E202" s="35" t="n">
        <v>41</v>
      </c>
      <c r="F202" s="35" t="s">
        <v>23</v>
      </c>
      <c r="G202" s="36" t="n">
        <f aca="false">SUM(G198:G201)</f>
        <v>33409.71</v>
      </c>
      <c r="H202" s="36" t="n">
        <f aca="false">SUM(H198:H201)</f>
        <v>31427.3</v>
      </c>
      <c r="I202" s="36" t="n">
        <f aca="false">SUM(I198:I201)</f>
        <v>39328</v>
      </c>
      <c r="J202" s="36" t="n">
        <f aca="false">SUM(J198:J201)</f>
        <v>28078</v>
      </c>
      <c r="K202" s="36" t="n">
        <f aca="false">SUM(K198:K201)</f>
        <v>40662</v>
      </c>
      <c r="L202" s="36" t="n">
        <f aca="false">SUM(L198:L201)</f>
        <v>-2416</v>
      </c>
      <c r="M202" s="36" t="n">
        <f aca="false">SUM(M198:M201)</f>
        <v>0</v>
      </c>
      <c r="N202" s="36" t="n">
        <f aca="false">SUM(N198:N201)</f>
        <v>-10000</v>
      </c>
      <c r="O202" s="36" t="n">
        <f aca="false">SUM(O198:O201)</f>
        <v>0</v>
      </c>
      <c r="P202" s="36" t="n">
        <f aca="false">SUM(P198:P201)</f>
        <v>28246</v>
      </c>
      <c r="Q202" s="36" t="n">
        <f aca="false">SUM(Q198:Q201)</f>
        <v>3833.71</v>
      </c>
      <c r="R202" s="37" t="n">
        <f aca="false">Q202/$P202</f>
        <v>0.13572576648021</v>
      </c>
      <c r="S202" s="36" t="n">
        <f aca="false">SUM(S198:S201)</f>
        <v>5987.05</v>
      </c>
      <c r="T202" s="37" t="n">
        <f aca="false">S202/$P202</f>
        <v>0.211960985626283</v>
      </c>
      <c r="U202" s="36" t="n">
        <f aca="false">SUM(U198:U201)</f>
        <v>9585.02</v>
      </c>
      <c r="V202" s="37" t="n">
        <f aca="false">U202/$P202</f>
        <v>0.339340791616512</v>
      </c>
      <c r="W202" s="36" t="n">
        <f aca="false">SUM(W198:W201)</f>
        <v>10634.31</v>
      </c>
      <c r="X202" s="37" t="n">
        <f aca="false">W202/$P202</f>
        <v>0.376489060397932</v>
      </c>
      <c r="Y202" s="36" t="n">
        <f aca="false">SUM(Y198:Y201)</f>
        <v>43288</v>
      </c>
      <c r="Z202" s="36" t="n">
        <f aca="false">SUM(Z198:Z201)</f>
        <v>44575</v>
      </c>
    </row>
    <row r="203" customFormat="false" ht="13.9" hidden="false" customHeight="true" outlineLevel="0" collapsed="false">
      <c r="A203" s="1" t="n">
        <v>2</v>
      </c>
      <c r="B203" s="1" t="n">
        <v>3</v>
      </c>
      <c r="D203" s="68" t="s">
        <v>181</v>
      </c>
      <c r="E203" s="10" t="n">
        <v>640</v>
      </c>
      <c r="F203" s="10" t="s">
        <v>132</v>
      </c>
      <c r="G203" s="11" t="n">
        <v>0</v>
      </c>
      <c r="H203" s="11" t="n">
        <v>209.37</v>
      </c>
      <c r="I203" s="11" t="n">
        <v>210</v>
      </c>
      <c r="J203" s="11" t="n">
        <v>236</v>
      </c>
      <c r="K203" s="11" t="n">
        <v>245</v>
      </c>
      <c r="L203" s="11"/>
      <c r="M203" s="11"/>
      <c r="N203" s="11"/>
      <c r="O203" s="11" t="n">
        <v>-109</v>
      </c>
      <c r="P203" s="11" t="n">
        <f aca="false">K203+SUM(L203:O203)</f>
        <v>136</v>
      </c>
      <c r="Q203" s="11" t="n">
        <v>0</v>
      </c>
      <c r="R203" s="12" t="n">
        <f aca="false">Q203/$P203</f>
        <v>0</v>
      </c>
      <c r="S203" s="11" t="n">
        <v>0</v>
      </c>
      <c r="T203" s="12" t="n">
        <f aca="false">S203/$P203</f>
        <v>0</v>
      </c>
      <c r="U203" s="11" t="n">
        <v>0</v>
      </c>
      <c r="V203" s="12" t="n">
        <f aca="false">U203/$P203</f>
        <v>0</v>
      </c>
      <c r="W203" s="11" t="n">
        <v>33.8</v>
      </c>
      <c r="X203" s="12" t="n">
        <f aca="false">W203/$P203</f>
        <v>0.248529411764706</v>
      </c>
      <c r="Y203" s="11" t="n">
        <f aca="false">K203</f>
        <v>245</v>
      </c>
      <c r="Z203" s="11" t="n">
        <f aca="false">Y203</f>
        <v>245</v>
      </c>
    </row>
    <row r="204" customFormat="false" ht="13.9" hidden="false" customHeight="true" outlineLevel="0" collapsed="false">
      <c r="A204" s="1" t="n">
        <v>2</v>
      </c>
      <c r="B204" s="1" t="n">
        <v>3</v>
      </c>
      <c r="D204" s="77" t="s">
        <v>21</v>
      </c>
      <c r="E204" s="35" t="n">
        <v>72</v>
      </c>
      <c r="F204" s="35" t="s">
        <v>25</v>
      </c>
      <c r="G204" s="36" t="n">
        <f aca="false">SUM(G203:G203)</f>
        <v>0</v>
      </c>
      <c r="H204" s="36" t="n">
        <f aca="false">SUM(H203:H203)</f>
        <v>209.37</v>
      </c>
      <c r="I204" s="36" t="n">
        <f aca="false">SUM(I203:I203)</f>
        <v>210</v>
      </c>
      <c r="J204" s="36" t="n">
        <f aca="false">SUM(J203:J203)</f>
        <v>236</v>
      </c>
      <c r="K204" s="36" t="n">
        <f aca="false">SUM(K203:K203)</f>
        <v>245</v>
      </c>
      <c r="L204" s="36" t="n">
        <f aca="false">SUM(L203:L203)</f>
        <v>0</v>
      </c>
      <c r="M204" s="36" t="n">
        <f aca="false">SUM(M203:M203)</f>
        <v>0</v>
      </c>
      <c r="N204" s="36" t="n">
        <f aca="false">SUM(N203:N203)</f>
        <v>0</v>
      </c>
      <c r="O204" s="36" t="n">
        <f aca="false">SUM(O203:O203)</f>
        <v>-109</v>
      </c>
      <c r="P204" s="36" t="n">
        <f aca="false">SUM(P203:P203)</f>
        <v>136</v>
      </c>
      <c r="Q204" s="36" t="n">
        <f aca="false">SUM(Q203:Q203)</f>
        <v>0</v>
      </c>
      <c r="R204" s="37" t="n">
        <f aca="false">Q204/$P204</f>
        <v>0</v>
      </c>
      <c r="S204" s="36" t="n">
        <f aca="false">SUM(S203:S203)</f>
        <v>0</v>
      </c>
      <c r="T204" s="37" t="n">
        <f aca="false">S204/$P204</f>
        <v>0</v>
      </c>
      <c r="U204" s="36" t="n">
        <f aca="false">SUM(U203:U203)</f>
        <v>0</v>
      </c>
      <c r="V204" s="37" t="n">
        <f aca="false">U204/$P204</f>
        <v>0</v>
      </c>
      <c r="W204" s="36" t="n">
        <f aca="false">SUM(W203:W203)</f>
        <v>33.8</v>
      </c>
      <c r="X204" s="37" t="n">
        <f aca="false">W204/$P204</f>
        <v>0.248529411764706</v>
      </c>
      <c r="Y204" s="36" t="n">
        <f aca="false">SUM(Y203:Y203)</f>
        <v>245</v>
      </c>
      <c r="Z204" s="36" t="n">
        <f aca="false">SUM(Z203:Z203)</f>
        <v>245</v>
      </c>
    </row>
    <row r="205" customFormat="false" ht="13.9" hidden="false" customHeight="true" outlineLevel="0" collapsed="false">
      <c r="A205" s="1" t="n">
        <v>2</v>
      </c>
      <c r="B205" s="1" t="n">
        <v>3</v>
      </c>
      <c r="D205" s="17"/>
      <c r="E205" s="18"/>
      <c r="F205" s="13" t="s">
        <v>124</v>
      </c>
      <c r="G205" s="14" t="n">
        <f aca="false">G197+G202+G204</f>
        <v>34298.71</v>
      </c>
      <c r="H205" s="14" t="n">
        <f aca="false">H197+H202+H204</f>
        <v>32602.67</v>
      </c>
      <c r="I205" s="14" t="n">
        <f aca="false">I197+I202+I204</f>
        <v>40508</v>
      </c>
      <c r="J205" s="14" t="n">
        <f aca="false">J197+J202+J204</f>
        <v>29287</v>
      </c>
      <c r="K205" s="95" t="n">
        <f aca="false">K197+K202+K204</f>
        <v>41880</v>
      </c>
      <c r="L205" s="95" t="n">
        <f aca="false">L197+L202+L204</f>
        <v>-2416</v>
      </c>
      <c r="M205" s="95" t="n">
        <f aca="false">M197+M202+M204</f>
        <v>0</v>
      </c>
      <c r="N205" s="95" t="n">
        <f aca="false">N197+N202+N204</f>
        <v>-10000</v>
      </c>
      <c r="O205" s="95" t="n">
        <f aca="false">O197+O202+O204</f>
        <v>-84</v>
      </c>
      <c r="P205" s="95" t="n">
        <f aca="false">P197+P202+P204</f>
        <v>29380</v>
      </c>
      <c r="Q205" s="95" t="n">
        <f aca="false">Q197+Q202+Q204</f>
        <v>3833.71</v>
      </c>
      <c r="R205" s="96" t="n">
        <f aca="false">Q205/$P205</f>
        <v>0.130487066031314</v>
      </c>
      <c r="S205" s="95" t="n">
        <f aca="false">S197+S202+S204</f>
        <v>6524.05</v>
      </c>
      <c r="T205" s="96" t="n">
        <f aca="false">S205/$P205</f>
        <v>0.222057522123894</v>
      </c>
      <c r="U205" s="95" t="n">
        <f aca="false">U197+U202+U204</f>
        <v>10122.02</v>
      </c>
      <c r="V205" s="96" t="n">
        <f aca="false">U205/$P205</f>
        <v>0.344520762423417</v>
      </c>
      <c r="W205" s="95" t="n">
        <f aca="false">W197+W202+W204</f>
        <v>11666.11</v>
      </c>
      <c r="X205" s="96" t="n">
        <f aca="false">W205/$P205</f>
        <v>0.397076582709326</v>
      </c>
      <c r="Y205" s="14" t="n">
        <f aca="false">Y197+Y202+Y204</f>
        <v>44506</v>
      </c>
      <c r="Z205" s="14" t="n">
        <f aca="false">Z197+Z202+Z204</f>
        <v>45793</v>
      </c>
    </row>
    <row r="207" customFormat="false" ht="13.9" hidden="false" customHeight="true" outlineLevel="0" collapsed="false">
      <c r="E207" s="39" t="s">
        <v>57</v>
      </c>
      <c r="F207" s="17" t="s">
        <v>182</v>
      </c>
      <c r="G207" s="40" t="n">
        <f aca="false">10242.8+2810.92</f>
        <v>13053.72</v>
      </c>
      <c r="H207" s="40" t="n">
        <f aca="false">7073.03+1695.15</f>
        <v>8768.18</v>
      </c>
      <c r="I207" s="40" t="n">
        <f aca="false">ROUND(9660*1.3495,0)</f>
        <v>13036</v>
      </c>
      <c r="J207" s="40" t="n">
        <f aca="false">ROUND(3052*1.3495,0)</f>
        <v>4119</v>
      </c>
      <c r="K207" s="40" t="n">
        <v>12874</v>
      </c>
      <c r="L207" s="40" t="n">
        <v>-2416</v>
      </c>
      <c r="M207" s="40"/>
      <c r="N207" s="40" t="n">
        <v>-5000</v>
      </c>
      <c r="O207" s="40"/>
      <c r="P207" s="40" t="n">
        <f aca="false">K207+SUM(L207:O207)</f>
        <v>5458</v>
      </c>
      <c r="Q207" s="40" t="n">
        <v>565.44</v>
      </c>
      <c r="R207" s="41" t="n">
        <f aca="false">Q207/$P207</f>
        <v>0.103598387687798</v>
      </c>
      <c r="S207" s="40" t="n">
        <v>625.28</v>
      </c>
      <c r="T207" s="41" t="n">
        <f aca="false">S207/$P207</f>
        <v>0.114562110663247</v>
      </c>
      <c r="U207" s="40" t="n">
        <v>625.28</v>
      </c>
      <c r="V207" s="41" t="n">
        <f aca="false">U207/$P207</f>
        <v>0.114562110663247</v>
      </c>
      <c r="W207" s="40" t="n">
        <v>643.55</v>
      </c>
      <c r="X207" s="42" t="n">
        <f aca="false">W207/$P207</f>
        <v>0.117909490655918</v>
      </c>
      <c r="Y207" s="40" t="n">
        <f aca="false">K207</f>
        <v>12874</v>
      </c>
      <c r="Z207" s="43" t="n">
        <f aca="false">Y207</f>
        <v>12874</v>
      </c>
    </row>
    <row r="208" customFormat="false" ht="13.9" hidden="false" customHeight="true" outlineLevel="0" collapsed="false">
      <c r="E208" s="52"/>
      <c r="F208" s="86" t="s">
        <v>183</v>
      </c>
      <c r="G208" s="54" t="n">
        <v>1450.65</v>
      </c>
      <c r="H208" s="54" t="n">
        <v>1874.04</v>
      </c>
      <c r="I208" s="54" t="n">
        <v>1543</v>
      </c>
      <c r="J208" s="54" t="n">
        <v>1452</v>
      </c>
      <c r="K208" s="54" t="n">
        <v>1450</v>
      </c>
      <c r="L208" s="54"/>
      <c r="M208" s="54"/>
      <c r="N208" s="54"/>
      <c r="O208" s="54"/>
      <c r="P208" s="54" t="n">
        <f aca="false">K208+SUM(L208:O208)</f>
        <v>1450</v>
      </c>
      <c r="Q208" s="54" t="n">
        <v>0</v>
      </c>
      <c r="R208" s="55" t="n">
        <f aca="false">Q208/$P208</f>
        <v>0</v>
      </c>
      <c r="S208" s="54" t="n">
        <v>0</v>
      </c>
      <c r="T208" s="55" t="n">
        <f aca="false">S208/$P208</f>
        <v>0</v>
      </c>
      <c r="U208" s="54" t="n">
        <v>1383.6</v>
      </c>
      <c r="V208" s="55" t="n">
        <f aca="false">U208/$P208</f>
        <v>0.954206896551724</v>
      </c>
      <c r="W208" s="54" t="n">
        <v>1383.6</v>
      </c>
      <c r="X208" s="56" t="n">
        <f aca="false">W208/$P208</f>
        <v>0.954206896551724</v>
      </c>
      <c r="Y208" s="54" t="n">
        <f aca="false">K208</f>
        <v>1450</v>
      </c>
      <c r="Z208" s="57" t="n">
        <f aca="false">Y208</f>
        <v>1450</v>
      </c>
    </row>
    <row r="210" customFormat="false" ht="13.9" hidden="false" customHeight="true" outlineLevel="0" collapsed="false">
      <c r="D210" s="19" t="s">
        <v>184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20"/>
      <c r="S210" s="19"/>
      <c r="T210" s="20"/>
      <c r="U210" s="19"/>
      <c r="V210" s="20"/>
      <c r="W210" s="19"/>
      <c r="X210" s="20"/>
      <c r="Y210" s="19"/>
      <c r="Z210" s="19"/>
    </row>
    <row r="211" customFormat="false" ht="13.9" hidden="false" customHeight="true" outlineLevel="0" collapsed="false">
      <c r="D211" s="6"/>
      <c r="E211" s="6"/>
      <c r="F211" s="6"/>
      <c r="G211" s="7" t="s">
        <v>1</v>
      </c>
      <c r="H211" s="7" t="s">
        <v>2</v>
      </c>
      <c r="I211" s="7" t="s">
        <v>3</v>
      </c>
      <c r="J211" s="7" t="s">
        <v>4</v>
      </c>
      <c r="K211" s="7" t="s">
        <v>5</v>
      </c>
      <c r="L211" s="7" t="s">
        <v>6</v>
      </c>
      <c r="M211" s="7" t="s">
        <v>7</v>
      </c>
      <c r="N211" s="7" t="s">
        <v>8</v>
      </c>
      <c r="O211" s="7" t="s">
        <v>9</v>
      </c>
      <c r="P211" s="7" t="s">
        <v>10</v>
      </c>
      <c r="Q211" s="7" t="s">
        <v>11</v>
      </c>
      <c r="R211" s="8" t="s">
        <v>12</v>
      </c>
      <c r="S211" s="7" t="s">
        <v>13</v>
      </c>
      <c r="T211" s="8" t="s">
        <v>14</v>
      </c>
      <c r="U211" s="7" t="s">
        <v>15</v>
      </c>
      <c r="V211" s="8" t="s">
        <v>16</v>
      </c>
      <c r="W211" s="7" t="s">
        <v>17</v>
      </c>
      <c r="X211" s="8" t="s">
        <v>18</v>
      </c>
      <c r="Y211" s="7" t="s">
        <v>19</v>
      </c>
      <c r="Z211" s="7" t="s">
        <v>20</v>
      </c>
    </row>
    <row r="212" customFormat="false" ht="13.9" hidden="false" customHeight="true" outlineLevel="0" collapsed="false">
      <c r="A212" s="1" t="n">
        <v>3</v>
      </c>
      <c r="D212" s="21" t="s">
        <v>21</v>
      </c>
      <c r="E212" s="22" t="n">
        <v>41</v>
      </c>
      <c r="F212" s="22" t="s">
        <v>23</v>
      </c>
      <c r="G212" s="23" t="n">
        <f aca="false">G221+G237</f>
        <v>41136.58</v>
      </c>
      <c r="H212" s="23" t="n">
        <f aca="false">H221+H237</f>
        <v>51970.42</v>
      </c>
      <c r="I212" s="23" t="n">
        <f aca="false">I221+I237</f>
        <v>74606</v>
      </c>
      <c r="J212" s="23" t="n">
        <f aca="false">J221+J237</f>
        <v>52860</v>
      </c>
      <c r="K212" s="23" t="n">
        <f aca="false">K221+K237</f>
        <v>63812</v>
      </c>
      <c r="L212" s="23" t="n">
        <f aca="false">L221+L237</f>
        <v>108</v>
      </c>
      <c r="M212" s="23" t="n">
        <f aca="false">M221+M237</f>
        <v>-1302</v>
      </c>
      <c r="N212" s="23" t="n">
        <f aca="false">N221+N237</f>
        <v>-2000</v>
      </c>
      <c r="O212" s="23" t="n">
        <f aca="false">O221+O237</f>
        <v>0</v>
      </c>
      <c r="P212" s="23" t="n">
        <f aca="false">P221+P237</f>
        <v>60618</v>
      </c>
      <c r="Q212" s="23" t="n">
        <f aca="false">Q221+Q237</f>
        <v>10815.02</v>
      </c>
      <c r="R212" s="24" t="n">
        <f aca="false">Q212/$P212</f>
        <v>0.178412682701508</v>
      </c>
      <c r="S212" s="23" t="n">
        <f aca="false">S221+S237</f>
        <v>19730.05</v>
      </c>
      <c r="T212" s="24" t="n">
        <f aca="false">S212/$P212</f>
        <v>0.325481705104094</v>
      </c>
      <c r="U212" s="23" t="n">
        <f aca="false">U221+U237</f>
        <v>30327.27</v>
      </c>
      <c r="V212" s="24" t="n">
        <f aca="false">U212/$P212</f>
        <v>0.500301395625062</v>
      </c>
      <c r="W212" s="23" t="n">
        <f aca="false">W221+W237</f>
        <v>50768.51</v>
      </c>
      <c r="X212" s="24" t="n">
        <f aca="false">W212/$P212</f>
        <v>0.837515424461381</v>
      </c>
      <c r="Y212" s="23" t="n">
        <f aca="false">Y221+Y237</f>
        <v>65282</v>
      </c>
      <c r="Z212" s="23" t="n">
        <f aca="false">Z221+Z237</f>
        <v>66895</v>
      </c>
    </row>
    <row r="213" customFormat="false" ht="13.9" hidden="false" customHeight="true" outlineLevel="0" collapsed="false">
      <c r="A213" s="1" t="n">
        <v>3</v>
      </c>
      <c r="D213" s="21" t="s">
        <v>21</v>
      </c>
      <c r="E213" s="22" t="n">
        <v>72</v>
      </c>
      <c r="F213" s="22" t="s">
        <v>25</v>
      </c>
      <c r="G213" s="23" t="n">
        <f aca="false">G223</f>
        <v>0</v>
      </c>
      <c r="H213" s="23" t="n">
        <f aca="false">H223</f>
        <v>116.87</v>
      </c>
      <c r="I213" s="23" t="n">
        <f aca="false">I223</f>
        <v>120</v>
      </c>
      <c r="J213" s="23" t="n">
        <f aca="false">J223</f>
        <v>122</v>
      </c>
      <c r="K213" s="23" t="n">
        <f aca="false">K223</f>
        <v>127</v>
      </c>
      <c r="L213" s="23" t="n">
        <f aca="false">L223</f>
        <v>0</v>
      </c>
      <c r="M213" s="23" t="n">
        <f aca="false">M223</f>
        <v>0</v>
      </c>
      <c r="N213" s="23" t="n">
        <f aca="false">N223</f>
        <v>0</v>
      </c>
      <c r="O213" s="23" t="n">
        <f aca="false">O223</f>
        <v>14</v>
      </c>
      <c r="P213" s="23" t="n">
        <f aca="false">P223</f>
        <v>141</v>
      </c>
      <c r="Q213" s="23" t="n">
        <f aca="false">Q223</f>
        <v>0</v>
      </c>
      <c r="R213" s="24" t="n">
        <f aca="false">Q213/$P213</f>
        <v>0</v>
      </c>
      <c r="S213" s="23" t="n">
        <f aca="false">S223</f>
        <v>0</v>
      </c>
      <c r="T213" s="24" t="n">
        <f aca="false">S213/$P213</f>
        <v>0</v>
      </c>
      <c r="U213" s="23" t="n">
        <f aca="false">U223</f>
        <v>0</v>
      </c>
      <c r="V213" s="24" t="n">
        <f aca="false">U213/$P213</f>
        <v>0</v>
      </c>
      <c r="W213" s="23" t="n">
        <f aca="false">W223</f>
        <v>141.05</v>
      </c>
      <c r="X213" s="24" t="n">
        <f aca="false">W213/$P213</f>
        <v>1.00035460992908</v>
      </c>
      <c r="Y213" s="23" t="n">
        <f aca="false">Y223</f>
        <v>127</v>
      </c>
      <c r="Z213" s="23" t="n">
        <f aca="false">Z223</f>
        <v>127</v>
      </c>
    </row>
    <row r="214" customFormat="false" ht="13.9" hidden="false" customHeight="true" outlineLevel="0" collapsed="false">
      <c r="A214" s="1" t="n">
        <v>3</v>
      </c>
      <c r="D214" s="17"/>
      <c r="E214" s="18"/>
      <c r="F214" s="25" t="s">
        <v>124</v>
      </c>
      <c r="G214" s="26" t="n">
        <f aca="false">SUM(G212:G213)</f>
        <v>41136.58</v>
      </c>
      <c r="H214" s="26" t="n">
        <f aca="false">SUM(H212:H213)</f>
        <v>52087.29</v>
      </c>
      <c r="I214" s="26" t="n">
        <f aca="false">SUM(I212:I213)</f>
        <v>74726</v>
      </c>
      <c r="J214" s="26" t="n">
        <f aca="false">SUM(J212:J213)</f>
        <v>52982</v>
      </c>
      <c r="K214" s="26" t="n">
        <f aca="false">SUM(K212:K213)</f>
        <v>63939</v>
      </c>
      <c r="L214" s="26" t="n">
        <f aca="false">SUM(L212:L213)</f>
        <v>108</v>
      </c>
      <c r="M214" s="26" t="n">
        <f aca="false">SUM(M212:M213)</f>
        <v>-1302</v>
      </c>
      <c r="N214" s="26" t="n">
        <f aca="false">SUM(N212:N213)</f>
        <v>-2000</v>
      </c>
      <c r="O214" s="26" t="n">
        <f aca="false">SUM(O212:O213)</f>
        <v>14</v>
      </c>
      <c r="P214" s="26" t="n">
        <f aca="false">SUM(P212:P213)</f>
        <v>60759</v>
      </c>
      <c r="Q214" s="26" t="n">
        <f aca="false">SUM(Q212:Q213)</f>
        <v>10815.02</v>
      </c>
      <c r="R214" s="27" t="n">
        <f aca="false">Q214/$P214</f>
        <v>0.177998650405701</v>
      </c>
      <c r="S214" s="26" t="n">
        <f aca="false">SUM(S212:S213)</f>
        <v>19730.05</v>
      </c>
      <c r="T214" s="27" t="n">
        <f aca="false">S214/$P214</f>
        <v>0.324726377985154</v>
      </c>
      <c r="U214" s="26" t="n">
        <f aca="false">SUM(U212:U213)</f>
        <v>30327.27</v>
      </c>
      <c r="V214" s="27" t="n">
        <f aca="false">U214/$P214</f>
        <v>0.499140374265541</v>
      </c>
      <c r="W214" s="26" t="n">
        <f aca="false">SUM(W212:W213)</f>
        <v>50909.56</v>
      </c>
      <c r="X214" s="27" t="n">
        <f aca="false">W214/$P214</f>
        <v>0.837893316216528</v>
      </c>
      <c r="Y214" s="26" t="n">
        <f aca="false">SUM(Y212:Y213)</f>
        <v>65409</v>
      </c>
      <c r="Z214" s="26" t="n">
        <f aca="false">SUM(Z212:Z213)</f>
        <v>67022</v>
      </c>
    </row>
    <row r="216" customFormat="false" ht="13.9" hidden="false" customHeight="true" outlineLevel="0" collapsed="false">
      <c r="D216" s="60" t="s">
        <v>185</v>
      </c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1"/>
      <c r="S216" s="60"/>
      <c r="T216" s="61"/>
      <c r="U216" s="60"/>
      <c r="V216" s="61"/>
      <c r="W216" s="60"/>
      <c r="X216" s="61"/>
      <c r="Y216" s="60"/>
      <c r="Z216" s="60"/>
    </row>
    <row r="217" customFormat="false" ht="13.9" hidden="false" customHeight="true" outlineLevel="0" collapsed="false">
      <c r="D217" s="7" t="s">
        <v>33</v>
      </c>
      <c r="E217" s="7" t="s">
        <v>34</v>
      </c>
      <c r="F217" s="7" t="s">
        <v>35</v>
      </c>
      <c r="G217" s="7" t="s">
        <v>1</v>
      </c>
      <c r="H217" s="7" t="s">
        <v>2</v>
      </c>
      <c r="I217" s="7" t="s">
        <v>3</v>
      </c>
      <c r="J217" s="7" t="s">
        <v>4</v>
      </c>
      <c r="K217" s="7" t="s">
        <v>5</v>
      </c>
      <c r="L217" s="7" t="s">
        <v>6</v>
      </c>
      <c r="M217" s="7" t="s">
        <v>7</v>
      </c>
      <c r="N217" s="7" t="s">
        <v>8</v>
      </c>
      <c r="O217" s="7" t="s">
        <v>9</v>
      </c>
      <c r="P217" s="7" t="s">
        <v>10</v>
      </c>
      <c r="Q217" s="7" t="s">
        <v>11</v>
      </c>
      <c r="R217" s="8" t="s">
        <v>12</v>
      </c>
      <c r="S217" s="7" t="s">
        <v>13</v>
      </c>
      <c r="T217" s="8" t="s">
        <v>14</v>
      </c>
      <c r="U217" s="7" t="s">
        <v>15</v>
      </c>
      <c r="V217" s="8" t="s">
        <v>16</v>
      </c>
      <c r="W217" s="7" t="s">
        <v>17</v>
      </c>
      <c r="X217" s="8" t="s">
        <v>18</v>
      </c>
      <c r="Y217" s="7" t="s">
        <v>19</v>
      </c>
      <c r="Z217" s="7" t="s">
        <v>20</v>
      </c>
    </row>
    <row r="218" customFormat="false" ht="13.9" hidden="false" customHeight="true" outlineLevel="0" collapsed="false">
      <c r="A218" s="1" t="n">
        <v>3</v>
      </c>
      <c r="B218" s="1" t="n">
        <v>1</v>
      </c>
      <c r="D218" s="76" t="s">
        <v>186</v>
      </c>
      <c r="E218" s="10" t="n">
        <v>610</v>
      </c>
      <c r="F218" s="10" t="s">
        <v>129</v>
      </c>
      <c r="G218" s="11" t="n">
        <v>11847.89</v>
      </c>
      <c r="H218" s="11" t="n">
        <v>11455.43</v>
      </c>
      <c r="I218" s="11" t="n">
        <v>11915</v>
      </c>
      <c r="J218" s="11" t="n">
        <v>12165</v>
      </c>
      <c r="K218" s="11" t="n">
        <v>11514</v>
      </c>
      <c r="L218" s="11" t="n">
        <v>108</v>
      </c>
      <c r="M218" s="11"/>
      <c r="N218" s="11"/>
      <c r="O218" s="11" t="n">
        <f aca="false">812+53</f>
        <v>865</v>
      </c>
      <c r="P218" s="11" t="n">
        <f aca="false">K218+SUM(L218:O218)</f>
        <v>12487</v>
      </c>
      <c r="Q218" s="11" t="n">
        <v>3555.56</v>
      </c>
      <c r="R218" s="12" t="n">
        <f aca="false">Q218/$P218</f>
        <v>0.28474093056779</v>
      </c>
      <c r="S218" s="11" t="n">
        <v>6101.08</v>
      </c>
      <c r="T218" s="12" t="n">
        <f aca="false">S218/$P218</f>
        <v>0.488594538319853</v>
      </c>
      <c r="U218" s="11" t="n">
        <v>8801.08</v>
      </c>
      <c r="V218" s="12" t="n">
        <f aca="false">U218/$P218</f>
        <v>0.704819412188676</v>
      </c>
      <c r="W218" s="11" t="n">
        <v>12487.58</v>
      </c>
      <c r="X218" s="12" t="n">
        <f aca="false">W218/$P218</f>
        <v>1.00004644830624</v>
      </c>
      <c r="Y218" s="11" t="n">
        <v>12594</v>
      </c>
      <c r="Z218" s="11" t="n">
        <v>13782</v>
      </c>
    </row>
    <row r="219" customFormat="false" ht="13.9" hidden="false" customHeight="true" outlineLevel="0" collapsed="false">
      <c r="A219" s="1" t="n">
        <v>3</v>
      </c>
      <c r="B219" s="1" t="n">
        <v>1</v>
      </c>
      <c r="D219" s="76"/>
      <c r="E219" s="10" t="n">
        <v>620</v>
      </c>
      <c r="F219" s="10" t="s">
        <v>130</v>
      </c>
      <c r="G219" s="11" t="n">
        <v>4140.53</v>
      </c>
      <c r="H219" s="11" t="n">
        <v>4003.56</v>
      </c>
      <c r="I219" s="11" t="n">
        <v>4163</v>
      </c>
      <c r="J219" s="11" t="n">
        <v>4251</v>
      </c>
      <c r="K219" s="11" t="n">
        <v>4023</v>
      </c>
      <c r="L219" s="11"/>
      <c r="M219" s="11"/>
      <c r="N219" s="11"/>
      <c r="O219" s="11"/>
      <c r="P219" s="11" t="n">
        <f aca="false">K219+SUM(L219:O219)</f>
        <v>4023</v>
      </c>
      <c r="Q219" s="11" t="n">
        <v>1014.27</v>
      </c>
      <c r="R219" s="12" t="n">
        <f aca="false">Q219/$P219</f>
        <v>0.252117822520507</v>
      </c>
      <c r="S219" s="11" t="n">
        <v>1733.37</v>
      </c>
      <c r="T219" s="12" t="n">
        <f aca="false">S219/$P219</f>
        <v>0.430865026099925</v>
      </c>
      <c r="U219" s="11" t="n">
        <v>2677.02</v>
      </c>
      <c r="V219" s="12" t="n">
        <f aca="false">U219/$P219</f>
        <v>0.665428784489187</v>
      </c>
      <c r="W219" s="11" t="n">
        <v>3965.37</v>
      </c>
      <c r="X219" s="12" t="n">
        <f aca="false">W219/$P219</f>
        <v>0.985674869500373</v>
      </c>
      <c r="Y219" s="11" t="n">
        <v>4401</v>
      </c>
      <c r="Z219" s="11" t="n">
        <v>4816</v>
      </c>
    </row>
    <row r="220" customFormat="false" ht="13.9" hidden="false" customHeight="true" outlineLevel="0" collapsed="false">
      <c r="A220" s="1" t="n">
        <v>3</v>
      </c>
      <c r="B220" s="1" t="n">
        <v>1</v>
      </c>
      <c r="D220" s="76"/>
      <c r="E220" s="10" t="n">
        <v>630</v>
      </c>
      <c r="F220" s="10" t="s">
        <v>131</v>
      </c>
      <c r="G220" s="11" t="n">
        <v>24996.5</v>
      </c>
      <c r="H220" s="11" t="n">
        <v>36511.43</v>
      </c>
      <c r="I220" s="11" t="n">
        <v>58328</v>
      </c>
      <c r="J220" s="11" t="n">
        <v>36444</v>
      </c>
      <c r="K220" s="11" t="n">
        <f aca="false">988+47087</f>
        <v>48075</v>
      </c>
      <c r="L220" s="11"/>
      <c r="M220" s="11" t="n">
        <v>-1302</v>
      </c>
      <c r="N220" s="11" t="n">
        <v>-2000</v>
      </c>
      <c r="O220" s="11" t="n">
        <f aca="false">-812-53</f>
        <v>-865</v>
      </c>
      <c r="P220" s="11" t="n">
        <f aca="false">K220+SUM(L220:O220)</f>
        <v>43908</v>
      </c>
      <c r="Q220" s="11" t="n">
        <v>6245.19</v>
      </c>
      <c r="R220" s="12" t="n">
        <f aca="false">Q220/$P220</f>
        <v>0.142233533752391</v>
      </c>
      <c r="S220" s="11" t="n">
        <v>11895.6</v>
      </c>
      <c r="T220" s="12" t="n">
        <f aca="false">S220/$P220</f>
        <v>0.270921016671222</v>
      </c>
      <c r="U220" s="11" t="n">
        <v>18849.17</v>
      </c>
      <c r="V220" s="12" t="n">
        <f aca="false">U220/$P220</f>
        <v>0.429287829097203</v>
      </c>
      <c r="W220" s="11" t="n">
        <v>34315.56</v>
      </c>
      <c r="X220" s="12" t="n">
        <f aca="false">W220/$P220</f>
        <v>0.781533205793933</v>
      </c>
      <c r="Y220" s="11" t="n">
        <f aca="false">1000+47087</f>
        <v>48087</v>
      </c>
      <c r="Z220" s="11" t="n">
        <f aca="false">1010+47087</f>
        <v>48097</v>
      </c>
    </row>
    <row r="221" customFormat="false" ht="13.9" hidden="false" customHeight="true" outlineLevel="0" collapsed="false">
      <c r="A221" s="1" t="n">
        <v>3</v>
      </c>
      <c r="B221" s="1" t="n">
        <v>1</v>
      </c>
      <c r="D221" s="77" t="s">
        <v>21</v>
      </c>
      <c r="E221" s="35" t="n">
        <v>41</v>
      </c>
      <c r="F221" s="35" t="s">
        <v>23</v>
      </c>
      <c r="G221" s="36" t="n">
        <f aca="false">SUM(G218:G220)</f>
        <v>40984.92</v>
      </c>
      <c r="H221" s="36" t="n">
        <f aca="false">SUM(H218:H220)</f>
        <v>51970.42</v>
      </c>
      <c r="I221" s="36" t="n">
        <f aca="false">SUM(I218:I220)</f>
        <v>74406</v>
      </c>
      <c r="J221" s="36" t="n">
        <f aca="false">SUM(J218:J220)</f>
        <v>52860</v>
      </c>
      <c r="K221" s="36" t="n">
        <f aca="false">SUM(K218:K220)</f>
        <v>63612</v>
      </c>
      <c r="L221" s="36" t="n">
        <f aca="false">SUM(L218:L220)</f>
        <v>108</v>
      </c>
      <c r="M221" s="36" t="n">
        <f aca="false">SUM(M218:M220)</f>
        <v>-1302</v>
      </c>
      <c r="N221" s="36" t="n">
        <f aca="false">SUM(N218:N220)</f>
        <v>-2000</v>
      </c>
      <c r="O221" s="36" t="n">
        <f aca="false">SUM(O218:O220)</f>
        <v>0</v>
      </c>
      <c r="P221" s="36" t="n">
        <f aca="false">SUM(P218:P220)</f>
        <v>60418</v>
      </c>
      <c r="Q221" s="36" t="n">
        <f aca="false">SUM(Q218:Q220)</f>
        <v>10815.02</v>
      </c>
      <c r="R221" s="37" t="n">
        <f aca="false">Q221/$P221</f>
        <v>0.179003277169056</v>
      </c>
      <c r="S221" s="36" t="n">
        <f aca="false">SUM(S218:S220)</f>
        <v>19730.05</v>
      </c>
      <c r="T221" s="37" t="n">
        <f aca="false">S221/$P221</f>
        <v>0.32655913800523</v>
      </c>
      <c r="U221" s="36" t="n">
        <f aca="false">SUM(U218:U220)</f>
        <v>30327.27</v>
      </c>
      <c r="V221" s="37" t="n">
        <f aca="false">U221/$P221</f>
        <v>0.501957529213148</v>
      </c>
      <c r="W221" s="36" t="n">
        <f aca="false">SUM(W218:W220)</f>
        <v>50768.51</v>
      </c>
      <c r="X221" s="37" t="n">
        <f aca="false">W221/$P221</f>
        <v>0.84028782813069</v>
      </c>
      <c r="Y221" s="36" t="n">
        <f aca="false">SUM(Y218:Y220)</f>
        <v>65082</v>
      </c>
      <c r="Z221" s="36" t="n">
        <f aca="false">SUM(Z218:Z220)</f>
        <v>66695</v>
      </c>
    </row>
    <row r="222" customFormat="false" ht="13.9" hidden="false" customHeight="true" outlineLevel="0" collapsed="false">
      <c r="A222" s="1" t="n">
        <v>3</v>
      </c>
      <c r="B222" s="1" t="n">
        <v>1</v>
      </c>
      <c r="D222" s="68" t="s">
        <v>186</v>
      </c>
      <c r="E222" s="10" t="n">
        <v>640</v>
      </c>
      <c r="F222" s="10" t="s">
        <v>132</v>
      </c>
      <c r="G222" s="11" t="n">
        <v>0</v>
      </c>
      <c r="H222" s="11" t="n">
        <v>116.87</v>
      </c>
      <c r="I222" s="11" t="n">
        <v>120</v>
      </c>
      <c r="J222" s="11" t="n">
        <v>122</v>
      </c>
      <c r="K222" s="11" t="n">
        <v>127</v>
      </c>
      <c r="L222" s="11"/>
      <c r="M222" s="11"/>
      <c r="N222" s="11"/>
      <c r="O222" s="11" t="n">
        <v>14</v>
      </c>
      <c r="P222" s="11" t="n">
        <f aca="false">K222+SUM(L222:O222)</f>
        <v>141</v>
      </c>
      <c r="Q222" s="11" t="n">
        <v>0</v>
      </c>
      <c r="R222" s="12" t="n">
        <f aca="false">Q222/$P222</f>
        <v>0</v>
      </c>
      <c r="S222" s="11" t="n">
        <v>0</v>
      </c>
      <c r="T222" s="12" t="n">
        <f aca="false">S222/$P222</f>
        <v>0</v>
      </c>
      <c r="U222" s="11" t="n">
        <v>0</v>
      </c>
      <c r="V222" s="12" t="n">
        <f aca="false">U222/$P222</f>
        <v>0</v>
      </c>
      <c r="W222" s="11" t="n">
        <v>141.05</v>
      </c>
      <c r="X222" s="12" t="n">
        <f aca="false">W222/$P222</f>
        <v>1.00035460992908</v>
      </c>
      <c r="Y222" s="11" t="n">
        <f aca="false">K222</f>
        <v>127</v>
      </c>
      <c r="Z222" s="11" t="n">
        <f aca="false">Y222</f>
        <v>127</v>
      </c>
    </row>
    <row r="223" customFormat="false" ht="13.9" hidden="false" customHeight="true" outlineLevel="0" collapsed="false">
      <c r="A223" s="1" t="n">
        <v>3</v>
      </c>
      <c r="B223" s="1" t="n">
        <v>1</v>
      </c>
      <c r="D223" s="77" t="s">
        <v>21</v>
      </c>
      <c r="E223" s="35" t="n">
        <v>72</v>
      </c>
      <c r="F223" s="35" t="s">
        <v>25</v>
      </c>
      <c r="G223" s="36" t="n">
        <f aca="false">SUM(G222:G222)</f>
        <v>0</v>
      </c>
      <c r="H223" s="36" t="n">
        <f aca="false">SUM(H222:H222)</f>
        <v>116.87</v>
      </c>
      <c r="I223" s="36" t="n">
        <f aca="false">SUM(I222:I222)</f>
        <v>120</v>
      </c>
      <c r="J223" s="36" t="n">
        <f aca="false">SUM(J222:J222)</f>
        <v>122</v>
      </c>
      <c r="K223" s="36" t="n">
        <f aca="false">SUM(K222:K222)</f>
        <v>127</v>
      </c>
      <c r="L223" s="36" t="n">
        <f aca="false">SUM(L222:L222)</f>
        <v>0</v>
      </c>
      <c r="M223" s="36" t="n">
        <f aca="false">SUM(M222:M222)</f>
        <v>0</v>
      </c>
      <c r="N223" s="36" t="n">
        <f aca="false">SUM(N222:N222)</f>
        <v>0</v>
      </c>
      <c r="O223" s="36" t="n">
        <f aca="false">SUM(O222:O222)</f>
        <v>14</v>
      </c>
      <c r="P223" s="36" t="n">
        <f aca="false">SUM(P222:P222)</f>
        <v>141</v>
      </c>
      <c r="Q223" s="36" t="n">
        <f aca="false">SUM(Q222:Q222)</f>
        <v>0</v>
      </c>
      <c r="R223" s="37" t="n">
        <f aca="false">Q223/$P223</f>
        <v>0</v>
      </c>
      <c r="S223" s="36" t="n">
        <f aca="false">SUM(S222:S222)</f>
        <v>0</v>
      </c>
      <c r="T223" s="37" t="n">
        <f aca="false">S223/$P223</f>
        <v>0</v>
      </c>
      <c r="U223" s="36" t="n">
        <f aca="false">SUM(U222:U222)</f>
        <v>0</v>
      </c>
      <c r="V223" s="37" t="n">
        <f aca="false">U223/$P223</f>
        <v>0</v>
      </c>
      <c r="W223" s="36" t="n">
        <f aca="false">SUM(W222:W222)</f>
        <v>141.05</v>
      </c>
      <c r="X223" s="37" t="n">
        <f aca="false">W223/$P223</f>
        <v>1.00035460992908</v>
      </c>
      <c r="Y223" s="36" t="n">
        <f aca="false">SUM(Y222:Y222)</f>
        <v>127</v>
      </c>
      <c r="Z223" s="36" t="n">
        <f aca="false">SUM(Z222:Z222)</f>
        <v>127</v>
      </c>
    </row>
    <row r="224" customFormat="false" ht="13.9" hidden="false" customHeight="true" outlineLevel="0" collapsed="false">
      <c r="A224" s="1" t="n">
        <v>3</v>
      </c>
      <c r="B224" s="1" t="n">
        <v>1</v>
      </c>
      <c r="D224" s="97"/>
      <c r="E224" s="18"/>
      <c r="F224" s="13" t="s">
        <v>124</v>
      </c>
      <c r="G224" s="14" t="n">
        <f aca="false">G221+G223</f>
        <v>40984.92</v>
      </c>
      <c r="H224" s="14" t="n">
        <f aca="false">H221+H223</f>
        <v>52087.29</v>
      </c>
      <c r="I224" s="14" t="n">
        <f aca="false">I221+I223</f>
        <v>74526</v>
      </c>
      <c r="J224" s="14" t="n">
        <f aca="false">J221+J223</f>
        <v>52982</v>
      </c>
      <c r="K224" s="14" t="n">
        <f aca="false">K221+K223</f>
        <v>63739</v>
      </c>
      <c r="L224" s="14" t="n">
        <f aca="false">L221+L223</f>
        <v>108</v>
      </c>
      <c r="M224" s="14" t="n">
        <f aca="false">M221+M223</f>
        <v>-1302</v>
      </c>
      <c r="N224" s="14" t="n">
        <f aca="false">N221+N223</f>
        <v>-2000</v>
      </c>
      <c r="O224" s="14" t="n">
        <f aca="false">O221+O223</f>
        <v>14</v>
      </c>
      <c r="P224" s="14" t="n">
        <f aca="false">P221+P223</f>
        <v>60559</v>
      </c>
      <c r="Q224" s="14" t="n">
        <f aca="false">Q221+Q223</f>
        <v>10815.02</v>
      </c>
      <c r="R224" s="15" t="n">
        <f aca="false">Q224/$P224</f>
        <v>0.178586502419128</v>
      </c>
      <c r="S224" s="14" t="n">
        <f aca="false">S221+S223</f>
        <v>19730.05</v>
      </c>
      <c r="T224" s="15" t="n">
        <f aca="false">S224/$P224</f>
        <v>0.325798807774237</v>
      </c>
      <c r="U224" s="14" t="n">
        <f aca="false">U221+U223</f>
        <v>30327.27</v>
      </c>
      <c r="V224" s="15" t="n">
        <f aca="false">U224/$P224</f>
        <v>0.500788817516802</v>
      </c>
      <c r="W224" s="14" t="n">
        <f aca="false">W221+W223</f>
        <v>50909.56</v>
      </c>
      <c r="X224" s="15" t="n">
        <f aca="false">W224/$P224</f>
        <v>0.840660512888258</v>
      </c>
      <c r="Y224" s="14" t="n">
        <f aca="false">Y221+Y223</f>
        <v>65209</v>
      </c>
      <c r="Z224" s="14" t="n">
        <f aca="false">Z221+Z223</f>
        <v>66822</v>
      </c>
    </row>
    <row r="226" customFormat="false" ht="13.9" hidden="false" customHeight="true" outlineLevel="0" collapsed="false">
      <c r="E226" s="39" t="s">
        <v>57</v>
      </c>
      <c r="F226" s="17" t="s">
        <v>62</v>
      </c>
      <c r="G226" s="40" t="n">
        <v>774.83</v>
      </c>
      <c r="H226" s="40" t="n">
        <v>11004.29</v>
      </c>
      <c r="I226" s="40" t="n">
        <v>20000</v>
      </c>
      <c r="J226" s="40" t="n">
        <v>13733</v>
      </c>
      <c r="K226" s="98" t="n">
        <v>15000</v>
      </c>
      <c r="L226" s="98"/>
      <c r="M226" s="98"/>
      <c r="N226" s="98" t="n">
        <v>-2000</v>
      </c>
      <c r="O226" s="98"/>
      <c r="P226" s="98" t="n">
        <f aca="false">K226+SUM(L226:O226)</f>
        <v>13000</v>
      </c>
      <c r="Q226" s="98" t="n">
        <v>2847.67</v>
      </c>
      <c r="R226" s="99" t="n">
        <f aca="false">Q226/$P226</f>
        <v>0.219051538461538</v>
      </c>
      <c r="S226" s="98" t="n">
        <v>5018.03</v>
      </c>
      <c r="T226" s="99" t="n">
        <f aca="false">S226/$P226</f>
        <v>0.386002307692308</v>
      </c>
      <c r="U226" s="98" t="n">
        <v>7002.71</v>
      </c>
      <c r="V226" s="99" t="n">
        <f aca="false">U226/$P226</f>
        <v>0.53867</v>
      </c>
      <c r="W226" s="98" t="n">
        <v>8885.85</v>
      </c>
      <c r="X226" s="100" t="n">
        <f aca="false">W226/$P226</f>
        <v>0.683526923076923</v>
      </c>
      <c r="Y226" s="40" t="n">
        <f aca="false">K226</f>
        <v>15000</v>
      </c>
      <c r="Z226" s="43" t="n">
        <f aca="false">Y226</f>
        <v>15000</v>
      </c>
    </row>
    <row r="227" customFormat="false" ht="13.9" hidden="false" customHeight="true" outlineLevel="0" collapsed="false">
      <c r="E227" s="44"/>
      <c r="F227" s="84" t="s">
        <v>149</v>
      </c>
      <c r="G227" s="70" t="n">
        <v>1212.31</v>
      </c>
      <c r="H227" s="70" t="n">
        <v>1834.54</v>
      </c>
      <c r="I227" s="70" t="n">
        <v>5757</v>
      </c>
      <c r="J227" s="70" t="n">
        <v>5757</v>
      </c>
      <c r="K227" s="71" t="n">
        <v>5757</v>
      </c>
      <c r="L227" s="71"/>
      <c r="M227" s="71" t="n">
        <f aca="false">-2618-1302</f>
        <v>-3920</v>
      </c>
      <c r="N227" s="71"/>
      <c r="O227" s="71"/>
      <c r="P227" s="71" t="n">
        <f aca="false">K227+SUM(L227:O227)</f>
        <v>1837</v>
      </c>
      <c r="Q227" s="71" t="n">
        <v>334</v>
      </c>
      <c r="R227" s="85" t="n">
        <f aca="false">Q227/$P227</f>
        <v>0.181818181818182</v>
      </c>
      <c r="S227" s="71" t="n">
        <v>835</v>
      </c>
      <c r="T227" s="85" t="n">
        <f aca="false">S227/$P227</f>
        <v>0.454545454545455</v>
      </c>
      <c r="U227" s="71" t="n">
        <v>1336</v>
      </c>
      <c r="V227" s="85" t="n">
        <f aca="false">U227/$P227</f>
        <v>0.727272727272727</v>
      </c>
      <c r="W227" s="71" t="n">
        <v>1837</v>
      </c>
      <c r="X227" s="51" t="n">
        <f aca="false">W227/$P227</f>
        <v>1</v>
      </c>
      <c r="Y227" s="46" t="n">
        <f aca="false">K227</f>
        <v>5757</v>
      </c>
      <c r="Z227" s="48" t="n">
        <f aca="false">Y227</f>
        <v>5757</v>
      </c>
    </row>
    <row r="228" customFormat="false" ht="13.9" hidden="false" customHeight="true" outlineLevel="0" collapsed="false">
      <c r="E228" s="44"/>
      <c r="F228" s="45" t="s">
        <v>187</v>
      </c>
      <c r="G228" s="46" t="n">
        <v>11236.2</v>
      </c>
      <c r="H228" s="46" t="n">
        <v>12597.73</v>
      </c>
      <c r="I228" s="46" t="n">
        <v>15000</v>
      </c>
      <c r="J228" s="46" t="n">
        <v>7159</v>
      </c>
      <c r="K228" s="49" t="n">
        <v>17000</v>
      </c>
      <c r="L228" s="49"/>
      <c r="M228" s="49" t="n">
        <v>2618</v>
      </c>
      <c r="N228" s="49"/>
      <c r="O228" s="49"/>
      <c r="P228" s="49" t="n">
        <f aca="false">K228+SUM(L228:O228)</f>
        <v>19618</v>
      </c>
      <c r="Q228" s="49" t="n">
        <v>1563</v>
      </c>
      <c r="R228" s="50" t="n">
        <f aca="false">Q228/$P228</f>
        <v>0.0796717300438373</v>
      </c>
      <c r="S228" s="49" t="n">
        <v>2591.79</v>
      </c>
      <c r="T228" s="50" t="n">
        <f aca="false">S228/$P228</f>
        <v>0.13211285554083</v>
      </c>
      <c r="U228" s="49" t="n">
        <v>5177.91</v>
      </c>
      <c r="V228" s="50" t="n">
        <f aca="false">U228/$P228</f>
        <v>0.263936690794169</v>
      </c>
      <c r="W228" s="49" t="n">
        <v>14033.34</v>
      </c>
      <c r="X228" s="51" t="n">
        <f aca="false">W228/$P228</f>
        <v>0.715329799164033</v>
      </c>
      <c r="Y228" s="46" t="n">
        <f aca="false">K228</f>
        <v>17000</v>
      </c>
      <c r="Z228" s="48" t="n">
        <f aca="false">Y228</f>
        <v>17000</v>
      </c>
    </row>
    <row r="229" customFormat="false" ht="13.9" hidden="false" customHeight="true" outlineLevel="0" collapsed="false">
      <c r="E229" s="44"/>
      <c r="F229" s="1" t="s">
        <v>188</v>
      </c>
      <c r="G229" s="46" t="n">
        <v>672.28</v>
      </c>
      <c r="H229" s="46" t="n">
        <v>499.8</v>
      </c>
      <c r="I229" s="46" t="n">
        <v>2500</v>
      </c>
      <c r="J229" s="46" t="n">
        <v>649</v>
      </c>
      <c r="K229" s="46" t="n">
        <v>650</v>
      </c>
      <c r="L229" s="46"/>
      <c r="M229" s="46"/>
      <c r="N229" s="46"/>
      <c r="O229" s="46"/>
      <c r="P229" s="46" t="n">
        <f aca="false">K229+SUM(L229:O229)</f>
        <v>650</v>
      </c>
      <c r="Q229" s="46" t="n">
        <v>0</v>
      </c>
      <c r="R229" s="2" t="n">
        <f aca="false">Q229/$P229</f>
        <v>0</v>
      </c>
      <c r="S229" s="46" t="n">
        <v>0</v>
      </c>
      <c r="T229" s="2" t="n">
        <f aca="false">S229/$P229</f>
        <v>0</v>
      </c>
      <c r="U229" s="46" t="n">
        <v>129.9</v>
      </c>
      <c r="V229" s="2" t="n">
        <f aca="false">U229/$P229</f>
        <v>0.199846153846154</v>
      </c>
      <c r="W229" s="46" t="n">
        <v>779.4</v>
      </c>
      <c r="X229" s="47" t="n">
        <f aca="false">W229/$P229</f>
        <v>1.19907692307692</v>
      </c>
      <c r="Y229" s="46" t="n">
        <f aca="false">K229</f>
        <v>650</v>
      </c>
      <c r="Z229" s="48" t="n">
        <f aca="false">Y229</f>
        <v>650</v>
      </c>
    </row>
    <row r="230" customFormat="false" ht="13.9" hidden="false" customHeight="true" outlineLevel="0" collapsed="false">
      <c r="E230" s="44"/>
      <c r="F230" s="1" t="s">
        <v>189</v>
      </c>
      <c r="G230" s="46" t="n">
        <v>2160</v>
      </c>
      <c r="H230" s="46" t="n">
        <v>3120</v>
      </c>
      <c r="I230" s="46" t="n">
        <v>3120</v>
      </c>
      <c r="J230" s="46" t="n">
        <v>2520</v>
      </c>
      <c r="K230" s="46" t="n">
        <v>2520</v>
      </c>
      <c r="L230" s="46"/>
      <c r="M230" s="46"/>
      <c r="N230" s="46"/>
      <c r="O230" s="46"/>
      <c r="P230" s="46" t="n">
        <f aca="false">K230+SUM(L230:O230)</f>
        <v>2520</v>
      </c>
      <c r="Q230" s="46" t="n">
        <v>540</v>
      </c>
      <c r="R230" s="2" t="n">
        <f aca="false">Q230/$P230</f>
        <v>0.214285714285714</v>
      </c>
      <c r="S230" s="46" t="n">
        <v>1080</v>
      </c>
      <c r="T230" s="2" t="n">
        <f aca="false">S230/$P230</f>
        <v>0.428571428571429</v>
      </c>
      <c r="U230" s="46" t="n">
        <v>1620</v>
      </c>
      <c r="V230" s="2" t="n">
        <f aca="false">U230/$P230</f>
        <v>0.642857142857143</v>
      </c>
      <c r="W230" s="46" t="n">
        <v>2160</v>
      </c>
      <c r="X230" s="47" t="n">
        <f aca="false">W230/$P230</f>
        <v>0.857142857142857</v>
      </c>
      <c r="Y230" s="46" t="n">
        <f aca="false">K230</f>
        <v>2520</v>
      </c>
      <c r="Z230" s="48" t="n">
        <f aca="false">Y230</f>
        <v>2520</v>
      </c>
    </row>
    <row r="231" customFormat="false" ht="13.9" hidden="false" customHeight="true" outlineLevel="0" collapsed="false">
      <c r="E231" s="44"/>
      <c r="F231" s="1" t="s">
        <v>190</v>
      </c>
      <c r="G231" s="46" t="n">
        <v>4683.78</v>
      </c>
      <c r="H231" s="46" t="n">
        <v>4312.08</v>
      </c>
      <c r="I231" s="46" t="n">
        <v>4300</v>
      </c>
      <c r="J231" s="46" t="n">
        <v>3781</v>
      </c>
      <c r="K231" s="46" t="n">
        <v>3800</v>
      </c>
      <c r="L231" s="46"/>
      <c r="M231" s="46"/>
      <c r="N231" s="46"/>
      <c r="O231" s="46"/>
      <c r="P231" s="46" t="n">
        <f aca="false">K231+SUM(L231:O231)</f>
        <v>3800</v>
      </c>
      <c r="Q231" s="46" t="n">
        <v>687</v>
      </c>
      <c r="R231" s="2" t="n">
        <f aca="false">Q231/$P231</f>
        <v>0.180789473684211</v>
      </c>
      <c r="S231" s="46" t="n">
        <v>1374</v>
      </c>
      <c r="T231" s="2" t="n">
        <f aca="false">S231/$P231</f>
        <v>0.361578947368421</v>
      </c>
      <c r="U231" s="46" t="n">
        <v>2061</v>
      </c>
      <c r="V231" s="2" t="n">
        <f aca="false">U231/$P231</f>
        <v>0.542368421052632</v>
      </c>
      <c r="W231" s="46" t="n">
        <v>2745.97</v>
      </c>
      <c r="X231" s="47" t="n">
        <f aca="false">W231/$P231</f>
        <v>0.722623684210526</v>
      </c>
      <c r="Y231" s="46" t="n">
        <f aca="false">K231</f>
        <v>3800</v>
      </c>
      <c r="Z231" s="48" t="n">
        <f aca="false">Y231</f>
        <v>3800</v>
      </c>
    </row>
    <row r="232" customFormat="false" ht="13.9" hidden="false" customHeight="true" outlineLevel="0" collapsed="false">
      <c r="E232" s="52"/>
      <c r="F232" s="86" t="s">
        <v>191</v>
      </c>
      <c r="G232" s="54"/>
      <c r="H232" s="54"/>
      <c r="I232" s="54" t="n">
        <v>5000</v>
      </c>
      <c r="J232" s="54" t="n">
        <v>0</v>
      </c>
      <c r="K232" s="54" t="n">
        <v>1000</v>
      </c>
      <c r="L232" s="54"/>
      <c r="M232" s="54"/>
      <c r="N232" s="54"/>
      <c r="O232" s="54"/>
      <c r="P232" s="54" t="n">
        <f aca="false">K232+SUM(L232:O232)</f>
        <v>1000</v>
      </c>
      <c r="Q232" s="54" t="n">
        <v>0</v>
      </c>
      <c r="R232" s="55" t="n">
        <f aca="false">Q232/$P232</f>
        <v>0</v>
      </c>
      <c r="S232" s="54" t="n">
        <v>0</v>
      </c>
      <c r="T232" s="55" t="n">
        <f aca="false">S232/$P232</f>
        <v>0</v>
      </c>
      <c r="U232" s="54" t="n">
        <v>0</v>
      </c>
      <c r="V232" s="55" t="n">
        <f aca="false">U232/$P232</f>
        <v>0</v>
      </c>
      <c r="W232" s="54" t="n">
        <v>292.8</v>
      </c>
      <c r="X232" s="56" t="n">
        <f aca="false">W232/$P232</f>
        <v>0.2928</v>
      </c>
      <c r="Y232" s="54" t="n">
        <v>0</v>
      </c>
      <c r="Z232" s="57" t="n">
        <f aca="false">Y232</f>
        <v>0</v>
      </c>
    </row>
    <row r="234" customFormat="false" ht="13.9" hidden="false" customHeight="true" outlineLevel="0" collapsed="false">
      <c r="D234" s="60" t="s">
        <v>192</v>
      </c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1"/>
      <c r="S234" s="60"/>
      <c r="T234" s="61"/>
      <c r="U234" s="60"/>
      <c r="V234" s="61"/>
      <c r="W234" s="60"/>
      <c r="X234" s="61"/>
      <c r="Y234" s="60"/>
      <c r="Z234" s="60"/>
    </row>
    <row r="235" customFormat="false" ht="13.9" hidden="false" customHeight="true" outlineLevel="0" collapsed="false">
      <c r="D235" s="7" t="s">
        <v>33</v>
      </c>
      <c r="E235" s="7" t="s">
        <v>34</v>
      </c>
      <c r="F235" s="7" t="s">
        <v>35</v>
      </c>
      <c r="G235" s="7" t="s">
        <v>1</v>
      </c>
      <c r="H235" s="7" t="s">
        <v>2</v>
      </c>
      <c r="I235" s="7" t="s">
        <v>3</v>
      </c>
      <c r="J235" s="7" t="s">
        <v>4</v>
      </c>
      <c r="K235" s="7" t="s">
        <v>5</v>
      </c>
      <c r="L235" s="7" t="s">
        <v>6</v>
      </c>
      <c r="M235" s="7" t="s">
        <v>7</v>
      </c>
      <c r="N235" s="7" t="s">
        <v>8</v>
      </c>
      <c r="O235" s="7" t="s">
        <v>9</v>
      </c>
      <c r="P235" s="7" t="s">
        <v>10</v>
      </c>
      <c r="Q235" s="7" t="s">
        <v>11</v>
      </c>
      <c r="R235" s="8" t="s">
        <v>12</v>
      </c>
      <c r="S235" s="7" t="s">
        <v>13</v>
      </c>
      <c r="T235" s="8" t="s">
        <v>14</v>
      </c>
      <c r="U235" s="7" t="s">
        <v>15</v>
      </c>
      <c r="V235" s="8" t="s">
        <v>16</v>
      </c>
      <c r="W235" s="7" t="s">
        <v>17</v>
      </c>
      <c r="X235" s="8" t="s">
        <v>18</v>
      </c>
      <c r="Y235" s="7" t="s">
        <v>19</v>
      </c>
      <c r="Z235" s="7" t="s">
        <v>20</v>
      </c>
    </row>
    <row r="236" customFormat="false" ht="13.9" hidden="false" customHeight="true" outlineLevel="0" collapsed="false">
      <c r="A236" s="1" t="n">
        <v>3</v>
      </c>
      <c r="B236" s="1" t="n">
        <v>2</v>
      </c>
      <c r="D236" s="76" t="s">
        <v>186</v>
      </c>
      <c r="E236" s="10" t="n">
        <v>640</v>
      </c>
      <c r="F236" s="10" t="s">
        <v>132</v>
      </c>
      <c r="G236" s="11" t="n">
        <v>151.66</v>
      </c>
      <c r="H236" s="11" t="n">
        <v>0</v>
      </c>
      <c r="I236" s="11" t="n">
        <v>200</v>
      </c>
      <c r="J236" s="11" t="n">
        <v>0</v>
      </c>
      <c r="K236" s="11" t="n">
        <v>200</v>
      </c>
      <c r="L236" s="11"/>
      <c r="M236" s="11"/>
      <c r="N236" s="11"/>
      <c r="O236" s="11"/>
      <c r="P236" s="11" t="n">
        <f aca="false">K236+SUM(L236:O236)</f>
        <v>200</v>
      </c>
      <c r="Q236" s="11" t="n">
        <v>0</v>
      </c>
      <c r="R236" s="12" t="n">
        <f aca="false">Q236/$P236</f>
        <v>0</v>
      </c>
      <c r="S236" s="11" t="n">
        <v>0</v>
      </c>
      <c r="T236" s="12" t="n">
        <f aca="false">S236/$P236</f>
        <v>0</v>
      </c>
      <c r="U236" s="11" t="n">
        <v>0</v>
      </c>
      <c r="V236" s="12" t="n">
        <f aca="false">U236/$P236</f>
        <v>0</v>
      </c>
      <c r="W236" s="11" t="n">
        <v>0</v>
      </c>
      <c r="X236" s="12" t="n">
        <f aca="false">W236/$P236</f>
        <v>0</v>
      </c>
      <c r="Y236" s="11" t="n">
        <f aca="false">K236</f>
        <v>200</v>
      </c>
      <c r="Z236" s="11" t="n">
        <f aca="false">Y236</f>
        <v>200</v>
      </c>
    </row>
    <row r="237" customFormat="false" ht="13.9" hidden="false" customHeight="true" outlineLevel="0" collapsed="false">
      <c r="A237" s="1" t="n">
        <v>3</v>
      </c>
      <c r="B237" s="1" t="n">
        <v>2</v>
      </c>
      <c r="D237" s="67" t="s">
        <v>21</v>
      </c>
      <c r="E237" s="13" t="n">
        <v>41</v>
      </c>
      <c r="F237" s="13" t="s">
        <v>23</v>
      </c>
      <c r="G237" s="14" t="n">
        <f aca="false">SUM(G236:G236)</f>
        <v>151.66</v>
      </c>
      <c r="H237" s="14" t="n">
        <f aca="false">SUM(H236:H236)</f>
        <v>0</v>
      </c>
      <c r="I237" s="14" t="n">
        <f aca="false">SUM(I236:I236)</f>
        <v>200</v>
      </c>
      <c r="J237" s="14" t="n">
        <f aca="false">SUM(J236:J236)</f>
        <v>0</v>
      </c>
      <c r="K237" s="14" t="n">
        <f aca="false">SUM(K236:K236)</f>
        <v>200</v>
      </c>
      <c r="L237" s="14" t="n">
        <f aca="false">SUM(L236:L236)</f>
        <v>0</v>
      </c>
      <c r="M237" s="14" t="n">
        <f aca="false">SUM(M236:M236)</f>
        <v>0</v>
      </c>
      <c r="N237" s="14" t="n">
        <f aca="false">SUM(N236:N236)</f>
        <v>0</v>
      </c>
      <c r="O237" s="14" t="n">
        <f aca="false">SUM(O236:O236)</f>
        <v>0</v>
      </c>
      <c r="P237" s="14" t="n">
        <f aca="false">SUM(P236:P236)</f>
        <v>200</v>
      </c>
      <c r="Q237" s="14" t="n">
        <f aca="false">SUM(Q236:Q236)</f>
        <v>0</v>
      </c>
      <c r="R237" s="15" t="n">
        <f aca="false">Q237/$P237</f>
        <v>0</v>
      </c>
      <c r="S237" s="14" t="n">
        <f aca="false">SUM(S236:S236)</f>
        <v>0</v>
      </c>
      <c r="T237" s="15" t="n">
        <f aca="false">S237/$P237</f>
        <v>0</v>
      </c>
      <c r="U237" s="14" t="n">
        <f aca="false">SUM(U236:U236)</f>
        <v>0</v>
      </c>
      <c r="V237" s="15" t="n">
        <f aca="false">U237/$P237</f>
        <v>0</v>
      </c>
      <c r="W237" s="14" t="n">
        <f aca="false">SUM(W236:W236)</f>
        <v>0</v>
      </c>
      <c r="X237" s="15" t="n">
        <f aca="false">W237/$P237</f>
        <v>0</v>
      </c>
      <c r="Y237" s="14" t="n">
        <f aca="false">SUM(Y236:Y236)</f>
        <v>200</v>
      </c>
      <c r="Z237" s="14" t="n">
        <f aca="false">SUM(Z236:Z236)</f>
        <v>200</v>
      </c>
    </row>
    <row r="239" customFormat="false" ht="13.9" hidden="false" customHeight="true" outlineLevel="0" collapsed="false">
      <c r="D239" s="19" t="s">
        <v>193</v>
      </c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20"/>
      <c r="S239" s="19"/>
      <c r="T239" s="20"/>
      <c r="U239" s="19"/>
      <c r="V239" s="20"/>
      <c r="W239" s="19"/>
      <c r="X239" s="20"/>
      <c r="Y239" s="19"/>
      <c r="Z239" s="19"/>
    </row>
    <row r="240" customFormat="false" ht="13.9" hidden="false" customHeight="true" outlineLevel="0" collapsed="false">
      <c r="D240" s="6"/>
      <c r="E240" s="6"/>
      <c r="F240" s="6"/>
      <c r="G240" s="7" t="s">
        <v>1</v>
      </c>
      <c r="H240" s="7" t="s">
        <v>2</v>
      </c>
      <c r="I240" s="7" t="s">
        <v>3</v>
      </c>
      <c r="J240" s="7" t="s">
        <v>4</v>
      </c>
      <c r="K240" s="7" t="s">
        <v>5</v>
      </c>
      <c r="L240" s="7" t="s">
        <v>6</v>
      </c>
      <c r="M240" s="7" t="s">
        <v>7</v>
      </c>
      <c r="N240" s="7" t="s">
        <v>8</v>
      </c>
      <c r="O240" s="7" t="s">
        <v>9</v>
      </c>
      <c r="P240" s="7" t="s">
        <v>10</v>
      </c>
      <c r="Q240" s="7" t="s">
        <v>11</v>
      </c>
      <c r="R240" s="8" t="s">
        <v>12</v>
      </c>
      <c r="S240" s="7" t="s">
        <v>13</v>
      </c>
      <c r="T240" s="8" t="s">
        <v>14</v>
      </c>
      <c r="U240" s="7" t="s">
        <v>15</v>
      </c>
      <c r="V240" s="8" t="s">
        <v>16</v>
      </c>
      <c r="W240" s="7" t="s">
        <v>17</v>
      </c>
      <c r="X240" s="8" t="s">
        <v>18</v>
      </c>
      <c r="Y240" s="7" t="s">
        <v>19</v>
      </c>
      <c r="Z240" s="7" t="s">
        <v>20</v>
      </c>
    </row>
    <row r="241" customFormat="false" ht="13.9" hidden="false" customHeight="true" outlineLevel="0" collapsed="false">
      <c r="A241" s="1" t="n">
        <v>4</v>
      </c>
      <c r="D241" s="21" t="s">
        <v>21</v>
      </c>
      <c r="E241" s="22" t="n">
        <v>111</v>
      </c>
      <c r="F241" s="22" t="s">
        <v>47</v>
      </c>
      <c r="G241" s="23" t="n">
        <f aca="false">G254+G264</f>
        <v>0</v>
      </c>
      <c r="H241" s="23" t="n">
        <f aca="false">H254+H264</f>
        <v>0</v>
      </c>
      <c r="I241" s="23" t="n">
        <f aca="false">I254+I264</f>
        <v>137658</v>
      </c>
      <c r="J241" s="23" t="n">
        <f aca="false">J254+J264</f>
        <v>5572</v>
      </c>
      <c r="K241" s="23" t="n">
        <f aca="false">K254+K264</f>
        <v>0</v>
      </c>
      <c r="L241" s="23" t="n">
        <f aca="false">L254+L264</f>
        <v>0</v>
      </c>
      <c r="M241" s="23" t="n">
        <f aca="false">M254+M264</f>
        <v>0</v>
      </c>
      <c r="N241" s="23" t="n">
        <f aca="false">N254+N264</f>
        <v>0</v>
      </c>
      <c r="O241" s="23" t="n">
        <f aca="false">O254+O264</f>
        <v>0</v>
      </c>
      <c r="P241" s="23" t="n">
        <f aca="false">P254+P264</f>
        <v>0</v>
      </c>
      <c r="Q241" s="23" t="n">
        <f aca="false">Q254+Q264</f>
        <v>0</v>
      </c>
      <c r="R241" s="24" t="e">
        <f aca="false">Q241/$P241</f>
        <v>#DIV/0!</v>
      </c>
      <c r="S241" s="23" t="n">
        <f aca="false">S254+S264</f>
        <v>0</v>
      </c>
      <c r="T241" s="24" t="e">
        <f aca="false">S241/$P241</f>
        <v>#DIV/0!</v>
      </c>
      <c r="U241" s="23" t="n">
        <f aca="false">U254+U264</f>
        <v>0</v>
      </c>
      <c r="V241" s="24" t="e">
        <f aca="false">U241/$P241</f>
        <v>#DIV/0!</v>
      </c>
      <c r="W241" s="23" t="n">
        <f aca="false">W254+W264</f>
        <v>0</v>
      </c>
      <c r="X241" s="24" t="e">
        <f aca="false">W241/$P241</f>
        <v>#DIV/0!</v>
      </c>
      <c r="Y241" s="23" t="n">
        <f aca="false">Y254+Y264</f>
        <v>0</v>
      </c>
      <c r="Z241" s="23" t="n">
        <f aca="false">Z254+Z264</f>
        <v>0</v>
      </c>
    </row>
    <row r="242" customFormat="false" ht="13.9" hidden="false" customHeight="true" outlineLevel="0" collapsed="false">
      <c r="A242" s="1" t="n">
        <v>4</v>
      </c>
      <c r="D242" s="21"/>
      <c r="E242" s="22" t="n">
        <v>41</v>
      </c>
      <c r="F242" s="22" t="s">
        <v>23</v>
      </c>
      <c r="G242" s="23" t="n">
        <f aca="false">G249+G256+G269+G282</f>
        <v>56222.96</v>
      </c>
      <c r="H242" s="23" t="n">
        <f aca="false">H249+H256+H269+H282</f>
        <v>61589.59</v>
      </c>
      <c r="I242" s="23" t="n">
        <f aca="false">I249+I256+I269+I282</f>
        <v>106279</v>
      </c>
      <c r="J242" s="23" t="n">
        <f aca="false">J249+J256+J269+J282</f>
        <v>82921</v>
      </c>
      <c r="K242" s="23" t="n">
        <f aca="false">K249+K256+K269+K282</f>
        <v>92975</v>
      </c>
      <c r="L242" s="23" t="n">
        <f aca="false">L249+L256+L269+L282</f>
        <v>10004</v>
      </c>
      <c r="M242" s="23" t="n">
        <f aca="false">M249+M256+M269+M282</f>
        <v>450</v>
      </c>
      <c r="N242" s="23" t="n">
        <f aca="false">N249+N256+N269+N282</f>
        <v>5500</v>
      </c>
      <c r="O242" s="23" t="n">
        <f aca="false">O249+O256+O269+O282</f>
        <v>0</v>
      </c>
      <c r="P242" s="23" t="n">
        <f aca="false">P249+P256+P269+P282</f>
        <v>108929</v>
      </c>
      <c r="Q242" s="23" t="n">
        <f aca="false">Q249+Q256+Q269+Q282</f>
        <v>28704.22</v>
      </c>
      <c r="R242" s="24" t="n">
        <f aca="false">Q242/$P242</f>
        <v>0.263513114046764</v>
      </c>
      <c r="S242" s="23" t="n">
        <f aca="false">S249+S256+S269+S282</f>
        <v>52777.33</v>
      </c>
      <c r="T242" s="24" t="n">
        <f aca="false">S242/$P242</f>
        <v>0.484511287168706</v>
      </c>
      <c r="U242" s="23" t="n">
        <f aca="false">U249+U256+U269+U282</f>
        <v>73486.64</v>
      </c>
      <c r="V242" s="24" t="n">
        <f aca="false">U242/$P242</f>
        <v>0.674628794903102</v>
      </c>
      <c r="W242" s="23" t="n">
        <f aca="false">W249+W256+W269+W282</f>
        <v>104972.76</v>
      </c>
      <c r="X242" s="24" t="n">
        <f aca="false">W242/$P242</f>
        <v>0.963680562568278</v>
      </c>
      <c r="Y242" s="23" t="n">
        <f aca="false">Y249+Y256+Y269+Y282</f>
        <v>95672</v>
      </c>
      <c r="Z242" s="23" t="n">
        <f aca="false">Z249+Z256+Z269+Z282</f>
        <v>98631</v>
      </c>
    </row>
    <row r="243" customFormat="false" ht="13.9" hidden="false" customHeight="true" outlineLevel="0" collapsed="false">
      <c r="A243" s="1" t="n">
        <v>4</v>
      </c>
      <c r="D243" s="21"/>
      <c r="E243" s="22" t="n">
        <v>72</v>
      </c>
      <c r="F243" s="22" t="s">
        <v>25</v>
      </c>
      <c r="G243" s="23" t="n">
        <f aca="false">G271</f>
        <v>0</v>
      </c>
      <c r="H243" s="23" t="n">
        <f aca="false">H271</f>
        <v>0</v>
      </c>
      <c r="I243" s="23" t="n">
        <f aca="false">I271</f>
        <v>0</v>
      </c>
      <c r="J243" s="23" t="n">
        <f aca="false">J271</f>
        <v>161</v>
      </c>
      <c r="K243" s="23" t="n">
        <f aca="false">K271</f>
        <v>167</v>
      </c>
      <c r="L243" s="23" t="n">
        <f aca="false">L271</f>
        <v>0</v>
      </c>
      <c r="M243" s="23" t="n">
        <f aca="false">M271</f>
        <v>0</v>
      </c>
      <c r="N243" s="23" t="n">
        <f aca="false">N271</f>
        <v>0</v>
      </c>
      <c r="O243" s="23" t="n">
        <f aca="false">O271</f>
        <v>81</v>
      </c>
      <c r="P243" s="23" t="n">
        <f aca="false">P271</f>
        <v>248</v>
      </c>
      <c r="Q243" s="23" t="n">
        <f aca="false">Q271</f>
        <v>0</v>
      </c>
      <c r="R243" s="24" t="n">
        <f aca="false">Q243/$P243</f>
        <v>0</v>
      </c>
      <c r="S243" s="23" t="n">
        <f aca="false">S271</f>
        <v>0</v>
      </c>
      <c r="T243" s="24" t="n">
        <f aca="false">S243/$P243</f>
        <v>0</v>
      </c>
      <c r="U243" s="23" t="n">
        <f aca="false">U271</f>
        <v>0</v>
      </c>
      <c r="V243" s="24" t="n">
        <f aca="false">U243/$P243</f>
        <v>0</v>
      </c>
      <c r="W243" s="23" t="n">
        <f aca="false">W271</f>
        <v>247.65</v>
      </c>
      <c r="X243" s="24" t="n">
        <f aca="false">W243/$P243</f>
        <v>0.998588709677419</v>
      </c>
      <c r="Y243" s="23" t="n">
        <f aca="false">Y271</f>
        <v>167</v>
      </c>
      <c r="Z243" s="23" t="n">
        <f aca="false">Z271</f>
        <v>167</v>
      </c>
    </row>
    <row r="244" customFormat="false" ht="13.9" hidden="false" customHeight="true" outlineLevel="0" collapsed="false">
      <c r="A244" s="1" t="n">
        <v>4</v>
      </c>
      <c r="D244" s="17"/>
      <c r="E244" s="18"/>
      <c r="F244" s="25" t="s">
        <v>124</v>
      </c>
      <c r="G244" s="26" t="n">
        <f aca="false">SUM(G241:G243)</f>
        <v>56222.96</v>
      </c>
      <c r="H244" s="26" t="n">
        <f aca="false">SUM(H241:H243)</f>
        <v>61589.59</v>
      </c>
      <c r="I244" s="26" t="n">
        <f aca="false">SUM(I241:I243)</f>
        <v>243937</v>
      </c>
      <c r="J244" s="26" t="n">
        <f aca="false">SUM(J241:J243)</f>
        <v>88654</v>
      </c>
      <c r="K244" s="26" t="n">
        <f aca="false">SUM(K241:K243)</f>
        <v>93142</v>
      </c>
      <c r="L244" s="26" t="n">
        <f aca="false">SUM(L241:L243)</f>
        <v>10004</v>
      </c>
      <c r="M244" s="26" t="n">
        <f aca="false">SUM(M241:M243)</f>
        <v>450</v>
      </c>
      <c r="N244" s="26" t="n">
        <f aca="false">SUM(N241:N243)</f>
        <v>5500</v>
      </c>
      <c r="O244" s="26" t="n">
        <f aca="false">SUM(O241:O243)</f>
        <v>81</v>
      </c>
      <c r="P244" s="26" t="n">
        <f aca="false">SUM(P241:P243)</f>
        <v>109177</v>
      </c>
      <c r="Q244" s="26" t="n">
        <f aca="false">SUM(Q241:Q243)</f>
        <v>28704.22</v>
      </c>
      <c r="R244" s="27" t="n">
        <f aca="false">Q244/$P244</f>
        <v>0.262914533280819</v>
      </c>
      <c r="S244" s="26" t="n">
        <f aca="false">SUM(S241:S243)</f>
        <v>52777.33</v>
      </c>
      <c r="T244" s="27" t="n">
        <f aca="false">S244/$P244</f>
        <v>0.483410700055873</v>
      </c>
      <c r="U244" s="26" t="n">
        <f aca="false">SUM(U241:U243)</f>
        <v>73486.64</v>
      </c>
      <c r="V244" s="27" t="n">
        <f aca="false">U244/$P244</f>
        <v>0.673096348131933</v>
      </c>
      <c r="W244" s="26" t="n">
        <f aca="false">SUM(W241:W243)</f>
        <v>105220.41</v>
      </c>
      <c r="X244" s="27" t="n">
        <f aca="false">W244/$P244</f>
        <v>0.963759857845517</v>
      </c>
      <c r="Y244" s="26" t="n">
        <f aca="false">SUM(Y241:Y243)</f>
        <v>95839</v>
      </c>
      <c r="Z244" s="26" t="n">
        <f aca="false">SUM(Z241:Z243)</f>
        <v>98798</v>
      </c>
    </row>
    <row r="246" customFormat="false" ht="13.9" hidden="false" customHeight="true" outlineLevel="0" collapsed="false">
      <c r="D246" s="60" t="s">
        <v>194</v>
      </c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1"/>
      <c r="S246" s="60"/>
      <c r="T246" s="61"/>
      <c r="U246" s="60"/>
      <c r="V246" s="61"/>
      <c r="W246" s="60"/>
      <c r="X246" s="61"/>
      <c r="Y246" s="60"/>
      <c r="Z246" s="60"/>
    </row>
    <row r="247" customFormat="false" ht="13.9" hidden="false" customHeight="true" outlineLevel="0" collapsed="false">
      <c r="D247" s="7" t="s">
        <v>33</v>
      </c>
      <c r="E247" s="7" t="s">
        <v>34</v>
      </c>
      <c r="F247" s="7" t="s">
        <v>35</v>
      </c>
      <c r="G247" s="7" t="s">
        <v>1</v>
      </c>
      <c r="H247" s="7" t="s">
        <v>2</v>
      </c>
      <c r="I247" s="7" t="s">
        <v>3</v>
      </c>
      <c r="J247" s="7" t="s">
        <v>4</v>
      </c>
      <c r="K247" s="7" t="s">
        <v>5</v>
      </c>
      <c r="L247" s="7" t="s">
        <v>6</v>
      </c>
      <c r="M247" s="7" t="s">
        <v>7</v>
      </c>
      <c r="N247" s="7" t="s">
        <v>8</v>
      </c>
      <c r="O247" s="7" t="s">
        <v>9</v>
      </c>
      <c r="P247" s="7" t="s">
        <v>10</v>
      </c>
      <c r="Q247" s="7" t="s">
        <v>11</v>
      </c>
      <c r="R247" s="8" t="s">
        <v>12</v>
      </c>
      <c r="S247" s="7" t="s">
        <v>13</v>
      </c>
      <c r="T247" s="8" t="s">
        <v>14</v>
      </c>
      <c r="U247" s="7" t="s">
        <v>15</v>
      </c>
      <c r="V247" s="8" t="s">
        <v>16</v>
      </c>
      <c r="W247" s="7" t="s">
        <v>17</v>
      </c>
      <c r="X247" s="8" t="s">
        <v>18</v>
      </c>
      <c r="Y247" s="7" t="s">
        <v>19</v>
      </c>
      <c r="Z247" s="7" t="s">
        <v>20</v>
      </c>
    </row>
    <row r="248" customFormat="false" ht="13.9" hidden="false" customHeight="true" outlineLevel="0" collapsed="false">
      <c r="A248" s="1" t="n">
        <v>4</v>
      </c>
      <c r="B248" s="1" t="n">
        <v>1</v>
      </c>
      <c r="D248" s="76" t="s">
        <v>195</v>
      </c>
      <c r="E248" s="10" t="n">
        <v>630</v>
      </c>
      <c r="F248" s="10" t="s">
        <v>131</v>
      </c>
      <c r="G248" s="11" t="n">
        <v>55222.96</v>
      </c>
      <c r="H248" s="11" t="n">
        <v>58343.26</v>
      </c>
      <c r="I248" s="11" t="n">
        <v>58340</v>
      </c>
      <c r="J248" s="11" t="n">
        <v>49831</v>
      </c>
      <c r="K248" s="33" t="n">
        <v>54425</v>
      </c>
      <c r="L248" s="33"/>
      <c r="M248" s="33"/>
      <c r="N248" s="33" t="n">
        <v>5500</v>
      </c>
      <c r="O248" s="33"/>
      <c r="P248" s="33" t="n">
        <f aca="false">K248+SUM(L248:O248)</f>
        <v>59925</v>
      </c>
      <c r="Q248" s="33" t="n">
        <v>11418.87</v>
      </c>
      <c r="R248" s="34" t="n">
        <f aca="false">Q248/$P248</f>
        <v>0.190552690863579</v>
      </c>
      <c r="S248" s="33" t="n">
        <v>28913.57</v>
      </c>
      <c r="T248" s="34" t="n">
        <f aca="false">S248/$P248</f>
        <v>0.482495953274927</v>
      </c>
      <c r="U248" s="33" t="n">
        <v>42007.15</v>
      </c>
      <c r="V248" s="34" t="n">
        <f aca="false">U248/$P248</f>
        <v>0.70099541093033</v>
      </c>
      <c r="W248" s="33" t="n">
        <v>57460.65</v>
      </c>
      <c r="X248" s="34" t="n">
        <f aca="false">W248/$P248</f>
        <v>0.958876095118899</v>
      </c>
      <c r="Y248" s="11" t="n">
        <f aca="false">K248</f>
        <v>54425</v>
      </c>
      <c r="Z248" s="11" t="n">
        <f aca="false">Y248</f>
        <v>54425</v>
      </c>
    </row>
    <row r="249" customFormat="false" ht="13.9" hidden="false" customHeight="true" outlineLevel="0" collapsed="false">
      <c r="A249" s="1" t="n">
        <v>4</v>
      </c>
      <c r="B249" s="1" t="n">
        <v>1</v>
      </c>
      <c r="D249" s="67" t="s">
        <v>21</v>
      </c>
      <c r="E249" s="13" t="n">
        <v>41</v>
      </c>
      <c r="F249" s="13" t="s">
        <v>23</v>
      </c>
      <c r="G249" s="14" t="n">
        <f aca="false">SUM(G248:G248)</f>
        <v>55222.96</v>
      </c>
      <c r="H249" s="14" t="n">
        <f aca="false">SUM(H248:H248)</f>
        <v>58343.26</v>
      </c>
      <c r="I249" s="14" t="n">
        <f aca="false">SUM(I248:I248)</f>
        <v>58340</v>
      </c>
      <c r="J249" s="14" t="n">
        <f aca="false">SUM(J248:J248)</f>
        <v>49831</v>
      </c>
      <c r="K249" s="14" t="n">
        <f aca="false">SUM(K248:K248)</f>
        <v>54425</v>
      </c>
      <c r="L249" s="14" t="n">
        <f aca="false">SUM(L248:L248)</f>
        <v>0</v>
      </c>
      <c r="M249" s="14" t="n">
        <f aca="false">SUM(M248:M248)</f>
        <v>0</v>
      </c>
      <c r="N249" s="14" t="n">
        <f aca="false">SUM(N248:N248)</f>
        <v>5500</v>
      </c>
      <c r="O249" s="14" t="n">
        <f aca="false">SUM(O248:O248)</f>
        <v>0</v>
      </c>
      <c r="P249" s="14" t="n">
        <f aca="false">SUM(P248:P248)</f>
        <v>59925</v>
      </c>
      <c r="Q249" s="14" t="n">
        <f aca="false">SUM(Q248:Q248)</f>
        <v>11418.87</v>
      </c>
      <c r="R249" s="15" t="n">
        <f aca="false">Q249/$P249</f>
        <v>0.190552690863579</v>
      </c>
      <c r="S249" s="14" t="n">
        <f aca="false">SUM(S248:S248)</f>
        <v>28913.57</v>
      </c>
      <c r="T249" s="15" t="n">
        <f aca="false">S249/$P249</f>
        <v>0.482495953274927</v>
      </c>
      <c r="U249" s="14" t="n">
        <f aca="false">SUM(U248:U248)</f>
        <v>42007.15</v>
      </c>
      <c r="V249" s="15" t="n">
        <f aca="false">U249/$P249</f>
        <v>0.70099541093033</v>
      </c>
      <c r="W249" s="14" t="n">
        <f aca="false">SUM(W248:W248)</f>
        <v>57460.65</v>
      </c>
      <c r="X249" s="15" t="n">
        <f aca="false">W249/$P249</f>
        <v>0.958876095118899</v>
      </c>
      <c r="Y249" s="14" t="n">
        <f aca="false">SUM(Y248:Y248)</f>
        <v>54425</v>
      </c>
      <c r="Z249" s="14" t="n">
        <f aca="false">SUM(Z248:Z248)</f>
        <v>54425</v>
      </c>
    </row>
    <row r="251" customFormat="false" ht="13.9" hidden="false" customHeight="true" outlineLevel="0" collapsed="false">
      <c r="D251" s="60" t="s">
        <v>196</v>
      </c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1"/>
      <c r="S251" s="60"/>
      <c r="T251" s="61"/>
      <c r="U251" s="60"/>
      <c r="V251" s="61"/>
      <c r="W251" s="60"/>
      <c r="X251" s="61"/>
      <c r="Y251" s="60"/>
      <c r="Z251" s="60"/>
    </row>
    <row r="252" customFormat="false" ht="13.9" hidden="false" customHeight="true" outlineLevel="0" collapsed="false">
      <c r="D252" s="7" t="s">
        <v>33</v>
      </c>
      <c r="E252" s="7" t="s">
        <v>34</v>
      </c>
      <c r="F252" s="7" t="s">
        <v>35</v>
      </c>
      <c r="G252" s="7" t="s">
        <v>1</v>
      </c>
      <c r="H252" s="7" t="s">
        <v>2</v>
      </c>
      <c r="I252" s="7" t="s">
        <v>3</v>
      </c>
      <c r="J252" s="7" t="s">
        <v>4</v>
      </c>
      <c r="K252" s="7" t="s">
        <v>5</v>
      </c>
      <c r="L252" s="7" t="s">
        <v>6</v>
      </c>
      <c r="M252" s="7" t="s">
        <v>7</v>
      </c>
      <c r="N252" s="7" t="s">
        <v>8</v>
      </c>
      <c r="O252" s="7" t="s">
        <v>9</v>
      </c>
      <c r="P252" s="7" t="s">
        <v>10</v>
      </c>
      <c r="Q252" s="7" t="s">
        <v>11</v>
      </c>
      <c r="R252" s="8" t="s">
        <v>12</v>
      </c>
      <c r="S252" s="7" t="s">
        <v>13</v>
      </c>
      <c r="T252" s="8" t="s">
        <v>14</v>
      </c>
      <c r="U252" s="7" t="s">
        <v>15</v>
      </c>
      <c r="V252" s="8" t="s">
        <v>16</v>
      </c>
      <c r="W252" s="7" t="s">
        <v>17</v>
      </c>
      <c r="X252" s="8" t="s">
        <v>18</v>
      </c>
      <c r="Y252" s="7" t="s">
        <v>19</v>
      </c>
      <c r="Z252" s="7" t="s">
        <v>20</v>
      </c>
    </row>
    <row r="253" customFormat="false" ht="13.9" hidden="false" customHeight="true" outlineLevel="0" collapsed="false">
      <c r="A253" s="1" t="n">
        <v>4</v>
      </c>
      <c r="B253" s="1" t="n">
        <v>2</v>
      </c>
      <c r="D253" s="76" t="s">
        <v>195</v>
      </c>
      <c r="E253" s="10" t="n">
        <v>630</v>
      </c>
      <c r="F253" s="10" t="s">
        <v>131</v>
      </c>
      <c r="G253" s="11" t="n">
        <v>0</v>
      </c>
      <c r="H253" s="11" t="n">
        <v>0</v>
      </c>
      <c r="I253" s="11" t="n">
        <v>137658</v>
      </c>
      <c r="J253" s="11" t="n">
        <f aca="false">príjmy!G106</f>
        <v>2478</v>
      </c>
      <c r="K253" s="11" t="n">
        <v>0</v>
      </c>
      <c r="L253" s="11"/>
      <c r="M253" s="11"/>
      <c r="N253" s="11"/>
      <c r="O253" s="11"/>
      <c r="P253" s="11" t="n">
        <f aca="false">K253+SUM(L253:O253)</f>
        <v>0</v>
      </c>
      <c r="Q253" s="11" t="n">
        <v>0</v>
      </c>
      <c r="R253" s="12" t="e">
        <f aca="false">Q253/$P253</f>
        <v>#DIV/0!</v>
      </c>
      <c r="S253" s="11" t="n">
        <v>0</v>
      </c>
      <c r="T253" s="12" t="e">
        <f aca="false">S253/$P253</f>
        <v>#DIV/0!</v>
      </c>
      <c r="U253" s="11" t="n">
        <v>0</v>
      </c>
      <c r="V253" s="12" t="e">
        <f aca="false">U253/$P253</f>
        <v>#DIV/0!</v>
      </c>
      <c r="W253" s="11" t="n">
        <v>0</v>
      </c>
      <c r="X253" s="12" t="e">
        <f aca="false">W253/$P253</f>
        <v>#DIV/0!</v>
      </c>
      <c r="Y253" s="11" t="n">
        <v>0</v>
      </c>
      <c r="Z253" s="11" t="n">
        <f aca="false">Y253</f>
        <v>0</v>
      </c>
    </row>
    <row r="254" customFormat="false" ht="13.9" hidden="false" customHeight="true" outlineLevel="0" collapsed="false">
      <c r="A254" s="1" t="n">
        <v>4</v>
      </c>
      <c r="B254" s="1" t="n">
        <v>2</v>
      </c>
      <c r="D254" s="77" t="s">
        <v>21</v>
      </c>
      <c r="E254" s="35" t="n">
        <v>111</v>
      </c>
      <c r="F254" s="35" t="s">
        <v>134</v>
      </c>
      <c r="G254" s="36" t="n">
        <f aca="false">SUM(G253:G253)</f>
        <v>0</v>
      </c>
      <c r="H254" s="36" t="n">
        <f aca="false">SUM(H253:H253)</f>
        <v>0</v>
      </c>
      <c r="I254" s="36" t="n">
        <f aca="false">SUM(I253:I253)</f>
        <v>137658</v>
      </c>
      <c r="J254" s="36" t="n">
        <f aca="false">SUM(J253:J253)</f>
        <v>2478</v>
      </c>
      <c r="K254" s="36" t="n">
        <f aca="false">SUM(K253:K253)</f>
        <v>0</v>
      </c>
      <c r="L254" s="36" t="n">
        <f aca="false">SUM(L253:L253)</f>
        <v>0</v>
      </c>
      <c r="M254" s="36" t="n">
        <f aca="false">SUM(M253:M253)</f>
        <v>0</v>
      </c>
      <c r="N254" s="36" t="n">
        <f aca="false">SUM(N253:N253)</f>
        <v>0</v>
      </c>
      <c r="O254" s="36" t="n">
        <f aca="false">SUM(O253:O253)</f>
        <v>0</v>
      </c>
      <c r="P254" s="36" t="n">
        <f aca="false">SUM(P253:P253)</f>
        <v>0</v>
      </c>
      <c r="Q254" s="36" t="n">
        <f aca="false">SUM(Q253:Q253)</f>
        <v>0</v>
      </c>
      <c r="R254" s="37" t="e">
        <f aca="false">Q254/$P254</f>
        <v>#DIV/0!</v>
      </c>
      <c r="S254" s="36" t="n">
        <f aca="false">SUM(S253:S253)</f>
        <v>0</v>
      </c>
      <c r="T254" s="37" t="e">
        <f aca="false">S254/$P254</f>
        <v>#DIV/0!</v>
      </c>
      <c r="U254" s="36" t="n">
        <f aca="false">SUM(U253:U253)</f>
        <v>0</v>
      </c>
      <c r="V254" s="37" t="e">
        <f aca="false">U254/$P254</f>
        <v>#DIV/0!</v>
      </c>
      <c r="W254" s="36" t="n">
        <f aca="false">SUM(W253:W253)</f>
        <v>0</v>
      </c>
      <c r="X254" s="37" t="e">
        <f aca="false">W254/$P254</f>
        <v>#DIV/0!</v>
      </c>
      <c r="Y254" s="36" t="n">
        <f aca="false">SUM(Y253:Y253)</f>
        <v>0</v>
      </c>
      <c r="Z254" s="36" t="n">
        <f aca="false">SUM(Z253:Z253)</f>
        <v>0</v>
      </c>
    </row>
    <row r="255" customFormat="false" ht="13.9" hidden="false" customHeight="true" outlineLevel="0" collapsed="false">
      <c r="A255" s="1" t="n">
        <v>4</v>
      </c>
      <c r="B255" s="1" t="n">
        <v>2</v>
      </c>
      <c r="D255" s="76" t="s">
        <v>195</v>
      </c>
      <c r="E255" s="10" t="n">
        <v>630</v>
      </c>
      <c r="F255" s="10" t="s">
        <v>131</v>
      </c>
      <c r="G255" s="11" t="n">
        <v>1000</v>
      </c>
      <c r="H255" s="11" t="n">
        <v>0</v>
      </c>
      <c r="I255" s="11" t="n">
        <v>7245</v>
      </c>
      <c r="J255" s="11" t="n">
        <f aca="false">5445-J253</f>
        <v>2967</v>
      </c>
      <c r="K255" s="11" t="n">
        <v>545</v>
      </c>
      <c r="L255" s="11"/>
      <c r="M255" s="11"/>
      <c r="N255" s="11"/>
      <c r="O255" s="11"/>
      <c r="P255" s="11" t="n">
        <f aca="false">K255+SUM(L255:O255)</f>
        <v>545</v>
      </c>
      <c r="Q255" s="11" t="n">
        <v>215.01</v>
      </c>
      <c r="R255" s="12" t="n">
        <f aca="false">Q255/$P255</f>
        <v>0.39451376146789</v>
      </c>
      <c r="S255" s="11" t="n">
        <v>215.01</v>
      </c>
      <c r="T255" s="12" t="n">
        <f aca="false">S255/$P255</f>
        <v>0.39451376146789</v>
      </c>
      <c r="U255" s="11" t="n">
        <v>215.01</v>
      </c>
      <c r="V255" s="12" t="n">
        <f aca="false">U255/$P255</f>
        <v>0.39451376146789</v>
      </c>
      <c r="W255" s="11" t="n">
        <v>515.01</v>
      </c>
      <c r="X255" s="12" t="n">
        <f aca="false">W255/$P255</f>
        <v>0.94497247706422</v>
      </c>
      <c r="Y255" s="11" t="n">
        <f aca="false">K255</f>
        <v>545</v>
      </c>
      <c r="Z255" s="11" t="n">
        <f aca="false">Y255</f>
        <v>545</v>
      </c>
    </row>
    <row r="256" customFormat="false" ht="13.9" hidden="false" customHeight="true" outlineLevel="0" collapsed="false">
      <c r="A256" s="1" t="n">
        <v>4</v>
      </c>
      <c r="B256" s="1" t="n">
        <v>2</v>
      </c>
      <c r="D256" s="77" t="s">
        <v>21</v>
      </c>
      <c r="E256" s="35" t="n">
        <v>41</v>
      </c>
      <c r="F256" s="35" t="s">
        <v>23</v>
      </c>
      <c r="G256" s="36" t="n">
        <f aca="false">SUM(G255:G255)</f>
        <v>1000</v>
      </c>
      <c r="H256" s="36" t="n">
        <f aca="false">SUM(H255:H255)</f>
        <v>0</v>
      </c>
      <c r="I256" s="36" t="n">
        <f aca="false">SUM(I255:I255)</f>
        <v>7245</v>
      </c>
      <c r="J256" s="36" t="n">
        <f aca="false">SUM(J255:J255)</f>
        <v>2967</v>
      </c>
      <c r="K256" s="36" t="n">
        <f aca="false">SUM(K255:K255)</f>
        <v>545</v>
      </c>
      <c r="L256" s="36" t="n">
        <f aca="false">SUM(L255:L255)</f>
        <v>0</v>
      </c>
      <c r="M256" s="36" t="n">
        <f aca="false">SUM(M255:M255)</f>
        <v>0</v>
      </c>
      <c r="N256" s="36" t="n">
        <f aca="false">SUM(N255:N255)</f>
        <v>0</v>
      </c>
      <c r="O256" s="36" t="n">
        <f aca="false">SUM(O255:O255)</f>
        <v>0</v>
      </c>
      <c r="P256" s="36" t="n">
        <f aca="false">SUM(P255:P255)</f>
        <v>545</v>
      </c>
      <c r="Q256" s="36" t="n">
        <f aca="false">SUM(Q255:Q255)</f>
        <v>215.01</v>
      </c>
      <c r="R256" s="37" t="n">
        <f aca="false">Q256/$P256</f>
        <v>0.39451376146789</v>
      </c>
      <c r="S256" s="36" t="n">
        <f aca="false">SUM(S255:S255)</f>
        <v>215.01</v>
      </c>
      <c r="T256" s="37" t="n">
        <f aca="false">S256/$P256</f>
        <v>0.39451376146789</v>
      </c>
      <c r="U256" s="36" t="n">
        <f aca="false">SUM(U255:U255)</f>
        <v>215.01</v>
      </c>
      <c r="V256" s="37" t="n">
        <f aca="false">U256/$P256</f>
        <v>0.39451376146789</v>
      </c>
      <c r="W256" s="36" t="n">
        <f aca="false">SUM(W255:W255)</f>
        <v>515.01</v>
      </c>
      <c r="X256" s="37" t="n">
        <f aca="false">W256/$P256</f>
        <v>0.94497247706422</v>
      </c>
      <c r="Y256" s="36" t="n">
        <f aca="false">SUM(Y255:Y255)</f>
        <v>545</v>
      </c>
      <c r="Z256" s="36" t="n">
        <f aca="false">SUM(Z255:Z255)</f>
        <v>545</v>
      </c>
    </row>
    <row r="257" customFormat="false" ht="13.9" hidden="false" customHeight="true" outlineLevel="0" collapsed="false">
      <c r="A257" s="1" t="n">
        <v>4</v>
      </c>
      <c r="B257" s="1" t="n">
        <v>2</v>
      </c>
      <c r="D257" s="79"/>
      <c r="E257" s="80"/>
      <c r="F257" s="13" t="s">
        <v>124</v>
      </c>
      <c r="G257" s="14" t="n">
        <f aca="false">G254+G256</f>
        <v>1000</v>
      </c>
      <c r="H257" s="14" t="n">
        <f aca="false">H254+H256</f>
        <v>0</v>
      </c>
      <c r="I257" s="14" t="n">
        <f aca="false">I254+I256</f>
        <v>144903</v>
      </c>
      <c r="J257" s="14" t="n">
        <f aca="false">J254+J256</f>
        <v>5445</v>
      </c>
      <c r="K257" s="14" t="n">
        <f aca="false">K254+K256</f>
        <v>545</v>
      </c>
      <c r="L257" s="14" t="n">
        <f aca="false">L254+L256</f>
        <v>0</v>
      </c>
      <c r="M257" s="14" t="n">
        <f aca="false">M254+M256</f>
        <v>0</v>
      </c>
      <c r="N257" s="14" t="n">
        <f aca="false">N254+N256</f>
        <v>0</v>
      </c>
      <c r="O257" s="14" t="n">
        <f aca="false">O254+O256</f>
        <v>0</v>
      </c>
      <c r="P257" s="14" t="n">
        <f aca="false">P254+P256</f>
        <v>545</v>
      </c>
      <c r="Q257" s="14" t="n">
        <f aca="false">Q254+Q256</f>
        <v>215.01</v>
      </c>
      <c r="R257" s="15" t="n">
        <f aca="false">Q257/$P257</f>
        <v>0.39451376146789</v>
      </c>
      <c r="S257" s="14" t="n">
        <f aca="false">S254+S256</f>
        <v>215.01</v>
      </c>
      <c r="T257" s="15" t="n">
        <f aca="false">S257/$P257</f>
        <v>0.39451376146789</v>
      </c>
      <c r="U257" s="14" t="n">
        <f aca="false">U254+U256</f>
        <v>215.01</v>
      </c>
      <c r="V257" s="15" t="n">
        <f aca="false">U257/$P257</f>
        <v>0.39451376146789</v>
      </c>
      <c r="W257" s="14" t="n">
        <f aca="false">W254+W256</f>
        <v>515.01</v>
      </c>
      <c r="X257" s="15" t="n">
        <f aca="false">W257/$P257</f>
        <v>0.94497247706422</v>
      </c>
      <c r="Y257" s="14" t="n">
        <f aca="false">Y254+Y256</f>
        <v>545</v>
      </c>
      <c r="Z257" s="14" t="n">
        <f aca="false">Z254+Z256</f>
        <v>545</v>
      </c>
    </row>
    <row r="259" customFormat="false" ht="13.9" hidden="false" customHeight="true" outlineLevel="0" collapsed="false">
      <c r="E259" s="101" t="s">
        <v>57</v>
      </c>
      <c r="F259" s="102" t="s">
        <v>197</v>
      </c>
      <c r="G259" s="103"/>
      <c r="H259" s="103"/>
      <c r="I259" s="103" t="n">
        <v>144903</v>
      </c>
      <c r="J259" s="103" t="n">
        <v>2478</v>
      </c>
      <c r="K259" s="104" t="n">
        <v>0</v>
      </c>
      <c r="L259" s="104"/>
      <c r="M259" s="104"/>
      <c r="N259" s="104"/>
      <c r="O259" s="104"/>
      <c r="P259" s="104" t="n">
        <f aca="false">K259+SUM(L259:O259)</f>
        <v>0</v>
      </c>
      <c r="Q259" s="104" t="n">
        <v>0</v>
      </c>
      <c r="R259" s="105" t="e">
        <f aca="false">Q259/$P259</f>
        <v>#DIV/0!</v>
      </c>
      <c r="S259" s="104" t="n">
        <v>0</v>
      </c>
      <c r="T259" s="105" t="e">
        <f aca="false">S259/$P259</f>
        <v>#DIV/0!</v>
      </c>
      <c r="U259" s="104" t="n">
        <v>0</v>
      </c>
      <c r="V259" s="105" t="e">
        <f aca="false">U259/$P259</f>
        <v>#DIV/0!</v>
      </c>
      <c r="W259" s="104" t="n">
        <v>0</v>
      </c>
      <c r="X259" s="106" t="e">
        <f aca="false">W259/$P259</f>
        <v>#DIV/0!</v>
      </c>
      <c r="Y259" s="103"/>
      <c r="Z259" s="107"/>
    </row>
    <row r="261" customFormat="false" ht="13.9" hidden="false" customHeight="true" outlineLevel="0" collapsed="false">
      <c r="D261" s="60" t="s">
        <v>198</v>
      </c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1"/>
      <c r="S261" s="60"/>
      <c r="T261" s="61"/>
      <c r="U261" s="60"/>
      <c r="V261" s="61"/>
      <c r="W261" s="60"/>
      <c r="X261" s="61"/>
      <c r="Y261" s="60"/>
      <c r="Z261" s="60"/>
    </row>
    <row r="262" customFormat="false" ht="13.9" hidden="false" customHeight="true" outlineLevel="0" collapsed="false">
      <c r="D262" s="7" t="s">
        <v>33</v>
      </c>
      <c r="E262" s="7" t="s">
        <v>34</v>
      </c>
      <c r="F262" s="7" t="s">
        <v>35</v>
      </c>
      <c r="G262" s="7" t="s">
        <v>1</v>
      </c>
      <c r="H262" s="7" t="s">
        <v>2</v>
      </c>
      <c r="I262" s="7" t="s">
        <v>3</v>
      </c>
      <c r="J262" s="7" t="s">
        <v>4</v>
      </c>
      <c r="K262" s="7" t="s">
        <v>5</v>
      </c>
      <c r="L262" s="7" t="s">
        <v>6</v>
      </c>
      <c r="M262" s="7" t="s">
        <v>7</v>
      </c>
      <c r="N262" s="7" t="s">
        <v>8</v>
      </c>
      <c r="O262" s="7" t="s">
        <v>9</v>
      </c>
      <c r="P262" s="7" t="s">
        <v>10</v>
      </c>
      <c r="Q262" s="7" t="s">
        <v>11</v>
      </c>
      <c r="R262" s="8" t="s">
        <v>12</v>
      </c>
      <c r="S262" s="7" t="s">
        <v>13</v>
      </c>
      <c r="T262" s="8" t="s">
        <v>14</v>
      </c>
      <c r="U262" s="7" t="s">
        <v>15</v>
      </c>
      <c r="V262" s="8" t="s">
        <v>16</v>
      </c>
      <c r="W262" s="7" t="s">
        <v>17</v>
      </c>
      <c r="X262" s="8" t="s">
        <v>18</v>
      </c>
      <c r="Y262" s="7" t="s">
        <v>19</v>
      </c>
      <c r="Z262" s="7" t="s">
        <v>20</v>
      </c>
    </row>
    <row r="263" customFormat="false" ht="13.9" hidden="false" customHeight="true" outlineLevel="0" collapsed="false">
      <c r="A263" s="1" t="n">
        <v>4</v>
      </c>
      <c r="B263" s="1" t="n">
        <v>3</v>
      </c>
      <c r="D263" s="76" t="s">
        <v>195</v>
      </c>
      <c r="E263" s="10" t="n">
        <v>630</v>
      </c>
      <c r="F263" s="10" t="s">
        <v>131</v>
      </c>
      <c r="G263" s="11" t="n">
        <v>0</v>
      </c>
      <c r="H263" s="11" t="n">
        <v>0</v>
      </c>
      <c r="I263" s="11" t="n">
        <v>0</v>
      </c>
      <c r="J263" s="11" t="n">
        <v>3094</v>
      </c>
      <c r="K263" s="11" t="n">
        <v>0</v>
      </c>
      <c r="L263" s="11"/>
      <c r="M263" s="11"/>
      <c r="N263" s="11"/>
      <c r="O263" s="11"/>
      <c r="P263" s="11" t="n">
        <f aca="false">K263+SUM(L263:O263)</f>
        <v>0</v>
      </c>
      <c r="Q263" s="11" t="n">
        <v>0</v>
      </c>
      <c r="R263" s="12" t="e">
        <f aca="false">Q263/$P263</f>
        <v>#DIV/0!</v>
      </c>
      <c r="S263" s="11" t="n">
        <v>0</v>
      </c>
      <c r="T263" s="12" t="e">
        <f aca="false">S263/$P263</f>
        <v>#DIV/0!</v>
      </c>
      <c r="U263" s="11" t="n">
        <v>0</v>
      </c>
      <c r="V263" s="12" t="e">
        <f aca="false">U263/$P263</f>
        <v>#DIV/0!</v>
      </c>
      <c r="W263" s="11" t="n">
        <v>0</v>
      </c>
      <c r="X263" s="12" t="e">
        <f aca="false">W263/$P263</f>
        <v>#DIV/0!</v>
      </c>
      <c r="Y263" s="11" t="n">
        <v>0</v>
      </c>
      <c r="Z263" s="11" t="n">
        <f aca="false">Y263</f>
        <v>0</v>
      </c>
    </row>
    <row r="264" customFormat="false" ht="13.9" hidden="false" customHeight="true" outlineLevel="0" collapsed="false">
      <c r="A264" s="1" t="n">
        <v>4</v>
      </c>
      <c r="B264" s="1" t="n">
        <v>3</v>
      </c>
      <c r="D264" s="77" t="s">
        <v>21</v>
      </c>
      <c r="E264" s="35" t="n">
        <v>111</v>
      </c>
      <c r="F264" s="35" t="s">
        <v>134</v>
      </c>
      <c r="G264" s="36" t="n">
        <f aca="false">SUM(G263:G263)</f>
        <v>0</v>
      </c>
      <c r="H264" s="36" t="n">
        <f aca="false">SUM(H263:H263)</f>
        <v>0</v>
      </c>
      <c r="I264" s="36" t="n">
        <f aca="false">SUM(I263:I263)</f>
        <v>0</v>
      </c>
      <c r="J264" s="36" t="n">
        <f aca="false">SUM(J263:J263)</f>
        <v>3094</v>
      </c>
      <c r="K264" s="36" t="n">
        <f aca="false">SUM(K263:K263)</f>
        <v>0</v>
      </c>
      <c r="L264" s="36" t="n">
        <f aca="false">SUM(L263:L263)</f>
        <v>0</v>
      </c>
      <c r="M264" s="36" t="n">
        <f aca="false">SUM(M263:M263)</f>
        <v>0</v>
      </c>
      <c r="N264" s="36" t="n">
        <f aca="false">SUM(N263:N263)</f>
        <v>0</v>
      </c>
      <c r="O264" s="36" t="n">
        <f aca="false">SUM(O263:O263)</f>
        <v>0</v>
      </c>
      <c r="P264" s="36" t="n">
        <f aca="false">SUM(P263:P263)</f>
        <v>0</v>
      </c>
      <c r="Q264" s="36" t="n">
        <f aca="false">SUM(Q263:Q263)</f>
        <v>0</v>
      </c>
      <c r="R264" s="37" t="e">
        <f aca="false">Q264/$P264</f>
        <v>#DIV/0!</v>
      </c>
      <c r="S264" s="36" t="n">
        <f aca="false">SUM(S263:S263)</f>
        <v>0</v>
      </c>
      <c r="T264" s="37" t="e">
        <f aca="false">S264/$P264</f>
        <v>#DIV/0!</v>
      </c>
      <c r="U264" s="36" t="n">
        <f aca="false">SUM(U263:U263)</f>
        <v>0</v>
      </c>
      <c r="V264" s="37" t="e">
        <f aca="false">U264/$P264</f>
        <v>#DIV/0!</v>
      </c>
      <c r="W264" s="36" t="n">
        <f aca="false">SUM(W263:W263)</f>
        <v>0</v>
      </c>
      <c r="X264" s="37" t="e">
        <f aca="false">W264/$P264</f>
        <v>#DIV/0!</v>
      </c>
      <c r="Y264" s="36" t="n">
        <f aca="false">SUM(Y263:Y263)</f>
        <v>0</v>
      </c>
      <c r="Z264" s="36" t="n">
        <f aca="false">SUM(Z263:Z263)</f>
        <v>0</v>
      </c>
    </row>
    <row r="265" customFormat="false" ht="13.9" hidden="false" customHeight="true" outlineLevel="0" collapsed="false">
      <c r="A265" s="1" t="n">
        <v>4</v>
      </c>
      <c r="B265" s="1" t="n">
        <v>3</v>
      </c>
      <c r="D265" s="38" t="s">
        <v>195</v>
      </c>
      <c r="E265" s="10" t="n">
        <v>610</v>
      </c>
      <c r="F265" s="10" t="s">
        <v>129</v>
      </c>
      <c r="G265" s="11" t="n">
        <v>0</v>
      </c>
      <c r="H265" s="11" t="n">
        <v>0</v>
      </c>
      <c r="I265" s="11" t="n">
        <v>17031</v>
      </c>
      <c r="J265" s="11" t="n">
        <v>11928</v>
      </c>
      <c r="K265" s="11" t="n">
        <v>20236</v>
      </c>
      <c r="L265" s="11" t="n">
        <v>-169</v>
      </c>
      <c r="M265" s="11"/>
      <c r="N265" s="11"/>
      <c r="O265" s="11" t="n">
        <v>-300</v>
      </c>
      <c r="P265" s="11" t="n">
        <f aca="false">K265+SUM(L265:O265)</f>
        <v>19767</v>
      </c>
      <c r="Q265" s="11" t="n">
        <v>3441.26</v>
      </c>
      <c r="R265" s="12" t="n">
        <f aca="false">Q265/$P265</f>
        <v>0.17409116203774</v>
      </c>
      <c r="S265" s="11" t="n">
        <v>7648.3</v>
      </c>
      <c r="T265" s="12" t="n">
        <f aca="false">S265/$P265</f>
        <v>0.38692264885921</v>
      </c>
      <c r="U265" s="11" t="n">
        <v>12506.57</v>
      </c>
      <c r="V265" s="12" t="n">
        <f aca="false">U265/$P265</f>
        <v>0.632699448575909</v>
      </c>
      <c r="W265" s="11" t="n">
        <v>19051.72</v>
      </c>
      <c r="X265" s="12" t="n">
        <f aca="false">W265/$P265</f>
        <v>0.963814438205089</v>
      </c>
      <c r="Y265" s="11" t="n">
        <v>22189</v>
      </c>
      <c r="Z265" s="11" t="n">
        <v>24338</v>
      </c>
    </row>
    <row r="266" customFormat="false" ht="13.9" hidden="false" customHeight="true" outlineLevel="0" collapsed="false">
      <c r="A266" s="1" t="n">
        <v>4</v>
      </c>
      <c r="B266" s="1" t="n">
        <v>3</v>
      </c>
      <c r="D266" s="38"/>
      <c r="E266" s="10" t="n">
        <v>620</v>
      </c>
      <c r="F266" s="10" t="s">
        <v>130</v>
      </c>
      <c r="G266" s="11" t="n">
        <v>0</v>
      </c>
      <c r="H266" s="11" t="n">
        <v>0</v>
      </c>
      <c r="I266" s="11" t="n">
        <v>6292</v>
      </c>
      <c r="J266" s="11" t="n">
        <v>4169</v>
      </c>
      <c r="K266" s="11" t="n">
        <v>7477</v>
      </c>
      <c r="L266" s="11"/>
      <c r="M266" s="11"/>
      <c r="N266" s="11"/>
      <c r="O266" s="11" t="n">
        <v>-405</v>
      </c>
      <c r="P266" s="11" t="n">
        <f aca="false">K266+SUM(L266:O266)</f>
        <v>7072</v>
      </c>
      <c r="Q266" s="11" t="n">
        <v>1149.8</v>
      </c>
      <c r="R266" s="12" t="n">
        <f aca="false">Q266/$P266</f>
        <v>0.162584841628959</v>
      </c>
      <c r="S266" s="11" t="n">
        <v>2443.36</v>
      </c>
      <c r="T266" s="12" t="n">
        <f aca="false">S266/$P266</f>
        <v>0.345497737556561</v>
      </c>
      <c r="U266" s="11" t="n">
        <v>4141.26</v>
      </c>
      <c r="V266" s="12" t="n">
        <f aca="false">U266/$P266</f>
        <v>0.585585407239819</v>
      </c>
      <c r="W266" s="11" t="n">
        <v>6428.72</v>
      </c>
      <c r="X266" s="12" t="n">
        <f aca="false">W266/$P266</f>
        <v>0.909038461538461</v>
      </c>
      <c r="Y266" s="11" t="n">
        <v>8200</v>
      </c>
      <c r="Z266" s="11" t="n">
        <v>8993</v>
      </c>
    </row>
    <row r="267" customFormat="false" ht="13.9" hidden="false" customHeight="true" outlineLevel="0" collapsed="false">
      <c r="A267" s="1" t="n">
        <v>4</v>
      </c>
      <c r="B267" s="1" t="n">
        <v>3</v>
      </c>
      <c r="D267" s="38"/>
      <c r="E267" s="10" t="n">
        <v>630</v>
      </c>
      <c r="F267" s="10" t="s">
        <v>131</v>
      </c>
      <c r="G267" s="11" t="n">
        <v>0</v>
      </c>
      <c r="H267" s="11" t="n">
        <v>3225.65</v>
      </c>
      <c r="I267" s="11" t="n">
        <v>16371</v>
      </c>
      <c r="J267" s="11" t="n">
        <v>13941</v>
      </c>
      <c r="K267" s="11" t="n">
        <f aca="false">1947+8295</f>
        <v>10242</v>
      </c>
      <c r="L267" s="11" t="n">
        <f aca="false">8004+2000</f>
        <v>10004</v>
      </c>
      <c r="M267" s="11" t="n">
        <v>450</v>
      </c>
      <c r="N267" s="11"/>
      <c r="O267" s="11" t="n">
        <v>705</v>
      </c>
      <c r="P267" s="11" t="n">
        <f aca="false">K267+SUM(L267:O267)</f>
        <v>21401</v>
      </c>
      <c r="Q267" s="11" t="n">
        <v>12310</v>
      </c>
      <c r="R267" s="12" t="n">
        <f aca="false">Q267/$P267</f>
        <v>0.57520676603897</v>
      </c>
      <c r="S267" s="11" t="n">
        <v>13387.81</v>
      </c>
      <c r="T267" s="12" t="n">
        <f aca="false">S267/$P267</f>
        <v>0.62556936591748</v>
      </c>
      <c r="U267" s="11" t="n">
        <v>14447.37</v>
      </c>
      <c r="V267" s="12" t="n">
        <f aca="false">U267/$P267</f>
        <v>0.675079201906453</v>
      </c>
      <c r="W267" s="11" t="n">
        <v>21347.38</v>
      </c>
      <c r="X267" s="12" t="n">
        <f aca="false">W267/$P267</f>
        <v>0.997494509602355</v>
      </c>
      <c r="Y267" s="11" t="n">
        <f aca="false">1968+8295</f>
        <v>10263</v>
      </c>
      <c r="Z267" s="11" t="n">
        <f aca="false">1985+8295</f>
        <v>10280</v>
      </c>
    </row>
    <row r="268" customFormat="false" ht="13.9" hidden="false" customHeight="true" outlineLevel="0" collapsed="false">
      <c r="A268" s="1" t="n">
        <v>4</v>
      </c>
      <c r="B268" s="1" t="n">
        <v>3</v>
      </c>
      <c r="D268" s="38"/>
      <c r="E268" s="10" t="n">
        <v>640</v>
      </c>
      <c r="F268" s="10" t="s">
        <v>132</v>
      </c>
      <c r="G268" s="11" t="n">
        <v>0</v>
      </c>
      <c r="H268" s="11" t="n">
        <v>0</v>
      </c>
      <c r="I268" s="11" t="n">
        <v>0</v>
      </c>
      <c r="J268" s="11" t="n">
        <v>85</v>
      </c>
      <c r="K268" s="11" t="n">
        <v>0</v>
      </c>
      <c r="L268" s="11" t="n">
        <v>169</v>
      </c>
      <c r="M268" s="11"/>
      <c r="N268" s="11"/>
      <c r="O268" s="11"/>
      <c r="P268" s="11" t="n">
        <f aca="false">K268+SUM(L268:O268)</f>
        <v>169</v>
      </c>
      <c r="Q268" s="11" t="n">
        <v>169.28</v>
      </c>
      <c r="R268" s="12" t="n">
        <f aca="false">Q268/$P268</f>
        <v>1.00165680473373</v>
      </c>
      <c r="S268" s="11" t="n">
        <v>169.28</v>
      </c>
      <c r="T268" s="12" t="n">
        <f aca="false">S268/$P268</f>
        <v>1.00165680473373</v>
      </c>
      <c r="U268" s="11" t="n">
        <v>169.28</v>
      </c>
      <c r="V268" s="12" t="n">
        <f aca="false">U268/$P268</f>
        <v>1.00165680473373</v>
      </c>
      <c r="W268" s="11" t="n">
        <v>169.28</v>
      </c>
      <c r="X268" s="12" t="n">
        <f aca="false">W268/$P268</f>
        <v>1.00165680473373</v>
      </c>
      <c r="Y268" s="11" t="n">
        <f aca="false">K268</f>
        <v>0</v>
      </c>
      <c r="Z268" s="11" t="n">
        <f aca="false">Y268</f>
        <v>0</v>
      </c>
    </row>
    <row r="269" customFormat="false" ht="13.9" hidden="false" customHeight="true" outlineLevel="0" collapsed="false">
      <c r="A269" s="1" t="n">
        <v>4</v>
      </c>
      <c r="B269" s="1" t="n">
        <v>3</v>
      </c>
      <c r="D269" s="77" t="s">
        <v>21</v>
      </c>
      <c r="E269" s="35" t="n">
        <v>41</v>
      </c>
      <c r="F269" s="35" t="s">
        <v>23</v>
      </c>
      <c r="G269" s="36" t="n">
        <f aca="false">SUM(G265:G268)</f>
        <v>0</v>
      </c>
      <c r="H269" s="36" t="n">
        <f aca="false">SUM(H265:H268)</f>
        <v>3225.65</v>
      </c>
      <c r="I269" s="36" t="n">
        <f aca="false">SUM(I265:I268)</f>
        <v>39694</v>
      </c>
      <c r="J269" s="36" t="n">
        <f aca="false">SUM(J265:J268)</f>
        <v>30123</v>
      </c>
      <c r="K269" s="36" t="n">
        <f aca="false">SUM(K265:K268)</f>
        <v>37955</v>
      </c>
      <c r="L269" s="36" t="n">
        <f aca="false">SUM(L265:L268)</f>
        <v>10004</v>
      </c>
      <c r="M269" s="36" t="n">
        <f aca="false">SUM(M265:M268)</f>
        <v>450</v>
      </c>
      <c r="N269" s="36" t="n">
        <f aca="false">SUM(N265:N268)</f>
        <v>0</v>
      </c>
      <c r="O269" s="36" t="n">
        <f aca="false">SUM(O265:O268)</f>
        <v>0</v>
      </c>
      <c r="P269" s="36" t="n">
        <f aca="false">SUM(P265:P268)</f>
        <v>48409</v>
      </c>
      <c r="Q269" s="36" t="n">
        <f aca="false">SUM(Q265:Q268)</f>
        <v>17070.34</v>
      </c>
      <c r="R269" s="37" t="n">
        <f aca="false">Q269/$P269</f>
        <v>0.352627403995125</v>
      </c>
      <c r="S269" s="36" t="n">
        <f aca="false">SUM(S265:S268)</f>
        <v>23648.75</v>
      </c>
      <c r="T269" s="37" t="n">
        <f aca="false">S269/$P269</f>
        <v>0.488519696750604</v>
      </c>
      <c r="U269" s="36" t="n">
        <f aca="false">SUM(U265:U268)</f>
        <v>31264.48</v>
      </c>
      <c r="V269" s="37" t="n">
        <f aca="false">U269/$P269</f>
        <v>0.645840236319693</v>
      </c>
      <c r="W269" s="36" t="n">
        <f aca="false">SUM(W265:W268)</f>
        <v>46997.1</v>
      </c>
      <c r="X269" s="37" t="n">
        <f aca="false">W269/$P269</f>
        <v>0.970833935838377</v>
      </c>
      <c r="Y269" s="36" t="n">
        <f aca="false">SUM(Y265:Y268)</f>
        <v>40652</v>
      </c>
      <c r="Z269" s="36" t="n">
        <f aca="false">SUM(Z265:Z268)</f>
        <v>43611</v>
      </c>
    </row>
    <row r="270" customFormat="false" ht="13.9" hidden="false" customHeight="true" outlineLevel="0" collapsed="false">
      <c r="A270" s="1" t="n">
        <v>4</v>
      </c>
      <c r="B270" s="1" t="n">
        <v>3</v>
      </c>
      <c r="D270" s="76" t="s">
        <v>195</v>
      </c>
      <c r="E270" s="10" t="n">
        <v>640</v>
      </c>
      <c r="F270" s="10" t="s">
        <v>132</v>
      </c>
      <c r="G270" s="11" t="n">
        <v>0</v>
      </c>
      <c r="H270" s="11" t="n">
        <v>0</v>
      </c>
      <c r="I270" s="11" t="n">
        <v>0</v>
      </c>
      <c r="J270" s="11" t="n">
        <v>161</v>
      </c>
      <c r="K270" s="11" t="n">
        <v>167</v>
      </c>
      <c r="L270" s="11"/>
      <c r="M270" s="11"/>
      <c r="N270" s="11"/>
      <c r="O270" s="11" t="n">
        <v>81</v>
      </c>
      <c r="P270" s="11" t="n">
        <f aca="false">K270+SUM(L270:O270)</f>
        <v>248</v>
      </c>
      <c r="Q270" s="11" t="n">
        <v>0</v>
      </c>
      <c r="R270" s="12" t="n">
        <f aca="false">Q270/$P270</f>
        <v>0</v>
      </c>
      <c r="S270" s="11" t="n">
        <v>0</v>
      </c>
      <c r="T270" s="12" t="n">
        <f aca="false">S270/$P270</f>
        <v>0</v>
      </c>
      <c r="U270" s="11" t="n">
        <v>0</v>
      </c>
      <c r="V270" s="12" t="n">
        <f aca="false">U270/$P270</f>
        <v>0</v>
      </c>
      <c r="W270" s="11" t="n">
        <v>247.65</v>
      </c>
      <c r="X270" s="12" t="n">
        <f aca="false">W270/$P270</f>
        <v>0.998588709677419</v>
      </c>
      <c r="Y270" s="11" t="n">
        <f aca="false">K270</f>
        <v>167</v>
      </c>
      <c r="Z270" s="11" t="n">
        <f aca="false">Y270</f>
        <v>167</v>
      </c>
    </row>
    <row r="271" customFormat="false" ht="13.9" hidden="false" customHeight="true" outlineLevel="0" collapsed="false">
      <c r="A271" s="1" t="n">
        <v>4</v>
      </c>
      <c r="B271" s="1" t="n">
        <v>3</v>
      </c>
      <c r="D271" s="77" t="s">
        <v>21</v>
      </c>
      <c r="E271" s="35" t="n">
        <v>72</v>
      </c>
      <c r="F271" s="35" t="s">
        <v>25</v>
      </c>
      <c r="G271" s="36" t="n">
        <f aca="false">SUM(G270:G270)</f>
        <v>0</v>
      </c>
      <c r="H271" s="36" t="n">
        <f aca="false">SUM(H270:H270)</f>
        <v>0</v>
      </c>
      <c r="I271" s="36" t="n">
        <f aca="false">SUM(I270:I270)</f>
        <v>0</v>
      </c>
      <c r="J271" s="36" t="n">
        <f aca="false">SUM(J270:J270)</f>
        <v>161</v>
      </c>
      <c r="K271" s="36" t="n">
        <f aca="false">SUM(K270:K270)</f>
        <v>167</v>
      </c>
      <c r="L271" s="36" t="n">
        <f aca="false">SUM(L270:L270)</f>
        <v>0</v>
      </c>
      <c r="M271" s="36" t="n">
        <f aca="false">SUM(M270:M270)</f>
        <v>0</v>
      </c>
      <c r="N271" s="36" t="n">
        <f aca="false">SUM(N270:N270)</f>
        <v>0</v>
      </c>
      <c r="O271" s="36" t="n">
        <f aca="false">SUM(O270:O270)</f>
        <v>81</v>
      </c>
      <c r="P271" s="36" t="n">
        <f aca="false">SUM(P270:P270)</f>
        <v>248</v>
      </c>
      <c r="Q271" s="36" t="n">
        <f aca="false">SUM(Q270:Q270)</f>
        <v>0</v>
      </c>
      <c r="R271" s="37" t="n">
        <f aca="false">Q271/$P271</f>
        <v>0</v>
      </c>
      <c r="S271" s="36" t="n">
        <f aca="false">SUM(S270:S270)</f>
        <v>0</v>
      </c>
      <c r="T271" s="37" t="n">
        <f aca="false">S271/$P271</f>
        <v>0</v>
      </c>
      <c r="U271" s="36" t="n">
        <f aca="false">SUM(U270:U270)</f>
        <v>0</v>
      </c>
      <c r="V271" s="37" t="n">
        <f aca="false">U271/$P271</f>
        <v>0</v>
      </c>
      <c r="W271" s="36" t="n">
        <f aca="false">SUM(W270:W270)</f>
        <v>247.65</v>
      </c>
      <c r="X271" s="37" t="n">
        <f aca="false">W271/$P271</f>
        <v>0.998588709677419</v>
      </c>
      <c r="Y271" s="36" t="n">
        <f aca="false">SUM(Y270:Y270)</f>
        <v>167</v>
      </c>
      <c r="Z271" s="36" t="n">
        <f aca="false">SUM(Z270:Z270)</f>
        <v>167</v>
      </c>
    </row>
    <row r="272" customFormat="false" ht="13.9" hidden="false" customHeight="true" outlineLevel="0" collapsed="false">
      <c r="A272" s="1" t="n">
        <v>4</v>
      </c>
      <c r="B272" s="1" t="n">
        <v>3</v>
      </c>
      <c r="D272" s="79"/>
      <c r="E272" s="80"/>
      <c r="F272" s="13" t="s">
        <v>124</v>
      </c>
      <c r="G272" s="14" t="n">
        <f aca="false">G264+G269+G271</f>
        <v>0</v>
      </c>
      <c r="H272" s="14" t="n">
        <f aca="false">H264+H269+H271</f>
        <v>3225.65</v>
      </c>
      <c r="I272" s="14" t="n">
        <f aca="false">I264+I269+I271</f>
        <v>39694</v>
      </c>
      <c r="J272" s="14" t="n">
        <f aca="false">J264+J269+J271</f>
        <v>33378</v>
      </c>
      <c r="K272" s="14" t="n">
        <f aca="false">K264+K269+K271</f>
        <v>38122</v>
      </c>
      <c r="L272" s="14" t="n">
        <f aca="false">L264+L269+L271</f>
        <v>10004</v>
      </c>
      <c r="M272" s="14" t="n">
        <f aca="false">M264+M269+M271</f>
        <v>450</v>
      </c>
      <c r="N272" s="14" t="n">
        <f aca="false">N264+N269+N271</f>
        <v>0</v>
      </c>
      <c r="O272" s="14" t="n">
        <f aca="false">O264+O269+O271</f>
        <v>81</v>
      </c>
      <c r="P272" s="14" t="n">
        <f aca="false">P264+P269+P271</f>
        <v>48657</v>
      </c>
      <c r="Q272" s="14" t="n">
        <f aca="false">Q264+Q269+Q271</f>
        <v>17070.34</v>
      </c>
      <c r="R272" s="15" t="n">
        <f aca="false">Q272/$P272</f>
        <v>0.350830096389009</v>
      </c>
      <c r="S272" s="14" t="n">
        <f aca="false">S264+S269+S271</f>
        <v>23648.75</v>
      </c>
      <c r="T272" s="15" t="n">
        <f aca="false">S272/$P272</f>
        <v>0.486029759335758</v>
      </c>
      <c r="U272" s="14" t="n">
        <f aca="false">U264+U269+U271</f>
        <v>31264.48</v>
      </c>
      <c r="V272" s="15" t="n">
        <f aca="false">U272/$P272</f>
        <v>0.642548451404731</v>
      </c>
      <c r="W272" s="14" t="n">
        <f aca="false">W264+W269+W271</f>
        <v>47244.75</v>
      </c>
      <c r="X272" s="15" t="n">
        <f aca="false">W272/$P272</f>
        <v>0.970975399223133</v>
      </c>
      <c r="Y272" s="14" t="n">
        <f aca="false">Y264+Y269+Y271</f>
        <v>40819</v>
      </c>
      <c r="Z272" s="14" t="n">
        <f aca="false">Z264+Z269+Z271</f>
        <v>43778</v>
      </c>
    </row>
    <row r="274" customFormat="false" ht="13.9" hidden="false" customHeight="true" outlineLevel="0" collapsed="false">
      <c r="E274" s="39" t="s">
        <v>57</v>
      </c>
      <c r="F274" s="17" t="s">
        <v>149</v>
      </c>
      <c r="G274" s="40"/>
      <c r="H274" s="40" t="n">
        <v>20</v>
      </c>
      <c r="I274" s="40" t="n">
        <v>357</v>
      </c>
      <c r="J274" s="40" t="n">
        <v>357</v>
      </c>
      <c r="K274" s="98" t="n">
        <v>1000</v>
      </c>
      <c r="L274" s="98" t="n">
        <f aca="false">8004+27+2000</f>
        <v>10031</v>
      </c>
      <c r="M274" s="98" t="n">
        <v>450</v>
      </c>
      <c r="N274" s="98"/>
      <c r="O274" s="98"/>
      <c r="P274" s="98" t="n">
        <f aca="false">K274+SUM(L274:O274)</f>
        <v>11481</v>
      </c>
      <c r="Q274" s="98" t="n">
        <v>11030.96</v>
      </c>
      <c r="R274" s="99" t="n">
        <f aca="false">Q274/$P274</f>
        <v>0.960801323926487</v>
      </c>
      <c r="S274" s="98" t="n">
        <v>11180.96</v>
      </c>
      <c r="T274" s="99" t="n">
        <f aca="false">S274/$P274</f>
        <v>0.973866387945301</v>
      </c>
      <c r="U274" s="98" t="n">
        <v>11330.96</v>
      </c>
      <c r="V274" s="99" t="n">
        <f aca="false">U274/$P274</f>
        <v>0.986931451964115</v>
      </c>
      <c r="W274" s="98" t="n">
        <v>11480.96</v>
      </c>
      <c r="X274" s="100" t="n">
        <f aca="false">W274/$P274</f>
        <v>0.999996515982928</v>
      </c>
      <c r="Y274" s="40" t="n">
        <f aca="false">K274</f>
        <v>1000</v>
      </c>
      <c r="Z274" s="43" t="n">
        <f aca="false">Y274</f>
        <v>1000</v>
      </c>
    </row>
    <row r="275" customFormat="false" ht="13.9" hidden="false" customHeight="true" outlineLevel="0" collapsed="false">
      <c r="E275" s="44"/>
      <c r="F275" s="84" t="s">
        <v>199</v>
      </c>
      <c r="G275" s="70"/>
      <c r="H275" s="70"/>
      <c r="I275" s="70" t="n">
        <v>3700</v>
      </c>
      <c r="J275" s="70" t="n">
        <v>3756</v>
      </c>
      <c r="K275" s="70" t="n">
        <v>3755</v>
      </c>
      <c r="L275" s="70"/>
      <c r="M275" s="70"/>
      <c r="N275" s="70"/>
      <c r="O275" s="70"/>
      <c r="P275" s="70" t="n">
        <f aca="false">K275+SUM(L275:O275)</f>
        <v>3755</v>
      </c>
      <c r="Q275" s="70" t="n">
        <v>430.23</v>
      </c>
      <c r="R275" s="72" t="n">
        <f aca="false">Q275/$P275</f>
        <v>0.114575233022636</v>
      </c>
      <c r="S275" s="70" t="n">
        <v>430.23</v>
      </c>
      <c r="T275" s="72" t="n">
        <f aca="false">S275/$P275</f>
        <v>0.114575233022636</v>
      </c>
      <c r="U275" s="70" t="n">
        <v>430.23</v>
      </c>
      <c r="V275" s="72" t="n">
        <f aca="false">U275/$P275</f>
        <v>0.114575233022636</v>
      </c>
      <c r="W275" s="70" t="n">
        <v>3966</v>
      </c>
      <c r="X275" s="47" t="n">
        <f aca="false">W275/$P275</f>
        <v>1.05619174434088</v>
      </c>
      <c r="Y275" s="70" t="n">
        <f aca="false">K275</f>
        <v>3755</v>
      </c>
      <c r="Z275" s="48" t="n">
        <f aca="false">Y275</f>
        <v>3755</v>
      </c>
    </row>
    <row r="276" customFormat="false" ht="13.9" hidden="false" customHeight="true" outlineLevel="0" collapsed="false">
      <c r="E276" s="44"/>
      <c r="F276" s="84" t="s">
        <v>200</v>
      </c>
      <c r="G276" s="70"/>
      <c r="H276" s="70"/>
      <c r="I276" s="70"/>
      <c r="J276" s="70" t="n">
        <v>3213</v>
      </c>
      <c r="K276" s="71" t="n">
        <v>1000</v>
      </c>
      <c r="L276" s="71"/>
      <c r="M276" s="71" t="n">
        <v>-43</v>
      </c>
      <c r="N276" s="71"/>
      <c r="O276" s="71"/>
      <c r="P276" s="71" t="n">
        <f aca="false">K276+SUM(L276:O276)</f>
        <v>957</v>
      </c>
      <c r="Q276" s="71" t="n">
        <v>264</v>
      </c>
      <c r="R276" s="85" t="n">
        <f aca="false">Q276/$P276</f>
        <v>0.275862068965517</v>
      </c>
      <c r="S276" s="71" t="n">
        <v>399.68</v>
      </c>
      <c r="T276" s="85" t="n">
        <f aca="false">S276/$P276</f>
        <v>0.417638453500522</v>
      </c>
      <c r="U276" s="71" t="n">
        <v>399.68</v>
      </c>
      <c r="V276" s="85" t="n">
        <f aca="false">U276/$P276</f>
        <v>0.417638453500522</v>
      </c>
      <c r="W276" s="71" t="n">
        <v>405</v>
      </c>
      <c r="X276" s="51" t="n">
        <f aca="false">W276/$P276</f>
        <v>0.423197492163009</v>
      </c>
      <c r="Y276" s="70" t="n">
        <f aca="false">K276</f>
        <v>1000</v>
      </c>
      <c r="Z276" s="48" t="n">
        <f aca="false">Y276</f>
        <v>1000</v>
      </c>
    </row>
    <row r="277" customFormat="false" ht="13.9" hidden="false" customHeight="true" outlineLevel="0" collapsed="false">
      <c r="E277" s="52"/>
      <c r="F277" s="86" t="s">
        <v>201</v>
      </c>
      <c r="G277" s="54"/>
      <c r="H277" s="54"/>
      <c r="I277" s="54"/>
      <c r="J277" s="54" t="n">
        <v>3257</v>
      </c>
      <c r="K277" s="54"/>
      <c r="L277" s="54"/>
      <c r="M277" s="54"/>
      <c r="N277" s="54"/>
      <c r="O277" s="54"/>
      <c r="P277" s="54" t="n">
        <f aca="false">K277+SUM(L277:O277)</f>
        <v>0</v>
      </c>
      <c r="Q277" s="54" t="n">
        <v>0</v>
      </c>
      <c r="R277" s="55" t="e">
        <f aca="false">Q277/$P277</f>
        <v>#DIV/0!</v>
      </c>
      <c r="S277" s="54" t="n">
        <v>0</v>
      </c>
      <c r="T277" s="55" t="e">
        <f aca="false">S277/$P277</f>
        <v>#DIV/0!</v>
      </c>
      <c r="U277" s="54" t="n">
        <v>0</v>
      </c>
      <c r="V277" s="55" t="e">
        <f aca="false">U277/$P277</f>
        <v>#DIV/0!</v>
      </c>
      <c r="W277" s="54" t="n">
        <v>0</v>
      </c>
      <c r="X277" s="56" t="e">
        <f aca="false">W277/$P277</f>
        <v>#DIV/0!</v>
      </c>
      <c r="Y277" s="54"/>
      <c r="Z277" s="57"/>
    </row>
    <row r="279" customFormat="false" ht="13.9" hidden="false" customHeight="true" outlineLevel="0" collapsed="false">
      <c r="D279" s="60" t="s">
        <v>202</v>
      </c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1"/>
      <c r="S279" s="60"/>
      <c r="T279" s="61"/>
      <c r="U279" s="60"/>
      <c r="V279" s="61"/>
      <c r="W279" s="60"/>
      <c r="X279" s="61"/>
      <c r="Y279" s="60"/>
      <c r="Z279" s="60"/>
    </row>
    <row r="280" customFormat="false" ht="13.9" hidden="false" customHeight="true" outlineLevel="0" collapsed="false">
      <c r="D280" s="7" t="s">
        <v>33</v>
      </c>
      <c r="E280" s="7" t="s">
        <v>34</v>
      </c>
      <c r="F280" s="7" t="s">
        <v>35</v>
      </c>
      <c r="G280" s="7" t="s">
        <v>1</v>
      </c>
      <c r="H280" s="7" t="s">
        <v>2</v>
      </c>
      <c r="I280" s="7" t="s">
        <v>3</v>
      </c>
      <c r="J280" s="7" t="s">
        <v>4</v>
      </c>
      <c r="K280" s="7" t="s">
        <v>5</v>
      </c>
      <c r="L280" s="7" t="s">
        <v>6</v>
      </c>
      <c r="M280" s="7" t="s">
        <v>7</v>
      </c>
      <c r="N280" s="7" t="s">
        <v>8</v>
      </c>
      <c r="O280" s="7" t="s">
        <v>9</v>
      </c>
      <c r="P280" s="7" t="s">
        <v>10</v>
      </c>
      <c r="Q280" s="7" t="s">
        <v>11</v>
      </c>
      <c r="R280" s="8" t="s">
        <v>12</v>
      </c>
      <c r="S280" s="7" t="s">
        <v>13</v>
      </c>
      <c r="T280" s="8" t="s">
        <v>14</v>
      </c>
      <c r="U280" s="7" t="s">
        <v>15</v>
      </c>
      <c r="V280" s="8" t="s">
        <v>16</v>
      </c>
      <c r="W280" s="7" t="s">
        <v>17</v>
      </c>
      <c r="X280" s="8" t="s">
        <v>18</v>
      </c>
      <c r="Y280" s="7" t="s">
        <v>19</v>
      </c>
      <c r="Z280" s="7" t="s">
        <v>20</v>
      </c>
    </row>
    <row r="281" customFormat="false" ht="13.9" hidden="false" customHeight="true" outlineLevel="0" collapsed="false">
      <c r="A281" s="1" t="n">
        <v>4</v>
      </c>
      <c r="B281" s="1" t="n">
        <v>4</v>
      </c>
      <c r="D281" s="76" t="s">
        <v>195</v>
      </c>
      <c r="E281" s="10" t="n">
        <v>630</v>
      </c>
      <c r="F281" s="10" t="s">
        <v>131</v>
      </c>
      <c r="G281" s="11" t="n">
        <v>0</v>
      </c>
      <c r="H281" s="11" t="n">
        <v>20.68</v>
      </c>
      <c r="I281" s="11" t="n">
        <v>1000</v>
      </c>
      <c r="J281" s="11" t="n">
        <v>0</v>
      </c>
      <c r="K281" s="11" t="n">
        <v>50</v>
      </c>
      <c r="L281" s="11"/>
      <c r="M281" s="11"/>
      <c r="N281" s="11"/>
      <c r="O281" s="11"/>
      <c r="P281" s="11" t="n">
        <f aca="false">K281+SUM(L281:O281)</f>
        <v>50</v>
      </c>
      <c r="Q281" s="11" t="n">
        <v>0</v>
      </c>
      <c r="R281" s="12" t="n">
        <f aca="false">Q281/$P281</f>
        <v>0</v>
      </c>
      <c r="S281" s="11" t="n">
        <v>0</v>
      </c>
      <c r="T281" s="12" t="n">
        <f aca="false">S281/$P281</f>
        <v>0</v>
      </c>
      <c r="U281" s="11" t="n">
        <v>0</v>
      </c>
      <c r="V281" s="12" t="n">
        <f aca="false">U281/$P281</f>
        <v>0</v>
      </c>
      <c r="W281" s="11" t="n">
        <v>0</v>
      </c>
      <c r="X281" s="12" t="n">
        <f aca="false">W281/$P281</f>
        <v>0</v>
      </c>
      <c r="Y281" s="11" t="n">
        <f aca="false">K281</f>
        <v>50</v>
      </c>
      <c r="Z281" s="11" t="n">
        <f aca="false">Y281</f>
        <v>50</v>
      </c>
    </row>
    <row r="282" customFormat="false" ht="13.9" hidden="false" customHeight="true" outlineLevel="0" collapsed="false">
      <c r="A282" s="1" t="n">
        <v>4</v>
      </c>
      <c r="B282" s="1" t="n">
        <v>4</v>
      </c>
      <c r="D282" s="67" t="s">
        <v>21</v>
      </c>
      <c r="E282" s="13" t="n">
        <v>41</v>
      </c>
      <c r="F282" s="13" t="s">
        <v>23</v>
      </c>
      <c r="G282" s="14" t="n">
        <f aca="false">SUM(G281:G281)</f>
        <v>0</v>
      </c>
      <c r="H282" s="14" t="n">
        <f aca="false">SUM(H281:H281)</f>
        <v>20.68</v>
      </c>
      <c r="I282" s="14" t="n">
        <f aca="false">SUM(I281:I281)</f>
        <v>1000</v>
      </c>
      <c r="J282" s="14" t="n">
        <f aca="false">SUM(J281:J281)</f>
        <v>0</v>
      </c>
      <c r="K282" s="14" t="n">
        <f aca="false">SUM(K281:K281)</f>
        <v>50</v>
      </c>
      <c r="L282" s="14" t="n">
        <f aca="false">SUM(L281:L281)</f>
        <v>0</v>
      </c>
      <c r="M282" s="14" t="n">
        <f aca="false">SUM(M281:M281)</f>
        <v>0</v>
      </c>
      <c r="N282" s="14" t="n">
        <f aca="false">SUM(N281:N281)</f>
        <v>0</v>
      </c>
      <c r="O282" s="14" t="n">
        <f aca="false">SUM(O281:O281)</f>
        <v>0</v>
      </c>
      <c r="P282" s="14" t="n">
        <f aca="false">SUM(P281:P281)</f>
        <v>50</v>
      </c>
      <c r="Q282" s="14" t="n">
        <f aca="false">SUM(Q281:Q281)</f>
        <v>0</v>
      </c>
      <c r="R282" s="15" t="n">
        <f aca="false">Q282/$P282</f>
        <v>0</v>
      </c>
      <c r="S282" s="14" t="n">
        <f aca="false">SUM(S281:S281)</f>
        <v>0</v>
      </c>
      <c r="T282" s="15" t="n">
        <f aca="false">S282/$P282</f>
        <v>0</v>
      </c>
      <c r="U282" s="14" t="n">
        <f aca="false">SUM(U281:U281)</f>
        <v>0</v>
      </c>
      <c r="V282" s="15" t="n">
        <f aca="false">U282/$P282</f>
        <v>0</v>
      </c>
      <c r="W282" s="14" t="n">
        <f aca="false">SUM(W281:W281)</f>
        <v>0</v>
      </c>
      <c r="X282" s="15" t="n">
        <f aca="false">W282/$P282</f>
        <v>0</v>
      </c>
      <c r="Y282" s="14" t="n">
        <f aca="false">SUM(Y281:Y281)</f>
        <v>50</v>
      </c>
      <c r="Z282" s="14" t="n">
        <f aca="false">SUM(Z281:Z281)</f>
        <v>50</v>
      </c>
    </row>
    <row r="284" customFormat="false" ht="13.9" hidden="false" customHeight="true" outlineLevel="0" collapsed="false">
      <c r="D284" s="19" t="s">
        <v>203</v>
      </c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20"/>
      <c r="S284" s="19"/>
      <c r="T284" s="20"/>
      <c r="U284" s="19"/>
      <c r="V284" s="20"/>
      <c r="W284" s="19"/>
      <c r="X284" s="20"/>
      <c r="Y284" s="19"/>
      <c r="Z284" s="19"/>
    </row>
    <row r="285" customFormat="false" ht="13.9" hidden="false" customHeight="true" outlineLevel="0" collapsed="false">
      <c r="D285" s="6"/>
      <c r="E285" s="6"/>
      <c r="F285" s="6"/>
      <c r="G285" s="7" t="s">
        <v>1</v>
      </c>
      <c r="H285" s="7" t="s">
        <v>2</v>
      </c>
      <c r="I285" s="7" t="s">
        <v>3</v>
      </c>
      <c r="J285" s="7" t="s">
        <v>4</v>
      </c>
      <c r="K285" s="7" t="s">
        <v>5</v>
      </c>
      <c r="L285" s="7"/>
      <c r="M285" s="7"/>
      <c r="N285" s="7"/>
      <c r="O285" s="7"/>
      <c r="P285" s="7"/>
      <c r="Q285" s="7"/>
      <c r="R285" s="8"/>
      <c r="S285" s="7"/>
      <c r="T285" s="8"/>
      <c r="U285" s="7"/>
      <c r="V285" s="8"/>
      <c r="W285" s="7"/>
      <c r="X285" s="8"/>
      <c r="Y285" s="7" t="s">
        <v>19</v>
      </c>
      <c r="Z285" s="7" t="s">
        <v>20</v>
      </c>
    </row>
    <row r="286" customFormat="false" ht="13.9" hidden="false" customHeight="true" outlineLevel="0" collapsed="false">
      <c r="A286" s="1" t="n">
        <v>5</v>
      </c>
      <c r="D286" s="21" t="s">
        <v>21</v>
      </c>
      <c r="E286" s="22" t="n">
        <v>111</v>
      </c>
      <c r="F286" s="22" t="s">
        <v>47</v>
      </c>
      <c r="G286" s="23" t="n">
        <f aca="false">G294+G337</f>
        <v>2893.7</v>
      </c>
      <c r="H286" s="23" t="n">
        <f aca="false">H294+H337</f>
        <v>15776.08</v>
      </c>
      <c r="I286" s="23" t="n">
        <f aca="false">I294+I337</f>
        <v>29080</v>
      </c>
      <c r="J286" s="23" t="n">
        <f aca="false">J294+J337</f>
        <v>25551</v>
      </c>
      <c r="K286" s="23" t="n">
        <f aca="false">K294+K337</f>
        <v>7254</v>
      </c>
      <c r="L286" s="23" t="n">
        <f aca="false">L294+L337</f>
        <v>0</v>
      </c>
      <c r="M286" s="23" t="n">
        <f aca="false">M294+M337</f>
        <v>0</v>
      </c>
      <c r="N286" s="23" t="n">
        <f aca="false">N294+N337</f>
        <v>-7002</v>
      </c>
      <c r="O286" s="23" t="n">
        <f aca="false">O294+O337</f>
        <v>2821</v>
      </c>
      <c r="P286" s="23" t="n">
        <f aca="false">P294+P337</f>
        <v>3073</v>
      </c>
      <c r="Q286" s="23" t="n">
        <f aca="false">Q294+Q337</f>
        <v>0</v>
      </c>
      <c r="R286" s="24" t="n">
        <f aca="false">Q286/$P286</f>
        <v>0</v>
      </c>
      <c r="S286" s="23" t="n">
        <f aca="false">S294+S337</f>
        <v>0</v>
      </c>
      <c r="T286" s="24" t="n">
        <f aca="false">S286/$P286</f>
        <v>0</v>
      </c>
      <c r="U286" s="23" t="n">
        <f aca="false">U294+U337</f>
        <v>0</v>
      </c>
      <c r="V286" s="24" t="n">
        <f aca="false">U286/$P286</f>
        <v>0</v>
      </c>
      <c r="W286" s="23" t="n">
        <f aca="false">W294+W337</f>
        <v>3073.49</v>
      </c>
      <c r="X286" s="24" t="n">
        <f aca="false">W286/$P286</f>
        <v>1.00015945330296</v>
      </c>
      <c r="Y286" s="23" t="n">
        <f aca="false">Y294+Y337</f>
        <v>252</v>
      </c>
      <c r="Z286" s="23" t="n">
        <f aca="false">Z294+Z337</f>
        <v>252</v>
      </c>
    </row>
    <row r="287" customFormat="false" ht="13.9" hidden="false" customHeight="true" outlineLevel="0" collapsed="false">
      <c r="A287" s="1" t="n">
        <v>5</v>
      </c>
      <c r="D287" s="21"/>
      <c r="E287" s="22" t="n">
        <v>41</v>
      </c>
      <c r="F287" s="22" t="s">
        <v>23</v>
      </c>
      <c r="G287" s="23" t="n">
        <f aca="false">G295+G338</f>
        <v>51437.72</v>
      </c>
      <c r="H287" s="23" t="n">
        <f aca="false">H295+H338</f>
        <v>40057.09</v>
      </c>
      <c r="I287" s="23" t="n">
        <f aca="false">I295+I338</f>
        <v>34206</v>
      </c>
      <c r="J287" s="23" t="n">
        <f aca="false">J295+J338</f>
        <v>30146</v>
      </c>
      <c r="K287" s="23" t="n">
        <f aca="false">K295+K338</f>
        <v>29471</v>
      </c>
      <c r="L287" s="23" t="n">
        <f aca="false">L295+L338</f>
        <v>0</v>
      </c>
      <c r="M287" s="23" t="n">
        <f aca="false">M295+M338</f>
        <v>2000</v>
      </c>
      <c r="N287" s="23" t="n">
        <f aca="false">N295+N338</f>
        <v>3052</v>
      </c>
      <c r="O287" s="23" t="n">
        <f aca="false">O295+O338</f>
        <v>0</v>
      </c>
      <c r="P287" s="23" t="n">
        <f aca="false">P295+P338</f>
        <v>34523</v>
      </c>
      <c r="Q287" s="23" t="n">
        <f aca="false">Q295+Q338</f>
        <v>8571.49</v>
      </c>
      <c r="R287" s="24" t="n">
        <f aca="false">Q287/$P287</f>
        <v>0.248283463198447</v>
      </c>
      <c r="S287" s="23" t="n">
        <f aca="false">S295+S338</f>
        <v>15168.1</v>
      </c>
      <c r="T287" s="24" t="n">
        <f aca="false">S287/$P287</f>
        <v>0.439362164354199</v>
      </c>
      <c r="U287" s="23" t="n">
        <f aca="false">U295+U338</f>
        <v>24287.63</v>
      </c>
      <c r="V287" s="24" t="n">
        <f aca="false">U287/$P287</f>
        <v>0.703520261854416</v>
      </c>
      <c r="W287" s="23" t="n">
        <f aca="false">W295+W338</f>
        <v>32004.41</v>
      </c>
      <c r="X287" s="24" t="n">
        <f aca="false">W287/$P287</f>
        <v>0.927046027286157</v>
      </c>
      <c r="Y287" s="23" t="n">
        <f aca="false">Y295+Y338</f>
        <v>26923</v>
      </c>
      <c r="Z287" s="23" t="n">
        <f aca="false">Z295+Z338</f>
        <v>26923</v>
      </c>
    </row>
    <row r="288" customFormat="false" ht="13.9" hidden="false" customHeight="true" outlineLevel="0" collapsed="false">
      <c r="A288" s="1" t="n">
        <v>5</v>
      </c>
      <c r="D288" s="21"/>
      <c r="E288" s="22" t="n">
        <v>71</v>
      </c>
      <c r="F288" s="22" t="s">
        <v>24</v>
      </c>
      <c r="G288" s="23" t="n">
        <f aca="false">G296</f>
        <v>1400</v>
      </c>
      <c r="H288" s="23" t="n">
        <f aca="false">H296</f>
        <v>1400</v>
      </c>
      <c r="I288" s="23" t="n">
        <f aca="false">I296</f>
        <v>1400</v>
      </c>
      <c r="J288" s="23" t="n">
        <f aca="false">J296</f>
        <v>1400</v>
      </c>
      <c r="K288" s="23" t="n">
        <f aca="false">K296</f>
        <v>1400</v>
      </c>
      <c r="L288" s="23" t="n">
        <f aca="false">L296</f>
        <v>0</v>
      </c>
      <c r="M288" s="23" t="n">
        <f aca="false">M296</f>
        <v>0</v>
      </c>
      <c r="N288" s="23" t="n">
        <f aca="false">N296</f>
        <v>0</v>
      </c>
      <c r="O288" s="23" t="n">
        <f aca="false">O296</f>
        <v>0</v>
      </c>
      <c r="P288" s="23" t="n">
        <f aca="false">P296</f>
        <v>1400</v>
      </c>
      <c r="Q288" s="23" t="n">
        <f aca="false">Q296</f>
        <v>0</v>
      </c>
      <c r="R288" s="24" t="n">
        <f aca="false">Q288/$P288</f>
        <v>0</v>
      </c>
      <c r="S288" s="23" t="n">
        <f aca="false">S296</f>
        <v>1400</v>
      </c>
      <c r="T288" s="24" t="n">
        <f aca="false">S288/$P288</f>
        <v>1</v>
      </c>
      <c r="U288" s="23" t="n">
        <f aca="false">U296</f>
        <v>1400</v>
      </c>
      <c r="V288" s="24" t="n">
        <f aca="false">U288/$P288</f>
        <v>1</v>
      </c>
      <c r="W288" s="23" t="n">
        <f aca="false">W296</f>
        <v>1400</v>
      </c>
      <c r="X288" s="24" t="n">
        <f aca="false">W288/$P288</f>
        <v>1</v>
      </c>
      <c r="Y288" s="23" t="n">
        <f aca="false">Y296</f>
        <v>1400</v>
      </c>
      <c r="Z288" s="23" t="n">
        <f aca="false">Z296</f>
        <v>1400</v>
      </c>
    </row>
    <row r="289" customFormat="false" ht="13.9" hidden="false" customHeight="true" outlineLevel="0" collapsed="false">
      <c r="A289" s="1" t="n">
        <v>5</v>
      </c>
      <c r="D289" s="21"/>
      <c r="E289" s="22" t="n">
        <v>72</v>
      </c>
      <c r="F289" s="22" t="s">
        <v>25</v>
      </c>
      <c r="G289" s="23" t="n">
        <f aca="false">G339</f>
        <v>0</v>
      </c>
      <c r="H289" s="23" t="n">
        <f aca="false">H339</f>
        <v>358.78</v>
      </c>
      <c r="I289" s="23" t="n">
        <f aca="false">I339</f>
        <v>360</v>
      </c>
      <c r="J289" s="23" t="n">
        <f aca="false">J339</f>
        <v>304</v>
      </c>
      <c r="K289" s="23" t="n">
        <f aca="false">K339</f>
        <v>2</v>
      </c>
      <c r="L289" s="23" t="n">
        <f aca="false">L339</f>
        <v>0</v>
      </c>
      <c r="M289" s="23" t="n">
        <f aca="false">M339</f>
        <v>0</v>
      </c>
      <c r="N289" s="23" t="n">
        <f aca="false">N339</f>
        <v>-2</v>
      </c>
      <c r="O289" s="23" t="n">
        <f aca="false">O339</f>
        <v>0</v>
      </c>
      <c r="P289" s="23" t="n">
        <f aca="false">P339</f>
        <v>0</v>
      </c>
      <c r="Q289" s="23" t="n">
        <f aca="false">Q339</f>
        <v>0</v>
      </c>
      <c r="R289" s="24" t="e">
        <f aca="false">Q289/$P289</f>
        <v>#DIV/0!</v>
      </c>
      <c r="S289" s="23" t="n">
        <f aca="false">S339</f>
        <v>0</v>
      </c>
      <c r="T289" s="24" t="e">
        <f aca="false">S289/$P289</f>
        <v>#DIV/0!</v>
      </c>
      <c r="U289" s="23" t="n">
        <f aca="false">U339</f>
        <v>0</v>
      </c>
      <c r="V289" s="24" t="e">
        <f aca="false">U289/$P289</f>
        <v>#DIV/0!</v>
      </c>
      <c r="W289" s="23" t="n">
        <f aca="false">W339</f>
        <v>0</v>
      </c>
      <c r="X289" s="24" t="e">
        <f aca="false">W289/$P289</f>
        <v>#DIV/0!</v>
      </c>
      <c r="Y289" s="23" t="n">
        <f aca="false">Y339</f>
        <v>0</v>
      </c>
      <c r="Z289" s="23" t="n">
        <f aca="false">Z339</f>
        <v>0</v>
      </c>
    </row>
    <row r="290" customFormat="false" ht="13.9" hidden="false" customHeight="true" outlineLevel="0" collapsed="false">
      <c r="A290" s="1" t="n">
        <v>5</v>
      </c>
      <c r="D290" s="17"/>
      <c r="E290" s="18"/>
      <c r="F290" s="25" t="s">
        <v>124</v>
      </c>
      <c r="G290" s="26" t="n">
        <f aca="false">SUM(G286:G289)</f>
        <v>55731.42</v>
      </c>
      <c r="H290" s="26" t="n">
        <f aca="false">SUM(H286:H289)</f>
        <v>57591.95</v>
      </c>
      <c r="I290" s="26" t="n">
        <f aca="false">SUM(I286:I289)</f>
        <v>65046</v>
      </c>
      <c r="J290" s="26" t="n">
        <f aca="false">SUM(J286:J289)</f>
        <v>57401</v>
      </c>
      <c r="K290" s="26" t="n">
        <f aca="false">SUM(K286:K289)</f>
        <v>38127</v>
      </c>
      <c r="L290" s="26" t="n">
        <f aca="false">SUM(L286:L289)</f>
        <v>0</v>
      </c>
      <c r="M290" s="26" t="n">
        <f aca="false">SUM(M286:M289)</f>
        <v>2000</v>
      </c>
      <c r="N290" s="26" t="n">
        <f aca="false">SUM(N286:N289)</f>
        <v>-3952</v>
      </c>
      <c r="O290" s="26" t="n">
        <f aca="false">SUM(O286:O289)</f>
        <v>2821</v>
      </c>
      <c r="P290" s="26" t="n">
        <f aca="false">SUM(P286:P289)</f>
        <v>38996</v>
      </c>
      <c r="Q290" s="26" t="n">
        <f aca="false">SUM(Q286:Q289)</f>
        <v>8571.49</v>
      </c>
      <c r="R290" s="27" t="n">
        <f aca="false">Q290/$P290</f>
        <v>0.219804338906554</v>
      </c>
      <c r="S290" s="26" t="n">
        <f aca="false">SUM(S286:S289)</f>
        <v>16568.1</v>
      </c>
      <c r="T290" s="27" t="n">
        <f aca="false">S290/$P290</f>
        <v>0.42486665299005</v>
      </c>
      <c r="U290" s="26" t="n">
        <f aca="false">SUM(U286:U289)</f>
        <v>25687.63</v>
      </c>
      <c r="V290" s="27" t="n">
        <f aca="false">U290/$P290</f>
        <v>0.658724740999077</v>
      </c>
      <c r="W290" s="26" t="n">
        <f aca="false">SUM(W286:W289)</f>
        <v>36477.9</v>
      </c>
      <c r="X290" s="27" t="n">
        <f aca="false">W290/$P290</f>
        <v>0.935426710431839</v>
      </c>
      <c r="Y290" s="26" t="n">
        <f aca="false">SUM(Y286:Y289)</f>
        <v>28575</v>
      </c>
      <c r="Z290" s="26" t="n">
        <f aca="false">SUM(Z286:Z289)</f>
        <v>28575</v>
      </c>
    </row>
    <row r="292" customFormat="false" ht="13.9" hidden="false" customHeight="true" outlineLevel="0" collapsed="false">
      <c r="D292" s="28" t="s">
        <v>204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9"/>
      <c r="S292" s="28"/>
      <c r="T292" s="29"/>
      <c r="U292" s="28"/>
      <c r="V292" s="29"/>
      <c r="W292" s="28"/>
      <c r="X292" s="29"/>
      <c r="Y292" s="28"/>
      <c r="Z292" s="28"/>
    </row>
    <row r="293" customFormat="false" ht="13.9" hidden="false" customHeight="true" outlineLevel="0" collapsed="false">
      <c r="D293" s="108"/>
      <c r="E293" s="108"/>
      <c r="F293" s="108"/>
      <c r="G293" s="7" t="s">
        <v>1</v>
      </c>
      <c r="H293" s="7" t="s">
        <v>2</v>
      </c>
      <c r="I293" s="7" t="s">
        <v>3</v>
      </c>
      <c r="J293" s="7" t="s">
        <v>4</v>
      </c>
      <c r="K293" s="7" t="s">
        <v>5</v>
      </c>
      <c r="L293" s="7" t="s">
        <v>6</v>
      </c>
      <c r="M293" s="7" t="s">
        <v>7</v>
      </c>
      <c r="N293" s="7" t="s">
        <v>8</v>
      </c>
      <c r="O293" s="7" t="s">
        <v>9</v>
      </c>
      <c r="P293" s="7" t="s">
        <v>10</v>
      </c>
      <c r="Q293" s="7" t="s">
        <v>11</v>
      </c>
      <c r="R293" s="8" t="s">
        <v>12</v>
      </c>
      <c r="S293" s="7" t="s">
        <v>13</v>
      </c>
      <c r="T293" s="8" t="s">
        <v>14</v>
      </c>
      <c r="U293" s="7" t="s">
        <v>15</v>
      </c>
      <c r="V293" s="8" t="s">
        <v>16</v>
      </c>
      <c r="W293" s="7" t="s">
        <v>17</v>
      </c>
      <c r="X293" s="8" t="s">
        <v>18</v>
      </c>
      <c r="Y293" s="7" t="s">
        <v>19</v>
      </c>
      <c r="Z293" s="7" t="s">
        <v>20</v>
      </c>
    </row>
    <row r="294" customFormat="false" ht="13.9" hidden="false" customHeight="true" outlineLevel="0" collapsed="false">
      <c r="A294" s="1" t="n">
        <v>5</v>
      </c>
      <c r="B294" s="1" t="n">
        <v>1</v>
      </c>
      <c r="D294" s="30" t="s">
        <v>21</v>
      </c>
      <c r="E294" s="10" t="n">
        <v>111</v>
      </c>
      <c r="F294" s="10" t="s">
        <v>47</v>
      </c>
      <c r="G294" s="11" t="n">
        <f aca="false">G314</f>
        <v>210.77</v>
      </c>
      <c r="H294" s="11" t="n">
        <f aca="false">H314</f>
        <v>210</v>
      </c>
      <c r="I294" s="11" t="n">
        <f aca="false">I314</f>
        <v>3210</v>
      </c>
      <c r="J294" s="11" t="n">
        <f aca="false">J314</f>
        <v>2696</v>
      </c>
      <c r="K294" s="11" t="n">
        <f aca="false">K314</f>
        <v>252</v>
      </c>
      <c r="L294" s="11" t="n">
        <f aca="false">L314</f>
        <v>0</v>
      </c>
      <c r="M294" s="11" t="n">
        <f aca="false">M314</f>
        <v>0</v>
      </c>
      <c r="N294" s="11" t="n">
        <f aca="false">N314</f>
        <v>0</v>
      </c>
      <c r="O294" s="11" t="n">
        <f aca="false">O314</f>
        <v>2821</v>
      </c>
      <c r="P294" s="11" t="n">
        <f aca="false">P314</f>
        <v>3073</v>
      </c>
      <c r="Q294" s="11" t="n">
        <f aca="false">Q314</f>
        <v>0</v>
      </c>
      <c r="R294" s="12" t="n">
        <f aca="false">Q294/$P294</f>
        <v>0</v>
      </c>
      <c r="S294" s="11" t="n">
        <f aca="false">S314</f>
        <v>0</v>
      </c>
      <c r="T294" s="12" t="n">
        <f aca="false">S294/$P294</f>
        <v>0</v>
      </c>
      <c r="U294" s="11" t="n">
        <f aca="false">U314</f>
        <v>0</v>
      </c>
      <c r="V294" s="12" t="n">
        <f aca="false">U294/$P294</f>
        <v>0</v>
      </c>
      <c r="W294" s="11" t="n">
        <f aca="false">W314</f>
        <v>3073.49</v>
      </c>
      <c r="X294" s="12" t="n">
        <f aca="false">W294/$P294</f>
        <v>1.00015945330296</v>
      </c>
      <c r="Y294" s="11" t="n">
        <f aca="false">Y314</f>
        <v>252</v>
      </c>
      <c r="Z294" s="11" t="n">
        <f aca="false">Y294</f>
        <v>252</v>
      </c>
    </row>
    <row r="295" customFormat="false" ht="13.9" hidden="false" customHeight="true" outlineLevel="0" collapsed="false">
      <c r="A295" s="1" t="n">
        <v>5</v>
      </c>
      <c r="B295" s="1" t="n">
        <v>1</v>
      </c>
      <c r="D295" s="30"/>
      <c r="E295" s="10" t="n">
        <v>41</v>
      </c>
      <c r="F295" s="10" t="s">
        <v>23</v>
      </c>
      <c r="G295" s="11" t="n">
        <f aca="false">G303+G316+G325+G333</f>
        <v>19252.2</v>
      </c>
      <c r="H295" s="11" t="n">
        <f aca="false">H303+H316+H325+H333</f>
        <v>18580.23</v>
      </c>
      <c r="I295" s="11" t="n">
        <f aca="false">I303+I316+I325+I333</f>
        <v>21340</v>
      </c>
      <c r="J295" s="11" t="n">
        <f aca="false">J303+J316+J325+J333</f>
        <v>21341</v>
      </c>
      <c r="K295" s="11" t="n">
        <f aca="false">K303+K316+K325+K333</f>
        <v>21998</v>
      </c>
      <c r="L295" s="11" t="n">
        <f aca="false">L303+L316+L325+L333</f>
        <v>0</v>
      </c>
      <c r="M295" s="11" t="n">
        <f aca="false">M303+M316+M325+M333</f>
        <v>0</v>
      </c>
      <c r="N295" s="11" t="n">
        <f aca="false">N303+N316+N325+N333</f>
        <v>1672</v>
      </c>
      <c r="O295" s="11" t="n">
        <f aca="false">O303+O316+O325+O333</f>
        <v>0</v>
      </c>
      <c r="P295" s="11" t="n">
        <f aca="false">P303+P316+P325+P333</f>
        <v>23670</v>
      </c>
      <c r="Q295" s="11" t="n">
        <f aca="false">Q303+Q316+Q325+Q333</f>
        <v>7941.71</v>
      </c>
      <c r="R295" s="12" t="n">
        <f aca="false">Q295/$P295</f>
        <v>0.335517955217575</v>
      </c>
      <c r="S295" s="11" t="n">
        <f aca="false">S303+S316+S325+S333</f>
        <v>13327.78</v>
      </c>
      <c r="T295" s="12" t="n">
        <f aca="false">S295/$P295</f>
        <v>0.563066328686101</v>
      </c>
      <c r="U295" s="11" t="n">
        <f aca="false">U303+U316+U325+U333</f>
        <v>18084.71</v>
      </c>
      <c r="V295" s="12" t="n">
        <f aca="false">U295/$P295</f>
        <v>0.764035065483735</v>
      </c>
      <c r="W295" s="11" t="n">
        <f aca="false">W303+W316+W325+W333</f>
        <v>23146.41</v>
      </c>
      <c r="X295" s="12" t="n">
        <f aca="false">W295/$P295</f>
        <v>0.977879594423321</v>
      </c>
      <c r="Y295" s="11" t="n">
        <f aca="false">Y303+Y316+Y325+Y333</f>
        <v>21998</v>
      </c>
      <c r="Z295" s="11" t="n">
        <f aca="false">Z303+Z316+Z325+Z333</f>
        <v>21998</v>
      </c>
    </row>
    <row r="296" customFormat="false" ht="13.9" hidden="false" customHeight="true" outlineLevel="0" collapsed="false">
      <c r="A296" s="1" t="n">
        <v>5</v>
      </c>
      <c r="B296" s="1" t="n">
        <v>1</v>
      </c>
      <c r="D296" s="30"/>
      <c r="E296" s="10" t="n">
        <v>71</v>
      </c>
      <c r="F296" s="10" t="s">
        <v>24</v>
      </c>
      <c r="G296" s="11" t="n">
        <f aca="false">G305</f>
        <v>1400</v>
      </c>
      <c r="H296" s="11" t="n">
        <f aca="false">H305</f>
        <v>1400</v>
      </c>
      <c r="I296" s="11" t="n">
        <f aca="false">I305</f>
        <v>1400</v>
      </c>
      <c r="J296" s="11" t="n">
        <f aca="false">J305</f>
        <v>1400</v>
      </c>
      <c r="K296" s="11" t="n">
        <f aca="false">K305</f>
        <v>1400</v>
      </c>
      <c r="L296" s="11" t="n">
        <f aca="false">L305</f>
        <v>0</v>
      </c>
      <c r="M296" s="11" t="n">
        <f aca="false">M305</f>
        <v>0</v>
      </c>
      <c r="N296" s="11" t="n">
        <f aca="false">N305</f>
        <v>0</v>
      </c>
      <c r="O296" s="11" t="n">
        <f aca="false">O305</f>
        <v>0</v>
      </c>
      <c r="P296" s="11" t="n">
        <f aca="false">P305</f>
        <v>1400</v>
      </c>
      <c r="Q296" s="11" t="n">
        <f aca="false">Q305</f>
        <v>0</v>
      </c>
      <c r="R296" s="12" t="n">
        <f aca="false">Q296/$P296</f>
        <v>0</v>
      </c>
      <c r="S296" s="11" t="n">
        <f aca="false">S305</f>
        <v>1400</v>
      </c>
      <c r="T296" s="12" t="n">
        <f aca="false">S296/$P296</f>
        <v>1</v>
      </c>
      <c r="U296" s="11" t="n">
        <f aca="false">U305</f>
        <v>1400</v>
      </c>
      <c r="V296" s="12" t="n">
        <f aca="false">U296/$P296</f>
        <v>1</v>
      </c>
      <c r="W296" s="11" t="n">
        <f aca="false">W305</f>
        <v>1400</v>
      </c>
      <c r="X296" s="12" t="n">
        <f aca="false">W296/$P296</f>
        <v>1</v>
      </c>
      <c r="Y296" s="11" t="n">
        <f aca="false">Y305</f>
        <v>1400</v>
      </c>
      <c r="Z296" s="11" t="n">
        <f aca="false">Z305</f>
        <v>1400</v>
      </c>
    </row>
    <row r="297" customFormat="false" ht="13.9" hidden="false" customHeight="true" outlineLevel="0" collapsed="false">
      <c r="A297" s="1" t="n">
        <v>5</v>
      </c>
      <c r="B297" s="1" t="n">
        <v>1</v>
      </c>
      <c r="D297" s="17"/>
      <c r="E297" s="18"/>
      <c r="F297" s="13" t="s">
        <v>124</v>
      </c>
      <c r="G297" s="14" t="n">
        <f aca="false">SUM(G294:G296)</f>
        <v>20862.97</v>
      </c>
      <c r="H297" s="14" t="n">
        <f aca="false">SUM(H294:H296)</f>
        <v>20190.23</v>
      </c>
      <c r="I297" s="14" t="n">
        <f aca="false">SUM(I294:I296)</f>
        <v>25950</v>
      </c>
      <c r="J297" s="14" t="n">
        <f aca="false">SUM(J294:J296)</f>
        <v>25437</v>
      </c>
      <c r="K297" s="14" t="n">
        <f aca="false">SUM(K294:K296)</f>
        <v>23650</v>
      </c>
      <c r="L297" s="14" t="n">
        <f aca="false">SUM(L294:L296)</f>
        <v>0</v>
      </c>
      <c r="M297" s="14" t="n">
        <f aca="false">SUM(M294:M296)</f>
        <v>0</v>
      </c>
      <c r="N297" s="14" t="n">
        <f aca="false">SUM(N294:N296)</f>
        <v>1672</v>
      </c>
      <c r="O297" s="14" t="n">
        <f aca="false">SUM(O294:O296)</f>
        <v>2821</v>
      </c>
      <c r="P297" s="14" t="n">
        <f aca="false">SUM(P294:P296)</f>
        <v>28143</v>
      </c>
      <c r="Q297" s="14" t="n">
        <f aca="false">SUM(Q294:Q296)</f>
        <v>7941.71</v>
      </c>
      <c r="R297" s="15" t="n">
        <f aca="false">Q297/$P297</f>
        <v>0.28219130867356</v>
      </c>
      <c r="S297" s="14" t="n">
        <f aca="false">SUM(S294:S296)</f>
        <v>14727.78</v>
      </c>
      <c r="T297" s="15" t="n">
        <f aca="false">S297/$P297</f>
        <v>0.523319475535657</v>
      </c>
      <c r="U297" s="14" t="n">
        <f aca="false">SUM(U294:U296)</f>
        <v>19484.71</v>
      </c>
      <c r="V297" s="15" t="n">
        <f aca="false">U297/$P297</f>
        <v>0.692346587073162</v>
      </c>
      <c r="W297" s="14" t="n">
        <f aca="false">SUM(W294:W296)</f>
        <v>27619.9</v>
      </c>
      <c r="X297" s="15" t="n">
        <f aca="false">W297/$P297</f>
        <v>0.981412784706677</v>
      </c>
      <c r="Y297" s="14" t="n">
        <f aca="false">SUM(Y294:Y296)</f>
        <v>23650</v>
      </c>
      <c r="Z297" s="14" t="n">
        <f aca="false">SUM(Z294:Z296)</f>
        <v>23650</v>
      </c>
    </row>
    <row r="299" customFormat="false" ht="13.9" hidden="false" customHeight="true" outlineLevel="0" collapsed="false">
      <c r="D299" s="60" t="s">
        <v>205</v>
      </c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1"/>
      <c r="S299" s="60"/>
      <c r="T299" s="61"/>
      <c r="U299" s="60"/>
      <c r="V299" s="61"/>
      <c r="W299" s="60"/>
      <c r="X299" s="61"/>
      <c r="Y299" s="60"/>
      <c r="Z299" s="60"/>
    </row>
    <row r="300" customFormat="false" ht="13.9" hidden="false" customHeight="true" outlineLevel="0" collapsed="false">
      <c r="D300" s="7" t="s">
        <v>33</v>
      </c>
      <c r="E300" s="7" t="s">
        <v>34</v>
      </c>
      <c r="F300" s="7" t="s">
        <v>35</v>
      </c>
      <c r="G300" s="7" t="s">
        <v>1</v>
      </c>
      <c r="H300" s="7" t="s">
        <v>2</v>
      </c>
      <c r="I300" s="7" t="s">
        <v>3</v>
      </c>
      <c r="J300" s="7" t="s">
        <v>4</v>
      </c>
      <c r="K300" s="7" t="s">
        <v>5</v>
      </c>
      <c r="L300" s="7" t="s">
        <v>6</v>
      </c>
      <c r="M300" s="7" t="s">
        <v>7</v>
      </c>
      <c r="N300" s="7" t="s">
        <v>8</v>
      </c>
      <c r="O300" s="7" t="s">
        <v>9</v>
      </c>
      <c r="P300" s="7" t="s">
        <v>10</v>
      </c>
      <c r="Q300" s="7" t="s">
        <v>11</v>
      </c>
      <c r="R300" s="8" t="s">
        <v>12</v>
      </c>
      <c r="S300" s="7" t="s">
        <v>13</v>
      </c>
      <c r="T300" s="8" t="s">
        <v>14</v>
      </c>
      <c r="U300" s="7" t="s">
        <v>15</v>
      </c>
      <c r="V300" s="8" t="s">
        <v>16</v>
      </c>
      <c r="W300" s="7" t="s">
        <v>17</v>
      </c>
      <c r="X300" s="8" t="s">
        <v>18</v>
      </c>
      <c r="Y300" s="7" t="s">
        <v>19</v>
      </c>
      <c r="Z300" s="7" t="s">
        <v>20</v>
      </c>
    </row>
    <row r="301" customFormat="false" ht="13.9" hidden="false" customHeight="true" outlineLevel="0" collapsed="false">
      <c r="A301" s="1" t="n">
        <v>5</v>
      </c>
      <c r="B301" s="1" t="n">
        <v>1</v>
      </c>
      <c r="C301" s="1" t="n">
        <v>1</v>
      </c>
      <c r="D301" s="76" t="s">
        <v>206</v>
      </c>
      <c r="E301" s="10" t="n">
        <v>630</v>
      </c>
      <c r="F301" s="10" t="s">
        <v>131</v>
      </c>
      <c r="G301" s="11" t="n">
        <v>1676</v>
      </c>
      <c r="H301" s="11" t="n">
        <v>1645.54</v>
      </c>
      <c r="I301" s="11" t="n">
        <v>1200</v>
      </c>
      <c r="J301" s="11" t="n">
        <v>1140</v>
      </c>
      <c r="K301" s="11" t="n">
        <v>2293</v>
      </c>
      <c r="L301" s="11"/>
      <c r="M301" s="11"/>
      <c r="N301" s="11"/>
      <c r="O301" s="11"/>
      <c r="P301" s="11" t="n">
        <f aca="false">K301+SUM(L301:O301)</f>
        <v>2293</v>
      </c>
      <c r="Q301" s="11" t="n">
        <v>707.04</v>
      </c>
      <c r="R301" s="12" t="n">
        <f aca="false">Q301/$P301</f>
        <v>0.308347143480157</v>
      </c>
      <c r="S301" s="11" t="n">
        <v>1224.93</v>
      </c>
      <c r="T301" s="12" t="n">
        <f aca="false">S301/$P301</f>
        <v>0.534204099433057</v>
      </c>
      <c r="U301" s="11" t="n">
        <v>1552.68</v>
      </c>
      <c r="V301" s="12" t="n">
        <f aca="false">U301/$P301</f>
        <v>0.677139119058003</v>
      </c>
      <c r="W301" s="11" t="n">
        <v>2038.71</v>
      </c>
      <c r="X301" s="12" t="n">
        <f aca="false">W301/$P301</f>
        <v>0.889101613606629</v>
      </c>
      <c r="Y301" s="11" t="n">
        <f aca="false">K301</f>
        <v>2293</v>
      </c>
      <c r="Z301" s="11" t="n">
        <f aca="false">Y301</f>
        <v>2293</v>
      </c>
    </row>
    <row r="302" customFormat="false" ht="13.9" hidden="false" customHeight="true" outlineLevel="0" collapsed="false">
      <c r="A302" s="1" t="n">
        <v>5</v>
      </c>
      <c r="B302" s="1" t="n">
        <v>1</v>
      </c>
      <c r="C302" s="1" t="n">
        <v>1</v>
      </c>
      <c r="D302" s="76"/>
      <c r="E302" s="10" t="n">
        <v>640</v>
      </c>
      <c r="F302" s="10" t="s">
        <v>132</v>
      </c>
      <c r="G302" s="11" t="n">
        <v>2915</v>
      </c>
      <c r="H302" s="11" t="n">
        <v>2000</v>
      </c>
      <c r="I302" s="11" t="n">
        <v>1920</v>
      </c>
      <c r="J302" s="11" t="n">
        <v>1920</v>
      </c>
      <c r="K302" s="33" t="n">
        <v>1420</v>
      </c>
      <c r="L302" s="33"/>
      <c r="M302" s="33"/>
      <c r="N302" s="33"/>
      <c r="O302" s="33"/>
      <c r="P302" s="33" t="n">
        <f aca="false">K302+SUM(L302:O302)</f>
        <v>1420</v>
      </c>
      <c r="Q302" s="33" t="n">
        <v>1420</v>
      </c>
      <c r="R302" s="34" t="n">
        <f aca="false">Q302/$P302</f>
        <v>1</v>
      </c>
      <c r="S302" s="33" t="n">
        <v>1420</v>
      </c>
      <c r="T302" s="34" t="n">
        <f aca="false">S302/$P302</f>
        <v>1</v>
      </c>
      <c r="U302" s="33" t="n">
        <v>1420</v>
      </c>
      <c r="V302" s="34" t="n">
        <f aca="false">U302/$P302</f>
        <v>1</v>
      </c>
      <c r="W302" s="33" t="n">
        <v>1420</v>
      </c>
      <c r="X302" s="34" t="n">
        <f aca="false">W302/$P302</f>
        <v>1</v>
      </c>
      <c r="Y302" s="11" t="n">
        <f aca="false">K302</f>
        <v>1420</v>
      </c>
      <c r="Z302" s="11" t="n">
        <f aca="false">Y302</f>
        <v>1420</v>
      </c>
    </row>
    <row r="303" customFormat="false" ht="13.9" hidden="false" customHeight="true" outlineLevel="0" collapsed="false">
      <c r="A303" s="1" t="n">
        <v>5</v>
      </c>
      <c r="B303" s="1" t="n">
        <v>1</v>
      </c>
      <c r="C303" s="1" t="n">
        <v>1</v>
      </c>
      <c r="D303" s="77" t="s">
        <v>21</v>
      </c>
      <c r="E303" s="35" t="n">
        <v>41</v>
      </c>
      <c r="F303" s="35" t="s">
        <v>23</v>
      </c>
      <c r="G303" s="36" t="n">
        <f aca="false">SUM(G301:G302)</f>
        <v>4591</v>
      </c>
      <c r="H303" s="36" t="n">
        <f aca="false">SUM(H301:H302)</f>
        <v>3645.54</v>
      </c>
      <c r="I303" s="36" t="n">
        <f aca="false">SUM(I301:I302)</f>
        <v>3120</v>
      </c>
      <c r="J303" s="36" t="n">
        <f aca="false">SUM(J301:J302)</f>
        <v>3060</v>
      </c>
      <c r="K303" s="36" t="n">
        <f aca="false">SUM(K301:K302)</f>
        <v>3713</v>
      </c>
      <c r="L303" s="36" t="n">
        <f aca="false">SUM(L301:L302)</f>
        <v>0</v>
      </c>
      <c r="M303" s="36" t="n">
        <f aca="false">SUM(M301:M302)</f>
        <v>0</v>
      </c>
      <c r="N303" s="36" t="n">
        <f aca="false">SUM(N301:N302)</f>
        <v>0</v>
      </c>
      <c r="O303" s="36" t="n">
        <f aca="false">SUM(O301:O302)</f>
        <v>0</v>
      </c>
      <c r="P303" s="36" t="n">
        <f aca="false">SUM(P301:P302)</f>
        <v>3713</v>
      </c>
      <c r="Q303" s="36" t="n">
        <f aca="false">SUM(Q301:Q302)</f>
        <v>2127.04</v>
      </c>
      <c r="R303" s="37" t="n">
        <f aca="false">Q303/$P303</f>
        <v>0.572862914085645</v>
      </c>
      <c r="S303" s="36" t="n">
        <f aca="false">SUM(S301:S302)</f>
        <v>2644.93</v>
      </c>
      <c r="T303" s="37" t="n">
        <f aca="false">S303/$P303</f>
        <v>0.712343118771883</v>
      </c>
      <c r="U303" s="36" t="n">
        <f aca="false">SUM(U301:U302)</f>
        <v>2972.68</v>
      </c>
      <c r="V303" s="37" t="n">
        <f aca="false">U303/$P303</f>
        <v>0.800614058712631</v>
      </c>
      <c r="W303" s="36" t="n">
        <f aca="false">SUM(W301:W302)</f>
        <v>3458.71</v>
      </c>
      <c r="X303" s="37" t="n">
        <f aca="false">W303/$P303</f>
        <v>0.931513600861837</v>
      </c>
      <c r="Y303" s="36" t="n">
        <f aca="false">SUM(Y301:Y302)</f>
        <v>3713</v>
      </c>
      <c r="Z303" s="36" t="n">
        <f aca="false">SUM(Z301:Z302)</f>
        <v>3713</v>
      </c>
    </row>
    <row r="304" customFormat="false" ht="13.9" hidden="false" customHeight="true" outlineLevel="0" collapsed="false">
      <c r="A304" s="1" t="n">
        <v>5</v>
      </c>
      <c r="B304" s="1" t="n">
        <v>1</v>
      </c>
      <c r="C304" s="1" t="n">
        <v>1</v>
      </c>
      <c r="D304" s="68" t="s">
        <v>206</v>
      </c>
      <c r="E304" s="10" t="n">
        <v>630</v>
      </c>
      <c r="F304" s="10" t="s">
        <v>131</v>
      </c>
      <c r="G304" s="11" t="n">
        <v>1400</v>
      </c>
      <c r="H304" s="11" t="n">
        <v>1400</v>
      </c>
      <c r="I304" s="11" t="n">
        <v>1400</v>
      </c>
      <c r="J304" s="11" t="n">
        <v>1400</v>
      </c>
      <c r="K304" s="11" t="n">
        <f aca="false">príjmy!H122</f>
        <v>1400</v>
      </c>
      <c r="L304" s="11"/>
      <c r="M304" s="11"/>
      <c r="N304" s="11"/>
      <c r="O304" s="11"/>
      <c r="P304" s="11" t="n">
        <f aca="false">K304+SUM(L304:O304)</f>
        <v>1400</v>
      </c>
      <c r="Q304" s="11" t="n">
        <v>0</v>
      </c>
      <c r="R304" s="12" t="n">
        <f aca="false">Q304/$P304</f>
        <v>0</v>
      </c>
      <c r="S304" s="11" t="n">
        <v>1400</v>
      </c>
      <c r="T304" s="12" t="n">
        <f aca="false">S304/$P304</f>
        <v>1</v>
      </c>
      <c r="U304" s="11" t="n">
        <v>1400</v>
      </c>
      <c r="V304" s="12" t="n">
        <f aca="false">U304/$P304</f>
        <v>1</v>
      </c>
      <c r="W304" s="11" t="n">
        <v>1400</v>
      </c>
      <c r="X304" s="12" t="n">
        <f aca="false">W304/$P304</f>
        <v>1</v>
      </c>
      <c r="Y304" s="11" t="n">
        <f aca="false">príjmy!V122</f>
        <v>1400</v>
      </c>
      <c r="Z304" s="11" t="n">
        <f aca="false">príjmy!W122</f>
        <v>1400</v>
      </c>
    </row>
    <row r="305" customFormat="false" ht="13.9" hidden="false" customHeight="true" outlineLevel="0" collapsed="false">
      <c r="A305" s="1" t="n">
        <v>5</v>
      </c>
      <c r="B305" s="1" t="n">
        <v>1</v>
      </c>
      <c r="C305" s="1" t="n">
        <v>1</v>
      </c>
      <c r="D305" s="77" t="s">
        <v>21</v>
      </c>
      <c r="E305" s="35" t="n">
        <v>71</v>
      </c>
      <c r="F305" s="35" t="s">
        <v>24</v>
      </c>
      <c r="G305" s="36" t="n">
        <f aca="false">SUM(G304:G304)</f>
        <v>1400</v>
      </c>
      <c r="H305" s="36" t="n">
        <f aca="false">SUM(H304:H304)</f>
        <v>1400</v>
      </c>
      <c r="I305" s="36" t="n">
        <f aca="false">SUM(I304:I304)</f>
        <v>1400</v>
      </c>
      <c r="J305" s="36" t="n">
        <f aca="false">SUM(J304:J304)</f>
        <v>1400</v>
      </c>
      <c r="K305" s="36" t="n">
        <f aca="false">SUM(K304:K304)</f>
        <v>1400</v>
      </c>
      <c r="L305" s="36" t="n">
        <f aca="false">SUM(L304:L304)</f>
        <v>0</v>
      </c>
      <c r="M305" s="36" t="n">
        <f aca="false">SUM(M304:M304)</f>
        <v>0</v>
      </c>
      <c r="N305" s="36" t="n">
        <f aca="false">SUM(N304:N304)</f>
        <v>0</v>
      </c>
      <c r="O305" s="36" t="n">
        <f aca="false">SUM(O304:O304)</f>
        <v>0</v>
      </c>
      <c r="P305" s="36" t="n">
        <f aca="false">SUM(P304:P304)</f>
        <v>1400</v>
      </c>
      <c r="Q305" s="36" t="n">
        <f aca="false">SUM(Q304:Q304)</f>
        <v>0</v>
      </c>
      <c r="R305" s="37" t="n">
        <f aca="false">Q305/$P305</f>
        <v>0</v>
      </c>
      <c r="S305" s="36" t="n">
        <f aca="false">SUM(S304:S304)</f>
        <v>1400</v>
      </c>
      <c r="T305" s="37" t="n">
        <f aca="false">S305/$P305</f>
        <v>1</v>
      </c>
      <c r="U305" s="36" t="n">
        <f aca="false">SUM(U304:U304)</f>
        <v>1400</v>
      </c>
      <c r="V305" s="37" t="n">
        <f aca="false">U305/$P305</f>
        <v>1</v>
      </c>
      <c r="W305" s="36" t="n">
        <f aca="false">SUM(W304:W304)</f>
        <v>1400</v>
      </c>
      <c r="X305" s="37" t="n">
        <f aca="false">W305/$P305</f>
        <v>1</v>
      </c>
      <c r="Y305" s="36" t="n">
        <f aca="false">SUM(Y304:Y304)</f>
        <v>1400</v>
      </c>
      <c r="Z305" s="36" t="n">
        <f aca="false">SUM(Z304:Z304)</f>
        <v>1400</v>
      </c>
    </row>
    <row r="306" customFormat="false" ht="13.9" hidden="false" customHeight="true" outlineLevel="0" collapsed="false">
      <c r="A306" s="1" t="n">
        <v>5</v>
      </c>
      <c r="B306" s="1" t="n">
        <v>1</v>
      </c>
      <c r="C306" s="1" t="n">
        <v>1</v>
      </c>
      <c r="D306" s="97"/>
      <c r="E306" s="18"/>
      <c r="F306" s="13" t="s">
        <v>124</v>
      </c>
      <c r="G306" s="14" t="n">
        <f aca="false">G303+G305</f>
        <v>5991</v>
      </c>
      <c r="H306" s="14" t="n">
        <f aca="false">H303+H305</f>
        <v>5045.54</v>
      </c>
      <c r="I306" s="14" t="n">
        <f aca="false">I303+I305</f>
        <v>4520</v>
      </c>
      <c r="J306" s="14" t="n">
        <f aca="false">J303+J305</f>
        <v>4460</v>
      </c>
      <c r="K306" s="14" t="n">
        <f aca="false">K303+K305</f>
        <v>5113</v>
      </c>
      <c r="L306" s="14" t="n">
        <f aca="false">L303+L305</f>
        <v>0</v>
      </c>
      <c r="M306" s="14" t="n">
        <f aca="false">M303+M305</f>
        <v>0</v>
      </c>
      <c r="N306" s="14" t="n">
        <f aca="false">N303+N305</f>
        <v>0</v>
      </c>
      <c r="O306" s="14" t="n">
        <f aca="false">O303+O305</f>
        <v>0</v>
      </c>
      <c r="P306" s="14" t="n">
        <f aca="false">P303+P305</f>
        <v>5113</v>
      </c>
      <c r="Q306" s="14" t="n">
        <f aca="false">Q303+Q305</f>
        <v>2127.04</v>
      </c>
      <c r="R306" s="15" t="n">
        <f aca="false">Q306/$P306</f>
        <v>0.41600625855662</v>
      </c>
      <c r="S306" s="14" t="n">
        <f aca="false">S303+S305</f>
        <v>4044.93</v>
      </c>
      <c r="T306" s="15" t="n">
        <f aca="false">S306/$P306</f>
        <v>0.79110698220223</v>
      </c>
      <c r="U306" s="14" t="n">
        <f aca="false">U303+U305</f>
        <v>4372.68</v>
      </c>
      <c r="V306" s="15" t="n">
        <f aca="false">U306/$P306</f>
        <v>0.855208292587522</v>
      </c>
      <c r="W306" s="14" t="n">
        <f aca="false">W303+W305</f>
        <v>4858.71</v>
      </c>
      <c r="X306" s="15" t="n">
        <f aca="false">W306/$P306</f>
        <v>0.950265988656366</v>
      </c>
      <c r="Y306" s="14" t="n">
        <f aca="false">Y303+Y305</f>
        <v>5113</v>
      </c>
      <c r="Z306" s="14" t="n">
        <f aca="false">Z303+Z305</f>
        <v>5113</v>
      </c>
    </row>
    <row r="308" customFormat="false" ht="13.9" hidden="false" customHeight="true" outlineLevel="0" collapsed="false">
      <c r="E308" s="101" t="s">
        <v>57</v>
      </c>
      <c r="F308" s="102" t="s">
        <v>149</v>
      </c>
      <c r="G308" s="104" t="n">
        <v>209</v>
      </c>
      <c r="H308" s="104" t="n">
        <v>979</v>
      </c>
      <c r="I308" s="103" t="n">
        <v>803</v>
      </c>
      <c r="J308" s="103" t="n">
        <v>803</v>
      </c>
      <c r="K308" s="103" t="n">
        <v>803</v>
      </c>
      <c r="L308" s="103"/>
      <c r="M308" s="103" t="n">
        <v>-583</v>
      </c>
      <c r="N308" s="103"/>
      <c r="O308" s="103"/>
      <c r="P308" s="103" t="n">
        <f aca="false">K308+SUM(L308:O308)</f>
        <v>220</v>
      </c>
      <c r="Q308" s="103" t="n">
        <v>40</v>
      </c>
      <c r="R308" s="109" t="n">
        <f aca="false">Q308/$P308</f>
        <v>0.181818181818182</v>
      </c>
      <c r="S308" s="103" t="n">
        <v>100</v>
      </c>
      <c r="T308" s="109" t="n">
        <f aca="false">S308/$P308</f>
        <v>0.454545454545455</v>
      </c>
      <c r="U308" s="103" t="n">
        <v>160</v>
      </c>
      <c r="V308" s="109" t="n">
        <f aca="false">U308/$P308</f>
        <v>0.727272727272727</v>
      </c>
      <c r="W308" s="103" t="n">
        <v>220</v>
      </c>
      <c r="X308" s="110" t="n">
        <f aca="false">W308/$P308</f>
        <v>1</v>
      </c>
      <c r="Y308" s="103" t="n">
        <f aca="false">K308</f>
        <v>803</v>
      </c>
      <c r="Z308" s="107" t="n">
        <f aca="false">Y308</f>
        <v>803</v>
      </c>
    </row>
    <row r="310" customFormat="false" ht="13.9" hidden="false" customHeight="true" outlineLevel="0" collapsed="false">
      <c r="D310" s="60" t="s">
        <v>207</v>
      </c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1"/>
      <c r="S310" s="60"/>
      <c r="T310" s="61"/>
      <c r="U310" s="60"/>
      <c r="V310" s="61"/>
      <c r="W310" s="60"/>
      <c r="X310" s="61"/>
      <c r="Y310" s="60"/>
      <c r="Z310" s="60"/>
    </row>
    <row r="311" customFormat="false" ht="13.9" hidden="false" customHeight="true" outlineLevel="0" collapsed="false">
      <c r="D311" s="7" t="s">
        <v>33</v>
      </c>
      <c r="E311" s="7" t="s">
        <v>34</v>
      </c>
      <c r="F311" s="7" t="s">
        <v>35</v>
      </c>
      <c r="G311" s="7" t="s">
        <v>1</v>
      </c>
      <c r="H311" s="7" t="s">
        <v>2</v>
      </c>
      <c r="I311" s="7" t="s">
        <v>3</v>
      </c>
      <c r="J311" s="7" t="s">
        <v>4</v>
      </c>
      <c r="K311" s="7" t="s">
        <v>5</v>
      </c>
      <c r="L311" s="7" t="s">
        <v>6</v>
      </c>
      <c r="M311" s="7" t="s">
        <v>7</v>
      </c>
      <c r="N311" s="7" t="s">
        <v>8</v>
      </c>
      <c r="O311" s="7" t="s">
        <v>9</v>
      </c>
      <c r="P311" s="7" t="s">
        <v>10</v>
      </c>
      <c r="Q311" s="7" t="s">
        <v>11</v>
      </c>
      <c r="R311" s="8" t="s">
        <v>12</v>
      </c>
      <c r="S311" s="7" t="s">
        <v>13</v>
      </c>
      <c r="T311" s="8" t="s">
        <v>14</v>
      </c>
      <c r="U311" s="7" t="s">
        <v>15</v>
      </c>
      <c r="V311" s="8" t="s">
        <v>16</v>
      </c>
      <c r="W311" s="7" t="s">
        <v>17</v>
      </c>
      <c r="X311" s="8" t="s">
        <v>18</v>
      </c>
      <c r="Y311" s="7" t="s">
        <v>19</v>
      </c>
      <c r="Z311" s="7" t="s">
        <v>20</v>
      </c>
    </row>
    <row r="312" customFormat="false" ht="13.9" hidden="false" customHeight="true" outlineLevel="0" collapsed="false">
      <c r="A312" s="1" t="n">
        <v>5</v>
      </c>
      <c r="B312" s="1" t="n">
        <v>1</v>
      </c>
      <c r="C312" s="1" t="n">
        <v>2</v>
      </c>
      <c r="D312" s="76" t="s">
        <v>208</v>
      </c>
      <c r="E312" s="10" t="n">
        <v>620</v>
      </c>
      <c r="F312" s="10" t="s">
        <v>130</v>
      </c>
      <c r="G312" s="11" t="n">
        <v>51.75</v>
      </c>
      <c r="H312" s="11" t="n">
        <v>51.55</v>
      </c>
      <c r="I312" s="11" t="n">
        <v>35</v>
      </c>
      <c r="J312" s="11" t="n">
        <v>63</v>
      </c>
      <c r="K312" s="11" t="n">
        <v>63</v>
      </c>
      <c r="L312" s="11"/>
      <c r="M312" s="11"/>
      <c r="N312" s="11"/>
      <c r="O312" s="11" t="n">
        <v>6</v>
      </c>
      <c r="P312" s="11" t="n">
        <f aca="false">K312+SUM(L312:O312)</f>
        <v>69</v>
      </c>
      <c r="Q312" s="11" t="n">
        <v>0</v>
      </c>
      <c r="R312" s="12" t="n">
        <f aca="false">Q312/$P312</f>
        <v>0</v>
      </c>
      <c r="S312" s="11" t="n">
        <v>0</v>
      </c>
      <c r="T312" s="12" t="n">
        <f aca="false">S312/$P312</f>
        <v>0</v>
      </c>
      <c r="U312" s="11" t="n">
        <v>0</v>
      </c>
      <c r="V312" s="12" t="n">
        <f aca="false">U312/$P312</f>
        <v>0</v>
      </c>
      <c r="W312" s="11" t="n">
        <v>68.73</v>
      </c>
      <c r="X312" s="12" t="n">
        <f aca="false">W312/$P312</f>
        <v>0.996086956521739</v>
      </c>
      <c r="Y312" s="11" t="n">
        <f aca="false">K312</f>
        <v>63</v>
      </c>
      <c r="Z312" s="11" t="n">
        <f aca="false">Y312</f>
        <v>63</v>
      </c>
    </row>
    <row r="313" customFormat="false" ht="13.9" hidden="false" customHeight="true" outlineLevel="0" collapsed="false">
      <c r="A313" s="1" t="n">
        <v>5</v>
      </c>
      <c r="B313" s="1" t="n">
        <v>1</v>
      </c>
      <c r="C313" s="1" t="n">
        <v>2</v>
      </c>
      <c r="D313" s="76"/>
      <c r="E313" s="10" t="n">
        <v>630</v>
      </c>
      <c r="F313" s="10" t="s">
        <v>131</v>
      </c>
      <c r="G313" s="11" t="n">
        <v>159.02</v>
      </c>
      <c r="H313" s="11" t="n">
        <v>158.45</v>
      </c>
      <c r="I313" s="11" t="n">
        <v>3175</v>
      </c>
      <c r="J313" s="11" t="n">
        <v>2633</v>
      </c>
      <c r="K313" s="11" t="n">
        <v>189</v>
      </c>
      <c r="L313" s="11"/>
      <c r="M313" s="11"/>
      <c r="N313" s="11"/>
      <c r="O313" s="11" t="n">
        <f aca="false">2821-6</f>
        <v>2815</v>
      </c>
      <c r="P313" s="11" t="n">
        <f aca="false">K313+SUM(L313:O313)</f>
        <v>3004</v>
      </c>
      <c r="Q313" s="11" t="n">
        <v>0</v>
      </c>
      <c r="R313" s="12" t="n">
        <f aca="false">Q313/$P313</f>
        <v>0</v>
      </c>
      <c r="S313" s="11" t="n">
        <v>0</v>
      </c>
      <c r="T313" s="12" t="n">
        <f aca="false">S313/$P313</f>
        <v>0</v>
      </c>
      <c r="U313" s="11" t="n">
        <v>0</v>
      </c>
      <c r="V313" s="12" t="n">
        <f aca="false">U313/$P313</f>
        <v>0</v>
      </c>
      <c r="W313" s="11" t="n">
        <v>3004.76</v>
      </c>
      <c r="X313" s="12" t="n">
        <f aca="false">W313/$P313</f>
        <v>1.00025299600533</v>
      </c>
      <c r="Y313" s="11" t="n">
        <f aca="false">K313</f>
        <v>189</v>
      </c>
      <c r="Z313" s="11" t="n">
        <f aca="false">Y313</f>
        <v>189</v>
      </c>
    </row>
    <row r="314" customFormat="false" ht="13.9" hidden="false" customHeight="true" outlineLevel="0" collapsed="false">
      <c r="A314" s="1" t="n">
        <v>5</v>
      </c>
      <c r="B314" s="1" t="n">
        <v>1</v>
      </c>
      <c r="C314" s="1" t="n">
        <v>2</v>
      </c>
      <c r="D314" s="77" t="s">
        <v>21</v>
      </c>
      <c r="E314" s="35" t="n">
        <v>111</v>
      </c>
      <c r="F314" s="35" t="s">
        <v>134</v>
      </c>
      <c r="G314" s="36" t="n">
        <f aca="false">SUM(G312:G313)</f>
        <v>210.77</v>
      </c>
      <c r="H314" s="36" t="n">
        <f aca="false">SUM(H312:H313)</f>
        <v>210</v>
      </c>
      <c r="I314" s="36" t="n">
        <f aca="false">SUM(I312:I313)</f>
        <v>3210</v>
      </c>
      <c r="J314" s="36" t="n">
        <f aca="false">SUM(J312:J313)</f>
        <v>2696</v>
      </c>
      <c r="K314" s="36" t="n">
        <f aca="false">SUM(K312:K313)</f>
        <v>252</v>
      </c>
      <c r="L314" s="36" t="n">
        <f aca="false">SUM(L312:L313)</f>
        <v>0</v>
      </c>
      <c r="M314" s="36" t="n">
        <f aca="false">SUM(M312:M313)</f>
        <v>0</v>
      </c>
      <c r="N314" s="36" t="n">
        <f aca="false">SUM(N312:N313)</f>
        <v>0</v>
      </c>
      <c r="O314" s="36" t="n">
        <f aca="false">SUM(O312:O313)</f>
        <v>2821</v>
      </c>
      <c r="P314" s="36" t="n">
        <f aca="false">SUM(P312:P313)</f>
        <v>3073</v>
      </c>
      <c r="Q314" s="36" t="n">
        <f aca="false">SUM(Q312:Q313)</f>
        <v>0</v>
      </c>
      <c r="R314" s="37" t="n">
        <f aca="false">Q314/$P314</f>
        <v>0</v>
      </c>
      <c r="S314" s="36" t="n">
        <f aca="false">SUM(S312:S313)</f>
        <v>0</v>
      </c>
      <c r="T314" s="37" t="n">
        <f aca="false">S314/$P314</f>
        <v>0</v>
      </c>
      <c r="U314" s="36" t="n">
        <f aca="false">SUM(U312:U313)</f>
        <v>0</v>
      </c>
      <c r="V314" s="37" t="n">
        <f aca="false">U314/$P314</f>
        <v>0</v>
      </c>
      <c r="W314" s="36" t="n">
        <f aca="false">SUM(W312:W313)</f>
        <v>3073.49</v>
      </c>
      <c r="X314" s="37" t="n">
        <f aca="false">W314/$P314</f>
        <v>1.00015945330296</v>
      </c>
      <c r="Y314" s="36" t="n">
        <f aca="false">SUM(Y312:Y313)</f>
        <v>252</v>
      </c>
      <c r="Z314" s="36" t="n">
        <f aca="false">SUM(Z312:Z313)</f>
        <v>252</v>
      </c>
    </row>
    <row r="315" customFormat="false" ht="13.9" hidden="false" customHeight="true" outlineLevel="0" collapsed="false">
      <c r="A315" s="1" t="n">
        <v>5</v>
      </c>
      <c r="B315" s="1" t="n">
        <v>1</v>
      </c>
      <c r="C315" s="1" t="n">
        <v>2</v>
      </c>
      <c r="D315" s="76" t="s">
        <v>208</v>
      </c>
      <c r="E315" s="10" t="n">
        <v>630</v>
      </c>
      <c r="F315" s="10" t="s">
        <v>131</v>
      </c>
      <c r="G315" s="11" t="n">
        <v>144.73</v>
      </c>
      <c r="H315" s="11" t="n">
        <v>0</v>
      </c>
      <c r="I315" s="11" t="n">
        <v>0</v>
      </c>
      <c r="J315" s="11" t="n">
        <v>0</v>
      </c>
      <c r="K315" s="11" t="n">
        <v>0</v>
      </c>
      <c r="L315" s="11"/>
      <c r="M315" s="11"/>
      <c r="N315" s="11" t="n">
        <v>3272</v>
      </c>
      <c r="O315" s="11"/>
      <c r="P315" s="11" t="n">
        <f aca="false">K315+SUM(L315:O315)</f>
        <v>3272</v>
      </c>
      <c r="Q315" s="11" t="n">
        <v>2550</v>
      </c>
      <c r="R315" s="12" t="n">
        <f aca="false">Q315/$P315</f>
        <v>0.779339853300734</v>
      </c>
      <c r="S315" s="11" t="n">
        <v>3272</v>
      </c>
      <c r="T315" s="12" t="n">
        <f aca="false">S315/$P315</f>
        <v>1</v>
      </c>
      <c r="U315" s="11" t="n">
        <v>3272</v>
      </c>
      <c r="V315" s="12" t="n">
        <f aca="false">U315/$P315</f>
        <v>1</v>
      </c>
      <c r="W315" s="11" t="n">
        <v>3272</v>
      </c>
      <c r="X315" s="12" t="n">
        <f aca="false">W315/$P315</f>
        <v>1</v>
      </c>
      <c r="Y315" s="11" t="n">
        <f aca="false">K315</f>
        <v>0</v>
      </c>
      <c r="Z315" s="11" t="n">
        <f aca="false">Y315</f>
        <v>0</v>
      </c>
    </row>
    <row r="316" customFormat="false" ht="13.9" hidden="false" customHeight="true" outlineLevel="0" collapsed="false">
      <c r="A316" s="1" t="n">
        <v>5</v>
      </c>
      <c r="B316" s="1" t="n">
        <v>1</v>
      </c>
      <c r="C316" s="1" t="n">
        <v>2</v>
      </c>
      <c r="D316" s="77" t="s">
        <v>21</v>
      </c>
      <c r="E316" s="35" t="n">
        <v>41</v>
      </c>
      <c r="F316" s="35" t="s">
        <v>23</v>
      </c>
      <c r="G316" s="36" t="n">
        <f aca="false">SUM(G315:G315)</f>
        <v>144.73</v>
      </c>
      <c r="H316" s="36" t="n">
        <f aca="false">SUM(H315:H315)</f>
        <v>0</v>
      </c>
      <c r="I316" s="36" t="n">
        <f aca="false">SUM(I315)</f>
        <v>0</v>
      </c>
      <c r="J316" s="36" t="n">
        <f aca="false">SUM(J315)</f>
        <v>0</v>
      </c>
      <c r="K316" s="36" t="n">
        <f aca="false">SUM(K315)</f>
        <v>0</v>
      </c>
      <c r="L316" s="36" t="n">
        <f aca="false">SUM(L315)</f>
        <v>0</v>
      </c>
      <c r="M316" s="36" t="n">
        <f aca="false">SUM(M315)</f>
        <v>0</v>
      </c>
      <c r="N316" s="36" t="n">
        <f aca="false">SUM(N315)</f>
        <v>3272</v>
      </c>
      <c r="O316" s="36" t="n">
        <f aca="false">SUM(O315)</f>
        <v>0</v>
      </c>
      <c r="P316" s="36" t="n">
        <f aca="false">SUM(P315)</f>
        <v>3272</v>
      </c>
      <c r="Q316" s="36" t="n">
        <f aca="false">SUM(Q315)</f>
        <v>2550</v>
      </c>
      <c r="R316" s="37" t="n">
        <f aca="false">Q316/$P316</f>
        <v>0.779339853300734</v>
      </c>
      <c r="S316" s="36" t="n">
        <f aca="false">SUM(S315)</f>
        <v>3272</v>
      </c>
      <c r="T316" s="37" t="n">
        <f aca="false">S316/$P316</f>
        <v>1</v>
      </c>
      <c r="U316" s="36" t="n">
        <f aca="false">SUM(U315)</f>
        <v>3272</v>
      </c>
      <c r="V316" s="37" t="n">
        <f aca="false">U316/$P316</f>
        <v>1</v>
      </c>
      <c r="W316" s="36" t="n">
        <f aca="false">SUM(W315)</f>
        <v>3272</v>
      </c>
      <c r="X316" s="37" t="n">
        <f aca="false">W316/$P316</f>
        <v>1</v>
      </c>
      <c r="Y316" s="36" t="n">
        <f aca="false">SUM(Y315:Y315)</f>
        <v>0</v>
      </c>
      <c r="Z316" s="36" t="n">
        <f aca="false">SUM(Z315:Z315)</f>
        <v>0</v>
      </c>
    </row>
    <row r="317" customFormat="false" ht="13.9" hidden="false" customHeight="true" outlineLevel="0" collapsed="false">
      <c r="A317" s="1" t="n">
        <v>5</v>
      </c>
      <c r="B317" s="1" t="n">
        <v>1</v>
      </c>
      <c r="C317" s="1" t="n">
        <v>2</v>
      </c>
      <c r="D317" s="17"/>
      <c r="E317" s="18"/>
      <c r="F317" s="13" t="s">
        <v>124</v>
      </c>
      <c r="G317" s="14" t="n">
        <f aca="false">G314+G316</f>
        <v>355.5</v>
      </c>
      <c r="H317" s="14" t="n">
        <f aca="false">H314+H316</f>
        <v>210</v>
      </c>
      <c r="I317" s="14" t="n">
        <f aca="false">I314+I316</f>
        <v>3210</v>
      </c>
      <c r="J317" s="14" t="n">
        <f aca="false">J314+J316</f>
        <v>2696</v>
      </c>
      <c r="K317" s="14" t="n">
        <f aca="false">K314+K316</f>
        <v>252</v>
      </c>
      <c r="L317" s="14" t="n">
        <f aca="false">L314+L316</f>
        <v>0</v>
      </c>
      <c r="M317" s="14" t="n">
        <f aca="false">M314+M316</f>
        <v>0</v>
      </c>
      <c r="N317" s="14" t="n">
        <f aca="false">N314+N316</f>
        <v>3272</v>
      </c>
      <c r="O317" s="14" t="n">
        <f aca="false">O314+O316</f>
        <v>2821</v>
      </c>
      <c r="P317" s="14" t="n">
        <f aca="false">P314+P316</f>
        <v>6345</v>
      </c>
      <c r="Q317" s="14" t="n">
        <f aca="false">Q314+Q316</f>
        <v>2550</v>
      </c>
      <c r="R317" s="15" t="n">
        <f aca="false">Q317/$P317</f>
        <v>0.401891252955083</v>
      </c>
      <c r="S317" s="14" t="n">
        <f aca="false">S314+S316</f>
        <v>3272</v>
      </c>
      <c r="T317" s="15" t="n">
        <f aca="false">S317/$P317</f>
        <v>0.515681639085894</v>
      </c>
      <c r="U317" s="14" t="n">
        <f aca="false">U314+U316</f>
        <v>3272</v>
      </c>
      <c r="V317" s="15" t="n">
        <f aca="false">U317/$P317</f>
        <v>0.515681639085894</v>
      </c>
      <c r="W317" s="14" t="n">
        <f aca="false">W314+W316</f>
        <v>6345.49</v>
      </c>
      <c r="X317" s="15" t="n">
        <f aca="false">W317/$P317</f>
        <v>1.00007722616233</v>
      </c>
      <c r="Y317" s="14" t="n">
        <f aca="false">Y314+Y316</f>
        <v>252</v>
      </c>
      <c r="Z317" s="14" t="n">
        <f aca="false">Z314+Z316</f>
        <v>252</v>
      </c>
    </row>
    <row r="319" customFormat="false" ht="13.9" hidden="false" customHeight="true" outlineLevel="0" collapsed="false">
      <c r="E319" s="101" t="s">
        <v>57</v>
      </c>
      <c r="F319" s="102" t="s">
        <v>209</v>
      </c>
      <c r="G319" s="104"/>
      <c r="H319" s="104"/>
      <c r="I319" s="103" t="n">
        <v>3000</v>
      </c>
      <c r="J319" s="103" t="n">
        <v>2444</v>
      </c>
      <c r="K319" s="103"/>
      <c r="L319" s="103"/>
      <c r="M319" s="103"/>
      <c r="N319" s="103"/>
      <c r="O319" s="103"/>
      <c r="P319" s="103" t="n">
        <f aca="false">K319+SUM(L319:O319)</f>
        <v>0</v>
      </c>
      <c r="Q319" s="103" t="n">
        <v>2550</v>
      </c>
      <c r="R319" s="109" t="e">
        <f aca="false">Q319/$P319</f>
        <v>#DIV/0!</v>
      </c>
      <c r="S319" s="103" t="n">
        <v>3272</v>
      </c>
      <c r="T319" s="109" t="e">
        <f aca="false">S319/$P319</f>
        <v>#DIV/0!</v>
      </c>
      <c r="U319" s="103" t="n">
        <v>3272</v>
      </c>
      <c r="V319" s="109" t="e">
        <f aca="false">U319/$P319</f>
        <v>#DIV/0!</v>
      </c>
      <c r="W319" s="103" t="n">
        <v>3272</v>
      </c>
      <c r="X319" s="110" t="e">
        <f aca="false">W319/$P319</f>
        <v>#DIV/0!</v>
      </c>
      <c r="Y319" s="103"/>
      <c r="Z319" s="107"/>
    </row>
    <row r="321" customFormat="false" ht="13.9" hidden="false" customHeight="true" outlineLevel="0" collapsed="false">
      <c r="D321" s="60" t="s">
        <v>210</v>
      </c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1"/>
      <c r="S321" s="60"/>
      <c r="T321" s="61"/>
      <c r="U321" s="60"/>
      <c r="V321" s="61"/>
      <c r="W321" s="60"/>
      <c r="X321" s="61"/>
      <c r="Y321" s="60"/>
      <c r="Z321" s="60"/>
    </row>
    <row r="322" customFormat="false" ht="13.9" hidden="false" customHeight="true" outlineLevel="0" collapsed="false">
      <c r="D322" s="7" t="s">
        <v>33</v>
      </c>
      <c r="E322" s="7" t="s">
        <v>34</v>
      </c>
      <c r="F322" s="7" t="s">
        <v>35</v>
      </c>
      <c r="G322" s="7" t="s">
        <v>1</v>
      </c>
      <c r="H322" s="7" t="s">
        <v>2</v>
      </c>
      <c r="I322" s="7" t="s">
        <v>3</v>
      </c>
      <c r="J322" s="7" t="s">
        <v>4</v>
      </c>
      <c r="K322" s="7" t="s">
        <v>5</v>
      </c>
      <c r="L322" s="7" t="s">
        <v>6</v>
      </c>
      <c r="M322" s="7" t="s">
        <v>7</v>
      </c>
      <c r="N322" s="7" t="s">
        <v>8</v>
      </c>
      <c r="O322" s="7" t="s">
        <v>9</v>
      </c>
      <c r="P322" s="7" t="s">
        <v>10</v>
      </c>
      <c r="Q322" s="7" t="s">
        <v>11</v>
      </c>
      <c r="R322" s="8" t="s">
        <v>12</v>
      </c>
      <c r="S322" s="7" t="s">
        <v>13</v>
      </c>
      <c r="T322" s="8" t="s">
        <v>14</v>
      </c>
      <c r="U322" s="7" t="s">
        <v>15</v>
      </c>
      <c r="V322" s="8" t="s">
        <v>16</v>
      </c>
      <c r="W322" s="7" t="s">
        <v>17</v>
      </c>
      <c r="X322" s="8" t="s">
        <v>18</v>
      </c>
      <c r="Y322" s="7" t="s">
        <v>19</v>
      </c>
      <c r="Z322" s="7" t="s">
        <v>20</v>
      </c>
    </row>
    <row r="323" customFormat="false" ht="13.9" hidden="false" customHeight="true" outlineLevel="0" collapsed="false">
      <c r="A323" s="1" t="n">
        <v>5</v>
      </c>
      <c r="B323" s="1" t="n">
        <v>1</v>
      </c>
      <c r="C323" s="1" t="n">
        <v>3</v>
      </c>
      <c r="D323" s="76" t="s">
        <v>211</v>
      </c>
      <c r="E323" s="10" t="n">
        <v>620</v>
      </c>
      <c r="F323" s="10" t="s">
        <v>130</v>
      </c>
      <c r="G323" s="11" t="n">
        <v>892.48</v>
      </c>
      <c r="H323" s="11" t="n">
        <v>1170.71</v>
      </c>
      <c r="I323" s="11" t="n">
        <v>1470</v>
      </c>
      <c r="J323" s="11" t="n">
        <v>1470</v>
      </c>
      <c r="K323" s="11" t="n">
        <v>1470</v>
      </c>
      <c r="L323" s="11"/>
      <c r="M323" s="11"/>
      <c r="N323" s="11"/>
      <c r="O323" s="11" t="n">
        <v>-64</v>
      </c>
      <c r="P323" s="11" t="n">
        <f aca="false">K323+SUM(L323:O323)</f>
        <v>1406</v>
      </c>
      <c r="Q323" s="11" t="n">
        <v>373.56</v>
      </c>
      <c r="R323" s="12" t="n">
        <f aca="false">Q323/$P323</f>
        <v>0.265689900426742</v>
      </c>
      <c r="S323" s="11" t="n">
        <v>658.23</v>
      </c>
      <c r="T323" s="12" t="n">
        <f aca="false">S323/$P323</f>
        <v>0.468157894736842</v>
      </c>
      <c r="U323" s="11" t="n">
        <v>1031.79</v>
      </c>
      <c r="V323" s="12" t="n">
        <f aca="false">U323/$P323</f>
        <v>0.733847795163585</v>
      </c>
      <c r="W323" s="11" t="n">
        <v>1405.35</v>
      </c>
      <c r="X323" s="12" t="n">
        <f aca="false">W323/$P323</f>
        <v>0.999537695590327</v>
      </c>
      <c r="Y323" s="11" t="n">
        <f aca="false">K323</f>
        <v>1470</v>
      </c>
      <c r="Z323" s="11" t="n">
        <f aca="false">Y323</f>
        <v>1470</v>
      </c>
    </row>
    <row r="324" customFormat="false" ht="13.9" hidden="false" customHeight="true" outlineLevel="0" collapsed="false">
      <c r="A324" s="1" t="n">
        <v>5</v>
      </c>
      <c r="B324" s="1" t="n">
        <v>1</v>
      </c>
      <c r="C324" s="1" t="n">
        <v>3</v>
      </c>
      <c r="D324" s="76"/>
      <c r="E324" s="10" t="n">
        <v>630</v>
      </c>
      <c r="F324" s="10" t="s">
        <v>131</v>
      </c>
      <c r="G324" s="11" t="n">
        <v>12346.19</v>
      </c>
      <c r="H324" s="11" t="n">
        <v>13708.98</v>
      </c>
      <c r="I324" s="11" t="n">
        <v>15750</v>
      </c>
      <c r="J324" s="11" t="n">
        <v>16674</v>
      </c>
      <c r="K324" s="11" t="n">
        <v>16675</v>
      </c>
      <c r="L324" s="11"/>
      <c r="M324" s="11"/>
      <c r="N324" s="11" t="n">
        <v>-1600</v>
      </c>
      <c r="O324" s="11" t="n">
        <v>64</v>
      </c>
      <c r="P324" s="11" t="n">
        <f aca="false">K324+SUM(L324:O324)</f>
        <v>15139</v>
      </c>
      <c r="Q324" s="11" t="n">
        <v>2891.11</v>
      </c>
      <c r="R324" s="12" t="n">
        <f aca="false">Q324/$P324</f>
        <v>0.190971002047691</v>
      </c>
      <c r="S324" s="11" t="n">
        <v>6693.22</v>
      </c>
      <c r="T324" s="12" t="n">
        <f aca="false">S324/$P324</f>
        <v>0.442117709227822</v>
      </c>
      <c r="U324" s="11" t="n">
        <v>10748.84</v>
      </c>
      <c r="V324" s="12" t="n">
        <f aca="false">U324/$P324</f>
        <v>0.71000990818416</v>
      </c>
      <c r="W324" s="11" t="n">
        <v>14950.95</v>
      </c>
      <c r="X324" s="12" t="n">
        <f aca="false">W324/$P324</f>
        <v>0.987578439791268</v>
      </c>
      <c r="Y324" s="11" t="n">
        <f aca="false">K324</f>
        <v>16675</v>
      </c>
      <c r="Z324" s="11" t="n">
        <f aca="false">Y324</f>
        <v>16675</v>
      </c>
    </row>
    <row r="325" customFormat="false" ht="13.9" hidden="false" customHeight="true" outlineLevel="0" collapsed="false">
      <c r="A325" s="1" t="n">
        <v>5</v>
      </c>
      <c r="B325" s="1" t="n">
        <v>1</v>
      </c>
      <c r="C325" s="1" t="n">
        <v>3</v>
      </c>
      <c r="D325" s="67" t="s">
        <v>21</v>
      </c>
      <c r="E325" s="13" t="n">
        <v>41</v>
      </c>
      <c r="F325" s="13" t="s">
        <v>23</v>
      </c>
      <c r="G325" s="14" t="n">
        <f aca="false">SUM(G323:G324)</f>
        <v>13238.67</v>
      </c>
      <c r="H325" s="14" t="n">
        <f aca="false">SUM(H323:H324)</f>
        <v>14879.69</v>
      </c>
      <c r="I325" s="14" t="n">
        <f aca="false">SUM(I323:I324)</f>
        <v>17220</v>
      </c>
      <c r="J325" s="14" t="n">
        <f aca="false">SUM(J323:J324)</f>
        <v>18144</v>
      </c>
      <c r="K325" s="14" t="n">
        <f aca="false">SUM(K323:K324)</f>
        <v>18145</v>
      </c>
      <c r="L325" s="14" t="n">
        <f aca="false">SUM(L323:L324)</f>
        <v>0</v>
      </c>
      <c r="M325" s="14" t="n">
        <f aca="false">SUM(M323:M324)</f>
        <v>0</v>
      </c>
      <c r="N325" s="14" t="n">
        <f aca="false">SUM(N323:N324)</f>
        <v>-1600</v>
      </c>
      <c r="O325" s="14" t="n">
        <f aca="false">SUM(O323:O324)</f>
        <v>0</v>
      </c>
      <c r="P325" s="14" t="n">
        <f aca="false">SUM(P323:P324)</f>
        <v>16545</v>
      </c>
      <c r="Q325" s="14" t="n">
        <f aca="false">SUM(Q323:Q324)</f>
        <v>3264.67</v>
      </c>
      <c r="R325" s="15" t="n">
        <f aca="false">Q325/$P325</f>
        <v>0.197320640676942</v>
      </c>
      <c r="S325" s="14" t="n">
        <f aca="false">SUM(S323:S324)</f>
        <v>7351.45</v>
      </c>
      <c r="T325" s="15" t="n">
        <f aca="false">S325/$P325</f>
        <v>0.444330613478392</v>
      </c>
      <c r="U325" s="14" t="n">
        <f aca="false">SUM(U323:U324)</f>
        <v>11780.63</v>
      </c>
      <c r="V325" s="15" t="n">
        <f aca="false">U325/$P325</f>
        <v>0.712035660320338</v>
      </c>
      <c r="W325" s="14" t="n">
        <f aca="false">SUM(W323:W324)</f>
        <v>16356.3</v>
      </c>
      <c r="X325" s="15" t="n">
        <f aca="false">W325/$P325</f>
        <v>0.988594741613781</v>
      </c>
      <c r="Y325" s="14" t="n">
        <f aca="false">SUM(Y323:Y324)</f>
        <v>18145</v>
      </c>
      <c r="Z325" s="14" t="n">
        <f aca="false">SUM(Z323:Z324)</f>
        <v>18145</v>
      </c>
    </row>
    <row r="327" customFormat="false" ht="13.9" hidden="false" customHeight="true" outlineLevel="0" collapsed="false">
      <c r="E327" s="39" t="s">
        <v>57</v>
      </c>
      <c r="F327" s="17" t="s">
        <v>149</v>
      </c>
      <c r="G327" s="40" t="n">
        <v>9251</v>
      </c>
      <c r="H327" s="40" t="n">
        <v>9713</v>
      </c>
      <c r="I327" s="40" t="n">
        <v>10895</v>
      </c>
      <c r="J327" s="40" t="n">
        <v>10895</v>
      </c>
      <c r="K327" s="40" t="n">
        <v>10895</v>
      </c>
      <c r="L327" s="40"/>
      <c r="M327" s="40" t="n">
        <v>-874</v>
      </c>
      <c r="N327" s="40"/>
      <c r="O327" s="40"/>
      <c r="P327" s="40" t="n">
        <f aca="false">K327+SUM(L327:O327)</f>
        <v>10021</v>
      </c>
      <c r="Q327" s="40" t="n">
        <v>1882</v>
      </c>
      <c r="R327" s="41" t="n">
        <f aca="false">Q327/$P327</f>
        <v>0.187805608222732</v>
      </c>
      <c r="S327" s="40" t="n">
        <v>4555</v>
      </c>
      <c r="T327" s="41" t="n">
        <f aca="false">S327/$P327</f>
        <v>0.454545454545455</v>
      </c>
      <c r="U327" s="40" t="n">
        <v>7288</v>
      </c>
      <c r="V327" s="41" t="n">
        <f aca="false">U327/$P327</f>
        <v>0.727272727272727</v>
      </c>
      <c r="W327" s="40" t="n">
        <v>10021</v>
      </c>
      <c r="X327" s="42" t="n">
        <f aca="false">W327/$P327</f>
        <v>1</v>
      </c>
      <c r="Y327" s="40" t="n">
        <f aca="false">K327</f>
        <v>10895</v>
      </c>
      <c r="Z327" s="43" t="n">
        <f aca="false">Y327</f>
        <v>10895</v>
      </c>
    </row>
    <row r="328" customFormat="false" ht="13.9" hidden="false" customHeight="true" outlineLevel="0" collapsed="false">
      <c r="E328" s="52"/>
      <c r="F328" s="86" t="s">
        <v>212</v>
      </c>
      <c r="G328" s="54" t="n">
        <v>2554</v>
      </c>
      <c r="H328" s="54" t="n">
        <v>4520.81</v>
      </c>
      <c r="I328" s="54" t="n">
        <v>5675</v>
      </c>
      <c r="J328" s="54" t="n">
        <v>5675</v>
      </c>
      <c r="K328" s="54" t="n">
        <v>5675</v>
      </c>
      <c r="L328" s="54"/>
      <c r="M328" s="54"/>
      <c r="N328" s="54"/>
      <c r="O328" s="54"/>
      <c r="P328" s="54" t="n">
        <f aca="false">K328+SUM(L328:O328)</f>
        <v>5675</v>
      </c>
      <c r="Q328" s="54" t="n">
        <v>1442.67</v>
      </c>
      <c r="R328" s="55" t="n">
        <f aca="false">Q328/$P328</f>
        <v>0.254214977973568</v>
      </c>
      <c r="S328" s="54" t="n">
        <v>2796.45</v>
      </c>
      <c r="T328" s="55" t="n">
        <f aca="false">S328/$P328</f>
        <v>0.492766519823789</v>
      </c>
      <c r="U328" s="54" t="n">
        <v>4239.17</v>
      </c>
      <c r="V328" s="55" t="n">
        <f aca="false">U328/$P328</f>
        <v>0.746990308370044</v>
      </c>
      <c r="W328" s="54" t="n">
        <v>5681.79</v>
      </c>
      <c r="X328" s="56" t="n">
        <f aca="false">W328/$P328</f>
        <v>1.00119647577093</v>
      </c>
      <c r="Y328" s="54" t="n">
        <f aca="false">K328</f>
        <v>5675</v>
      </c>
      <c r="Z328" s="57" t="n">
        <f aca="false">Y328</f>
        <v>5675</v>
      </c>
    </row>
    <row r="330" customFormat="false" ht="13.9" hidden="false" customHeight="true" outlineLevel="0" collapsed="false">
      <c r="D330" s="60" t="s">
        <v>213</v>
      </c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1"/>
      <c r="S330" s="60"/>
      <c r="T330" s="61"/>
      <c r="U330" s="60"/>
      <c r="V330" s="61"/>
      <c r="W330" s="60"/>
      <c r="X330" s="61"/>
      <c r="Y330" s="60"/>
      <c r="Z330" s="60"/>
    </row>
    <row r="331" customFormat="false" ht="13.9" hidden="false" customHeight="true" outlineLevel="0" collapsed="false">
      <c r="D331" s="7" t="s">
        <v>33</v>
      </c>
      <c r="E331" s="7" t="s">
        <v>34</v>
      </c>
      <c r="F331" s="7" t="s">
        <v>35</v>
      </c>
      <c r="G331" s="7" t="s">
        <v>1</v>
      </c>
      <c r="H331" s="7" t="s">
        <v>2</v>
      </c>
      <c r="I331" s="7" t="s">
        <v>3</v>
      </c>
      <c r="J331" s="7" t="s">
        <v>4</v>
      </c>
      <c r="K331" s="7" t="s">
        <v>5</v>
      </c>
      <c r="L331" s="7" t="s">
        <v>6</v>
      </c>
      <c r="M331" s="7" t="s">
        <v>7</v>
      </c>
      <c r="N331" s="7" t="s">
        <v>8</v>
      </c>
      <c r="O331" s="7" t="s">
        <v>9</v>
      </c>
      <c r="P331" s="7" t="s">
        <v>10</v>
      </c>
      <c r="Q331" s="7" t="s">
        <v>11</v>
      </c>
      <c r="R331" s="8" t="s">
        <v>12</v>
      </c>
      <c r="S331" s="7" t="s">
        <v>13</v>
      </c>
      <c r="T331" s="8" t="s">
        <v>14</v>
      </c>
      <c r="U331" s="7" t="s">
        <v>15</v>
      </c>
      <c r="V331" s="8" t="s">
        <v>16</v>
      </c>
      <c r="W331" s="7" t="s">
        <v>17</v>
      </c>
      <c r="X331" s="8" t="s">
        <v>18</v>
      </c>
      <c r="Y331" s="7" t="s">
        <v>19</v>
      </c>
      <c r="Z331" s="7" t="s">
        <v>20</v>
      </c>
    </row>
    <row r="332" customFormat="false" ht="13.9" hidden="false" customHeight="true" outlineLevel="0" collapsed="false">
      <c r="A332" s="1" t="n">
        <v>5</v>
      </c>
      <c r="B332" s="1" t="n">
        <v>1</v>
      </c>
      <c r="C332" s="1" t="n">
        <v>4</v>
      </c>
      <c r="D332" s="76" t="s">
        <v>214</v>
      </c>
      <c r="E332" s="10" t="n">
        <v>630</v>
      </c>
      <c r="F332" s="10" t="s">
        <v>131</v>
      </c>
      <c r="G332" s="11" t="n">
        <v>1277.8</v>
      </c>
      <c r="H332" s="11" t="n">
        <v>55</v>
      </c>
      <c r="I332" s="11" t="n">
        <v>1000</v>
      </c>
      <c r="J332" s="11" t="n">
        <v>137</v>
      </c>
      <c r="K332" s="11" t="n">
        <v>140</v>
      </c>
      <c r="L332" s="11"/>
      <c r="M332" s="11"/>
      <c r="N332" s="11"/>
      <c r="O332" s="11"/>
      <c r="P332" s="11" t="n">
        <f aca="false">K332+SUM(L332:O332)</f>
        <v>140</v>
      </c>
      <c r="Q332" s="11" t="n">
        <v>0</v>
      </c>
      <c r="R332" s="12" t="n">
        <f aca="false">Q332/$P332</f>
        <v>0</v>
      </c>
      <c r="S332" s="11" t="n">
        <v>59.4</v>
      </c>
      <c r="T332" s="12" t="n">
        <f aca="false">S332/$P332</f>
        <v>0.424285714285714</v>
      </c>
      <c r="U332" s="11" t="n">
        <v>59.4</v>
      </c>
      <c r="V332" s="12" t="n">
        <f aca="false">U332/$P332</f>
        <v>0.424285714285714</v>
      </c>
      <c r="W332" s="11" t="n">
        <v>59.4</v>
      </c>
      <c r="X332" s="12" t="n">
        <f aca="false">W332/$P332</f>
        <v>0.424285714285714</v>
      </c>
      <c r="Y332" s="11" t="n">
        <f aca="false">K332</f>
        <v>140</v>
      </c>
      <c r="Z332" s="11" t="n">
        <f aca="false">Y332</f>
        <v>140</v>
      </c>
    </row>
    <row r="333" customFormat="false" ht="13.9" hidden="false" customHeight="true" outlineLevel="0" collapsed="false">
      <c r="A333" s="1" t="n">
        <v>5</v>
      </c>
      <c r="B333" s="1" t="n">
        <v>1</v>
      </c>
      <c r="C333" s="1" t="n">
        <v>4</v>
      </c>
      <c r="D333" s="67" t="s">
        <v>21</v>
      </c>
      <c r="E333" s="13" t="n">
        <v>41</v>
      </c>
      <c r="F333" s="13" t="s">
        <v>23</v>
      </c>
      <c r="G333" s="14" t="n">
        <f aca="false">SUM(G332:G332)</f>
        <v>1277.8</v>
      </c>
      <c r="H333" s="14" t="n">
        <f aca="false">SUM(H332:H332)</f>
        <v>55</v>
      </c>
      <c r="I333" s="14" t="n">
        <f aca="false">SUM(I332:I332)</f>
        <v>1000</v>
      </c>
      <c r="J333" s="14" t="n">
        <f aca="false">SUM(J332:J332)</f>
        <v>137</v>
      </c>
      <c r="K333" s="14" t="n">
        <f aca="false">SUM(K332:K332)</f>
        <v>140</v>
      </c>
      <c r="L333" s="14" t="n">
        <f aca="false">SUM(L332:L332)</f>
        <v>0</v>
      </c>
      <c r="M333" s="14" t="n">
        <f aca="false">SUM(M332:M332)</f>
        <v>0</v>
      </c>
      <c r="N333" s="14" t="n">
        <f aca="false">SUM(N332:N332)</f>
        <v>0</v>
      </c>
      <c r="O333" s="14" t="n">
        <f aca="false">SUM(O332:O332)</f>
        <v>0</v>
      </c>
      <c r="P333" s="14" t="n">
        <f aca="false">SUM(P332:P332)</f>
        <v>140</v>
      </c>
      <c r="Q333" s="14" t="n">
        <f aca="false">SUM(Q332:Q332)</f>
        <v>0</v>
      </c>
      <c r="R333" s="15" t="n">
        <f aca="false">Q333/$P333</f>
        <v>0</v>
      </c>
      <c r="S333" s="14" t="n">
        <f aca="false">SUM(S332:S332)</f>
        <v>59.4</v>
      </c>
      <c r="T333" s="15" t="n">
        <f aca="false">S333/$P333</f>
        <v>0.424285714285714</v>
      </c>
      <c r="U333" s="14" t="n">
        <f aca="false">SUM(U332:U332)</f>
        <v>59.4</v>
      </c>
      <c r="V333" s="15" t="n">
        <f aca="false">U333/$P333</f>
        <v>0.424285714285714</v>
      </c>
      <c r="W333" s="14" t="n">
        <f aca="false">SUM(W332:W332)</f>
        <v>59.4</v>
      </c>
      <c r="X333" s="15" t="n">
        <f aca="false">W333/$P333</f>
        <v>0.424285714285714</v>
      </c>
      <c r="Y333" s="14" t="n">
        <f aca="false">SUM(Y332:Y332)</f>
        <v>140</v>
      </c>
      <c r="Z333" s="14" t="n">
        <f aca="false">SUM(Z332:Z332)</f>
        <v>140</v>
      </c>
    </row>
    <row r="335" customFormat="false" ht="13.9" hidden="false" customHeight="true" outlineLevel="0" collapsed="false">
      <c r="D335" s="28" t="s">
        <v>215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9"/>
      <c r="S335" s="28"/>
      <c r="T335" s="29"/>
      <c r="U335" s="28"/>
      <c r="V335" s="29"/>
      <c r="W335" s="28"/>
      <c r="X335" s="29"/>
      <c r="Y335" s="28"/>
      <c r="Z335" s="28"/>
    </row>
    <row r="336" customFormat="false" ht="13.9" hidden="false" customHeight="true" outlineLevel="0" collapsed="false">
      <c r="D336" s="108"/>
      <c r="E336" s="108"/>
      <c r="F336" s="108"/>
      <c r="G336" s="7" t="s">
        <v>1</v>
      </c>
      <c r="H336" s="7" t="s">
        <v>2</v>
      </c>
      <c r="I336" s="7" t="s">
        <v>3</v>
      </c>
      <c r="J336" s="7" t="s">
        <v>4</v>
      </c>
      <c r="K336" s="7" t="s">
        <v>5</v>
      </c>
      <c r="L336" s="7" t="s">
        <v>6</v>
      </c>
      <c r="M336" s="7" t="s">
        <v>7</v>
      </c>
      <c r="N336" s="7" t="s">
        <v>8</v>
      </c>
      <c r="O336" s="7" t="s">
        <v>9</v>
      </c>
      <c r="P336" s="7" t="s">
        <v>10</v>
      </c>
      <c r="Q336" s="7" t="s">
        <v>11</v>
      </c>
      <c r="R336" s="8" t="s">
        <v>12</v>
      </c>
      <c r="S336" s="7" t="s">
        <v>13</v>
      </c>
      <c r="T336" s="8" t="s">
        <v>14</v>
      </c>
      <c r="U336" s="7" t="s">
        <v>15</v>
      </c>
      <c r="V336" s="8" t="s">
        <v>16</v>
      </c>
      <c r="W336" s="7" t="s">
        <v>17</v>
      </c>
      <c r="X336" s="8" t="s">
        <v>18</v>
      </c>
      <c r="Y336" s="7" t="s">
        <v>19</v>
      </c>
      <c r="Z336" s="7" t="s">
        <v>20</v>
      </c>
    </row>
    <row r="337" customFormat="false" ht="13.9" hidden="false" customHeight="true" outlineLevel="0" collapsed="false">
      <c r="A337" s="1" t="n">
        <v>5</v>
      </c>
      <c r="B337" s="1" t="n">
        <v>2</v>
      </c>
      <c r="D337" s="9" t="s">
        <v>21</v>
      </c>
      <c r="E337" s="111" t="s">
        <v>138</v>
      </c>
      <c r="F337" s="10" t="s">
        <v>47</v>
      </c>
      <c r="G337" s="11" t="n">
        <f aca="false">G361</f>
        <v>2682.93</v>
      </c>
      <c r="H337" s="11" t="n">
        <f aca="false">H361</f>
        <v>15566.08</v>
      </c>
      <c r="I337" s="11" t="n">
        <f aca="false">I361</f>
        <v>25870</v>
      </c>
      <c r="J337" s="11" t="n">
        <f aca="false">J361</f>
        <v>22855</v>
      </c>
      <c r="K337" s="11" t="n">
        <f aca="false">K361</f>
        <v>7002</v>
      </c>
      <c r="L337" s="11" t="n">
        <f aca="false">L361</f>
        <v>0</v>
      </c>
      <c r="M337" s="11" t="n">
        <f aca="false">M361</f>
        <v>0</v>
      </c>
      <c r="N337" s="11" t="n">
        <f aca="false">N361</f>
        <v>-7002</v>
      </c>
      <c r="O337" s="11" t="n">
        <f aca="false">O361</f>
        <v>0</v>
      </c>
      <c r="P337" s="11" t="n">
        <f aca="false">P361</f>
        <v>0</v>
      </c>
      <c r="Q337" s="11" t="n">
        <f aca="false">Q361</f>
        <v>0</v>
      </c>
      <c r="R337" s="12" t="e">
        <f aca="false">Q337/$P337</f>
        <v>#DIV/0!</v>
      </c>
      <c r="S337" s="11" t="n">
        <f aca="false">S361</f>
        <v>0</v>
      </c>
      <c r="T337" s="12" t="e">
        <f aca="false">S337/$P337</f>
        <v>#DIV/0!</v>
      </c>
      <c r="U337" s="11" t="n">
        <f aca="false">U361</f>
        <v>0</v>
      </c>
      <c r="V337" s="12" t="e">
        <f aca="false">U337/$P337</f>
        <v>#DIV/0!</v>
      </c>
      <c r="W337" s="11" t="n">
        <f aca="false">W361</f>
        <v>0</v>
      </c>
      <c r="X337" s="12" t="e">
        <f aca="false">W337/$P337</f>
        <v>#DIV/0!</v>
      </c>
      <c r="Y337" s="11" t="n">
        <f aca="false">Y361</f>
        <v>0</v>
      </c>
      <c r="Z337" s="11" t="n">
        <f aca="false">Z361</f>
        <v>0</v>
      </c>
    </row>
    <row r="338" customFormat="false" ht="13.9" hidden="false" customHeight="true" outlineLevel="0" collapsed="false">
      <c r="A338" s="1" t="n">
        <v>5</v>
      </c>
      <c r="B338" s="1" t="n">
        <v>2</v>
      </c>
      <c r="D338" s="9" t="s">
        <v>21</v>
      </c>
      <c r="E338" s="10" t="n">
        <v>41</v>
      </c>
      <c r="F338" s="10" t="s">
        <v>23</v>
      </c>
      <c r="G338" s="11" t="n">
        <f aca="false">G345+G355+G366</f>
        <v>32185.52</v>
      </c>
      <c r="H338" s="11" t="n">
        <f aca="false">H345+H355+H366</f>
        <v>21476.86</v>
      </c>
      <c r="I338" s="11" t="n">
        <f aca="false">I345+I355+I366</f>
        <v>12866</v>
      </c>
      <c r="J338" s="11" t="n">
        <f aca="false">J345+J355+J366</f>
        <v>8805</v>
      </c>
      <c r="K338" s="11" t="n">
        <f aca="false">K345+K355+K366</f>
        <v>7473</v>
      </c>
      <c r="L338" s="11" t="n">
        <f aca="false">L345+L355+L366</f>
        <v>0</v>
      </c>
      <c r="M338" s="11" t="n">
        <f aca="false">M345+M355+M366</f>
        <v>2000</v>
      </c>
      <c r="N338" s="11" t="n">
        <f aca="false">N345+N355+N366</f>
        <v>1380</v>
      </c>
      <c r="O338" s="11" t="n">
        <f aca="false">O345+O355+O366</f>
        <v>0</v>
      </c>
      <c r="P338" s="11" t="n">
        <f aca="false">P345+P355+P366</f>
        <v>10853</v>
      </c>
      <c r="Q338" s="11" t="n">
        <f aca="false">Q345+Q355+Q366</f>
        <v>629.78</v>
      </c>
      <c r="R338" s="12" t="n">
        <f aca="false">Q338/$P338</f>
        <v>0.058028194969133</v>
      </c>
      <c r="S338" s="11" t="n">
        <f aca="false">S345+S355+S366</f>
        <v>1840.32</v>
      </c>
      <c r="T338" s="12" t="n">
        <f aca="false">S338/$P338</f>
        <v>0.169567861420805</v>
      </c>
      <c r="U338" s="11" t="n">
        <f aca="false">U345+U355+U366</f>
        <v>6202.92</v>
      </c>
      <c r="V338" s="12" t="n">
        <f aca="false">U338/$P338</f>
        <v>0.571539666451672</v>
      </c>
      <c r="W338" s="11" t="n">
        <f aca="false">W345+W355+W366</f>
        <v>8858</v>
      </c>
      <c r="X338" s="12" t="n">
        <f aca="false">W338/$P338</f>
        <v>0.81617985810375</v>
      </c>
      <c r="Y338" s="11" t="n">
        <f aca="false">Y345+Y355+Y366</f>
        <v>4925</v>
      </c>
      <c r="Z338" s="11" t="n">
        <f aca="false">Z345+Z355+Z366</f>
        <v>4925</v>
      </c>
    </row>
    <row r="339" customFormat="false" ht="13.9" hidden="false" customHeight="true" outlineLevel="0" collapsed="false">
      <c r="A339" s="1" t="n">
        <v>5</v>
      </c>
      <c r="B339" s="1" t="n">
        <v>2</v>
      </c>
      <c r="D339" s="9" t="s">
        <v>21</v>
      </c>
      <c r="E339" s="10" t="n">
        <v>72</v>
      </c>
      <c r="F339" s="10" t="s">
        <v>25</v>
      </c>
      <c r="G339" s="11" t="n">
        <f aca="false">G368</f>
        <v>0</v>
      </c>
      <c r="H339" s="11" t="n">
        <f aca="false">H368</f>
        <v>358.78</v>
      </c>
      <c r="I339" s="11" t="n">
        <f aca="false">I368</f>
        <v>360</v>
      </c>
      <c r="J339" s="11" t="n">
        <f aca="false">J368</f>
        <v>304</v>
      </c>
      <c r="K339" s="11" t="n">
        <f aca="false">K368</f>
        <v>2</v>
      </c>
      <c r="L339" s="11" t="n">
        <f aca="false">L368</f>
        <v>0</v>
      </c>
      <c r="M339" s="11" t="n">
        <f aca="false">M368</f>
        <v>0</v>
      </c>
      <c r="N339" s="11" t="n">
        <f aca="false">N368</f>
        <v>-2</v>
      </c>
      <c r="O339" s="11" t="n">
        <f aca="false">O368</f>
        <v>0</v>
      </c>
      <c r="P339" s="11" t="n">
        <f aca="false">P368</f>
        <v>0</v>
      </c>
      <c r="Q339" s="11" t="n">
        <f aca="false">Q368</f>
        <v>0</v>
      </c>
      <c r="R339" s="12" t="e">
        <f aca="false">Q339/$P339</f>
        <v>#DIV/0!</v>
      </c>
      <c r="S339" s="11" t="n">
        <f aca="false">S368</f>
        <v>0</v>
      </c>
      <c r="T339" s="12" t="e">
        <f aca="false">S339/$P339</f>
        <v>#DIV/0!</v>
      </c>
      <c r="U339" s="11" t="n">
        <f aca="false">U368</f>
        <v>0</v>
      </c>
      <c r="V339" s="12" t="e">
        <f aca="false">U339/$P339</f>
        <v>#DIV/0!</v>
      </c>
      <c r="W339" s="11" t="n">
        <f aca="false">W368</f>
        <v>0</v>
      </c>
      <c r="X339" s="12" t="e">
        <f aca="false">W339/$P339</f>
        <v>#DIV/0!</v>
      </c>
      <c r="Y339" s="11" t="n">
        <f aca="false">Y368</f>
        <v>0</v>
      </c>
      <c r="Z339" s="11" t="n">
        <f aca="false">Z368</f>
        <v>0</v>
      </c>
    </row>
    <row r="340" customFormat="false" ht="13.9" hidden="false" customHeight="true" outlineLevel="0" collapsed="false">
      <c r="A340" s="1" t="n">
        <v>5</v>
      </c>
      <c r="B340" s="1" t="n">
        <v>2</v>
      </c>
      <c r="D340" s="17"/>
      <c r="E340" s="18"/>
      <c r="F340" s="13" t="s">
        <v>124</v>
      </c>
      <c r="G340" s="14" t="n">
        <f aca="false">SUM(G337:G339)</f>
        <v>34868.45</v>
      </c>
      <c r="H340" s="14" t="n">
        <f aca="false">SUM(H337:H339)</f>
        <v>37401.72</v>
      </c>
      <c r="I340" s="14" t="n">
        <f aca="false">SUM(I337:I339)</f>
        <v>39096</v>
      </c>
      <c r="J340" s="14" t="n">
        <f aca="false">SUM(J337:J339)</f>
        <v>31964</v>
      </c>
      <c r="K340" s="14" t="n">
        <f aca="false">SUM(K337:K339)</f>
        <v>14477</v>
      </c>
      <c r="L340" s="14" t="n">
        <f aca="false">SUM(L337:L339)</f>
        <v>0</v>
      </c>
      <c r="M340" s="14" t="n">
        <f aca="false">SUM(M337:M339)</f>
        <v>2000</v>
      </c>
      <c r="N340" s="14" t="n">
        <f aca="false">SUM(N337:N339)</f>
        <v>-5624</v>
      </c>
      <c r="O340" s="14" t="n">
        <f aca="false">SUM(O337:O339)</f>
        <v>0</v>
      </c>
      <c r="P340" s="14" t="n">
        <f aca="false">SUM(P337:P339)</f>
        <v>10853</v>
      </c>
      <c r="Q340" s="14" t="n">
        <f aca="false">SUM(Q337:Q339)</f>
        <v>629.78</v>
      </c>
      <c r="R340" s="15" t="n">
        <f aca="false">Q340/$P340</f>
        <v>0.058028194969133</v>
      </c>
      <c r="S340" s="14" t="n">
        <f aca="false">SUM(S337:S339)</f>
        <v>1840.32</v>
      </c>
      <c r="T340" s="15" t="n">
        <f aca="false">S340/$P340</f>
        <v>0.169567861420805</v>
      </c>
      <c r="U340" s="14" t="n">
        <f aca="false">SUM(U337:U339)</f>
        <v>6202.92</v>
      </c>
      <c r="V340" s="15" t="n">
        <f aca="false">U340/$P340</f>
        <v>0.571539666451672</v>
      </c>
      <c r="W340" s="14" t="n">
        <f aca="false">SUM(W337:W339)</f>
        <v>8858</v>
      </c>
      <c r="X340" s="15" t="n">
        <f aca="false">W340/$P340</f>
        <v>0.81617985810375</v>
      </c>
      <c r="Y340" s="14" t="n">
        <f aca="false">SUM(Y337:Y339)</f>
        <v>4925</v>
      </c>
      <c r="Z340" s="14" t="n">
        <f aca="false">SUM(Z337:Z339)</f>
        <v>4925</v>
      </c>
    </row>
    <row r="342" customFormat="false" ht="13.9" hidden="false" customHeight="true" outlineLevel="0" collapsed="false">
      <c r="D342" s="60" t="s">
        <v>216</v>
      </c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1"/>
      <c r="S342" s="60"/>
      <c r="T342" s="61"/>
      <c r="U342" s="60"/>
      <c r="V342" s="61"/>
      <c r="W342" s="60"/>
      <c r="X342" s="61"/>
      <c r="Y342" s="60"/>
      <c r="Z342" s="60"/>
    </row>
    <row r="343" customFormat="false" ht="13.9" hidden="false" customHeight="true" outlineLevel="0" collapsed="false">
      <c r="D343" s="7" t="s">
        <v>33</v>
      </c>
      <c r="E343" s="7" t="s">
        <v>34</v>
      </c>
      <c r="F343" s="7" t="s">
        <v>35</v>
      </c>
      <c r="G343" s="7" t="s">
        <v>1</v>
      </c>
      <c r="H343" s="7" t="s">
        <v>2</v>
      </c>
      <c r="I343" s="7" t="s">
        <v>3</v>
      </c>
      <c r="J343" s="7" t="s">
        <v>4</v>
      </c>
      <c r="K343" s="7" t="s">
        <v>5</v>
      </c>
      <c r="L343" s="7" t="s">
        <v>6</v>
      </c>
      <c r="M343" s="7" t="s">
        <v>7</v>
      </c>
      <c r="N343" s="7" t="s">
        <v>8</v>
      </c>
      <c r="O343" s="7" t="s">
        <v>9</v>
      </c>
      <c r="P343" s="7" t="s">
        <v>10</v>
      </c>
      <c r="Q343" s="7" t="s">
        <v>11</v>
      </c>
      <c r="R343" s="8" t="s">
        <v>12</v>
      </c>
      <c r="S343" s="7" t="s">
        <v>13</v>
      </c>
      <c r="T343" s="8" t="s">
        <v>14</v>
      </c>
      <c r="U343" s="7" t="s">
        <v>15</v>
      </c>
      <c r="V343" s="8" t="s">
        <v>16</v>
      </c>
      <c r="W343" s="7" t="s">
        <v>17</v>
      </c>
      <c r="X343" s="8" t="s">
        <v>18</v>
      </c>
      <c r="Y343" s="7" t="s">
        <v>19</v>
      </c>
      <c r="Z343" s="7" t="s">
        <v>20</v>
      </c>
    </row>
    <row r="344" customFormat="false" ht="13.9" hidden="false" customHeight="true" outlineLevel="0" collapsed="false">
      <c r="A344" s="1" t="n">
        <v>5</v>
      </c>
      <c r="B344" s="1" t="n">
        <v>2</v>
      </c>
      <c r="C344" s="1" t="n">
        <v>1</v>
      </c>
      <c r="D344" s="38" t="s">
        <v>217</v>
      </c>
      <c r="E344" s="10" t="n">
        <v>630</v>
      </c>
      <c r="F344" s="10" t="s">
        <v>131</v>
      </c>
      <c r="G344" s="11" t="n">
        <v>7936.38</v>
      </c>
      <c r="H344" s="11" t="n">
        <v>4368.31</v>
      </c>
      <c r="I344" s="11" t="n">
        <v>4270</v>
      </c>
      <c r="J344" s="11" t="n">
        <v>3227</v>
      </c>
      <c r="K344" s="11" t="n">
        <v>3730</v>
      </c>
      <c r="L344" s="11"/>
      <c r="M344" s="11" t="n">
        <v>2000</v>
      </c>
      <c r="N344" s="11" t="n">
        <f aca="false">1790+2000</f>
        <v>3790</v>
      </c>
      <c r="O344" s="11"/>
      <c r="P344" s="11" t="n">
        <f aca="false">K344+SUM(L344:O344)</f>
        <v>9520</v>
      </c>
      <c r="Q344" s="11" t="n">
        <v>491.38</v>
      </c>
      <c r="R344" s="12" t="n">
        <f aca="false">Q344/$P344</f>
        <v>0.0516155462184874</v>
      </c>
      <c r="S344" s="11" t="n">
        <v>1649.02</v>
      </c>
      <c r="T344" s="12" t="n">
        <f aca="false">S344/$P344</f>
        <v>0.173216386554622</v>
      </c>
      <c r="U344" s="11" t="n">
        <v>6011.62</v>
      </c>
      <c r="V344" s="12" t="n">
        <f aca="false">U344/$P344</f>
        <v>0.63147268907563</v>
      </c>
      <c r="W344" s="11" t="n">
        <v>8666.7</v>
      </c>
      <c r="X344" s="12" t="n">
        <f aca="false">W344/$P344</f>
        <v>0.910367647058824</v>
      </c>
      <c r="Y344" s="11" t="n">
        <f aca="false">K344</f>
        <v>3730</v>
      </c>
      <c r="Z344" s="11" t="n">
        <f aca="false">Y344</f>
        <v>3730</v>
      </c>
    </row>
    <row r="345" customFormat="false" ht="13.9" hidden="false" customHeight="true" outlineLevel="0" collapsed="false">
      <c r="A345" s="1" t="n">
        <v>5</v>
      </c>
      <c r="B345" s="1" t="n">
        <v>2</v>
      </c>
      <c r="C345" s="1" t="n">
        <v>1</v>
      </c>
      <c r="D345" s="67" t="s">
        <v>21</v>
      </c>
      <c r="E345" s="13" t="n">
        <v>41</v>
      </c>
      <c r="F345" s="13" t="s">
        <v>23</v>
      </c>
      <c r="G345" s="14" t="n">
        <f aca="false">SUM(G344:G344)</f>
        <v>7936.38</v>
      </c>
      <c r="H345" s="14" t="n">
        <f aca="false">SUM(H344:H344)</f>
        <v>4368.31</v>
      </c>
      <c r="I345" s="14" t="n">
        <f aca="false">SUM(I344:I344)</f>
        <v>4270</v>
      </c>
      <c r="J345" s="14" t="n">
        <f aca="false">SUM(J344:J344)</f>
        <v>3227</v>
      </c>
      <c r="K345" s="14" t="n">
        <f aca="false">SUM(K344:K344)</f>
        <v>3730</v>
      </c>
      <c r="L345" s="14" t="n">
        <f aca="false">SUM(L344:L344)</f>
        <v>0</v>
      </c>
      <c r="M345" s="14" t="n">
        <f aca="false">SUM(M344:M344)</f>
        <v>2000</v>
      </c>
      <c r="N345" s="14" t="n">
        <f aca="false">SUM(N344:N344)</f>
        <v>3790</v>
      </c>
      <c r="O345" s="14" t="n">
        <f aca="false">SUM(O344:O344)</f>
        <v>0</v>
      </c>
      <c r="P345" s="14" t="n">
        <f aca="false">SUM(P344:P344)</f>
        <v>9520</v>
      </c>
      <c r="Q345" s="14" t="n">
        <f aca="false">SUM(Q344:Q344)</f>
        <v>491.38</v>
      </c>
      <c r="R345" s="15" t="n">
        <f aca="false">Q345/$P345</f>
        <v>0.0516155462184874</v>
      </c>
      <c r="S345" s="14" t="n">
        <f aca="false">SUM(S344:S344)</f>
        <v>1649.02</v>
      </c>
      <c r="T345" s="15" t="n">
        <f aca="false">S345/$P345</f>
        <v>0.173216386554622</v>
      </c>
      <c r="U345" s="14" t="n">
        <f aca="false">SUM(U344:U344)</f>
        <v>6011.62</v>
      </c>
      <c r="V345" s="15" t="n">
        <f aca="false">U345/$P345</f>
        <v>0.63147268907563</v>
      </c>
      <c r="W345" s="14" t="n">
        <f aca="false">SUM(W344:W344)</f>
        <v>8666.7</v>
      </c>
      <c r="X345" s="15" t="n">
        <f aca="false">W345/$P345</f>
        <v>0.910367647058824</v>
      </c>
      <c r="Y345" s="14" t="n">
        <f aca="false">SUM(Y344:Y344)</f>
        <v>3730</v>
      </c>
      <c r="Z345" s="14" t="n">
        <f aca="false">SUM(Z344:Z344)</f>
        <v>3730</v>
      </c>
    </row>
    <row r="347" customFormat="false" ht="13.9" hidden="false" customHeight="true" outlineLevel="0" collapsed="false">
      <c r="E347" s="39" t="s">
        <v>57</v>
      </c>
      <c r="F347" s="17" t="s">
        <v>218</v>
      </c>
      <c r="G347" s="40" t="n">
        <v>2148.73</v>
      </c>
      <c r="H347" s="40" t="n">
        <v>1219.15</v>
      </c>
      <c r="I347" s="40" t="n">
        <v>1220</v>
      </c>
      <c r="J347" s="40" t="n">
        <v>1708</v>
      </c>
      <c r="K347" s="40" t="n">
        <v>1710</v>
      </c>
      <c r="L347" s="40"/>
      <c r="M347" s="40"/>
      <c r="N347" s="40"/>
      <c r="O347" s="40"/>
      <c r="P347" s="40" t="n">
        <f aca="false">K347+SUM(L347:O347)</f>
        <v>1710</v>
      </c>
      <c r="Q347" s="40" t="n">
        <v>491.38</v>
      </c>
      <c r="R347" s="41" t="n">
        <f aca="false">Q347/$P347</f>
        <v>0.287356725146199</v>
      </c>
      <c r="S347" s="40" t="n">
        <v>491.38</v>
      </c>
      <c r="T347" s="41" t="n">
        <f aca="false">S347/$P347</f>
        <v>0.287356725146199</v>
      </c>
      <c r="U347" s="40" t="n">
        <v>491.38</v>
      </c>
      <c r="V347" s="41" t="n">
        <f aca="false">U347/$P347</f>
        <v>0.287356725146199</v>
      </c>
      <c r="W347" s="40" t="n">
        <v>1146.46</v>
      </c>
      <c r="X347" s="42" t="n">
        <f aca="false">W347/$P347</f>
        <v>0.670444444444444</v>
      </c>
      <c r="Y347" s="40" t="n">
        <f aca="false">K347</f>
        <v>1710</v>
      </c>
      <c r="Z347" s="43" t="n">
        <f aca="false">Y347</f>
        <v>1710</v>
      </c>
    </row>
    <row r="348" customFormat="false" ht="13.9" hidden="false" customHeight="true" outlineLevel="0" collapsed="false">
      <c r="E348" s="44"/>
      <c r="F348" s="45" t="s">
        <v>219</v>
      </c>
      <c r="G348" s="46" t="n">
        <v>1014.35</v>
      </c>
      <c r="H348" s="46" t="n">
        <v>53.53</v>
      </c>
      <c r="I348" s="46" t="n">
        <v>50</v>
      </c>
      <c r="J348" s="46" t="n">
        <v>715</v>
      </c>
      <c r="K348" s="46" t="n">
        <v>715</v>
      </c>
      <c r="L348" s="46"/>
      <c r="M348" s="46"/>
      <c r="N348" s="46"/>
      <c r="O348" s="46"/>
      <c r="P348" s="46" t="n">
        <f aca="false">K348+SUM(L348:O348)</f>
        <v>715</v>
      </c>
      <c r="Q348" s="46" t="n">
        <v>0</v>
      </c>
      <c r="R348" s="2" t="n">
        <f aca="false">Q348/$P348</f>
        <v>0</v>
      </c>
      <c r="S348" s="46" t="n">
        <v>30</v>
      </c>
      <c r="T348" s="2" t="n">
        <f aca="false">S348/$P348</f>
        <v>0.041958041958042</v>
      </c>
      <c r="U348" s="46" t="n">
        <v>30</v>
      </c>
      <c r="V348" s="2" t="n">
        <f aca="false">U348/$P348</f>
        <v>0.041958041958042</v>
      </c>
      <c r="W348" s="46" t="n">
        <v>30</v>
      </c>
      <c r="X348" s="47" t="n">
        <f aca="false">W348/$P348</f>
        <v>0.041958041958042</v>
      </c>
      <c r="Y348" s="46" t="n">
        <f aca="false">K348</f>
        <v>715</v>
      </c>
      <c r="Z348" s="48" t="n">
        <f aca="false">Y348</f>
        <v>715</v>
      </c>
    </row>
    <row r="349" customFormat="false" ht="13.9" hidden="false" customHeight="true" outlineLevel="0" collapsed="false">
      <c r="E349" s="44"/>
      <c r="F349" s="45" t="s">
        <v>220</v>
      </c>
      <c r="G349" s="46"/>
      <c r="H349" s="46"/>
      <c r="I349" s="46"/>
      <c r="J349" s="46"/>
      <c r="K349" s="46" t="n">
        <v>500</v>
      </c>
      <c r="L349" s="46"/>
      <c r="M349" s="46" t="n">
        <f aca="false">1200+2000</f>
        <v>3200</v>
      </c>
      <c r="N349" s="46" t="n">
        <v>1790</v>
      </c>
      <c r="O349" s="46"/>
      <c r="P349" s="46" t="n">
        <f aca="false">K349+SUM(L349:O349)</f>
        <v>5490</v>
      </c>
      <c r="Q349" s="46" t="n">
        <v>0</v>
      </c>
      <c r="R349" s="2" t="n">
        <f aca="false">Q349/$P349</f>
        <v>0</v>
      </c>
      <c r="S349" s="46" t="n">
        <v>1127.64</v>
      </c>
      <c r="T349" s="2" t="n">
        <f aca="false">S349/$P349</f>
        <v>0.205398907103825</v>
      </c>
      <c r="U349" s="46" t="n">
        <v>5490.24</v>
      </c>
      <c r="V349" s="2" t="n">
        <f aca="false">U349/$P349</f>
        <v>1.00004371584699</v>
      </c>
      <c r="W349" s="46" t="n">
        <v>5490.24</v>
      </c>
      <c r="X349" s="47" t="n">
        <f aca="false">W349/$P349</f>
        <v>1.00004371584699</v>
      </c>
      <c r="Y349" s="46"/>
      <c r="Z349" s="48"/>
    </row>
    <row r="350" customFormat="false" ht="13.9" hidden="false" customHeight="true" outlineLevel="0" collapsed="false">
      <c r="E350" s="52"/>
      <c r="F350" s="86" t="s">
        <v>221</v>
      </c>
      <c r="G350" s="54" t="n">
        <v>4083.58</v>
      </c>
      <c r="H350" s="54" t="n">
        <v>1999.68</v>
      </c>
      <c r="I350" s="54" t="n">
        <v>2000</v>
      </c>
      <c r="J350" s="54" t="n">
        <v>510</v>
      </c>
      <c r="K350" s="54" t="n">
        <v>510</v>
      </c>
      <c r="L350" s="54"/>
      <c r="M350" s="54"/>
      <c r="N350" s="54"/>
      <c r="O350" s="54"/>
      <c r="P350" s="54" t="n">
        <f aca="false">K350+SUM(L350:O350)</f>
        <v>510</v>
      </c>
      <c r="Q350" s="54" t="n">
        <v>0</v>
      </c>
      <c r="R350" s="55" t="n">
        <f aca="false">Q350/$P350</f>
        <v>0</v>
      </c>
      <c r="S350" s="54" t="n">
        <v>0</v>
      </c>
      <c r="T350" s="55" t="n">
        <f aca="false">S350/$P350</f>
        <v>0</v>
      </c>
      <c r="U350" s="54" t="n">
        <v>0</v>
      </c>
      <c r="V350" s="55" t="n">
        <f aca="false">U350/$P350</f>
        <v>0</v>
      </c>
      <c r="W350" s="54" t="n">
        <v>0</v>
      </c>
      <c r="X350" s="56" t="n">
        <f aca="false">W350/$P350</f>
        <v>0</v>
      </c>
      <c r="Y350" s="54" t="n">
        <f aca="false">K350</f>
        <v>510</v>
      </c>
      <c r="Z350" s="57" t="n">
        <f aca="false">Y350</f>
        <v>510</v>
      </c>
    </row>
    <row r="351" customFormat="false" ht="13.9" hidden="false" customHeight="true" outlineLevel="0" collapsed="false"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S351" s="46"/>
      <c r="U351" s="46"/>
      <c r="W351" s="46"/>
      <c r="Y351" s="46"/>
      <c r="Z351" s="46"/>
    </row>
    <row r="352" customFormat="false" ht="13.9" hidden="false" customHeight="true" outlineLevel="0" collapsed="false">
      <c r="D352" s="60" t="s">
        <v>222</v>
      </c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1"/>
      <c r="S352" s="60"/>
      <c r="T352" s="61"/>
      <c r="U352" s="60"/>
      <c r="V352" s="61"/>
      <c r="W352" s="60"/>
      <c r="X352" s="61"/>
      <c r="Y352" s="60"/>
      <c r="Z352" s="60"/>
    </row>
    <row r="353" customFormat="false" ht="13.9" hidden="false" customHeight="true" outlineLevel="0" collapsed="false">
      <c r="D353" s="7" t="s">
        <v>33</v>
      </c>
      <c r="E353" s="7" t="s">
        <v>34</v>
      </c>
      <c r="F353" s="7" t="s">
        <v>35</v>
      </c>
      <c r="G353" s="7" t="s">
        <v>1</v>
      </c>
      <c r="H353" s="7" t="s">
        <v>2</v>
      </c>
      <c r="I353" s="7" t="s">
        <v>3</v>
      </c>
      <c r="J353" s="7" t="s">
        <v>4</v>
      </c>
      <c r="K353" s="7" t="s">
        <v>5</v>
      </c>
      <c r="L353" s="7" t="s">
        <v>6</v>
      </c>
      <c r="M353" s="7" t="s">
        <v>7</v>
      </c>
      <c r="N353" s="7" t="s">
        <v>8</v>
      </c>
      <c r="O353" s="7" t="s">
        <v>9</v>
      </c>
      <c r="P353" s="7" t="s">
        <v>10</v>
      </c>
      <c r="Q353" s="7" t="s">
        <v>11</v>
      </c>
      <c r="R353" s="8" t="s">
        <v>12</v>
      </c>
      <c r="S353" s="7" t="s">
        <v>13</v>
      </c>
      <c r="T353" s="8" t="s">
        <v>14</v>
      </c>
      <c r="U353" s="7" t="s">
        <v>15</v>
      </c>
      <c r="V353" s="8" t="s">
        <v>16</v>
      </c>
      <c r="W353" s="7" t="s">
        <v>17</v>
      </c>
      <c r="X353" s="8" t="s">
        <v>18</v>
      </c>
      <c r="Y353" s="7" t="s">
        <v>19</v>
      </c>
      <c r="Z353" s="7" t="s">
        <v>20</v>
      </c>
    </row>
    <row r="354" customFormat="false" ht="13.9" hidden="false" customHeight="true" outlineLevel="0" collapsed="false">
      <c r="A354" s="1" t="n">
        <v>5</v>
      </c>
      <c r="B354" s="1" t="n">
        <v>2</v>
      </c>
      <c r="C354" s="1" t="n">
        <v>2</v>
      </c>
      <c r="D354" s="76" t="s">
        <v>223</v>
      </c>
      <c r="E354" s="10" t="n">
        <v>630</v>
      </c>
      <c r="F354" s="10" t="s">
        <v>131</v>
      </c>
      <c r="G354" s="11" t="n">
        <v>3231.61</v>
      </c>
      <c r="H354" s="11" t="n">
        <v>467.84</v>
      </c>
      <c r="I354" s="11" t="n">
        <v>500</v>
      </c>
      <c r="J354" s="11" t="n">
        <v>1614</v>
      </c>
      <c r="K354" s="11" t="n">
        <v>1195</v>
      </c>
      <c r="L354" s="11"/>
      <c r="M354" s="11"/>
      <c r="N354" s="11"/>
      <c r="O354" s="11"/>
      <c r="P354" s="11" t="n">
        <f aca="false">K354+SUM(L354:O354)</f>
        <v>1195</v>
      </c>
      <c r="Q354" s="11" t="n">
        <v>0</v>
      </c>
      <c r="R354" s="12" t="n">
        <f aca="false">Q354/$P354</f>
        <v>0</v>
      </c>
      <c r="S354" s="11" t="n">
        <v>52.9</v>
      </c>
      <c r="T354" s="12" t="n">
        <f aca="false">S354/$P354</f>
        <v>0.0442677824267782</v>
      </c>
      <c r="U354" s="11" t="n">
        <v>52.9</v>
      </c>
      <c r="V354" s="12" t="n">
        <f aca="false">U354/$P354</f>
        <v>0.0442677824267782</v>
      </c>
      <c r="W354" s="11" t="n">
        <v>52.9</v>
      </c>
      <c r="X354" s="12" t="n">
        <f aca="false">W354/$P354</f>
        <v>0.0442677824267782</v>
      </c>
      <c r="Y354" s="11" t="n">
        <f aca="false">K354</f>
        <v>1195</v>
      </c>
      <c r="Z354" s="11" t="n">
        <f aca="false">Y354</f>
        <v>1195</v>
      </c>
    </row>
    <row r="355" customFormat="false" ht="13.9" hidden="false" customHeight="true" outlineLevel="0" collapsed="false">
      <c r="A355" s="1" t="n">
        <v>5</v>
      </c>
      <c r="B355" s="1" t="n">
        <v>2</v>
      </c>
      <c r="C355" s="1" t="n">
        <v>2</v>
      </c>
      <c r="D355" s="67" t="s">
        <v>21</v>
      </c>
      <c r="E355" s="13" t="n">
        <v>41</v>
      </c>
      <c r="F355" s="13" t="s">
        <v>23</v>
      </c>
      <c r="G355" s="14" t="n">
        <f aca="false">SUM(G354:G354)</f>
        <v>3231.61</v>
      </c>
      <c r="H355" s="14" t="n">
        <f aca="false">SUM(H354:H354)</f>
        <v>467.84</v>
      </c>
      <c r="I355" s="14" t="n">
        <f aca="false">SUM(I354:I354)</f>
        <v>500</v>
      </c>
      <c r="J355" s="14" t="n">
        <f aca="false">SUM(J354:J354)</f>
        <v>1614</v>
      </c>
      <c r="K355" s="14" t="n">
        <f aca="false">SUM(K354:K354)</f>
        <v>1195</v>
      </c>
      <c r="L355" s="14" t="n">
        <f aca="false">SUM(L354:L354)</f>
        <v>0</v>
      </c>
      <c r="M355" s="14" t="n">
        <f aca="false">SUM(M354:M354)</f>
        <v>0</v>
      </c>
      <c r="N355" s="14" t="n">
        <f aca="false">SUM(N354:N354)</f>
        <v>0</v>
      </c>
      <c r="O355" s="14" t="n">
        <f aca="false">SUM(O354:O354)</f>
        <v>0</v>
      </c>
      <c r="P355" s="14" t="n">
        <f aca="false">SUM(P354:P354)</f>
        <v>1195</v>
      </c>
      <c r="Q355" s="14" t="n">
        <f aca="false">SUM(Q354:Q354)</f>
        <v>0</v>
      </c>
      <c r="R355" s="15" t="n">
        <f aca="false">Q355/$P355</f>
        <v>0</v>
      </c>
      <c r="S355" s="14" t="n">
        <f aca="false">SUM(S354:S354)</f>
        <v>52.9</v>
      </c>
      <c r="T355" s="15" t="n">
        <f aca="false">S355/$P355</f>
        <v>0.0442677824267782</v>
      </c>
      <c r="U355" s="14" t="n">
        <f aca="false">SUM(U354:U354)</f>
        <v>52.9</v>
      </c>
      <c r="V355" s="15" t="n">
        <f aca="false">U355/$P355</f>
        <v>0.0442677824267782</v>
      </c>
      <c r="W355" s="14" t="n">
        <f aca="false">SUM(W354:W354)</f>
        <v>52.9</v>
      </c>
      <c r="X355" s="15" t="n">
        <f aca="false">W355/$P355</f>
        <v>0.0442677824267782</v>
      </c>
      <c r="Y355" s="14" t="n">
        <f aca="false">SUM(Y354:Y354)</f>
        <v>1195</v>
      </c>
      <c r="Z355" s="14" t="n">
        <f aca="false">SUM(Z354:Z354)</f>
        <v>1195</v>
      </c>
    </row>
    <row r="357" customFormat="false" ht="13.9" hidden="false" customHeight="true" outlineLevel="0" collapsed="false">
      <c r="D357" s="60" t="s">
        <v>224</v>
      </c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1"/>
      <c r="S357" s="60"/>
      <c r="T357" s="61"/>
      <c r="U357" s="60"/>
      <c r="V357" s="61"/>
      <c r="W357" s="60"/>
      <c r="X357" s="61"/>
      <c r="Y357" s="60"/>
      <c r="Z357" s="60"/>
    </row>
    <row r="358" customFormat="false" ht="13.9" hidden="false" customHeight="true" outlineLevel="0" collapsed="false">
      <c r="D358" s="7" t="s">
        <v>33</v>
      </c>
      <c r="E358" s="7" t="s">
        <v>34</v>
      </c>
      <c r="F358" s="7" t="s">
        <v>35</v>
      </c>
      <c r="G358" s="7" t="s">
        <v>1</v>
      </c>
      <c r="H358" s="7" t="s">
        <v>2</v>
      </c>
      <c r="I358" s="7" t="s">
        <v>3</v>
      </c>
      <c r="J358" s="7" t="s">
        <v>4</v>
      </c>
      <c r="K358" s="7" t="s">
        <v>5</v>
      </c>
      <c r="L358" s="7" t="s">
        <v>6</v>
      </c>
      <c r="M358" s="7" t="s">
        <v>7</v>
      </c>
      <c r="N358" s="7" t="s">
        <v>8</v>
      </c>
      <c r="O358" s="7" t="s">
        <v>9</v>
      </c>
      <c r="P358" s="7" t="s">
        <v>10</v>
      </c>
      <c r="Q358" s="7" t="s">
        <v>11</v>
      </c>
      <c r="R358" s="8" t="s">
        <v>12</v>
      </c>
      <c r="S358" s="7" t="s">
        <v>13</v>
      </c>
      <c r="T358" s="8" t="s">
        <v>14</v>
      </c>
      <c r="U358" s="7" t="s">
        <v>15</v>
      </c>
      <c r="V358" s="8" t="s">
        <v>16</v>
      </c>
      <c r="W358" s="7" t="s">
        <v>17</v>
      </c>
      <c r="X358" s="8" t="s">
        <v>18</v>
      </c>
      <c r="Y358" s="7" t="s">
        <v>19</v>
      </c>
      <c r="Z358" s="7" t="s">
        <v>20</v>
      </c>
    </row>
    <row r="359" customFormat="false" ht="13.9" hidden="false" customHeight="true" outlineLevel="0" collapsed="false">
      <c r="A359" s="1" t="n">
        <v>5</v>
      </c>
      <c r="B359" s="1" t="n">
        <v>2</v>
      </c>
      <c r="C359" s="1" t="n">
        <v>3</v>
      </c>
      <c r="D359" s="112" t="s">
        <v>223</v>
      </c>
      <c r="E359" s="10" t="n">
        <v>610</v>
      </c>
      <c r="F359" s="10" t="s">
        <v>129</v>
      </c>
      <c r="G359" s="11" t="n">
        <v>0</v>
      </c>
      <c r="H359" s="11" t="n">
        <v>10268.1</v>
      </c>
      <c r="I359" s="11" t="n">
        <v>14720</v>
      </c>
      <c r="J359" s="11" t="n">
        <v>16876</v>
      </c>
      <c r="K359" s="11" t="n">
        <v>5189</v>
      </c>
      <c r="L359" s="11"/>
      <c r="M359" s="11"/>
      <c r="N359" s="11" t="n">
        <v>-5189</v>
      </c>
      <c r="O359" s="11"/>
      <c r="P359" s="11" t="n">
        <f aca="false">K359+SUM(L359:O359)</f>
        <v>0</v>
      </c>
      <c r="Q359" s="11" t="n">
        <v>0</v>
      </c>
      <c r="R359" s="12" t="e">
        <f aca="false">Q359/$P359</f>
        <v>#DIV/0!</v>
      </c>
      <c r="S359" s="11" t="n">
        <v>0</v>
      </c>
      <c r="T359" s="12" t="e">
        <f aca="false">S359/$P359</f>
        <v>#DIV/0!</v>
      </c>
      <c r="U359" s="11" t="n">
        <v>0</v>
      </c>
      <c r="V359" s="12" t="e">
        <f aca="false">U359/$P359</f>
        <v>#DIV/0!</v>
      </c>
      <c r="W359" s="11" t="n">
        <v>0</v>
      </c>
      <c r="X359" s="12" t="e">
        <f aca="false">W359/$P359</f>
        <v>#DIV/0!</v>
      </c>
      <c r="Y359" s="11" t="n">
        <v>0</v>
      </c>
      <c r="Z359" s="11" t="n">
        <f aca="false">Y359</f>
        <v>0</v>
      </c>
    </row>
    <row r="360" customFormat="false" ht="13.9" hidden="false" customHeight="true" outlineLevel="0" collapsed="false">
      <c r="A360" s="1" t="n">
        <v>5</v>
      </c>
      <c r="B360" s="1" t="n">
        <v>2</v>
      </c>
      <c r="C360" s="1" t="n">
        <v>3</v>
      </c>
      <c r="D360" s="112"/>
      <c r="E360" s="10" t="n">
        <v>620</v>
      </c>
      <c r="F360" s="10" t="s">
        <v>130</v>
      </c>
      <c r="G360" s="11" t="n">
        <v>2682.93</v>
      </c>
      <c r="H360" s="11" t="n">
        <v>5297.98</v>
      </c>
      <c r="I360" s="11" t="n">
        <v>11150</v>
      </c>
      <c r="J360" s="11" t="n">
        <v>5979</v>
      </c>
      <c r="K360" s="11" t="n">
        <v>1813</v>
      </c>
      <c r="L360" s="11"/>
      <c r="M360" s="11"/>
      <c r="N360" s="11" t="n">
        <v>-1813</v>
      </c>
      <c r="O360" s="11"/>
      <c r="P360" s="11" t="n">
        <f aca="false">K360+SUM(L360:O360)</f>
        <v>0</v>
      </c>
      <c r="Q360" s="11" t="n">
        <v>0</v>
      </c>
      <c r="R360" s="12" t="e">
        <f aca="false">Q360/$P360</f>
        <v>#DIV/0!</v>
      </c>
      <c r="S360" s="11" t="n">
        <v>0</v>
      </c>
      <c r="T360" s="12" t="e">
        <f aca="false">S360/$P360</f>
        <v>#DIV/0!</v>
      </c>
      <c r="U360" s="11" t="n">
        <v>0</v>
      </c>
      <c r="V360" s="12" t="e">
        <f aca="false">U360/$P360</f>
        <v>#DIV/0!</v>
      </c>
      <c r="W360" s="11" t="n">
        <v>0</v>
      </c>
      <c r="X360" s="12" t="e">
        <f aca="false">W360/$P360</f>
        <v>#DIV/0!</v>
      </c>
      <c r="Y360" s="11" t="n">
        <v>0</v>
      </c>
      <c r="Z360" s="11" t="n">
        <f aca="false">Y360</f>
        <v>0</v>
      </c>
    </row>
    <row r="361" customFormat="false" ht="13.9" hidden="false" customHeight="true" outlineLevel="0" collapsed="false">
      <c r="A361" s="1" t="n">
        <v>5</v>
      </c>
      <c r="B361" s="1" t="n">
        <v>2</v>
      </c>
      <c r="C361" s="1" t="n">
        <v>3</v>
      </c>
      <c r="D361" s="113" t="s">
        <v>21</v>
      </c>
      <c r="E361" s="78" t="s">
        <v>138</v>
      </c>
      <c r="F361" s="35" t="s">
        <v>225</v>
      </c>
      <c r="G361" s="36" t="n">
        <f aca="false">SUM(G359:G360)</f>
        <v>2682.93</v>
      </c>
      <c r="H361" s="36" t="n">
        <f aca="false">SUM(H359:H360)</f>
        <v>15566.08</v>
      </c>
      <c r="I361" s="36" t="n">
        <f aca="false">SUM(I359:I360)</f>
        <v>25870</v>
      </c>
      <c r="J361" s="36" t="n">
        <f aca="false">SUM(J359:J360)</f>
        <v>22855</v>
      </c>
      <c r="K361" s="36" t="n">
        <f aca="false">SUM(K359:K360)</f>
        <v>7002</v>
      </c>
      <c r="L361" s="36" t="n">
        <f aca="false">SUM(L359:L360)</f>
        <v>0</v>
      </c>
      <c r="M361" s="36" t="n">
        <f aca="false">SUM(M359:M360)</f>
        <v>0</v>
      </c>
      <c r="N361" s="36" t="n">
        <f aca="false">SUM(N359:N360)</f>
        <v>-7002</v>
      </c>
      <c r="O361" s="36" t="n">
        <f aca="false">SUM(O359:O360)</f>
        <v>0</v>
      </c>
      <c r="P361" s="36" t="n">
        <f aca="false">SUM(P359:P360)</f>
        <v>0</v>
      </c>
      <c r="Q361" s="36" t="n">
        <f aca="false">SUM(Q359:Q360)</f>
        <v>0</v>
      </c>
      <c r="R361" s="37" t="e">
        <f aca="false">Q361/$P361</f>
        <v>#DIV/0!</v>
      </c>
      <c r="S361" s="36" t="n">
        <f aca="false">SUM(S359:S360)</f>
        <v>0</v>
      </c>
      <c r="T361" s="37" t="e">
        <f aca="false">S361/$P361</f>
        <v>#DIV/0!</v>
      </c>
      <c r="U361" s="36" t="n">
        <f aca="false">SUM(U359:U360)</f>
        <v>0</v>
      </c>
      <c r="V361" s="37" t="e">
        <f aca="false">U361/$P361</f>
        <v>#DIV/0!</v>
      </c>
      <c r="W361" s="36" t="n">
        <f aca="false">SUM(W359:W360)</f>
        <v>0</v>
      </c>
      <c r="X361" s="37" t="e">
        <f aca="false">W361/$P361</f>
        <v>#DIV/0!</v>
      </c>
      <c r="Y361" s="36" t="n">
        <f aca="false">SUM(Y359:Y360)</f>
        <v>0</v>
      </c>
      <c r="Z361" s="36" t="n">
        <f aca="false">SUM(Z359:Z360)</f>
        <v>0</v>
      </c>
    </row>
    <row r="362" customFormat="false" ht="13.9" hidden="false" customHeight="true" outlineLevel="0" collapsed="false">
      <c r="A362" s="1" t="n">
        <v>5</v>
      </c>
      <c r="B362" s="1" t="n">
        <v>2</v>
      </c>
      <c r="C362" s="1" t="n">
        <v>3</v>
      </c>
      <c r="D362" s="112" t="s">
        <v>223</v>
      </c>
      <c r="E362" s="10" t="n">
        <v>610</v>
      </c>
      <c r="F362" s="10" t="s">
        <v>129</v>
      </c>
      <c r="G362" s="11" t="n">
        <v>16310.54</v>
      </c>
      <c r="H362" s="11" t="n">
        <v>11699.58</v>
      </c>
      <c r="I362" s="11" t="n">
        <v>4080</v>
      </c>
      <c r="J362" s="11" t="n">
        <v>1202</v>
      </c>
      <c r="K362" s="11" t="n">
        <v>1382</v>
      </c>
      <c r="L362" s="11"/>
      <c r="M362" s="11"/>
      <c r="N362" s="11" t="n">
        <v>-1280</v>
      </c>
      <c r="O362" s="11"/>
      <c r="P362" s="11" t="n">
        <f aca="false">K362+SUM(L362:O362)</f>
        <v>102</v>
      </c>
      <c r="Q362" s="11" t="n">
        <v>101.64</v>
      </c>
      <c r="R362" s="12" t="n">
        <f aca="false">Q362/$P362</f>
        <v>0.996470588235294</v>
      </c>
      <c r="S362" s="11" t="n">
        <v>101.64</v>
      </c>
      <c r="T362" s="12" t="n">
        <f aca="false">S362/$P362</f>
        <v>0.996470588235294</v>
      </c>
      <c r="U362" s="11" t="n">
        <v>101.64</v>
      </c>
      <c r="V362" s="12" t="n">
        <f aca="false">U362/$P362</f>
        <v>0.996470588235294</v>
      </c>
      <c r="W362" s="11" t="n">
        <v>101.64</v>
      </c>
      <c r="X362" s="12" t="n">
        <f aca="false">W362/$P362</f>
        <v>0.996470588235294</v>
      </c>
      <c r="Y362" s="11" t="n">
        <v>0</v>
      </c>
      <c r="Z362" s="11" t="n">
        <f aca="false">Y362</f>
        <v>0</v>
      </c>
    </row>
    <row r="363" customFormat="false" ht="13.9" hidden="false" customHeight="true" outlineLevel="0" collapsed="false">
      <c r="A363" s="1" t="n">
        <v>5</v>
      </c>
      <c r="B363" s="1" t="n">
        <v>2</v>
      </c>
      <c r="C363" s="1" t="n">
        <v>3</v>
      </c>
      <c r="D363" s="112"/>
      <c r="E363" s="10" t="n">
        <v>620</v>
      </c>
      <c r="F363" s="10" t="s">
        <v>130</v>
      </c>
      <c r="G363" s="11" t="n">
        <v>3083.15</v>
      </c>
      <c r="H363" s="11" t="n">
        <v>2326.95</v>
      </c>
      <c r="I363" s="11" t="n">
        <v>1426</v>
      </c>
      <c r="J363" s="11" t="n">
        <v>352</v>
      </c>
      <c r="K363" s="11" t="n">
        <v>482</v>
      </c>
      <c r="L363" s="11"/>
      <c r="M363" s="11"/>
      <c r="N363" s="11" t="n">
        <v>-447</v>
      </c>
      <c r="O363" s="11"/>
      <c r="P363" s="11" t="n">
        <f aca="false">K363+SUM(L363:O363)</f>
        <v>35</v>
      </c>
      <c r="Q363" s="11" t="n">
        <v>35.48</v>
      </c>
      <c r="R363" s="12" t="n">
        <f aca="false">Q363/$P363</f>
        <v>1.01371428571429</v>
      </c>
      <c r="S363" s="11" t="n">
        <v>35.48</v>
      </c>
      <c r="T363" s="12" t="n">
        <f aca="false">S363/$P363</f>
        <v>1.01371428571429</v>
      </c>
      <c r="U363" s="11" t="n">
        <v>35.48</v>
      </c>
      <c r="V363" s="12" t="n">
        <f aca="false">U363/$P363</f>
        <v>1.01371428571429</v>
      </c>
      <c r="W363" s="11" t="n">
        <v>35.48</v>
      </c>
      <c r="X363" s="12" t="n">
        <f aca="false">W363/$P363</f>
        <v>1.01371428571429</v>
      </c>
      <c r="Y363" s="11" t="n">
        <v>0</v>
      </c>
      <c r="Z363" s="11" t="n">
        <f aca="false">Y363</f>
        <v>0</v>
      </c>
    </row>
    <row r="364" customFormat="false" ht="13.9" hidden="false" customHeight="true" outlineLevel="0" collapsed="false">
      <c r="A364" s="1" t="n">
        <v>5</v>
      </c>
      <c r="B364" s="1" t="n">
        <v>2</v>
      </c>
      <c r="C364" s="1" t="n">
        <v>3</v>
      </c>
      <c r="D364" s="112"/>
      <c r="E364" s="10" t="n">
        <v>630</v>
      </c>
      <c r="F364" s="10" t="s">
        <v>131</v>
      </c>
      <c r="G364" s="11" t="n">
        <v>1437.46</v>
      </c>
      <c r="H364" s="11" t="n">
        <v>2614.18</v>
      </c>
      <c r="I364" s="11" t="n">
        <v>2590</v>
      </c>
      <c r="J364" s="11" t="n">
        <v>2212</v>
      </c>
      <c r="K364" s="11" t="n">
        <v>684</v>
      </c>
      <c r="L364" s="11"/>
      <c r="M364" s="11"/>
      <c r="N364" s="11" t="n">
        <v>-683</v>
      </c>
      <c r="O364" s="11"/>
      <c r="P364" s="11" t="n">
        <f aca="false">K364+SUM(L364:O364)</f>
        <v>1</v>
      </c>
      <c r="Q364" s="11" t="n">
        <v>1.28</v>
      </c>
      <c r="R364" s="12" t="n">
        <f aca="false">Q364/$P364</f>
        <v>1.28</v>
      </c>
      <c r="S364" s="11" t="n">
        <v>1.28</v>
      </c>
      <c r="T364" s="12" t="n">
        <f aca="false">S364/$P364</f>
        <v>1.28</v>
      </c>
      <c r="U364" s="11" t="n">
        <v>1.28</v>
      </c>
      <c r="V364" s="12" t="n">
        <f aca="false">U364/$P364</f>
        <v>1.28</v>
      </c>
      <c r="W364" s="11" t="n">
        <v>1.28</v>
      </c>
      <c r="X364" s="12" t="n">
        <f aca="false">W364/$P364</f>
        <v>1.28</v>
      </c>
      <c r="Y364" s="11" t="n">
        <v>0</v>
      </c>
      <c r="Z364" s="11" t="n">
        <f aca="false">Y364</f>
        <v>0</v>
      </c>
    </row>
    <row r="365" customFormat="false" ht="13.9" hidden="false" customHeight="true" outlineLevel="0" collapsed="false">
      <c r="A365" s="1" t="n">
        <v>5</v>
      </c>
      <c r="B365" s="1" t="n">
        <v>2</v>
      </c>
      <c r="C365" s="1" t="n">
        <v>3</v>
      </c>
      <c r="D365" s="112"/>
      <c r="E365" s="10" t="n">
        <v>640</v>
      </c>
      <c r="F365" s="10" t="s">
        <v>132</v>
      </c>
      <c r="G365" s="11" t="n">
        <v>186.38</v>
      </c>
      <c r="H365" s="11" t="n">
        <v>0</v>
      </c>
      <c r="I365" s="11" t="n">
        <v>0</v>
      </c>
      <c r="J365" s="11" t="n">
        <v>198</v>
      </c>
      <c r="K365" s="11" t="n">
        <v>0</v>
      </c>
      <c r="L365" s="11"/>
      <c r="M365" s="11"/>
      <c r="N365" s="11"/>
      <c r="O365" s="11"/>
      <c r="P365" s="11" t="n">
        <f aca="false">K365+SUM(L365:O365)</f>
        <v>0</v>
      </c>
      <c r="Q365" s="11" t="n">
        <v>0</v>
      </c>
      <c r="R365" s="12" t="e">
        <f aca="false">Q365/$P365</f>
        <v>#DIV/0!</v>
      </c>
      <c r="S365" s="11" t="n">
        <v>0</v>
      </c>
      <c r="T365" s="12" t="e">
        <f aca="false">S365/$P365</f>
        <v>#DIV/0!</v>
      </c>
      <c r="U365" s="11" t="n">
        <v>0</v>
      </c>
      <c r="V365" s="12" t="e">
        <f aca="false">U365/$P365</f>
        <v>#DIV/0!</v>
      </c>
      <c r="W365" s="11" t="n">
        <v>0</v>
      </c>
      <c r="X365" s="12" t="e">
        <f aca="false">W365/$P365</f>
        <v>#DIV/0!</v>
      </c>
      <c r="Y365" s="11" t="n">
        <v>0</v>
      </c>
      <c r="Z365" s="11" t="n">
        <f aca="false">Y365</f>
        <v>0</v>
      </c>
    </row>
    <row r="366" customFormat="false" ht="13.9" hidden="false" customHeight="true" outlineLevel="0" collapsed="false">
      <c r="A366" s="1" t="n">
        <v>5</v>
      </c>
      <c r="B366" s="1" t="n">
        <v>2</v>
      </c>
      <c r="C366" s="1" t="n">
        <v>3</v>
      </c>
      <c r="D366" s="113" t="s">
        <v>21</v>
      </c>
      <c r="E366" s="35" t="n">
        <v>41</v>
      </c>
      <c r="F366" s="35" t="s">
        <v>23</v>
      </c>
      <c r="G366" s="36" t="n">
        <f aca="false">SUM(G362:G365)</f>
        <v>21017.53</v>
      </c>
      <c r="H366" s="36" t="n">
        <f aca="false">SUM(H362:H365)</f>
        <v>16640.71</v>
      </c>
      <c r="I366" s="36" t="n">
        <f aca="false">SUM(I362:I365)</f>
        <v>8096</v>
      </c>
      <c r="J366" s="36" t="n">
        <f aca="false">SUM(J362:J365)</f>
        <v>3964</v>
      </c>
      <c r="K366" s="36" t="n">
        <f aca="false">SUM(K362:K365)</f>
        <v>2548</v>
      </c>
      <c r="L366" s="36" t="n">
        <f aca="false">SUM(L362:L365)</f>
        <v>0</v>
      </c>
      <c r="M366" s="36" t="n">
        <f aca="false">SUM(M362:M365)</f>
        <v>0</v>
      </c>
      <c r="N366" s="36" t="n">
        <f aca="false">SUM(N362:N365)</f>
        <v>-2410</v>
      </c>
      <c r="O366" s="36" t="n">
        <f aca="false">SUM(O362:O365)</f>
        <v>0</v>
      </c>
      <c r="P366" s="36" t="n">
        <f aca="false">SUM(P362:P365)</f>
        <v>138</v>
      </c>
      <c r="Q366" s="36" t="n">
        <f aca="false">SUM(Q362:Q365)</f>
        <v>138.4</v>
      </c>
      <c r="R366" s="37" t="n">
        <f aca="false">Q366/$P366</f>
        <v>1.00289855072464</v>
      </c>
      <c r="S366" s="36" t="n">
        <f aca="false">SUM(S362:S365)</f>
        <v>138.4</v>
      </c>
      <c r="T366" s="37" t="n">
        <f aca="false">S366/$P366</f>
        <v>1.00289855072464</v>
      </c>
      <c r="U366" s="36" t="n">
        <f aca="false">SUM(U362:U365)</f>
        <v>138.4</v>
      </c>
      <c r="V366" s="37" t="n">
        <f aca="false">U366/$P366</f>
        <v>1.00289855072464</v>
      </c>
      <c r="W366" s="36" t="n">
        <f aca="false">SUM(W362:W365)</f>
        <v>138.4</v>
      </c>
      <c r="X366" s="37" t="n">
        <f aca="false">W366/$P366</f>
        <v>1.00289855072464</v>
      </c>
      <c r="Y366" s="36" t="n">
        <f aca="false">SUM(Y362:Y365)</f>
        <v>0</v>
      </c>
      <c r="Z366" s="36" t="n">
        <f aca="false">SUM(Z362:Z365)</f>
        <v>0</v>
      </c>
    </row>
    <row r="367" customFormat="false" ht="13.9" hidden="false" customHeight="true" outlineLevel="0" collapsed="false">
      <c r="A367" s="1" t="n">
        <v>5</v>
      </c>
      <c r="B367" s="1" t="n">
        <v>2</v>
      </c>
      <c r="C367" s="1" t="n">
        <v>3</v>
      </c>
      <c r="D367" s="114" t="s">
        <v>223</v>
      </c>
      <c r="E367" s="10" t="n">
        <v>640</v>
      </c>
      <c r="F367" s="10" t="s">
        <v>132</v>
      </c>
      <c r="G367" s="11" t="n">
        <v>0</v>
      </c>
      <c r="H367" s="11" t="n">
        <v>358.78</v>
      </c>
      <c r="I367" s="11" t="n">
        <v>360</v>
      </c>
      <c r="J367" s="11" t="n">
        <v>304</v>
      </c>
      <c r="K367" s="11" t="n">
        <v>2</v>
      </c>
      <c r="L367" s="11"/>
      <c r="M367" s="11"/>
      <c r="N367" s="11" t="n">
        <v>-2</v>
      </c>
      <c r="O367" s="11"/>
      <c r="P367" s="11" t="n">
        <f aca="false">K367+SUM(L367:O367)</f>
        <v>0</v>
      </c>
      <c r="Q367" s="11" t="n">
        <v>0</v>
      </c>
      <c r="R367" s="12" t="e">
        <f aca="false">Q367/$P367</f>
        <v>#DIV/0!</v>
      </c>
      <c r="S367" s="11" t="n">
        <v>0</v>
      </c>
      <c r="T367" s="12" t="e">
        <f aca="false">S367/$P367</f>
        <v>#DIV/0!</v>
      </c>
      <c r="U367" s="11" t="n">
        <v>0</v>
      </c>
      <c r="V367" s="12" t="e">
        <f aca="false">U367/$P367</f>
        <v>#DIV/0!</v>
      </c>
      <c r="W367" s="11" t="n">
        <v>0</v>
      </c>
      <c r="X367" s="12" t="e">
        <f aca="false">W367/$P367</f>
        <v>#DIV/0!</v>
      </c>
      <c r="Y367" s="11" t="n">
        <v>0</v>
      </c>
      <c r="Z367" s="11" t="n">
        <v>0</v>
      </c>
    </row>
    <row r="368" customFormat="false" ht="13.9" hidden="false" customHeight="true" outlineLevel="0" collapsed="false">
      <c r="A368" s="1" t="n">
        <v>5</v>
      </c>
      <c r="B368" s="1" t="n">
        <v>2</v>
      </c>
      <c r="C368" s="1" t="n">
        <v>3</v>
      </c>
      <c r="D368" s="113" t="s">
        <v>21</v>
      </c>
      <c r="E368" s="35" t="n">
        <v>72</v>
      </c>
      <c r="F368" s="35" t="s">
        <v>25</v>
      </c>
      <c r="G368" s="36" t="n">
        <f aca="false">SUM(G367:G367)</f>
        <v>0</v>
      </c>
      <c r="H368" s="36" t="n">
        <f aca="false">SUM(H367:H367)</f>
        <v>358.78</v>
      </c>
      <c r="I368" s="36" t="n">
        <f aca="false">SUM(I367:I367)</f>
        <v>360</v>
      </c>
      <c r="J368" s="36" t="n">
        <f aca="false">SUM(J367:J367)</f>
        <v>304</v>
      </c>
      <c r="K368" s="36" t="n">
        <f aca="false">SUM(K367:K367)</f>
        <v>2</v>
      </c>
      <c r="L368" s="36" t="n">
        <f aca="false">SUM(L367:L367)</f>
        <v>0</v>
      </c>
      <c r="M368" s="36" t="n">
        <f aca="false">SUM(M367:M367)</f>
        <v>0</v>
      </c>
      <c r="N368" s="36" t="n">
        <f aca="false">SUM(N367:N367)</f>
        <v>-2</v>
      </c>
      <c r="O368" s="36" t="n">
        <f aca="false">SUM(O367:O367)</f>
        <v>0</v>
      </c>
      <c r="P368" s="36" t="n">
        <f aca="false">SUM(P367:P367)</f>
        <v>0</v>
      </c>
      <c r="Q368" s="36" t="n">
        <f aca="false">SUM(Q367:Q367)</f>
        <v>0</v>
      </c>
      <c r="R368" s="37" t="e">
        <f aca="false">Q368/$P368</f>
        <v>#DIV/0!</v>
      </c>
      <c r="S368" s="36" t="n">
        <f aca="false">SUM(S367:S367)</f>
        <v>0</v>
      </c>
      <c r="T368" s="37" t="e">
        <f aca="false">S368/$P368</f>
        <v>#DIV/0!</v>
      </c>
      <c r="U368" s="36" t="n">
        <f aca="false">SUM(U367:U367)</f>
        <v>0</v>
      </c>
      <c r="V368" s="37" t="e">
        <f aca="false">U368/$P368</f>
        <v>#DIV/0!</v>
      </c>
      <c r="W368" s="36" t="n">
        <f aca="false">SUM(W367:W367)</f>
        <v>0</v>
      </c>
      <c r="X368" s="37" t="e">
        <f aca="false">W368/$P368</f>
        <v>#DIV/0!</v>
      </c>
      <c r="Y368" s="36" t="n">
        <f aca="false">SUM(Y367:Y367)</f>
        <v>0</v>
      </c>
      <c r="Z368" s="36" t="n">
        <f aca="false">SUM(Z367:Z367)</f>
        <v>0</v>
      </c>
    </row>
    <row r="369" customFormat="false" ht="13.9" hidden="false" customHeight="true" outlineLevel="0" collapsed="false">
      <c r="A369" s="1" t="n">
        <v>5</v>
      </c>
      <c r="B369" s="1" t="n">
        <v>2</v>
      </c>
      <c r="C369" s="1" t="n">
        <v>3</v>
      </c>
      <c r="D369" s="17"/>
      <c r="E369" s="18"/>
      <c r="F369" s="13" t="s">
        <v>124</v>
      </c>
      <c r="G369" s="14" t="n">
        <f aca="false">G361+G366+G368</f>
        <v>23700.46</v>
      </c>
      <c r="H369" s="14" t="n">
        <f aca="false">H361+H366+H368</f>
        <v>32565.57</v>
      </c>
      <c r="I369" s="14" t="n">
        <f aca="false">I361+I366+I368</f>
        <v>34326</v>
      </c>
      <c r="J369" s="14" t="n">
        <f aca="false">J361+J366+J368</f>
        <v>27123</v>
      </c>
      <c r="K369" s="14" t="n">
        <f aca="false">K361+K366+K368</f>
        <v>9552</v>
      </c>
      <c r="L369" s="14" t="n">
        <f aca="false">L361+L366+L368</f>
        <v>0</v>
      </c>
      <c r="M369" s="14" t="n">
        <f aca="false">M361+M366+M368</f>
        <v>0</v>
      </c>
      <c r="N369" s="14" t="n">
        <f aca="false">N361+N366+N368</f>
        <v>-9414</v>
      </c>
      <c r="O369" s="14" t="n">
        <f aca="false">O361+O366+O368</f>
        <v>0</v>
      </c>
      <c r="P369" s="14" t="n">
        <f aca="false">P361+P366+P368</f>
        <v>138</v>
      </c>
      <c r="Q369" s="14" t="n">
        <f aca="false">Q361+Q366+Q368</f>
        <v>138.4</v>
      </c>
      <c r="R369" s="15" t="n">
        <f aca="false">Q369/$P369</f>
        <v>1.00289855072464</v>
      </c>
      <c r="S369" s="14" t="n">
        <f aca="false">S361+S366+S368</f>
        <v>138.4</v>
      </c>
      <c r="T369" s="15" t="n">
        <f aca="false">S369/$P369</f>
        <v>1.00289855072464</v>
      </c>
      <c r="U369" s="14" t="n">
        <f aca="false">U361+U366+U368</f>
        <v>138.4</v>
      </c>
      <c r="V369" s="15" t="n">
        <f aca="false">U369/$P369</f>
        <v>1.00289855072464</v>
      </c>
      <c r="W369" s="14" t="n">
        <f aca="false">W361+W366+W368</f>
        <v>138.4</v>
      </c>
      <c r="X369" s="15" t="n">
        <f aca="false">W369/$P369</f>
        <v>1.00289855072464</v>
      </c>
      <c r="Y369" s="14" t="n">
        <f aca="false">Y361+Y366+Y368</f>
        <v>0</v>
      </c>
      <c r="Z369" s="14" t="n">
        <f aca="false">Z361+Z366+Z368</f>
        <v>0</v>
      </c>
    </row>
    <row r="371" customFormat="false" ht="13.9" hidden="false" customHeight="true" outlineLevel="0" collapsed="false">
      <c r="D371" s="19" t="s">
        <v>226</v>
      </c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20"/>
      <c r="S371" s="19"/>
      <c r="T371" s="20"/>
      <c r="U371" s="19"/>
      <c r="V371" s="20"/>
      <c r="W371" s="19"/>
      <c r="X371" s="20"/>
      <c r="Y371" s="19"/>
      <c r="Z371" s="19"/>
    </row>
    <row r="372" customFormat="false" ht="13.9" hidden="false" customHeight="true" outlineLevel="0" collapsed="false">
      <c r="D372" s="6"/>
      <c r="E372" s="6"/>
      <c r="F372" s="6"/>
      <c r="G372" s="7" t="s">
        <v>1</v>
      </c>
      <c r="H372" s="7" t="s">
        <v>2</v>
      </c>
      <c r="I372" s="7" t="s">
        <v>3</v>
      </c>
      <c r="J372" s="7" t="s">
        <v>4</v>
      </c>
      <c r="K372" s="7" t="s">
        <v>5</v>
      </c>
      <c r="L372" s="7" t="s">
        <v>6</v>
      </c>
      <c r="M372" s="7" t="s">
        <v>7</v>
      </c>
      <c r="N372" s="7" t="s">
        <v>8</v>
      </c>
      <c r="O372" s="7" t="s">
        <v>9</v>
      </c>
      <c r="P372" s="7" t="s">
        <v>10</v>
      </c>
      <c r="Q372" s="7" t="s">
        <v>11</v>
      </c>
      <c r="R372" s="8" t="s">
        <v>12</v>
      </c>
      <c r="S372" s="7" t="s">
        <v>13</v>
      </c>
      <c r="T372" s="8" t="s">
        <v>14</v>
      </c>
      <c r="U372" s="7" t="s">
        <v>15</v>
      </c>
      <c r="V372" s="8" t="s">
        <v>16</v>
      </c>
      <c r="W372" s="7" t="s">
        <v>17</v>
      </c>
      <c r="X372" s="8" t="s">
        <v>18</v>
      </c>
      <c r="Y372" s="7" t="s">
        <v>19</v>
      </c>
      <c r="Z372" s="7" t="s">
        <v>20</v>
      </c>
    </row>
    <row r="373" customFormat="false" ht="13.9" hidden="false" customHeight="true" outlineLevel="0" collapsed="false">
      <c r="A373" s="1" t="n">
        <v>6</v>
      </c>
      <c r="D373" s="21" t="s">
        <v>21</v>
      </c>
      <c r="E373" s="22" t="n">
        <v>111</v>
      </c>
      <c r="F373" s="22" t="s">
        <v>134</v>
      </c>
      <c r="G373" s="23" t="n">
        <f aca="false">G379</f>
        <v>0</v>
      </c>
      <c r="H373" s="23" t="n">
        <f aca="false">H379</f>
        <v>0</v>
      </c>
      <c r="I373" s="23" t="n">
        <f aca="false">I379</f>
        <v>1625</v>
      </c>
      <c r="J373" s="23" t="n">
        <f aca="false">J379</f>
        <v>1625</v>
      </c>
      <c r="K373" s="23" t="n">
        <f aca="false">K379</f>
        <v>0</v>
      </c>
      <c r="L373" s="23" t="n">
        <f aca="false">L379</f>
        <v>0</v>
      </c>
      <c r="M373" s="23" t="n">
        <f aca="false">M379</f>
        <v>366</v>
      </c>
      <c r="N373" s="23" t="n">
        <f aca="false">N379</f>
        <v>0</v>
      </c>
      <c r="O373" s="23" t="n">
        <f aca="false">O379</f>
        <v>0</v>
      </c>
      <c r="P373" s="23" t="n">
        <f aca="false">P379</f>
        <v>366</v>
      </c>
      <c r="Q373" s="23" t="n">
        <f aca="false">Q379</f>
        <v>0</v>
      </c>
      <c r="R373" s="24" t="n">
        <f aca="false">Q373/$P373</f>
        <v>0</v>
      </c>
      <c r="S373" s="23" t="n">
        <f aca="false">S379</f>
        <v>0</v>
      </c>
      <c r="T373" s="24" t="n">
        <f aca="false">S373/$P373</f>
        <v>0</v>
      </c>
      <c r="U373" s="23" t="n">
        <f aca="false">U379</f>
        <v>366.13</v>
      </c>
      <c r="V373" s="24" t="n">
        <f aca="false">U373/$P373</f>
        <v>1.00035519125683</v>
      </c>
      <c r="W373" s="23" t="n">
        <f aca="false">W379</f>
        <v>366.13</v>
      </c>
      <c r="X373" s="24" t="n">
        <f aca="false">W373/$P373</f>
        <v>1.00035519125683</v>
      </c>
      <c r="Y373" s="23" t="n">
        <f aca="false">Y379</f>
        <v>0</v>
      </c>
      <c r="Z373" s="23" t="n">
        <f aca="false">Z379</f>
        <v>0</v>
      </c>
    </row>
    <row r="374" customFormat="false" ht="13.9" hidden="false" customHeight="true" outlineLevel="0" collapsed="false">
      <c r="A374" s="1" t="n">
        <v>6</v>
      </c>
      <c r="D374" s="21" t="s">
        <v>21</v>
      </c>
      <c r="E374" s="22" t="n">
        <v>41</v>
      </c>
      <c r="F374" s="22" t="s">
        <v>23</v>
      </c>
      <c r="G374" s="23" t="n">
        <f aca="false">G380+G407+G443</f>
        <v>45905.89</v>
      </c>
      <c r="H374" s="23" t="n">
        <f aca="false">H380+H407+H443</f>
        <v>42079.43</v>
      </c>
      <c r="I374" s="23" t="n">
        <f aca="false">I380+I407+I443</f>
        <v>48604</v>
      </c>
      <c r="J374" s="23" t="n">
        <f aca="false">J380+J407+J443</f>
        <v>45432</v>
      </c>
      <c r="K374" s="23" t="n">
        <f aca="false">K380+K407+K443</f>
        <v>40225</v>
      </c>
      <c r="L374" s="23" t="n">
        <f aca="false">L380+L407+L443</f>
        <v>0</v>
      </c>
      <c r="M374" s="23" t="n">
        <f aca="false">M380+M407+M443</f>
        <v>1307</v>
      </c>
      <c r="N374" s="23" t="n">
        <f aca="false">N380+N407+N443</f>
        <v>-9496</v>
      </c>
      <c r="O374" s="23" t="n">
        <f aca="false">O380+O407+O443</f>
        <v>0</v>
      </c>
      <c r="P374" s="23" t="n">
        <f aca="false">P380+P407+P443</f>
        <v>32036</v>
      </c>
      <c r="Q374" s="23" t="n">
        <f aca="false">Q380+Q407+Q443</f>
        <v>11591.11</v>
      </c>
      <c r="R374" s="24" t="n">
        <f aca="false">Q374/$P374</f>
        <v>0.361815145461356</v>
      </c>
      <c r="S374" s="23" t="n">
        <f aca="false">S380+S407+S443</f>
        <v>16982.09</v>
      </c>
      <c r="T374" s="24" t="n">
        <f aca="false">S374/$P374</f>
        <v>0.530093956798602</v>
      </c>
      <c r="U374" s="23" t="n">
        <f aca="false">U380+U407+U443</f>
        <v>22786.73</v>
      </c>
      <c r="V374" s="24" t="n">
        <f aca="false">U374/$P374</f>
        <v>0.711285116743663</v>
      </c>
      <c r="W374" s="23" t="n">
        <f aca="false">W380+W407+W443</f>
        <v>28532.59</v>
      </c>
      <c r="X374" s="24" t="n">
        <f aca="false">W374/$P374</f>
        <v>0.890641465850918</v>
      </c>
      <c r="Y374" s="23" t="n">
        <f aca="false">Y380+Y407+Y443</f>
        <v>38117</v>
      </c>
      <c r="Z374" s="23" t="n">
        <f aca="false">Z380+Z407+Z443</f>
        <v>38118</v>
      </c>
    </row>
    <row r="375" customFormat="false" ht="13.9" hidden="false" customHeight="true" outlineLevel="0" collapsed="false">
      <c r="A375" s="1" t="n">
        <v>6</v>
      </c>
      <c r="D375" s="17"/>
      <c r="E375" s="18"/>
      <c r="F375" s="25" t="s">
        <v>124</v>
      </c>
      <c r="G375" s="26" t="n">
        <f aca="false">SUM(G373:G374)</f>
        <v>45905.89</v>
      </c>
      <c r="H375" s="26" t="n">
        <f aca="false">SUM(H373:H374)</f>
        <v>42079.43</v>
      </c>
      <c r="I375" s="26" t="n">
        <f aca="false">SUM(I373:I374)</f>
        <v>50229</v>
      </c>
      <c r="J375" s="26" t="n">
        <f aca="false">SUM(J373:J374)</f>
        <v>47057</v>
      </c>
      <c r="K375" s="26" t="n">
        <f aca="false">SUM(K373:K374)</f>
        <v>40225</v>
      </c>
      <c r="L375" s="26" t="n">
        <f aca="false">SUM(L373:L374)</f>
        <v>0</v>
      </c>
      <c r="M375" s="26" t="n">
        <f aca="false">SUM(M373:M374)</f>
        <v>1673</v>
      </c>
      <c r="N375" s="26" t="n">
        <f aca="false">SUM(N373:N374)</f>
        <v>-9496</v>
      </c>
      <c r="O375" s="26" t="n">
        <f aca="false">SUM(O373:O374)</f>
        <v>0</v>
      </c>
      <c r="P375" s="26" t="n">
        <f aca="false">SUM(P373:P374)</f>
        <v>32402</v>
      </c>
      <c r="Q375" s="26" t="n">
        <f aca="false">SUM(Q373:Q374)</f>
        <v>11591.11</v>
      </c>
      <c r="R375" s="27" t="n">
        <f aca="false">Q375/$P375</f>
        <v>0.357728226652676</v>
      </c>
      <c r="S375" s="26" t="n">
        <f aca="false">SUM(S373:S374)</f>
        <v>16982.09</v>
      </c>
      <c r="T375" s="27" t="n">
        <f aca="false">S375/$P375</f>
        <v>0.524106228010617</v>
      </c>
      <c r="U375" s="26" t="n">
        <f aca="false">SUM(U373:U374)</f>
        <v>23152.86</v>
      </c>
      <c r="V375" s="27" t="n">
        <f aca="false">U375/$P375</f>
        <v>0.714550336398988</v>
      </c>
      <c r="W375" s="26" t="n">
        <f aca="false">SUM(W373:W374)</f>
        <v>28898.72</v>
      </c>
      <c r="X375" s="27" t="n">
        <f aca="false">W375/$P375</f>
        <v>0.891880748101969</v>
      </c>
      <c r="Y375" s="26" t="n">
        <f aca="false">SUM(Y373:Y374)</f>
        <v>38117</v>
      </c>
      <c r="Z375" s="26" t="n">
        <f aca="false">SUM(Z373:Z374)</f>
        <v>38118</v>
      </c>
    </row>
    <row r="377" customFormat="false" ht="13.9" hidden="false" customHeight="true" outlineLevel="0" collapsed="false">
      <c r="D377" s="28" t="s">
        <v>227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9"/>
      <c r="S377" s="28"/>
      <c r="T377" s="29"/>
      <c r="U377" s="28"/>
      <c r="V377" s="29"/>
      <c r="W377" s="28"/>
      <c r="X377" s="29"/>
      <c r="Y377" s="28"/>
      <c r="Z377" s="28"/>
    </row>
    <row r="378" customFormat="false" ht="13.9" hidden="false" customHeight="true" outlineLevel="0" collapsed="false">
      <c r="D378" s="108"/>
      <c r="E378" s="108"/>
      <c r="F378" s="108"/>
      <c r="G378" s="7" t="s">
        <v>1</v>
      </c>
      <c r="H378" s="7" t="s">
        <v>2</v>
      </c>
      <c r="I378" s="7" t="s">
        <v>3</v>
      </c>
      <c r="J378" s="7" t="s">
        <v>4</v>
      </c>
      <c r="K378" s="7" t="s">
        <v>5</v>
      </c>
      <c r="L378" s="7" t="s">
        <v>6</v>
      </c>
      <c r="M378" s="7" t="s">
        <v>7</v>
      </c>
      <c r="N378" s="7" t="s">
        <v>8</v>
      </c>
      <c r="O378" s="7" t="s">
        <v>9</v>
      </c>
      <c r="P378" s="7" t="s">
        <v>10</v>
      </c>
      <c r="Q378" s="7" t="s">
        <v>11</v>
      </c>
      <c r="R378" s="8" t="s">
        <v>12</v>
      </c>
      <c r="S378" s="7" t="s">
        <v>13</v>
      </c>
      <c r="T378" s="8" t="s">
        <v>14</v>
      </c>
      <c r="U378" s="7" t="s">
        <v>15</v>
      </c>
      <c r="V378" s="8" t="s">
        <v>16</v>
      </c>
      <c r="W378" s="7" t="s">
        <v>17</v>
      </c>
      <c r="X378" s="8" t="s">
        <v>18</v>
      </c>
      <c r="Y378" s="7" t="s">
        <v>19</v>
      </c>
      <c r="Z378" s="7" t="s">
        <v>20</v>
      </c>
    </row>
    <row r="379" customFormat="false" ht="13.9" hidden="false" customHeight="true" outlineLevel="0" collapsed="false">
      <c r="A379" s="1" t="n">
        <v>6</v>
      </c>
      <c r="B379" s="1" t="n">
        <v>1</v>
      </c>
      <c r="D379" s="30" t="s">
        <v>21</v>
      </c>
      <c r="E379" s="10" t="n">
        <v>111</v>
      </c>
      <c r="F379" s="10" t="s">
        <v>134</v>
      </c>
      <c r="G379" s="11" t="n">
        <f aca="false">G386</f>
        <v>0</v>
      </c>
      <c r="H379" s="11" t="n">
        <f aca="false">H386</f>
        <v>0</v>
      </c>
      <c r="I379" s="11" t="n">
        <f aca="false">I386</f>
        <v>1625</v>
      </c>
      <c r="J379" s="11" t="n">
        <f aca="false">J386</f>
        <v>1625</v>
      </c>
      <c r="K379" s="11" t="n">
        <f aca="false">K386</f>
        <v>0</v>
      </c>
      <c r="L379" s="11" t="n">
        <f aca="false">L386</f>
        <v>0</v>
      </c>
      <c r="M379" s="11" t="n">
        <f aca="false">M386</f>
        <v>366</v>
      </c>
      <c r="N379" s="11" t="n">
        <f aca="false">N386</f>
        <v>0</v>
      </c>
      <c r="O379" s="11" t="n">
        <f aca="false">O386</f>
        <v>0</v>
      </c>
      <c r="P379" s="11" t="n">
        <f aca="false">P386</f>
        <v>366</v>
      </c>
      <c r="Q379" s="11" t="n">
        <f aca="false">Q386</f>
        <v>0</v>
      </c>
      <c r="R379" s="12" t="n">
        <f aca="false">Q379/$P379</f>
        <v>0</v>
      </c>
      <c r="S379" s="11" t="n">
        <f aca="false">S386</f>
        <v>0</v>
      </c>
      <c r="T379" s="12" t="n">
        <f aca="false">S379/$P379</f>
        <v>0</v>
      </c>
      <c r="U379" s="11" t="n">
        <f aca="false">U386</f>
        <v>366.13</v>
      </c>
      <c r="V379" s="12" t="n">
        <f aca="false">U379/$P379</f>
        <v>1.00035519125683</v>
      </c>
      <c r="W379" s="11" t="n">
        <f aca="false">W386</f>
        <v>366.13</v>
      </c>
      <c r="X379" s="12" t="n">
        <f aca="false">W379/$P379</f>
        <v>1.00035519125683</v>
      </c>
      <c r="Y379" s="11" t="n">
        <f aca="false">Y386</f>
        <v>0</v>
      </c>
      <c r="Z379" s="11" t="n">
        <f aca="false">Z386</f>
        <v>0</v>
      </c>
    </row>
    <row r="380" customFormat="false" ht="13.9" hidden="false" customHeight="true" outlineLevel="0" collapsed="false">
      <c r="A380" s="1" t="n">
        <v>6</v>
      </c>
      <c r="B380" s="1" t="n">
        <v>1</v>
      </c>
      <c r="D380" s="30" t="s">
        <v>21</v>
      </c>
      <c r="E380" s="10" t="n">
        <v>41</v>
      </c>
      <c r="F380" s="10" t="s">
        <v>23</v>
      </c>
      <c r="G380" s="11" t="n">
        <f aca="false">G390+G398</f>
        <v>8284.26</v>
      </c>
      <c r="H380" s="11" t="n">
        <f aca="false">H390+H398</f>
        <v>9275.47</v>
      </c>
      <c r="I380" s="11" t="n">
        <f aca="false">I390+I398</f>
        <v>10040</v>
      </c>
      <c r="J380" s="11" t="n">
        <f aca="false">J390+J398</f>
        <v>10041</v>
      </c>
      <c r="K380" s="11" t="n">
        <f aca="false">K390+K398</f>
        <v>9214</v>
      </c>
      <c r="L380" s="11" t="n">
        <f aca="false">L390+L398</f>
        <v>0</v>
      </c>
      <c r="M380" s="11" t="n">
        <f aca="false">M390+M398</f>
        <v>-366</v>
      </c>
      <c r="N380" s="11" t="n">
        <f aca="false">N390+N398</f>
        <v>-114</v>
      </c>
      <c r="O380" s="11" t="n">
        <f aca="false">O390+O398</f>
        <v>0</v>
      </c>
      <c r="P380" s="11" t="n">
        <f aca="false">P390+P398</f>
        <v>8734</v>
      </c>
      <c r="Q380" s="11" t="n">
        <f aca="false">Q390+Q398</f>
        <v>6458</v>
      </c>
      <c r="R380" s="12" t="n">
        <f aca="false">Q380/$P380</f>
        <v>0.739409205404168</v>
      </c>
      <c r="S380" s="11" t="n">
        <f aca="false">S390+S398</f>
        <v>6795</v>
      </c>
      <c r="T380" s="12" t="n">
        <f aca="false">S380/$P380</f>
        <v>0.777994046256011</v>
      </c>
      <c r="U380" s="11" t="n">
        <f aca="false">U390+U398</f>
        <v>7691.45</v>
      </c>
      <c r="V380" s="12" t="n">
        <f aca="false">U380/$P380</f>
        <v>0.880633157774216</v>
      </c>
      <c r="W380" s="11" t="n">
        <f aca="false">W390+W398</f>
        <v>7928.45</v>
      </c>
      <c r="X380" s="12" t="n">
        <f aca="false">W380/$P380</f>
        <v>0.907768490954889</v>
      </c>
      <c r="Y380" s="11" t="n">
        <f aca="false">Y390+Y398</f>
        <v>9105</v>
      </c>
      <c r="Z380" s="11" t="n">
        <f aca="false">Z390+Z398</f>
        <v>9105</v>
      </c>
    </row>
    <row r="381" customFormat="false" ht="13.9" hidden="false" customHeight="true" outlineLevel="0" collapsed="false">
      <c r="A381" s="1" t="n">
        <v>6</v>
      </c>
      <c r="B381" s="1" t="n">
        <v>1</v>
      </c>
      <c r="D381" s="17"/>
      <c r="E381" s="18"/>
      <c r="F381" s="13" t="s">
        <v>124</v>
      </c>
      <c r="G381" s="14" t="n">
        <f aca="false">SUM(G379:G380)</f>
        <v>8284.26</v>
      </c>
      <c r="H381" s="14" t="n">
        <f aca="false">SUM(H379:H380)</f>
        <v>9275.47</v>
      </c>
      <c r="I381" s="14" t="n">
        <f aca="false">SUM(I379:I380)</f>
        <v>11665</v>
      </c>
      <c r="J381" s="14" t="n">
        <f aca="false">SUM(J379:J380)</f>
        <v>11666</v>
      </c>
      <c r="K381" s="14" t="n">
        <f aca="false">SUM(K379:K380)</f>
        <v>9214</v>
      </c>
      <c r="L381" s="14" t="n">
        <f aca="false">SUM(L379:L380)</f>
        <v>0</v>
      </c>
      <c r="M381" s="14" t="n">
        <f aca="false">SUM(M379:M380)</f>
        <v>0</v>
      </c>
      <c r="N381" s="14" t="n">
        <f aca="false">SUM(N379:N380)</f>
        <v>-114</v>
      </c>
      <c r="O381" s="14" t="n">
        <f aca="false">SUM(O379:O380)</f>
        <v>0</v>
      </c>
      <c r="P381" s="14" t="n">
        <f aca="false">SUM(P379:P380)</f>
        <v>9100</v>
      </c>
      <c r="Q381" s="14" t="n">
        <f aca="false">SUM(Q379:Q380)</f>
        <v>6458</v>
      </c>
      <c r="R381" s="15" t="n">
        <f aca="false">Q381/$P381</f>
        <v>0.70967032967033</v>
      </c>
      <c r="S381" s="14" t="n">
        <f aca="false">SUM(S379:S380)</f>
        <v>6795</v>
      </c>
      <c r="T381" s="15" t="n">
        <f aca="false">S381/$P381</f>
        <v>0.746703296703297</v>
      </c>
      <c r="U381" s="14" t="n">
        <f aca="false">SUM(U379:U380)</f>
        <v>8057.58</v>
      </c>
      <c r="V381" s="15" t="n">
        <f aca="false">U381/$P381</f>
        <v>0.885448351648352</v>
      </c>
      <c r="W381" s="14" t="n">
        <f aca="false">SUM(W379:W380)</f>
        <v>8294.58</v>
      </c>
      <c r="X381" s="15" t="n">
        <f aca="false">W381/$P381</f>
        <v>0.911492307692308</v>
      </c>
      <c r="Y381" s="14" t="n">
        <f aca="false">SUM(Y379:Y380)</f>
        <v>9105</v>
      </c>
      <c r="Z381" s="14" t="n">
        <f aca="false">SUM(Z379:Z380)</f>
        <v>9105</v>
      </c>
    </row>
    <row r="383" customFormat="false" ht="13.9" hidden="false" customHeight="true" outlineLevel="0" collapsed="false">
      <c r="D383" s="60" t="s">
        <v>228</v>
      </c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1"/>
      <c r="S383" s="60"/>
      <c r="T383" s="61"/>
      <c r="U383" s="60"/>
      <c r="V383" s="61"/>
      <c r="W383" s="60"/>
      <c r="X383" s="61"/>
      <c r="Y383" s="60"/>
      <c r="Z383" s="60"/>
    </row>
    <row r="384" customFormat="false" ht="13.9" hidden="false" customHeight="true" outlineLevel="0" collapsed="false">
      <c r="D384" s="7" t="s">
        <v>33</v>
      </c>
      <c r="E384" s="7" t="s">
        <v>34</v>
      </c>
      <c r="F384" s="7" t="s">
        <v>35</v>
      </c>
      <c r="G384" s="7" t="s">
        <v>1</v>
      </c>
      <c r="H384" s="7" t="s">
        <v>2</v>
      </c>
      <c r="I384" s="7" t="s">
        <v>3</v>
      </c>
      <c r="J384" s="7" t="s">
        <v>4</v>
      </c>
      <c r="K384" s="7" t="s">
        <v>5</v>
      </c>
      <c r="L384" s="7" t="s">
        <v>6</v>
      </c>
      <c r="M384" s="7" t="s">
        <v>7</v>
      </c>
      <c r="N384" s="7" t="s">
        <v>8</v>
      </c>
      <c r="O384" s="7" t="s">
        <v>9</v>
      </c>
      <c r="P384" s="7" t="s">
        <v>10</v>
      </c>
      <c r="Q384" s="7" t="s">
        <v>11</v>
      </c>
      <c r="R384" s="8" t="s">
        <v>12</v>
      </c>
      <c r="S384" s="7" t="s">
        <v>13</v>
      </c>
      <c r="T384" s="8" t="s">
        <v>14</v>
      </c>
      <c r="U384" s="7" t="s">
        <v>15</v>
      </c>
      <c r="V384" s="8" t="s">
        <v>16</v>
      </c>
      <c r="W384" s="7" t="s">
        <v>17</v>
      </c>
      <c r="X384" s="8" t="s">
        <v>18</v>
      </c>
      <c r="Y384" s="7" t="s">
        <v>19</v>
      </c>
      <c r="Z384" s="7" t="s">
        <v>20</v>
      </c>
    </row>
    <row r="385" customFormat="false" ht="13.9" hidden="false" customHeight="true" outlineLevel="0" collapsed="false">
      <c r="A385" s="1" t="n">
        <v>6</v>
      </c>
      <c r="B385" s="1" t="n">
        <v>1</v>
      </c>
      <c r="C385" s="1" t="n">
        <v>1</v>
      </c>
      <c r="D385" s="76" t="s">
        <v>229</v>
      </c>
      <c r="E385" s="10" t="n">
        <v>630</v>
      </c>
      <c r="F385" s="10" t="s">
        <v>131</v>
      </c>
      <c r="G385" s="11" t="n">
        <v>0</v>
      </c>
      <c r="H385" s="11" t="n">
        <v>0</v>
      </c>
      <c r="I385" s="11" t="n">
        <v>1625</v>
      </c>
      <c r="J385" s="11" t="n">
        <v>1625</v>
      </c>
      <c r="K385" s="11" t="n">
        <f aca="false">príjmy!G101</f>
        <v>0</v>
      </c>
      <c r="L385" s="11"/>
      <c r="M385" s="11" t="n">
        <v>366</v>
      </c>
      <c r="N385" s="11"/>
      <c r="O385" s="11"/>
      <c r="P385" s="11" t="n">
        <f aca="false">K385+SUM(L385:O385)</f>
        <v>366</v>
      </c>
      <c r="Q385" s="11" t="n">
        <v>0</v>
      </c>
      <c r="R385" s="12" t="n">
        <f aca="false">Q385/$P385</f>
        <v>0</v>
      </c>
      <c r="S385" s="11" t="n">
        <v>0</v>
      </c>
      <c r="T385" s="12" t="n">
        <f aca="false">S385/$P385</f>
        <v>0</v>
      </c>
      <c r="U385" s="11" t="n">
        <v>366.13</v>
      </c>
      <c r="V385" s="12" t="n">
        <f aca="false">U385/$P385</f>
        <v>1.00035519125683</v>
      </c>
      <c r="W385" s="11" t="n">
        <v>366.13</v>
      </c>
      <c r="X385" s="12" t="n">
        <f aca="false">W385/$P385</f>
        <v>1.00035519125683</v>
      </c>
      <c r="Y385" s="11" t="n">
        <v>0</v>
      </c>
      <c r="Z385" s="11" t="n">
        <f aca="false">Y385</f>
        <v>0</v>
      </c>
    </row>
    <row r="386" customFormat="false" ht="13.9" hidden="false" customHeight="true" outlineLevel="0" collapsed="false">
      <c r="A386" s="1" t="n">
        <v>6</v>
      </c>
      <c r="B386" s="1" t="n">
        <v>1</v>
      </c>
      <c r="C386" s="1" t="n">
        <v>1</v>
      </c>
      <c r="D386" s="77" t="s">
        <v>21</v>
      </c>
      <c r="E386" s="78" t="s">
        <v>230</v>
      </c>
      <c r="F386" s="35" t="s">
        <v>134</v>
      </c>
      <c r="G386" s="36" t="n">
        <f aca="false">SUM(G385:G385)</f>
        <v>0</v>
      </c>
      <c r="H386" s="36" t="n">
        <f aca="false">SUM(H385:H385)</f>
        <v>0</v>
      </c>
      <c r="I386" s="36" t="n">
        <f aca="false">SUM(I385:I385)</f>
        <v>1625</v>
      </c>
      <c r="J386" s="36" t="n">
        <f aca="false">SUM(J385:J385)</f>
        <v>1625</v>
      </c>
      <c r="K386" s="36" t="n">
        <f aca="false">SUM(K385:K385)</f>
        <v>0</v>
      </c>
      <c r="L386" s="36" t="n">
        <f aca="false">SUM(L385:L385)</f>
        <v>0</v>
      </c>
      <c r="M386" s="36" t="n">
        <f aca="false">SUM(M385:M385)</f>
        <v>366</v>
      </c>
      <c r="N386" s="36" t="n">
        <f aca="false">SUM(N385:N385)</f>
        <v>0</v>
      </c>
      <c r="O386" s="36" t="n">
        <f aca="false">SUM(O385:O385)</f>
        <v>0</v>
      </c>
      <c r="P386" s="36" t="n">
        <f aca="false">SUM(P385:P385)</f>
        <v>366</v>
      </c>
      <c r="Q386" s="36" t="n">
        <f aca="false">SUM(Q385:Q385)</f>
        <v>0</v>
      </c>
      <c r="R386" s="37" t="n">
        <f aca="false">Q386/$P386</f>
        <v>0</v>
      </c>
      <c r="S386" s="36" t="n">
        <f aca="false">SUM(S385:S385)</f>
        <v>0</v>
      </c>
      <c r="T386" s="37" t="n">
        <f aca="false">S386/$P386</f>
        <v>0</v>
      </c>
      <c r="U386" s="36" t="n">
        <f aca="false">SUM(U385:U385)</f>
        <v>366.13</v>
      </c>
      <c r="V386" s="37" t="n">
        <f aca="false">U386/$P386</f>
        <v>1.00035519125683</v>
      </c>
      <c r="W386" s="36" t="n">
        <f aca="false">SUM(W385:W385)</f>
        <v>366.13</v>
      </c>
      <c r="X386" s="37" t="n">
        <f aca="false">W386/$P386</f>
        <v>1.00035519125683</v>
      </c>
      <c r="Y386" s="36" t="n">
        <f aca="false">SUM(Y385:Y385)</f>
        <v>0</v>
      </c>
      <c r="Z386" s="36" t="n">
        <f aca="false">SUM(Z385:Z385)</f>
        <v>0</v>
      </c>
    </row>
    <row r="387" customFormat="false" ht="13.9" hidden="false" customHeight="true" outlineLevel="0" collapsed="false">
      <c r="A387" s="1" t="n">
        <v>6</v>
      </c>
      <c r="B387" s="1" t="n">
        <v>1</v>
      </c>
      <c r="C387" s="1" t="n">
        <v>1</v>
      </c>
      <c r="D387" s="38" t="s">
        <v>229</v>
      </c>
      <c r="E387" s="10" t="n">
        <v>620</v>
      </c>
      <c r="F387" s="10" t="s">
        <v>130</v>
      </c>
      <c r="G387" s="11" t="n">
        <v>0</v>
      </c>
      <c r="H387" s="11" t="n">
        <v>0</v>
      </c>
      <c r="I387" s="11" t="n">
        <v>0</v>
      </c>
      <c r="J387" s="11" t="n">
        <v>109</v>
      </c>
      <c r="K387" s="11" t="n">
        <v>109</v>
      </c>
      <c r="L387" s="11"/>
      <c r="M387" s="11"/>
      <c r="N387" s="11" t="n">
        <v>-109</v>
      </c>
      <c r="O387" s="11"/>
      <c r="P387" s="11" t="n">
        <f aca="false">K387+SUM(L387:O387)</f>
        <v>0</v>
      </c>
      <c r="Q387" s="11" t="n">
        <v>0</v>
      </c>
      <c r="R387" s="12" t="e">
        <f aca="false">Q387/$P387</f>
        <v>#DIV/0!</v>
      </c>
      <c r="S387" s="11" t="n">
        <v>0</v>
      </c>
      <c r="T387" s="12" t="e">
        <f aca="false">S387/$P387</f>
        <v>#DIV/0!</v>
      </c>
      <c r="U387" s="11" t="n">
        <v>0</v>
      </c>
      <c r="V387" s="12" t="e">
        <f aca="false">U387/$P387</f>
        <v>#DIV/0!</v>
      </c>
      <c r="W387" s="11" t="n">
        <v>0</v>
      </c>
      <c r="X387" s="12" t="e">
        <f aca="false">W387/$P387</f>
        <v>#DIV/0!</v>
      </c>
      <c r="Y387" s="11" t="n">
        <f aca="false">I387</f>
        <v>0</v>
      </c>
      <c r="Z387" s="11" t="n">
        <f aca="false">Y387</f>
        <v>0</v>
      </c>
    </row>
    <row r="388" customFormat="false" ht="13.9" hidden="false" customHeight="true" outlineLevel="0" collapsed="false">
      <c r="A388" s="1" t="n">
        <v>6</v>
      </c>
      <c r="B388" s="1" t="n">
        <v>1</v>
      </c>
      <c r="C388" s="1" t="n">
        <v>1</v>
      </c>
      <c r="D388" s="38" t="s">
        <v>229</v>
      </c>
      <c r="E388" s="10" t="n">
        <v>630</v>
      </c>
      <c r="F388" s="10" t="s">
        <v>131</v>
      </c>
      <c r="G388" s="11" t="n">
        <v>2234.26</v>
      </c>
      <c r="H388" s="11" t="n">
        <v>2275.47</v>
      </c>
      <c r="I388" s="11" t="n">
        <v>3240</v>
      </c>
      <c r="J388" s="11" t="n">
        <v>2782</v>
      </c>
      <c r="K388" s="11" t="n">
        <v>3105</v>
      </c>
      <c r="L388" s="11" t="n">
        <v>-300</v>
      </c>
      <c r="M388" s="11" t="n">
        <v>-366</v>
      </c>
      <c r="N388" s="11" t="n">
        <v>-5</v>
      </c>
      <c r="O388" s="11"/>
      <c r="P388" s="11" t="n">
        <f aca="false">K388+SUM(L388:O388)</f>
        <v>2434</v>
      </c>
      <c r="Q388" s="11" t="n">
        <v>158</v>
      </c>
      <c r="R388" s="12" t="n">
        <f aca="false">Q388/$P388</f>
        <v>0.0649137222678718</v>
      </c>
      <c r="S388" s="11" t="n">
        <v>495</v>
      </c>
      <c r="T388" s="12" t="n">
        <f aca="false">S388/$P388</f>
        <v>0.203368940016434</v>
      </c>
      <c r="U388" s="11" t="n">
        <v>1391.45</v>
      </c>
      <c r="V388" s="12" t="n">
        <f aca="false">U388/$P388</f>
        <v>0.571672144617913</v>
      </c>
      <c r="W388" s="11" t="n">
        <v>1628.45</v>
      </c>
      <c r="X388" s="12" t="n">
        <f aca="false">W388/$P388</f>
        <v>0.669042728019721</v>
      </c>
      <c r="Y388" s="11" t="n">
        <f aca="false">K388</f>
        <v>3105</v>
      </c>
      <c r="Z388" s="11" t="n">
        <f aca="false">Y388</f>
        <v>3105</v>
      </c>
    </row>
    <row r="389" customFormat="false" ht="13.9" hidden="false" customHeight="true" outlineLevel="0" collapsed="false">
      <c r="A389" s="1" t="n">
        <v>6</v>
      </c>
      <c r="B389" s="1" t="n">
        <v>1</v>
      </c>
      <c r="C389" s="1" t="n">
        <v>1</v>
      </c>
      <c r="D389" s="38" t="s">
        <v>229</v>
      </c>
      <c r="E389" s="10" t="n">
        <v>640</v>
      </c>
      <c r="F389" s="10" t="s">
        <v>132</v>
      </c>
      <c r="G389" s="11" t="n">
        <v>4200</v>
      </c>
      <c r="H389" s="11" t="n">
        <v>5800</v>
      </c>
      <c r="I389" s="11" t="n">
        <v>5500</v>
      </c>
      <c r="J389" s="11" t="n">
        <v>5450</v>
      </c>
      <c r="K389" s="11" t="n">
        <v>4500</v>
      </c>
      <c r="L389" s="11" t="n">
        <v>300</v>
      </c>
      <c r="M389" s="11"/>
      <c r="N389" s="11"/>
      <c r="O389" s="11"/>
      <c r="P389" s="11" t="n">
        <f aca="false">K389+SUM(L389:O389)</f>
        <v>4800</v>
      </c>
      <c r="Q389" s="11" t="n">
        <v>4800</v>
      </c>
      <c r="R389" s="12" t="n">
        <f aca="false">Q389/$P389</f>
        <v>1</v>
      </c>
      <c r="S389" s="11" t="n">
        <v>4800</v>
      </c>
      <c r="T389" s="12" t="n">
        <f aca="false">S389/$P389</f>
        <v>1</v>
      </c>
      <c r="U389" s="11" t="n">
        <v>4800</v>
      </c>
      <c r="V389" s="12" t="n">
        <f aca="false">U389/$P389</f>
        <v>1</v>
      </c>
      <c r="W389" s="11" t="n">
        <v>4800</v>
      </c>
      <c r="X389" s="12" t="n">
        <f aca="false">W389/$P389</f>
        <v>1</v>
      </c>
      <c r="Y389" s="11" t="n">
        <f aca="false">K389</f>
        <v>4500</v>
      </c>
      <c r="Z389" s="11" t="n">
        <f aca="false">Y389</f>
        <v>4500</v>
      </c>
    </row>
    <row r="390" customFormat="false" ht="13.9" hidden="false" customHeight="true" outlineLevel="0" collapsed="false">
      <c r="A390" s="1" t="n">
        <v>6</v>
      </c>
      <c r="B390" s="1" t="n">
        <v>1</v>
      </c>
      <c r="C390" s="1" t="n">
        <v>1</v>
      </c>
      <c r="D390" s="77" t="s">
        <v>21</v>
      </c>
      <c r="E390" s="35" t="n">
        <v>41</v>
      </c>
      <c r="F390" s="35" t="s">
        <v>23</v>
      </c>
      <c r="G390" s="36" t="n">
        <f aca="false">SUM(G387:G389)</f>
        <v>6434.26</v>
      </c>
      <c r="H390" s="36" t="n">
        <f aca="false">SUM(H387:H389)</f>
        <v>8075.47</v>
      </c>
      <c r="I390" s="36" t="n">
        <f aca="false">SUM(I387:I389)</f>
        <v>8740</v>
      </c>
      <c r="J390" s="36" t="n">
        <f aca="false">SUM(J387:J389)</f>
        <v>8341</v>
      </c>
      <c r="K390" s="36" t="n">
        <f aca="false">SUM(K387:K389)</f>
        <v>7714</v>
      </c>
      <c r="L390" s="36" t="n">
        <f aca="false">SUM(L387:L389)</f>
        <v>0</v>
      </c>
      <c r="M390" s="36" t="n">
        <f aca="false">SUM(M387:M389)</f>
        <v>-366</v>
      </c>
      <c r="N390" s="36" t="n">
        <f aca="false">SUM(N387:N389)</f>
        <v>-114</v>
      </c>
      <c r="O390" s="36" t="n">
        <f aca="false">SUM(O387:O389)</f>
        <v>0</v>
      </c>
      <c r="P390" s="36" t="n">
        <f aca="false">SUM(P387:P389)</f>
        <v>7234</v>
      </c>
      <c r="Q390" s="36" t="n">
        <f aca="false">SUM(Q387:Q389)</f>
        <v>4958</v>
      </c>
      <c r="R390" s="37" t="n">
        <f aca="false">Q390/$P390</f>
        <v>0.685374619850705</v>
      </c>
      <c r="S390" s="36" t="n">
        <f aca="false">SUM(S387:S389)</f>
        <v>5295</v>
      </c>
      <c r="T390" s="37" t="n">
        <f aca="false">S390/$P390</f>
        <v>0.731960188001106</v>
      </c>
      <c r="U390" s="36" t="n">
        <f aca="false">SUM(U387:U389)</f>
        <v>6191.45</v>
      </c>
      <c r="V390" s="37" t="n">
        <f aca="false">U390/$P390</f>
        <v>0.85588194636439</v>
      </c>
      <c r="W390" s="36" t="n">
        <f aca="false">SUM(W387:W389)</f>
        <v>6428.45</v>
      </c>
      <c r="X390" s="37" t="n">
        <f aca="false">W390/$P390</f>
        <v>0.888643903787669</v>
      </c>
      <c r="Y390" s="36" t="n">
        <f aca="false">SUM(Y387:Y389)</f>
        <v>7605</v>
      </c>
      <c r="Z390" s="36" t="n">
        <f aca="false">SUM(Z387:Z389)</f>
        <v>7605</v>
      </c>
    </row>
    <row r="391" customFormat="false" ht="13.9" hidden="false" customHeight="true" outlineLevel="0" collapsed="false">
      <c r="A391" s="1" t="n">
        <v>6</v>
      </c>
      <c r="B391" s="1" t="n">
        <v>1</v>
      </c>
      <c r="C391" s="1" t="n">
        <v>1</v>
      </c>
      <c r="D391" s="79"/>
      <c r="E391" s="80"/>
      <c r="F391" s="13" t="s">
        <v>124</v>
      </c>
      <c r="G391" s="14" t="n">
        <f aca="false">G386+G390</f>
        <v>6434.26</v>
      </c>
      <c r="H391" s="14" t="n">
        <f aca="false">H386+H390</f>
        <v>8075.47</v>
      </c>
      <c r="I391" s="14" t="n">
        <f aca="false">I386+I390</f>
        <v>10365</v>
      </c>
      <c r="J391" s="14" t="n">
        <f aca="false">J386+J390</f>
        <v>9966</v>
      </c>
      <c r="K391" s="14" t="n">
        <f aca="false">K386+K390</f>
        <v>7714</v>
      </c>
      <c r="L391" s="14" t="n">
        <f aca="false">L386+L390</f>
        <v>0</v>
      </c>
      <c r="M391" s="14" t="n">
        <f aca="false">M386+M390</f>
        <v>0</v>
      </c>
      <c r="N391" s="14" t="n">
        <f aca="false">N386+N390</f>
        <v>-114</v>
      </c>
      <c r="O391" s="14" t="n">
        <f aca="false">O386+O390</f>
        <v>0</v>
      </c>
      <c r="P391" s="14" t="n">
        <f aca="false">P386+P390</f>
        <v>7600</v>
      </c>
      <c r="Q391" s="14" t="n">
        <f aca="false">Q386+Q390</f>
        <v>4958</v>
      </c>
      <c r="R391" s="15" t="n">
        <f aca="false">Q391/$P391</f>
        <v>0.652368421052632</v>
      </c>
      <c r="S391" s="14" t="n">
        <f aca="false">S386+S390</f>
        <v>5295</v>
      </c>
      <c r="T391" s="15" t="n">
        <f aca="false">S391/$P391</f>
        <v>0.696710526315789</v>
      </c>
      <c r="U391" s="14" t="n">
        <f aca="false">U386+U390</f>
        <v>6557.58</v>
      </c>
      <c r="V391" s="15" t="n">
        <f aca="false">U391/$P391</f>
        <v>0.862839473684211</v>
      </c>
      <c r="W391" s="14" t="n">
        <f aca="false">W386+W390</f>
        <v>6794.58</v>
      </c>
      <c r="X391" s="15" t="n">
        <f aca="false">W391/$P391</f>
        <v>0.894023684210526</v>
      </c>
      <c r="Y391" s="14" t="n">
        <f aca="false">Y386+Y390</f>
        <v>7605</v>
      </c>
      <c r="Z391" s="14" t="n">
        <f aca="false">Z386+Z390</f>
        <v>7605</v>
      </c>
    </row>
    <row r="393" customFormat="false" ht="13.9" hidden="false" customHeight="true" outlineLevel="0" collapsed="false">
      <c r="E393" s="101" t="s">
        <v>57</v>
      </c>
      <c r="F393" s="102" t="s">
        <v>149</v>
      </c>
      <c r="G393" s="104" t="n">
        <v>814</v>
      </c>
      <c r="H393" s="104" t="n">
        <v>308</v>
      </c>
      <c r="I393" s="103" t="n">
        <v>381</v>
      </c>
      <c r="J393" s="103" t="n">
        <v>381</v>
      </c>
      <c r="K393" s="104" t="n">
        <v>700</v>
      </c>
      <c r="L393" s="104"/>
      <c r="M393" s="104"/>
      <c r="N393" s="104"/>
      <c r="O393" s="104"/>
      <c r="P393" s="104" t="n">
        <f aca="false">K393+SUM(L393:O393)</f>
        <v>700</v>
      </c>
      <c r="Q393" s="104" t="n">
        <v>158</v>
      </c>
      <c r="R393" s="105" t="n">
        <f aca="false">Q393/$P393</f>
        <v>0.225714285714286</v>
      </c>
      <c r="S393" s="104" t="n">
        <v>395</v>
      </c>
      <c r="T393" s="105" t="n">
        <f aca="false">S393/$P393</f>
        <v>0.564285714285714</v>
      </c>
      <c r="U393" s="104" t="n">
        <v>632</v>
      </c>
      <c r="V393" s="105" t="n">
        <f aca="false">U393/$P393</f>
        <v>0.902857142857143</v>
      </c>
      <c r="W393" s="104" t="n">
        <v>869</v>
      </c>
      <c r="X393" s="106" t="n">
        <f aca="false">W393/$P393</f>
        <v>1.24142857142857</v>
      </c>
      <c r="Y393" s="103" t="n">
        <f aca="false">K393</f>
        <v>700</v>
      </c>
      <c r="Z393" s="107" t="n">
        <f aca="false">Y393</f>
        <v>700</v>
      </c>
    </row>
    <row r="395" customFormat="false" ht="13.9" hidden="false" customHeight="true" outlineLevel="0" collapsed="false">
      <c r="D395" s="60" t="s">
        <v>231</v>
      </c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1"/>
      <c r="S395" s="60"/>
      <c r="T395" s="61"/>
      <c r="U395" s="60"/>
      <c r="V395" s="61"/>
      <c r="W395" s="60"/>
      <c r="X395" s="61"/>
      <c r="Y395" s="60"/>
      <c r="Z395" s="60"/>
    </row>
    <row r="396" customFormat="false" ht="13.9" hidden="false" customHeight="true" outlineLevel="0" collapsed="false">
      <c r="D396" s="7" t="s">
        <v>33</v>
      </c>
      <c r="E396" s="7" t="s">
        <v>34</v>
      </c>
      <c r="F396" s="7" t="s">
        <v>35</v>
      </c>
      <c r="G396" s="7" t="s">
        <v>1</v>
      </c>
      <c r="H396" s="7" t="s">
        <v>2</v>
      </c>
      <c r="I396" s="7" t="s">
        <v>3</v>
      </c>
      <c r="J396" s="7" t="s">
        <v>4</v>
      </c>
      <c r="K396" s="7" t="s">
        <v>5</v>
      </c>
      <c r="L396" s="7" t="s">
        <v>6</v>
      </c>
      <c r="M396" s="7" t="s">
        <v>7</v>
      </c>
      <c r="N396" s="7" t="s">
        <v>8</v>
      </c>
      <c r="O396" s="7" t="s">
        <v>9</v>
      </c>
      <c r="P396" s="7" t="s">
        <v>10</v>
      </c>
      <c r="Q396" s="7" t="s">
        <v>11</v>
      </c>
      <c r="R396" s="8" t="s">
        <v>12</v>
      </c>
      <c r="S396" s="7" t="s">
        <v>13</v>
      </c>
      <c r="T396" s="8" t="s">
        <v>14</v>
      </c>
      <c r="U396" s="7" t="s">
        <v>15</v>
      </c>
      <c r="V396" s="8" t="s">
        <v>16</v>
      </c>
      <c r="W396" s="7" t="s">
        <v>17</v>
      </c>
      <c r="X396" s="8" t="s">
        <v>18</v>
      </c>
      <c r="Y396" s="7" t="s">
        <v>19</v>
      </c>
      <c r="Z396" s="7" t="s">
        <v>20</v>
      </c>
    </row>
    <row r="397" customFormat="false" ht="13.9" hidden="false" customHeight="true" outlineLevel="0" collapsed="false">
      <c r="A397" s="1" t="n">
        <v>6</v>
      </c>
      <c r="B397" s="1" t="n">
        <v>1</v>
      </c>
      <c r="C397" s="1" t="n">
        <v>2</v>
      </c>
      <c r="D397" s="76" t="s">
        <v>229</v>
      </c>
      <c r="E397" s="10" t="n">
        <v>640</v>
      </c>
      <c r="F397" s="10" t="s">
        <v>132</v>
      </c>
      <c r="G397" s="11" t="n">
        <v>1850</v>
      </c>
      <c r="H397" s="11" t="n">
        <v>1200</v>
      </c>
      <c r="I397" s="11" t="n">
        <v>1300</v>
      </c>
      <c r="J397" s="11" t="n">
        <v>1700</v>
      </c>
      <c r="K397" s="11" t="n">
        <f aca="false">SUM(K400:K402)</f>
        <v>1500</v>
      </c>
      <c r="L397" s="11"/>
      <c r="M397" s="11"/>
      <c r="N397" s="11"/>
      <c r="O397" s="11"/>
      <c r="P397" s="11" t="n">
        <f aca="false">K397+SUM(L397:O397)</f>
        <v>1500</v>
      </c>
      <c r="Q397" s="11" t="n">
        <v>1500</v>
      </c>
      <c r="R397" s="12" t="n">
        <f aca="false">Q397/$P397</f>
        <v>1</v>
      </c>
      <c r="S397" s="11" t="n">
        <v>1500</v>
      </c>
      <c r="T397" s="12" t="n">
        <f aca="false">S397/$P397</f>
        <v>1</v>
      </c>
      <c r="U397" s="11" t="n">
        <v>1500</v>
      </c>
      <c r="V397" s="12" t="n">
        <f aca="false">U397/$P397</f>
        <v>1</v>
      </c>
      <c r="W397" s="11" t="n">
        <v>1500</v>
      </c>
      <c r="X397" s="12" t="n">
        <f aca="false">W397/$P397</f>
        <v>1</v>
      </c>
      <c r="Y397" s="11" t="n">
        <f aca="false">SUM(Y400:Y402)</f>
        <v>1500</v>
      </c>
      <c r="Z397" s="11" t="n">
        <f aca="false">SUM(Z400:Z402)</f>
        <v>1500</v>
      </c>
    </row>
    <row r="398" customFormat="false" ht="13.9" hidden="false" customHeight="true" outlineLevel="0" collapsed="false">
      <c r="A398" s="1" t="n">
        <v>6</v>
      </c>
      <c r="B398" s="1" t="n">
        <v>1</v>
      </c>
      <c r="C398" s="1" t="n">
        <v>2</v>
      </c>
      <c r="D398" s="67" t="s">
        <v>21</v>
      </c>
      <c r="E398" s="13" t="n">
        <v>41</v>
      </c>
      <c r="F398" s="13" t="s">
        <v>23</v>
      </c>
      <c r="G398" s="14" t="n">
        <f aca="false">SUM(G397:G397)</f>
        <v>1850</v>
      </c>
      <c r="H398" s="14" t="n">
        <f aca="false">SUM(H397:H397)</f>
        <v>1200</v>
      </c>
      <c r="I398" s="14" t="n">
        <f aca="false">SUM(I397:I397)</f>
        <v>1300</v>
      </c>
      <c r="J398" s="14" t="n">
        <f aca="false">SUM(J397:J397)</f>
        <v>1700</v>
      </c>
      <c r="K398" s="14" t="n">
        <f aca="false">SUM(K397:K397)</f>
        <v>1500</v>
      </c>
      <c r="L398" s="14" t="n">
        <f aca="false">SUM(L397:L397)</f>
        <v>0</v>
      </c>
      <c r="M398" s="14" t="n">
        <f aca="false">SUM(M397:M397)</f>
        <v>0</v>
      </c>
      <c r="N398" s="14" t="n">
        <f aca="false">SUM(N397:N397)</f>
        <v>0</v>
      </c>
      <c r="O398" s="14" t="n">
        <f aca="false">SUM(O397:O397)</f>
        <v>0</v>
      </c>
      <c r="P398" s="14" t="n">
        <f aca="false">SUM(P397:P397)</f>
        <v>1500</v>
      </c>
      <c r="Q398" s="14" t="n">
        <f aca="false">SUM(Q397:Q397)</f>
        <v>1500</v>
      </c>
      <c r="R398" s="15" t="n">
        <f aca="false">Q398/$P398</f>
        <v>1</v>
      </c>
      <c r="S398" s="14" t="n">
        <f aca="false">SUM(S397:S397)</f>
        <v>1500</v>
      </c>
      <c r="T398" s="15" t="n">
        <f aca="false">S398/$P398</f>
        <v>1</v>
      </c>
      <c r="U398" s="14" t="n">
        <f aca="false">SUM(U397:U397)</f>
        <v>1500</v>
      </c>
      <c r="V398" s="15" t="n">
        <f aca="false">U398/$P398</f>
        <v>1</v>
      </c>
      <c r="W398" s="14" t="n">
        <f aca="false">SUM(W397:W397)</f>
        <v>1500</v>
      </c>
      <c r="X398" s="15" t="n">
        <f aca="false">W398/$P398</f>
        <v>1</v>
      </c>
      <c r="Y398" s="14" t="n">
        <f aca="false">SUM(Y397:Y397)</f>
        <v>1500</v>
      </c>
      <c r="Z398" s="14" t="n">
        <f aca="false">SUM(Z397:Z397)</f>
        <v>1500</v>
      </c>
    </row>
    <row r="400" customFormat="false" ht="13.9" hidden="false" customHeight="true" outlineLevel="0" collapsed="false">
      <c r="E400" s="39" t="s">
        <v>57</v>
      </c>
      <c r="F400" s="17" t="s">
        <v>232</v>
      </c>
      <c r="G400" s="40" t="n">
        <v>1000</v>
      </c>
      <c r="H400" s="40" t="n">
        <v>1200</v>
      </c>
      <c r="I400" s="40" t="n">
        <v>600</v>
      </c>
      <c r="J400" s="40" t="n">
        <v>1000</v>
      </c>
      <c r="K400" s="40" t="n">
        <v>500</v>
      </c>
      <c r="L400" s="40"/>
      <c r="M400" s="40"/>
      <c r="N400" s="40"/>
      <c r="O400" s="40"/>
      <c r="P400" s="40" t="n">
        <f aca="false">K400+SUM(L400:O400)</f>
        <v>500</v>
      </c>
      <c r="Q400" s="40" t="n">
        <v>500</v>
      </c>
      <c r="R400" s="41" t="n">
        <f aca="false">Q400/$P400</f>
        <v>1</v>
      </c>
      <c r="S400" s="40" t="n">
        <v>500</v>
      </c>
      <c r="T400" s="41" t="n">
        <f aca="false">S400/$P400</f>
        <v>1</v>
      </c>
      <c r="U400" s="40" t="n">
        <v>500</v>
      </c>
      <c r="V400" s="41" t="n">
        <f aca="false">U400/$P400</f>
        <v>1</v>
      </c>
      <c r="W400" s="40" t="n">
        <v>500</v>
      </c>
      <c r="X400" s="42" t="n">
        <f aca="false">W400/$P400</f>
        <v>1</v>
      </c>
      <c r="Y400" s="40" t="n">
        <f aca="false">K400</f>
        <v>500</v>
      </c>
      <c r="Z400" s="43" t="n">
        <f aca="false">Y400</f>
        <v>500</v>
      </c>
    </row>
    <row r="401" customFormat="false" ht="13.9" hidden="false" customHeight="true" outlineLevel="0" collapsed="false">
      <c r="E401" s="44"/>
      <c r="F401" s="69" t="s">
        <v>233</v>
      </c>
      <c r="G401" s="70" t="n">
        <v>850</v>
      </c>
      <c r="H401" s="70" t="n">
        <v>0</v>
      </c>
      <c r="I401" s="70" t="n">
        <v>700</v>
      </c>
      <c r="J401" s="70" t="n">
        <v>700</v>
      </c>
      <c r="K401" s="70" t="n">
        <v>0</v>
      </c>
      <c r="L401" s="70"/>
      <c r="M401" s="70"/>
      <c r="N401" s="70"/>
      <c r="O401" s="70"/>
      <c r="P401" s="70" t="n">
        <f aca="false">K401+SUM(L401:O401)</f>
        <v>0</v>
      </c>
      <c r="Q401" s="70" t="n">
        <v>0</v>
      </c>
      <c r="R401" s="72" t="e">
        <f aca="false">Q401/$P401</f>
        <v>#DIV/0!</v>
      </c>
      <c r="S401" s="70" t="n">
        <v>0</v>
      </c>
      <c r="T401" s="72" t="e">
        <f aca="false">S401/$P401</f>
        <v>#DIV/0!</v>
      </c>
      <c r="U401" s="70" t="n">
        <v>0</v>
      </c>
      <c r="V401" s="72" t="e">
        <f aca="false">U401/$P401</f>
        <v>#DIV/0!</v>
      </c>
      <c r="W401" s="70" t="n">
        <v>0</v>
      </c>
      <c r="X401" s="47" t="e">
        <f aca="false">W401/$P401</f>
        <v>#DIV/0!</v>
      </c>
      <c r="Y401" s="70" t="n">
        <f aca="false">K401</f>
        <v>0</v>
      </c>
      <c r="Z401" s="48" t="n">
        <f aca="false">Y401</f>
        <v>0</v>
      </c>
    </row>
    <row r="402" customFormat="false" ht="13.9" hidden="false" customHeight="true" outlineLevel="0" collapsed="false">
      <c r="E402" s="52"/>
      <c r="F402" s="53" t="s">
        <v>234</v>
      </c>
      <c r="G402" s="54"/>
      <c r="H402" s="54"/>
      <c r="I402" s="54"/>
      <c r="J402" s="54"/>
      <c r="K402" s="54" t="n">
        <v>1000</v>
      </c>
      <c r="L402" s="54"/>
      <c r="M402" s="54"/>
      <c r="N402" s="54"/>
      <c r="O402" s="54"/>
      <c r="P402" s="54" t="n">
        <f aca="false">K402+SUM(L402:O402)</f>
        <v>1000</v>
      </c>
      <c r="Q402" s="54" t="n">
        <v>1000</v>
      </c>
      <c r="R402" s="55" t="n">
        <f aca="false">Q402/$P402</f>
        <v>1</v>
      </c>
      <c r="S402" s="54" t="n">
        <v>1000</v>
      </c>
      <c r="T402" s="55" t="n">
        <f aca="false">S402/$P402</f>
        <v>1</v>
      </c>
      <c r="U402" s="54" t="n">
        <v>1000</v>
      </c>
      <c r="V402" s="55" t="n">
        <f aca="false">U402/$P402</f>
        <v>1</v>
      </c>
      <c r="W402" s="54" t="n">
        <v>1000</v>
      </c>
      <c r="X402" s="56" t="n">
        <f aca="false">W402/$P402</f>
        <v>1</v>
      </c>
      <c r="Y402" s="54" t="n">
        <f aca="false">K402</f>
        <v>1000</v>
      </c>
      <c r="Z402" s="57" t="n">
        <f aca="false">Y402</f>
        <v>1000</v>
      </c>
    </row>
    <row r="404" customFormat="false" ht="13.9" hidden="false" customHeight="true" outlineLevel="0" collapsed="false">
      <c r="D404" s="28" t="s">
        <v>235</v>
      </c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9"/>
      <c r="S404" s="28"/>
      <c r="T404" s="29"/>
      <c r="U404" s="28"/>
      <c r="V404" s="29"/>
      <c r="W404" s="28"/>
      <c r="X404" s="29"/>
      <c r="Y404" s="28"/>
      <c r="Z404" s="28"/>
    </row>
    <row r="405" customFormat="false" ht="13.9" hidden="false" customHeight="true" outlineLevel="0" collapsed="false">
      <c r="D405" s="108"/>
      <c r="E405" s="108"/>
      <c r="F405" s="108"/>
      <c r="G405" s="7" t="s">
        <v>1</v>
      </c>
      <c r="H405" s="7" t="s">
        <v>2</v>
      </c>
      <c r="I405" s="7" t="s">
        <v>3</v>
      </c>
      <c r="J405" s="7" t="s">
        <v>4</v>
      </c>
      <c r="K405" s="7" t="s">
        <v>5</v>
      </c>
      <c r="L405" s="7" t="s">
        <v>6</v>
      </c>
      <c r="M405" s="7" t="s">
        <v>7</v>
      </c>
      <c r="N405" s="7" t="s">
        <v>8</v>
      </c>
      <c r="O405" s="7" t="s">
        <v>9</v>
      </c>
      <c r="P405" s="7" t="s">
        <v>10</v>
      </c>
      <c r="Q405" s="7" t="s">
        <v>11</v>
      </c>
      <c r="R405" s="8" t="s">
        <v>12</v>
      </c>
      <c r="S405" s="7" t="s">
        <v>13</v>
      </c>
      <c r="T405" s="8" t="s">
        <v>14</v>
      </c>
      <c r="U405" s="7" t="s">
        <v>15</v>
      </c>
      <c r="V405" s="8" t="s">
        <v>16</v>
      </c>
      <c r="W405" s="7" t="s">
        <v>17</v>
      </c>
      <c r="X405" s="8" t="s">
        <v>18</v>
      </c>
      <c r="Y405" s="7" t="s">
        <v>19</v>
      </c>
      <c r="Z405" s="7" t="s">
        <v>20</v>
      </c>
    </row>
    <row r="406" customFormat="false" ht="13.9" hidden="false" customHeight="true" outlineLevel="0" collapsed="false">
      <c r="A406" s="1" t="n">
        <v>6</v>
      </c>
      <c r="B406" s="1" t="n">
        <v>2</v>
      </c>
      <c r="D406" s="115" t="s">
        <v>21</v>
      </c>
      <c r="E406" s="116" t="n">
        <v>41</v>
      </c>
      <c r="F406" s="116" t="s">
        <v>23</v>
      </c>
      <c r="G406" s="11" t="n">
        <f aca="false">G413+G426+G438</f>
        <v>27176.07</v>
      </c>
      <c r="H406" s="11" t="n">
        <f aca="false">H413+H426+H438</f>
        <v>22839.24</v>
      </c>
      <c r="I406" s="11" t="n">
        <f aca="false">I413+I426+I438</f>
        <v>28425</v>
      </c>
      <c r="J406" s="11" t="n">
        <f aca="false">J413+J426+J438</f>
        <v>24300</v>
      </c>
      <c r="K406" s="11" t="n">
        <f aca="false">K413+K426+K438</f>
        <v>19436</v>
      </c>
      <c r="L406" s="11" t="n">
        <f aca="false">L413+L426+L438</f>
        <v>0</v>
      </c>
      <c r="M406" s="11" t="n">
        <f aca="false">M413+M426+M438</f>
        <v>0</v>
      </c>
      <c r="N406" s="11" t="n">
        <f aca="false">N413+N426+N438</f>
        <v>-11940</v>
      </c>
      <c r="O406" s="11" t="n">
        <f aca="false">O413+O426+O438</f>
        <v>0</v>
      </c>
      <c r="P406" s="11" t="n">
        <f aca="false">K406+SUM(L406:O406)</f>
        <v>7496</v>
      </c>
      <c r="Q406" s="11" t="n">
        <f aca="false">Q413+Q426+Q438</f>
        <v>1387.87</v>
      </c>
      <c r="R406" s="12" t="n">
        <f aca="false">Q406/$P406</f>
        <v>0.185148078975454</v>
      </c>
      <c r="S406" s="11" t="n">
        <f aca="false">S413+S426+S438</f>
        <v>2719.52</v>
      </c>
      <c r="T406" s="12" t="n">
        <f aca="false">S406/$P406</f>
        <v>0.362796157950907</v>
      </c>
      <c r="U406" s="11" t="n">
        <f aca="false">U413+U426+U438</f>
        <v>4818.81</v>
      </c>
      <c r="V406" s="12" t="n">
        <f aca="false">U406/$P406</f>
        <v>0.642850853788687</v>
      </c>
      <c r="W406" s="11" t="n">
        <f aca="false">W413+W426+W438</f>
        <v>7219.87</v>
      </c>
      <c r="X406" s="12" t="n">
        <f aca="false">W406/$P406</f>
        <v>0.963163020277481</v>
      </c>
      <c r="Y406" s="11" t="n">
        <f aca="false">Y413+Y426+Y438</f>
        <v>19437</v>
      </c>
      <c r="Z406" s="11" t="n">
        <f aca="false">Z413+Z426+Z438</f>
        <v>19438</v>
      </c>
    </row>
    <row r="407" customFormat="false" ht="13.9" hidden="false" customHeight="true" outlineLevel="0" collapsed="false">
      <c r="A407" s="1" t="n">
        <v>6</v>
      </c>
      <c r="B407" s="1" t="n">
        <v>2</v>
      </c>
      <c r="D407" s="17"/>
      <c r="E407" s="18"/>
      <c r="F407" s="13" t="s">
        <v>124</v>
      </c>
      <c r="G407" s="14" t="n">
        <f aca="false">SUM(G406:G406)</f>
        <v>27176.07</v>
      </c>
      <c r="H407" s="14" t="n">
        <f aca="false">SUM(H406:H406)</f>
        <v>22839.24</v>
      </c>
      <c r="I407" s="14" t="n">
        <f aca="false">SUM(I406:I406)</f>
        <v>28425</v>
      </c>
      <c r="J407" s="14" t="n">
        <f aca="false">SUM(J406:J406)</f>
        <v>24300</v>
      </c>
      <c r="K407" s="14" t="n">
        <f aca="false">SUM(K406:K406)</f>
        <v>19436</v>
      </c>
      <c r="L407" s="14" t="n">
        <f aca="false">SUM(L406:L406)</f>
        <v>0</v>
      </c>
      <c r="M407" s="14" t="n">
        <f aca="false">SUM(M406:M406)</f>
        <v>0</v>
      </c>
      <c r="N407" s="14" t="n">
        <f aca="false">SUM(N406:N406)</f>
        <v>-11940</v>
      </c>
      <c r="O407" s="14" t="n">
        <f aca="false">SUM(O406:O406)</f>
        <v>0</v>
      </c>
      <c r="P407" s="14" t="n">
        <f aca="false">SUM(P406:P406)</f>
        <v>7496</v>
      </c>
      <c r="Q407" s="14" t="n">
        <f aca="false">SUM(Q406:Q406)</f>
        <v>1387.87</v>
      </c>
      <c r="R407" s="15" t="n">
        <f aca="false">Q407/$P407</f>
        <v>0.185148078975454</v>
      </c>
      <c r="S407" s="14" t="n">
        <f aca="false">SUM(S406:S406)</f>
        <v>2719.52</v>
      </c>
      <c r="T407" s="15" t="n">
        <f aca="false">S407/$P407</f>
        <v>0.362796157950907</v>
      </c>
      <c r="U407" s="14" t="n">
        <f aca="false">SUM(U406:U406)</f>
        <v>4818.81</v>
      </c>
      <c r="V407" s="15" t="n">
        <f aca="false">U407/$P407</f>
        <v>0.642850853788687</v>
      </c>
      <c r="W407" s="14" t="n">
        <f aca="false">SUM(W406:W406)</f>
        <v>7219.87</v>
      </c>
      <c r="X407" s="15" t="n">
        <f aca="false">W407/$P407</f>
        <v>0.963163020277481</v>
      </c>
      <c r="Y407" s="14" t="n">
        <f aca="false">SUM(Y406:Y406)</f>
        <v>19437</v>
      </c>
      <c r="Z407" s="14" t="n">
        <f aca="false">SUM(Z406:Z406)</f>
        <v>19438</v>
      </c>
    </row>
    <row r="409" customFormat="false" ht="13.9" hidden="false" customHeight="true" outlineLevel="0" collapsed="false">
      <c r="D409" s="60" t="s">
        <v>236</v>
      </c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1"/>
      <c r="S409" s="60"/>
      <c r="T409" s="61"/>
      <c r="U409" s="60"/>
      <c r="V409" s="61"/>
      <c r="W409" s="60"/>
      <c r="X409" s="61"/>
      <c r="Y409" s="60"/>
      <c r="Z409" s="60"/>
    </row>
    <row r="410" customFormat="false" ht="13.9" hidden="false" customHeight="true" outlineLevel="0" collapsed="false">
      <c r="D410" s="7" t="s">
        <v>33</v>
      </c>
      <c r="E410" s="7" t="s">
        <v>34</v>
      </c>
      <c r="F410" s="7" t="s">
        <v>35</v>
      </c>
      <c r="G410" s="7" t="s">
        <v>1</v>
      </c>
      <c r="H410" s="7" t="s">
        <v>2</v>
      </c>
      <c r="I410" s="7" t="s">
        <v>3</v>
      </c>
      <c r="J410" s="7" t="s">
        <v>4</v>
      </c>
      <c r="K410" s="7" t="s">
        <v>5</v>
      </c>
      <c r="L410" s="7" t="s">
        <v>6</v>
      </c>
      <c r="M410" s="7" t="s">
        <v>7</v>
      </c>
      <c r="N410" s="7" t="s">
        <v>8</v>
      </c>
      <c r="O410" s="7" t="s">
        <v>9</v>
      </c>
      <c r="P410" s="7" t="s">
        <v>10</v>
      </c>
      <c r="Q410" s="7" t="s">
        <v>11</v>
      </c>
      <c r="R410" s="8" t="s">
        <v>12</v>
      </c>
      <c r="S410" s="7" t="s">
        <v>13</v>
      </c>
      <c r="T410" s="8" t="s">
        <v>14</v>
      </c>
      <c r="U410" s="7" t="s">
        <v>15</v>
      </c>
      <c r="V410" s="8" t="s">
        <v>16</v>
      </c>
      <c r="W410" s="7" t="s">
        <v>17</v>
      </c>
      <c r="X410" s="8" t="s">
        <v>18</v>
      </c>
      <c r="Y410" s="7" t="s">
        <v>19</v>
      </c>
      <c r="Z410" s="7" t="s">
        <v>20</v>
      </c>
    </row>
    <row r="411" customFormat="false" ht="13.9" hidden="false" customHeight="true" outlineLevel="0" collapsed="false">
      <c r="A411" s="1" t="n">
        <v>6</v>
      </c>
      <c r="B411" s="1" t="n">
        <v>2</v>
      </c>
      <c r="C411" s="1" t="n">
        <v>1</v>
      </c>
      <c r="D411" s="76" t="s">
        <v>237</v>
      </c>
      <c r="E411" s="10" t="n">
        <v>620</v>
      </c>
      <c r="F411" s="10" t="s">
        <v>130</v>
      </c>
      <c r="G411" s="11" t="n">
        <v>315.03</v>
      </c>
      <c r="H411" s="11" t="n">
        <v>302.52</v>
      </c>
      <c r="I411" s="11" t="n">
        <v>49</v>
      </c>
      <c r="J411" s="11" t="n">
        <v>26</v>
      </c>
      <c r="K411" s="11" t="n">
        <v>0</v>
      </c>
      <c r="L411" s="11"/>
      <c r="M411" s="11"/>
      <c r="N411" s="11"/>
      <c r="O411" s="11"/>
      <c r="P411" s="11" t="n">
        <f aca="false">K411+SUM(L411:O411)</f>
        <v>0</v>
      </c>
      <c r="Q411" s="11" t="n">
        <v>0</v>
      </c>
      <c r="R411" s="12" t="e">
        <f aca="false">Q411/$P411</f>
        <v>#DIV/0!</v>
      </c>
      <c r="S411" s="11" t="n">
        <v>0</v>
      </c>
      <c r="T411" s="12" t="e">
        <f aca="false">S411/$P411</f>
        <v>#DIV/0!</v>
      </c>
      <c r="U411" s="11" t="n">
        <v>0</v>
      </c>
      <c r="V411" s="12" t="e">
        <f aca="false">U411/$P411</f>
        <v>#DIV/0!</v>
      </c>
      <c r="W411" s="11" t="n">
        <v>0</v>
      </c>
      <c r="X411" s="12" t="e">
        <f aca="false">W411/$P411</f>
        <v>#DIV/0!</v>
      </c>
      <c r="Y411" s="11" t="n">
        <v>0</v>
      </c>
      <c r="Z411" s="11" t="n">
        <f aca="false">Y411</f>
        <v>0</v>
      </c>
    </row>
    <row r="412" customFormat="false" ht="13.9" hidden="false" customHeight="true" outlineLevel="0" collapsed="false">
      <c r="A412" s="1" t="n">
        <v>6</v>
      </c>
      <c r="B412" s="1" t="n">
        <v>2</v>
      </c>
      <c r="C412" s="1" t="n">
        <v>1</v>
      </c>
      <c r="D412" s="76"/>
      <c r="E412" s="10" t="n">
        <v>630</v>
      </c>
      <c r="F412" s="10" t="s">
        <v>131</v>
      </c>
      <c r="G412" s="11" t="n">
        <v>4562.12</v>
      </c>
      <c r="H412" s="11" t="n">
        <v>4632.76</v>
      </c>
      <c r="I412" s="11" t="n">
        <v>11191</v>
      </c>
      <c r="J412" s="11" t="n">
        <v>6837</v>
      </c>
      <c r="K412" s="33" t="n">
        <v>3128</v>
      </c>
      <c r="L412" s="33"/>
      <c r="M412" s="33"/>
      <c r="N412" s="33"/>
      <c r="O412" s="33"/>
      <c r="P412" s="33" t="n">
        <f aca="false">K412+SUM(L412:O412)</f>
        <v>3128</v>
      </c>
      <c r="Q412" s="33" t="n">
        <v>817</v>
      </c>
      <c r="R412" s="34" t="n">
        <f aca="false">Q412/$P412</f>
        <v>0.26118925831202</v>
      </c>
      <c r="S412" s="33" t="n">
        <v>1573</v>
      </c>
      <c r="T412" s="34" t="n">
        <f aca="false">S412/$P412</f>
        <v>0.502877237851662</v>
      </c>
      <c r="U412" s="33" t="n">
        <v>2329</v>
      </c>
      <c r="V412" s="34" t="n">
        <f aca="false">U412/$P412</f>
        <v>0.744565217391304</v>
      </c>
      <c r="W412" s="33" t="n">
        <v>3085</v>
      </c>
      <c r="X412" s="34" t="n">
        <f aca="false">W412/$P412</f>
        <v>0.986253196930946</v>
      </c>
      <c r="Y412" s="33" t="n">
        <v>3129</v>
      </c>
      <c r="Z412" s="33" t="n">
        <v>3130</v>
      </c>
    </row>
    <row r="413" customFormat="false" ht="13.9" hidden="false" customHeight="true" outlineLevel="0" collapsed="false">
      <c r="A413" s="1" t="n">
        <v>6</v>
      </c>
      <c r="B413" s="1" t="n">
        <v>2</v>
      </c>
      <c r="C413" s="1" t="n">
        <v>1</v>
      </c>
      <c r="D413" s="67" t="s">
        <v>21</v>
      </c>
      <c r="E413" s="13" t="n">
        <v>41</v>
      </c>
      <c r="F413" s="13" t="s">
        <v>23</v>
      </c>
      <c r="G413" s="14" t="n">
        <f aca="false">SUM(G411:G412)</f>
        <v>4877.15</v>
      </c>
      <c r="H413" s="14" t="n">
        <f aca="false">SUM(H411:H412)</f>
        <v>4935.28</v>
      </c>
      <c r="I413" s="14" t="n">
        <f aca="false">SUM(I411:I412)</f>
        <v>11240</v>
      </c>
      <c r="J413" s="14" t="n">
        <f aca="false">SUM(J411:J412)</f>
        <v>6863</v>
      </c>
      <c r="K413" s="14" t="n">
        <f aca="false">SUM(K411:K412)</f>
        <v>3128</v>
      </c>
      <c r="L413" s="14" t="n">
        <f aca="false">SUM(L411:L412)</f>
        <v>0</v>
      </c>
      <c r="M413" s="14" t="n">
        <f aca="false">SUM(M411:M412)</f>
        <v>0</v>
      </c>
      <c r="N413" s="14" t="n">
        <f aca="false">SUM(N411:N412)</f>
        <v>0</v>
      </c>
      <c r="O413" s="14" t="n">
        <f aca="false">SUM(O411:O412)</f>
        <v>0</v>
      </c>
      <c r="P413" s="14" t="n">
        <f aca="false">SUM(P411:P412)</f>
        <v>3128</v>
      </c>
      <c r="Q413" s="14" t="n">
        <f aca="false">SUM(Q411:Q412)</f>
        <v>817</v>
      </c>
      <c r="R413" s="15" t="n">
        <f aca="false">Q413/$P413</f>
        <v>0.26118925831202</v>
      </c>
      <c r="S413" s="14" t="n">
        <f aca="false">SUM(S411:S412)</f>
        <v>1573</v>
      </c>
      <c r="T413" s="15" t="n">
        <f aca="false">S413/$P413</f>
        <v>0.502877237851662</v>
      </c>
      <c r="U413" s="14" t="n">
        <f aca="false">SUM(U411:U412)</f>
        <v>2329</v>
      </c>
      <c r="V413" s="15" t="n">
        <f aca="false">U413/$P413</f>
        <v>0.744565217391304</v>
      </c>
      <c r="W413" s="14" t="n">
        <f aca="false">SUM(W411:W412)</f>
        <v>3085</v>
      </c>
      <c r="X413" s="15" t="n">
        <f aca="false">W413/$P413</f>
        <v>0.986253196930946</v>
      </c>
      <c r="Y413" s="14" t="n">
        <f aca="false">SUM(Y411:Y412)</f>
        <v>3129</v>
      </c>
      <c r="Z413" s="14" t="n">
        <f aca="false">SUM(Z411:Z412)</f>
        <v>3130</v>
      </c>
    </row>
    <row r="415" customFormat="false" ht="13.9" hidden="false" customHeight="true" outlineLevel="0" collapsed="false">
      <c r="E415" s="39" t="s">
        <v>57</v>
      </c>
      <c r="F415" s="17" t="s">
        <v>149</v>
      </c>
      <c r="G415" s="40" t="n">
        <v>869</v>
      </c>
      <c r="H415" s="40" t="n">
        <v>803</v>
      </c>
      <c r="I415" s="40" t="n">
        <v>1018</v>
      </c>
      <c r="J415" s="40" t="n">
        <v>1018</v>
      </c>
      <c r="K415" s="40" t="n">
        <v>1018</v>
      </c>
      <c r="L415" s="40"/>
      <c r="M415" s="40" t="n">
        <v>-39</v>
      </c>
      <c r="N415" s="40"/>
      <c r="O415" s="40"/>
      <c r="P415" s="40" t="n">
        <f aca="false">K415+SUM(L415:O415)</f>
        <v>979</v>
      </c>
      <c r="Q415" s="40" t="n">
        <v>178</v>
      </c>
      <c r="R415" s="41" t="n">
        <f aca="false">Q415/$P415</f>
        <v>0.181818181818182</v>
      </c>
      <c r="S415" s="40" t="n">
        <v>445</v>
      </c>
      <c r="T415" s="41" t="n">
        <f aca="false">S415/$P415</f>
        <v>0.454545454545455</v>
      </c>
      <c r="U415" s="40" t="n">
        <v>712</v>
      </c>
      <c r="V415" s="41" t="n">
        <f aca="false">U415/$P415</f>
        <v>0.727272727272727</v>
      </c>
      <c r="W415" s="40" t="n">
        <v>979</v>
      </c>
      <c r="X415" s="42" t="n">
        <f aca="false">W415/$P415</f>
        <v>1</v>
      </c>
      <c r="Y415" s="40" t="n">
        <f aca="false">K415</f>
        <v>1018</v>
      </c>
      <c r="Z415" s="43" t="n">
        <f aca="false">Y415</f>
        <v>1018</v>
      </c>
    </row>
    <row r="416" customFormat="false" ht="13.9" hidden="false" customHeight="true" outlineLevel="0" collapsed="false">
      <c r="E416" s="44"/>
      <c r="F416" s="45" t="s">
        <v>150</v>
      </c>
      <c r="G416" s="46" t="n">
        <v>1830.74</v>
      </c>
      <c r="H416" s="46" t="n">
        <v>1608</v>
      </c>
      <c r="I416" s="46" t="n">
        <v>1920</v>
      </c>
      <c r="J416" s="46" t="n">
        <v>1920</v>
      </c>
      <c r="K416" s="46" t="n">
        <v>1920</v>
      </c>
      <c r="L416" s="46"/>
      <c r="M416" s="46" t="n">
        <v>36</v>
      </c>
      <c r="N416" s="46"/>
      <c r="O416" s="46"/>
      <c r="P416" s="46" t="n">
        <f aca="false">K416+SUM(L416:O416)</f>
        <v>1956</v>
      </c>
      <c r="Q416" s="46" t="n">
        <v>489</v>
      </c>
      <c r="R416" s="2" t="n">
        <f aca="false">Q416/$P416</f>
        <v>0.25</v>
      </c>
      <c r="S416" s="46" t="n">
        <v>978</v>
      </c>
      <c r="T416" s="2" t="n">
        <f aca="false">S416/$P416</f>
        <v>0.5</v>
      </c>
      <c r="U416" s="46" t="n">
        <v>1467</v>
      </c>
      <c r="V416" s="2" t="n">
        <f aca="false">U416/$P416</f>
        <v>0.75</v>
      </c>
      <c r="W416" s="46" t="n">
        <v>1956</v>
      </c>
      <c r="X416" s="47" t="n">
        <f aca="false">W416/$P416</f>
        <v>1</v>
      </c>
      <c r="Y416" s="46" t="n">
        <f aca="false">K416</f>
        <v>1920</v>
      </c>
      <c r="Z416" s="48" t="n">
        <f aca="false">Y416</f>
        <v>1920</v>
      </c>
    </row>
    <row r="417" customFormat="false" ht="13.9" hidden="false" customHeight="true" outlineLevel="0" collapsed="false">
      <c r="E417" s="44"/>
      <c r="F417" s="45" t="s">
        <v>238</v>
      </c>
      <c r="G417" s="46"/>
      <c r="H417" s="46"/>
      <c r="I417" s="46" t="n">
        <v>1500</v>
      </c>
      <c r="J417" s="46" t="n">
        <v>1300</v>
      </c>
      <c r="K417" s="46" t="n">
        <v>0</v>
      </c>
      <c r="L417" s="46"/>
      <c r="M417" s="46"/>
      <c r="N417" s="46"/>
      <c r="O417" s="46"/>
      <c r="P417" s="46" t="n">
        <f aca="false">K417+SUM(L417:O417)</f>
        <v>0</v>
      </c>
      <c r="Q417" s="46" t="n">
        <v>0</v>
      </c>
      <c r="R417" s="2" t="e">
        <f aca="false">Q417/$P417</f>
        <v>#DIV/0!</v>
      </c>
      <c r="S417" s="46" t="n">
        <v>0</v>
      </c>
      <c r="T417" s="2" t="e">
        <f aca="false">S417/$P417</f>
        <v>#DIV/0!</v>
      </c>
      <c r="U417" s="46" t="n">
        <v>0</v>
      </c>
      <c r="V417" s="2" t="e">
        <f aca="false">U417/$P417</f>
        <v>#DIV/0!</v>
      </c>
      <c r="W417" s="46" t="n">
        <v>0</v>
      </c>
      <c r="X417" s="47" t="e">
        <f aca="false">W417/$P417</f>
        <v>#DIV/0!</v>
      </c>
      <c r="Y417" s="46" t="n">
        <f aca="false">K417</f>
        <v>0</v>
      </c>
      <c r="Z417" s="48" t="n">
        <f aca="false">Y417</f>
        <v>0</v>
      </c>
    </row>
    <row r="418" customFormat="false" ht="13.9" hidden="false" customHeight="true" outlineLevel="0" collapsed="false">
      <c r="E418" s="44"/>
      <c r="F418" s="45" t="s">
        <v>239</v>
      </c>
      <c r="G418" s="46"/>
      <c r="H418" s="46"/>
      <c r="I418" s="46" t="n">
        <v>5000</v>
      </c>
      <c r="J418" s="46" t="n">
        <v>2160</v>
      </c>
      <c r="K418" s="46" t="n">
        <v>0</v>
      </c>
      <c r="L418" s="46"/>
      <c r="M418" s="46"/>
      <c r="N418" s="46"/>
      <c r="O418" s="46"/>
      <c r="P418" s="46" t="n">
        <f aca="false">K418+SUM(L418:O418)</f>
        <v>0</v>
      </c>
      <c r="Q418" s="46" t="n">
        <v>0</v>
      </c>
      <c r="R418" s="2" t="e">
        <f aca="false">Q418/$P418</f>
        <v>#DIV/0!</v>
      </c>
      <c r="S418" s="46" t="n">
        <v>0</v>
      </c>
      <c r="T418" s="2" t="e">
        <f aca="false">S418/$P418</f>
        <v>#DIV/0!</v>
      </c>
      <c r="U418" s="46" t="n">
        <v>0</v>
      </c>
      <c r="V418" s="2" t="e">
        <f aca="false">U418/$P418</f>
        <v>#DIV/0!</v>
      </c>
      <c r="W418" s="46" t="n">
        <v>0</v>
      </c>
      <c r="X418" s="47" t="e">
        <f aca="false">W418/$P418</f>
        <v>#DIV/0!</v>
      </c>
      <c r="Y418" s="46" t="n">
        <f aca="false">K418</f>
        <v>0</v>
      </c>
      <c r="Z418" s="48" t="n">
        <f aca="false">Y418</f>
        <v>0</v>
      </c>
    </row>
    <row r="419" customFormat="false" ht="13.9" hidden="false" customHeight="true" outlineLevel="0" collapsed="false">
      <c r="E419" s="52"/>
      <c r="F419" s="86" t="s">
        <v>240</v>
      </c>
      <c r="G419" s="54" t="n">
        <v>1612</v>
      </c>
      <c r="H419" s="54" t="n">
        <v>1850.52</v>
      </c>
      <c r="I419" s="54" t="n">
        <v>302</v>
      </c>
      <c r="J419" s="54" t="n">
        <v>278</v>
      </c>
      <c r="K419" s="54" t="n">
        <v>0</v>
      </c>
      <c r="L419" s="54"/>
      <c r="M419" s="54"/>
      <c r="N419" s="54"/>
      <c r="O419" s="54"/>
      <c r="P419" s="54" t="n">
        <f aca="false">K419+SUM(L419:O419)</f>
        <v>0</v>
      </c>
      <c r="Q419" s="54" t="n">
        <v>0</v>
      </c>
      <c r="R419" s="55" t="e">
        <f aca="false">Q419/$P419</f>
        <v>#DIV/0!</v>
      </c>
      <c r="S419" s="54" t="n">
        <v>0</v>
      </c>
      <c r="T419" s="55" t="e">
        <f aca="false">S419/$P419</f>
        <v>#DIV/0!</v>
      </c>
      <c r="U419" s="54" t="n">
        <v>0</v>
      </c>
      <c r="V419" s="55" t="e">
        <f aca="false">U419/$P419</f>
        <v>#DIV/0!</v>
      </c>
      <c r="W419" s="54" t="n">
        <v>0</v>
      </c>
      <c r="X419" s="56" t="e">
        <f aca="false">W419/$P419</f>
        <v>#DIV/0!</v>
      </c>
      <c r="Y419" s="54" t="n">
        <f aca="false">K419</f>
        <v>0</v>
      </c>
      <c r="Z419" s="57" t="n">
        <f aca="false">Y419</f>
        <v>0</v>
      </c>
    </row>
    <row r="421" customFormat="false" ht="13.9" hidden="false" customHeight="true" outlineLevel="0" collapsed="false">
      <c r="D421" s="60" t="s">
        <v>241</v>
      </c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1"/>
      <c r="S421" s="60"/>
      <c r="T421" s="61"/>
      <c r="U421" s="60"/>
      <c r="V421" s="61"/>
      <c r="W421" s="60"/>
      <c r="X421" s="61"/>
      <c r="Y421" s="60"/>
      <c r="Z421" s="60"/>
    </row>
    <row r="422" customFormat="false" ht="13.9" hidden="false" customHeight="true" outlineLevel="0" collapsed="false">
      <c r="D422" s="7" t="s">
        <v>33</v>
      </c>
      <c r="E422" s="7" t="s">
        <v>34</v>
      </c>
      <c r="F422" s="7" t="s">
        <v>35</v>
      </c>
      <c r="G422" s="7" t="s">
        <v>1</v>
      </c>
      <c r="H422" s="7" t="s">
        <v>2</v>
      </c>
      <c r="I422" s="7" t="s">
        <v>3</v>
      </c>
      <c r="J422" s="7" t="s">
        <v>4</v>
      </c>
      <c r="K422" s="7" t="s">
        <v>5</v>
      </c>
      <c r="L422" s="7" t="s">
        <v>6</v>
      </c>
      <c r="M422" s="7" t="s">
        <v>7</v>
      </c>
      <c r="N422" s="7" t="s">
        <v>8</v>
      </c>
      <c r="O422" s="7" t="s">
        <v>9</v>
      </c>
      <c r="P422" s="7" t="s">
        <v>10</v>
      </c>
      <c r="Q422" s="7" t="s">
        <v>11</v>
      </c>
      <c r="R422" s="8" t="s">
        <v>12</v>
      </c>
      <c r="S422" s="7" t="s">
        <v>13</v>
      </c>
      <c r="T422" s="8" t="s">
        <v>14</v>
      </c>
      <c r="U422" s="7" t="s">
        <v>15</v>
      </c>
      <c r="V422" s="8" t="s">
        <v>16</v>
      </c>
      <c r="W422" s="7" t="s">
        <v>17</v>
      </c>
      <c r="X422" s="8" t="s">
        <v>18</v>
      </c>
      <c r="Y422" s="7" t="s">
        <v>19</v>
      </c>
      <c r="Z422" s="7" t="s">
        <v>20</v>
      </c>
    </row>
    <row r="423" customFormat="false" ht="13.9" hidden="false" customHeight="true" outlineLevel="0" collapsed="false">
      <c r="A423" s="1" t="n">
        <v>6</v>
      </c>
      <c r="B423" s="1" t="n">
        <v>2</v>
      </c>
      <c r="C423" s="1" t="n">
        <v>2</v>
      </c>
      <c r="D423" s="76" t="s">
        <v>237</v>
      </c>
      <c r="E423" s="10" t="n">
        <v>620</v>
      </c>
      <c r="F423" s="10" t="s">
        <v>130</v>
      </c>
      <c r="G423" s="11" t="n">
        <v>283.87</v>
      </c>
      <c r="H423" s="11" t="n">
        <v>113.17</v>
      </c>
      <c r="I423" s="11" t="n">
        <v>0</v>
      </c>
      <c r="J423" s="11" t="n">
        <v>123</v>
      </c>
      <c r="K423" s="11" t="n">
        <v>125</v>
      </c>
      <c r="L423" s="11"/>
      <c r="M423" s="11"/>
      <c r="N423" s="11"/>
      <c r="O423" s="11" t="n">
        <v>-114</v>
      </c>
      <c r="P423" s="11" t="n">
        <f aca="false">K423+SUM(L423:O423)</f>
        <v>11</v>
      </c>
      <c r="Q423" s="11" t="n">
        <v>11.15</v>
      </c>
      <c r="R423" s="12" t="n">
        <f aca="false">Q423/$P423</f>
        <v>1.01363636363636</v>
      </c>
      <c r="S423" s="11" t="n">
        <v>11.15</v>
      </c>
      <c r="T423" s="12" t="n">
        <f aca="false">S423/$P423</f>
        <v>1.01363636363636</v>
      </c>
      <c r="U423" s="11" t="n">
        <v>11.15</v>
      </c>
      <c r="V423" s="12" t="n">
        <f aca="false">U423/$P423</f>
        <v>1.01363636363636</v>
      </c>
      <c r="W423" s="11" t="n">
        <v>11.15</v>
      </c>
      <c r="X423" s="12" t="n">
        <f aca="false">W423/$P423</f>
        <v>1.01363636363636</v>
      </c>
      <c r="Y423" s="11" t="n">
        <f aca="false">K423</f>
        <v>125</v>
      </c>
      <c r="Z423" s="11" t="n">
        <f aca="false">Y423</f>
        <v>125</v>
      </c>
    </row>
    <row r="424" customFormat="false" ht="13.9" hidden="false" customHeight="true" outlineLevel="0" collapsed="false">
      <c r="A424" s="1" t="n">
        <v>6</v>
      </c>
      <c r="B424" s="1" t="n">
        <v>2</v>
      </c>
      <c r="C424" s="1" t="n">
        <v>2</v>
      </c>
      <c r="D424" s="76"/>
      <c r="E424" s="10" t="n">
        <v>630</v>
      </c>
      <c r="F424" s="10" t="s">
        <v>131</v>
      </c>
      <c r="G424" s="11" t="n">
        <v>12322.91</v>
      </c>
      <c r="H424" s="11" t="n">
        <v>7878.75</v>
      </c>
      <c r="I424" s="11" t="n">
        <v>9500</v>
      </c>
      <c r="J424" s="11" t="n">
        <v>8922</v>
      </c>
      <c r="K424" s="11" t="n">
        <v>9695</v>
      </c>
      <c r="L424" s="11"/>
      <c r="M424" s="11"/>
      <c r="N424" s="11" t="n">
        <v>-7925</v>
      </c>
      <c r="O424" s="11" t="n">
        <v>114</v>
      </c>
      <c r="P424" s="11" t="n">
        <f aca="false">K424+SUM(L424:O424)</f>
        <v>1884</v>
      </c>
      <c r="Q424" s="11" t="n">
        <v>48.86</v>
      </c>
      <c r="R424" s="12" t="n">
        <f aca="false">Q424/$P424</f>
        <v>0.0259341825902335</v>
      </c>
      <c r="S424" s="11" t="n">
        <v>48.86</v>
      </c>
      <c r="T424" s="12" t="n">
        <f aca="false">S424/$P424</f>
        <v>0.0259341825902335</v>
      </c>
      <c r="U424" s="11" t="n">
        <v>1018.86</v>
      </c>
      <c r="V424" s="12" t="n">
        <f aca="false">U424/$P424</f>
        <v>0.540796178343949</v>
      </c>
      <c r="W424" s="11" t="n">
        <v>1852.86</v>
      </c>
      <c r="X424" s="12" t="n">
        <f aca="false">W424/$P424</f>
        <v>0.983471337579618</v>
      </c>
      <c r="Y424" s="11" t="n">
        <f aca="false">K424</f>
        <v>9695</v>
      </c>
      <c r="Z424" s="11" t="n">
        <f aca="false">Y424</f>
        <v>9695</v>
      </c>
    </row>
    <row r="425" customFormat="false" ht="13.9" hidden="false" customHeight="true" outlineLevel="0" collapsed="false">
      <c r="A425" s="1" t="n">
        <v>6</v>
      </c>
      <c r="B425" s="1" t="n">
        <v>2</v>
      </c>
      <c r="C425" s="1" t="n">
        <v>2</v>
      </c>
      <c r="D425" s="76"/>
      <c r="E425" s="10" t="n">
        <v>640</v>
      </c>
      <c r="F425" s="10" t="s">
        <v>132</v>
      </c>
      <c r="G425" s="11" t="n">
        <v>8350</v>
      </c>
      <c r="H425" s="11" t="n">
        <v>4850</v>
      </c>
      <c r="I425" s="11" t="n">
        <v>4350</v>
      </c>
      <c r="J425" s="11" t="n">
        <v>4350</v>
      </c>
      <c r="K425" s="11" t="n">
        <v>2650</v>
      </c>
      <c r="L425" s="11"/>
      <c r="M425" s="11"/>
      <c r="N425" s="11" t="n">
        <v>-2500</v>
      </c>
      <c r="O425" s="11"/>
      <c r="P425" s="11" t="n">
        <f aca="false">K425+SUM(L425:O425)</f>
        <v>150</v>
      </c>
      <c r="Q425" s="11" t="n">
        <v>0</v>
      </c>
      <c r="R425" s="12" t="n">
        <f aca="false">Q425/$P425</f>
        <v>0</v>
      </c>
      <c r="S425" s="11" t="n">
        <v>0</v>
      </c>
      <c r="T425" s="12" t="n">
        <f aca="false">S425/$P425</f>
        <v>0</v>
      </c>
      <c r="U425" s="11" t="n">
        <v>0</v>
      </c>
      <c r="V425" s="12" t="n">
        <f aca="false">U425/$P425</f>
        <v>0</v>
      </c>
      <c r="W425" s="11" t="n">
        <v>0</v>
      </c>
      <c r="X425" s="12" t="n">
        <f aca="false">W425/$P425</f>
        <v>0</v>
      </c>
      <c r="Y425" s="11" t="n">
        <f aca="false">K425</f>
        <v>2650</v>
      </c>
      <c r="Z425" s="11" t="n">
        <f aca="false">Y425</f>
        <v>2650</v>
      </c>
    </row>
    <row r="426" customFormat="false" ht="13.9" hidden="false" customHeight="true" outlineLevel="0" collapsed="false">
      <c r="A426" s="1" t="n">
        <v>6</v>
      </c>
      <c r="B426" s="1" t="n">
        <v>2</v>
      </c>
      <c r="C426" s="1" t="n">
        <v>2</v>
      </c>
      <c r="D426" s="67" t="s">
        <v>21</v>
      </c>
      <c r="E426" s="13" t="n">
        <v>41</v>
      </c>
      <c r="F426" s="13" t="s">
        <v>23</v>
      </c>
      <c r="G426" s="14" t="n">
        <f aca="false">SUM(G423:G425)</f>
        <v>20956.78</v>
      </c>
      <c r="H426" s="14" t="n">
        <f aca="false">SUM(H423:H425)</f>
        <v>12841.92</v>
      </c>
      <c r="I426" s="14" t="n">
        <f aca="false">SUM(I423:I425)</f>
        <v>13850</v>
      </c>
      <c r="J426" s="14" t="n">
        <f aca="false">SUM(J423:J425)</f>
        <v>13395</v>
      </c>
      <c r="K426" s="14" t="n">
        <f aca="false">SUM(K423:K425)</f>
        <v>12470</v>
      </c>
      <c r="L426" s="14" t="n">
        <f aca="false">SUM(L423:L425)</f>
        <v>0</v>
      </c>
      <c r="M426" s="14" t="n">
        <f aca="false">SUM(M423:M425)</f>
        <v>0</v>
      </c>
      <c r="N426" s="14" t="n">
        <f aca="false">SUM(N423:N425)</f>
        <v>-10425</v>
      </c>
      <c r="O426" s="14" t="n">
        <f aca="false">SUM(O423:O425)</f>
        <v>0</v>
      </c>
      <c r="P426" s="14" t="n">
        <f aca="false">SUM(P423:P425)</f>
        <v>2045</v>
      </c>
      <c r="Q426" s="14" t="n">
        <f aca="false">SUM(Q423:Q425)</f>
        <v>60.01</v>
      </c>
      <c r="R426" s="15" t="n">
        <f aca="false">Q426/$P426</f>
        <v>0.0293447432762836</v>
      </c>
      <c r="S426" s="14" t="n">
        <f aca="false">SUM(S423:S425)</f>
        <v>60.01</v>
      </c>
      <c r="T426" s="15" t="n">
        <f aca="false">S426/$P426</f>
        <v>0.0293447432762836</v>
      </c>
      <c r="U426" s="14" t="n">
        <f aca="false">SUM(U423:U425)</f>
        <v>1030.01</v>
      </c>
      <c r="V426" s="15" t="n">
        <f aca="false">U426/$P426</f>
        <v>0.503672371638142</v>
      </c>
      <c r="W426" s="14" t="n">
        <f aca="false">SUM(W423:W425)</f>
        <v>1864.01</v>
      </c>
      <c r="X426" s="15" t="n">
        <f aca="false">W426/$P426</f>
        <v>0.911496332518337</v>
      </c>
      <c r="Y426" s="14" t="n">
        <f aca="false">SUM(Y423:Y425)</f>
        <v>12470</v>
      </c>
      <c r="Z426" s="14" t="n">
        <f aca="false">SUM(Z423:Z425)</f>
        <v>12470</v>
      </c>
    </row>
    <row r="428" customFormat="false" ht="13.9" hidden="false" customHeight="true" outlineLevel="0" collapsed="false">
      <c r="E428" s="39" t="s">
        <v>57</v>
      </c>
      <c r="F428" s="17" t="s">
        <v>242</v>
      </c>
      <c r="G428" s="40" t="n">
        <v>4000</v>
      </c>
      <c r="H428" s="40"/>
      <c r="I428" s="40"/>
      <c r="J428" s="40"/>
      <c r="K428" s="40" t="n">
        <v>0</v>
      </c>
      <c r="L428" s="40"/>
      <c r="M428" s="40"/>
      <c r="N428" s="40"/>
      <c r="O428" s="40"/>
      <c r="P428" s="40" t="n">
        <f aca="false">K428+SUM(L428:O428)</f>
        <v>0</v>
      </c>
      <c r="Q428" s="40" t="n">
        <v>0</v>
      </c>
      <c r="R428" s="41" t="e">
        <f aca="false">Q428/$P428</f>
        <v>#DIV/0!</v>
      </c>
      <c r="S428" s="40" t="n">
        <v>0</v>
      </c>
      <c r="T428" s="41" t="e">
        <f aca="false">S428/$P428</f>
        <v>#DIV/0!</v>
      </c>
      <c r="U428" s="40" t="n">
        <v>0</v>
      </c>
      <c r="V428" s="41" t="e">
        <f aca="false">U428/$P428</f>
        <v>#DIV/0!</v>
      </c>
      <c r="W428" s="40" t="n">
        <v>0</v>
      </c>
      <c r="X428" s="42" t="e">
        <f aca="false">W428/$P428</f>
        <v>#DIV/0!</v>
      </c>
      <c r="Y428" s="40"/>
      <c r="Z428" s="43"/>
    </row>
    <row r="429" customFormat="false" ht="13.9" hidden="false" customHeight="true" outlineLevel="0" collapsed="false">
      <c r="E429" s="44"/>
      <c r="F429" s="1" t="s">
        <v>243</v>
      </c>
      <c r="G429" s="46" t="n">
        <v>4000</v>
      </c>
      <c r="H429" s="46" t="n">
        <v>4000</v>
      </c>
      <c r="I429" s="46" t="n">
        <v>4000</v>
      </c>
      <c r="J429" s="46" t="n">
        <v>4000</v>
      </c>
      <c r="K429" s="46" t="n">
        <v>2500</v>
      </c>
      <c r="L429" s="46"/>
      <c r="M429" s="46"/>
      <c r="N429" s="46" t="n">
        <v>-2500</v>
      </c>
      <c r="O429" s="46"/>
      <c r="P429" s="46" t="n">
        <f aca="false">K429+SUM(L429:O429)</f>
        <v>0</v>
      </c>
      <c r="Q429" s="46" t="n">
        <v>0</v>
      </c>
      <c r="R429" s="2" t="e">
        <f aca="false">Q429/$P429</f>
        <v>#DIV/0!</v>
      </c>
      <c r="S429" s="46" t="n">
        <v>0</v>
      </c>
      <c r="T429" s="2" t="e">
        <f aca="false">S429/$P429</f>
        <v>#DIV/0!</v>
      </c>
      <c r="U429" s="46" t="n">
        <v>0</v>
      </c>
      <c r="V429" s="2" t="e">
        <f aca="false">U429/$P429</f>
        <v>#DIV/0!</v>
      </c>
      <c r="W429" s="46" t="n">
        <v>0</v>
      </c>
      <c r="X429" s="47" t="e">
        <f aca="false">W429/$P429</f>
        <v>#DIV/0!</v>
      </c>
      <c r="Y429" s="46" t="n">
        <f aca="false">K429</f>
        <v>2500</v>
      </c>
      <c r="Z429" s="48" t="n">
        <f aca="false">Y429</f>
        <v>2500</v>
      </c>
    </row>
    <row r="430" customFormat="false" ht="13.9" hidden="false" customHeight="true" outlineLevel="0" collapsed="false">
      <c r="E430" s="44"/>
      <c r="F430" s="1" t="s">
        <v>244</v>
      </c>
      <c r="G430" s="46"/>
      <c r="H430" s="46" t="n">
        <v>850</v>
      </c>
      <c r="I430" s="46" t="n">
        <v>400</v>
      </c>
      <c r="J430" s="46" t="n">
        <v>350</v>
      </c>
      <c r="K430" s="46" t="n">
        <v>150</v>
      </c>
      <c r="L430" s="46"/>
      <c r="M430" s="46"/>
      <c r="N430" s="46"/>
      <c r="O430" s="46"/>
      <c r="P430" s="46" t="n">
        <f aca="false">K430+SUM(L430:O430)</f>
        <v>150</v>
      </c>
      <c r="Q430" s="46" t="n">
        <v>0</v>
      </c>
      <c r="R430" s="2" t="n">
        <f aca="false">Q430/$P430</f>
        <v>0</v>
      </c>
      <c r="S430" s="46" t="n">
        <v>0</v>
      </c>
      <c r="T430" s="2" t="n">
        <f aca="false">S430/$P430</f>
        <v>0</v>
      </c>
      <c r="U430" s="46" t="n">
        <v>0</v>
      </c>
      <c r="V430" s="2" t="n">
        <f aca="false">U430/$P430</f>
        <v>0</v>
      </c>
      <c r="W430" s="46" t="n">
        <v>0</v>
      </c>
      <c r="X430" s="47" t="n">
        <f aca="false">W430/$P430</f>
        <v>0</v>
      </c>
      <c r="Y430" s="46" t="n">
        <f aca="false">K430</f>
        <v>150</v>
      </c>
      <c r="Z430" s="48" t="n">
        <f aca="false">Y430</f>
        <v>150</v>
      </c>
    </row>
    <row r="431" customFormat="false" ht="13.9" hidden="false" customHeight="true" outlineLevel="0" collapsed="false">
      <c r="E431" s="44"/>
      <c r="F431" s="1" t="s">
        <v>245</v>
      </c>
      <c r="G431" s="46" t="n">
        <v>8024.46</v>
      </c>
      <c r="H431" s="46" t="n">
        <v>4104.4</v>
      </c>
      <c r="I431" s="46" t="n">
        <v>4000</v>
      </c>
      <c r="J431" s="46" t="n">
        <v>4513</v>
      </c>
      <c r="K431" s="49" t="n">
        <v>5000</v>
      </c>
      <c r="L431" s="49"/>
      <c r="M431" s="49"/>
      <c r="N431" s="49" t="n">
        <v>-5000</v>
      </c>
      <c r="O431" s="49"/>
      <c r="P431" s="49" t="n">
        <f aca="false">K431+SUM(L431:O431)</f>
        <v>0</v>
      </c>
      <c r="Q431" s="49" t="n">
        <v>0</v>
      </c>
      <c r="R431" s="50" t="e">
        <f aca="false">Q431/$P431</f>
        <v>#DIV/0!</v>
      </c>
      <c r="S431" s="49" t="n">
        <v>0</v>
      </c>
      <c r="T431" s="50" t="e">
        <f aca="false">S431/$P431</f>
        <v>#DIV/0!</v>
      </c>
      <c r="U431" s="49" t="n">
        <v>0</v>
      </c>
      <c r="V431" s="50" t="e">
        <f aca="false">U431/$P431</f>
        <v>#DIV/0!</v>
      </c>
      <c r="W431" s="49" t="n">
        <v>0</v>
      </c>
      <c r="X431" s="51" t="e">
        <f aca="false">W431/$P431</f>
        <v>#DIV/0!</v>
      </c>
      <c r="Y431" s="46" t="n">
        <f aca="false">K431</f>
        <v>5000</v>
      </c>
      <c r="Z431" s="48" t="n">
        <f aca="false">Y431</f>
        <v>5000</v>
      </c>
    </row>
    <row r="432" customFormat="false" ht="13.9" hidden="false" customHeight="true" outlineLevel="0" collapsed="false">
      <c r="E432" s="52"/>
      <c r="F432" s="86" t="s">
        <v>246</v>
      </c>
      <c r="G432" s="73" t="n">
        <v>4298.45</v>
      </c>
      <c r="H432" s="73" t="n">
        <v>3887.52</v>
      </c>
      <c r="I432" s="73" t="n">
        <v>5450</v>
      </c>
      <c r="J432" s="73" t="n">
        <v>4180</v>
      </c>
      <c r="K432" s="73" t="n">
        <v>4200</v>
      </c>
      <c r="L432" s="73"/>
      <c r="M432" s="73"/>
      <c r="N432" s="73" t="n">
        <v>-3050</v>
      </c>
      <c r="O432" s="73"/>
      <c r="P432" s="73" t="n">
        <f aca="false">K432+SUM(L432:O432)</f>
        <v>1150</v>
      </c>
      <c r="Q432" s="73" t="n">
        <v>0</v>
      </c>
      <c r="R432" s="87" t="n">
        <f aca="false">Q432/$P432</f>
        <v>0</v>
      </c>
      <c r="S432" s="73" t="n">
        <v>0</v>
      </c>
      <c r="T432" s="87" t="n">
        <f aca="false">S432/$P432</f>
        <v>0</v>
      </c>
      <c r="U432" s="73" t="n">
        <v>0</v>
      </c>
      <c r="V432" s="87" t="n">
        <f aca="false">U432/$P432</f>
        <v>0</v>
      </c>
      <c r="W432" s="73" t="n">
        <v>0</v>
      </c>
      <c r="X432" s="88" t="n">
        <f aca="false">W432/$P432</f>
        <v>0</v>
      </c>
      <c r="Y432" s="73" t="n">
        <f aca="false">K432</f>
        <v>4200</v>
      </c>
      <c r="Z432" s="57" t="n">
        <f aca="false">Y432</f>
        <v>4200</v>
      </c>
    </row>
    <row r="434" customFormat="false" ht="13.9" hidden="false" customHeight="true" outlineLevel="0" collapsed="false">
      <c r="D434" s="60" t="s">
        <v>247</v>
      </c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1"/>
      <c r="S434" s="60"/>
      <c r="T434" s="61"/>
      <c r="U434" s="60"/>
      <c r="V434" s="61"/>
      <c r="W434" s="60"/>
      <c r="X434" s="61"/>
      <c r="Y434" s="60"/>
      <c r="Z434" s="60"/>
    </row>
    <row r="435" customFormat="false" ht="13.9" hidden="false" customHeight="true" outlineLevel="0" collapsed="false">
      <c r="D435" s="7" t="s">
        <v>33</v>
      </c>
      <c r="E435" s="7" t="s">
        <v>34</v>
      </c>
      <c r="F435" s="7" t="s">
        <v>35</v>
      </c>
      <c r="G435" s="7" t="s">
        <v>1</v>
      </c>
      <c r="H435" s="7" t="s">
        <v>2</v>
      </c>
      <c r="I435" s="7" t="s">
        <v>3</v>
      </c>
      <c r="J435" s="7" t="s">
        <v>4</v>
      </c>
      <c r="K435" s="7" t="s">
        <v>5</v>
      </c>
      <c r="L435" s="7" t="s">
        <v>6</v>
      </c>
      <c r="M435" s="7" t="s">
        <v>7</v>
      </c>
      <c r="N435" s="7" t="s">
        <v>8</v>
      </c>
      <c r="O435" s="7" t="s">
        <v>9</v>
      </c>
      <c r="P435" s="7" t="s">
        <v>10</v>
      </c>
      <c r="Q435" s="7" t="s">
        <v>11</v>
      </c>
      <c r="R435" s="8" t="s">
        <v>12</v>
      </c>
      <c r="S435" s="7" t="s">
        <v>13</v>
      </c>
      <c r="T435" s="8" t="s">
        <v>14</v>
      </c>
      <c r="U435" s="7" t="s">
        <v>15</v>
      </c>
      <c r="V435" s="8" t="s">
        <v>16</v>
      </c>
      <c r="W435" s="7" t="s">
        <v>17</v>
      </c>
      <c r="X435" s="8" t="s">
        <v>18</v>
      </c>
      <c r="Y435" s="7" t="s">
        <v>19</v>
      </c>
      <c r="Z435" s="7" t="s">
        <v>20</v>
      </c>
    </row>
    <row r="436" customFormat="false" ht="13.9" hidden="false" customHeight="true" outlineLevel="0" collapsed="false">
      <c r="A436" s="1" t="n">
        <v>6</v>
      </c>
      <c r="B436" s="1" t="n">
        <v>2</v>
      </c>
      <c r="C436" s="1" t="n">
        <v>3</v>
      </c>
      <c r="D436" s="38" t="s">
        <v>237</v>
      </c>
      <c r="E436" s="10" t="n">
        <v>620</v>
      </c>
      <c r="F436" s="10" t="s">
        <v>130</v>
      </c>
      <c r="G436" s="11" t="n">
        <v>125.7</v>
      </c>
      <c r="H436" s="11" t="n">
        <v>566.7</v>
      </c>
      <c r="I436" s="11" t="n">
        <v>440</v>
      </c>
      <c r="J436" s="11" t="n">
        <v>188</v>
      </c>
      <c r="K436" s="11" t="n">
        <v>138</v>
      </c>
      <c r="L436" s="11"/>
      <c r="M436" s="11"/>
      <c r="N436" s="11" t="n">
        <v>-117</v>
      </c>
      <c r="O436" s="11"/>
      <c r="P436" s="11" t="n">
        <f aca="false">K436+SUM(L436:O436)</f>
        <v>21</v>
      </c>
      <c r="Q436" s="11" t="n">
        <v>13.43</v>
      </c>
      <c r="R436" s="12" t="n">
        <f aca="false">Q436/$P436</f>
        <v>0.63952380952381</v>
      </c>
      <c r="S436" s="11" t="n">
        <v>15.39</v>
      </c>
      <c r="T436" s="12" t="n">
        <f aca="false">S436/$P436</f>
        <v>0.732857142857143</v>
      </c>
      <c r="U436" s="11" t="n">
        <v>18.33</v>
      </c>
      <c r="V436" s="12" t="n">
        <f aca="false">U436/$P436</f>
        <v>0.872857142857143</v>
      </c>
      <c r="W436" s="11" t="n">
        <v>21.27</v>
      </c>
      <c r="X436" s="12" t="n">
        <f aca="false">W436/$P436</f>
        <v>1.01285714285714</v>
      </c>
      <c r="Y436" s="11" t="n">
        <f aca="false">K436</f>
        <v>138</v>
      </c>
      <c r="Z436" s="11" t="n">
        <f aca="false">Y436</f>
        <v>138</v>
      </c>
    </row>
    <row r="437" customFormat="false" ht="13.9" hidden="false" customHeight="true" outlineLevel="0" collapsed="false">
      <c r="A437" s="1" t="n">
        <v>6</v>
      </c>
      <c r="B437" s="1" t="n">
        <v>2</v>
      </c>
      <c r="C437" s="1" t="n">
        <v>3</v>
      </c>
      <c r="D437" s="38" t="s">
        <v>237</v>
      </c>
      <c r="E437" s="10" t="n">
        <v>630</v>
      </c>
      <c r="F437" s="10" t="s">
        <v>131</v>
      </c>
      <c r="G437" s="11" t="n">
        <v>1216.44</v>
      </c>
      <c r="H437" s="11" t="n">
        <v>4495.34</v>
      </c>
      <c r="I437" s="11" t="n">
        <v>2895</v>
      </c>
      <c r="J437" s="11" t="n">
        <v>3854</v>
      </c>
      <c r="K437" s="11" t="n">
        <v>3700</v>
      </c>
      <c r="L437" s="11"/>
      <c r="M437" s="11"/>
      <c r="N437" s="11" t="n">
        <v>-1398</v>
      </c>
      <c r="O437" s="11"/>
      <c r="P437" s="11" t="n">
        <f aca="false">K437+SUM(L437:O437)</f>
        <v>2302</v>
      </c>
      <c r="Q437" s="11" t="n">
        <v>497.43</v>
      </c>
      <c r="R437" s="12" t="n">
        <f aca="false">Q437/$P437</f>
        <v>0.216086012163336</v>
      </c>
      <c r="S437" s="11" t="n">
        <v>1071.12</v>
      </c>
      <c r="T437" s="12" t="n">
        <f aca="false">S437/$P437</f>
        <v>0.465299739357081</v>
      </c>
      <c r="U437" s="11" t="n">
        <v>1441.47</v>
      </c>
      <c r="V437" s="12" t="n">
        <f aca="false">U437/$P437</f>
        <v>0.62618158123371</v>
      </c>
      <c r="W437" s="11" t="n">
        <v>2249.59</v>
      </c>
      <c r="X437" s="12" t="n">
        <f aca="false">W437/$P437</f>
        <v>0.977232841007819</v>
      </c>
      <c r="Y437" s="11" t="n">
        <f aca="false">K437</f>
        <v>3700</v>
      </c>
      <c r="Z437" s="11" t="n">
        <f aca="false">Y437</f>
        <v>3700</v>
      </c>
    </row>
    <row r="438" customFormat="false" ht="13.9" hidden="false" customHeight="true" outlineLevel="0" collapsed="false">
      <c r="A438" s="1" t="n">
        <v>6</v>
      </c>
      <c r="B438" s="1" t="n">
        <v>2</v>
      </c>
      <c r="C438" s="1" t="n">
        <v>3</v>
      </c>
      <c r="D438" s="67" t="s">
        <v>21</v>
      </c>
      <c r="E438" s="13" t="n">
        <v>41</v>
      </c>
      <c r="F438" s="13" t="s">
        <v>23</v>
      </c>
      <c r="G438" s="14" t="n">
        <f aca="false">SUM(G436:G437)</f>
        <v>1342.14</v>
      </c>
      <c r="H438" s="14" t="n">
        <f aca="false">SUM(H436:H437)</f>
        <v>5062.04</v>
      </c>
      <c r="I438" s="14" t="n">
        <f aca="false">SUM(I436:I437)</f>
        <v>3335</v>
      </c>
      <c r="J438" s="14" t="n">
        <f aca="false">SUM(J436:J437)</f>
        <v>4042</v>
      </c>
      <c r="K438" s="14" t="n">
        <f aca="false">SUM(K436:K437)</f>
        <v>3838</v>
      </c>
      <c r="L438" s="14" t="n">
        <f aca="false">SUM(L436:L437)</f>
        <v>0</v>
      </c>
      <c r="M438" s="14" t="n">
        <f aca="false">SUM(M436:M437)</f>
        <v>0</v>
      </c>
      <c r="N438" s="14" t="n">
        <f aca="false">SUM(N436:N437)</f>
        <v>-1515</v>
      </c>
      <c r="O438" s="14" t="n">
        <f aca="false">SUM(O436:O437)</f>
        <v>0</v>
      </c>
      <c r="P438" s="14" t="n">
        <f aca="false">SUM(P436:P437)</f>
        <v>2323</v>
      </c>
      <c r="Q438" s="14" t="n">
        <f aca="false">SUM(Q436:Q437)</f>
        <v>510.86</v>
      </c>
      <c r="R438" s="15" t="n">
        <f aca="false">Q438/$P438</f>
        <v>0.219913904433922</v>
      </c>
      <c r="S438" s="14" t="n">
        <f aca="false">SUM(S436:S437)</f>
        <v>1086.51</v>
      </c>
      <c r="T438" s="15" t="n">
        <f aca="false">S438/$P438</f>
        <v>0.467718467498924</v>
      </c>
      <c r="U438" s="14" t="n">
        <f aca="false">SUM(U436:U437)</f>
        <v>1459.8</v>
      </c>
      <c r="V438" s="15" t="n">
        <f aca="false">U438/$P438</f>
        <v>0.628411536805854</v>
      </c>
      <c r="W438" s="14" t="n">
        <f aca="false">SUM(W436:W437)</f>
        <v>2270.86</v>
      </c>
      <c r="X438" s="15" t="n">
        <f aca="false">W438/$P438</f>
        <v>0.977554885923375</v>
      </c>
      <c r="Y438" s="14" t="n">
        <f aca="false">SUM(Y436:Y437)</f>
        <v>3838</v>
      </c>
      <c r="Z438" s="14" t="n">
        <f aca="false">SUM(Z436:Z437)</f>
        <v>3838</v>
      </c>
    </row>
    <row r="440" customFormat="false" ht="13.9" hidden="false" customHeight="true" outlineLevel="0" collapsed="false">
      <c r="D440" s="28" t="s">
        <v>248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9"/>
      <c r="S440" s="28"/>
      <c r="T440" s="29"/>
      <c r="U440" s="28"/>
      <c r="V440" s="29"/>
      <c r="W440" s="28"/>
      <c r="X440" s="29"/>
      <c r="Y440" s="28"/>
      <c r="Z440" s="28"/>
    </row>
    <row r="441" customFormat="false" ht="13.9" hidden="false" customHeight="true" outlineLevel="0" collapsed="false">
      <c r="D441" s="7"/>
      <c r="E441" s="7"/>
      <c r="F441" s="7"/>
      <c r="G441" s="7" t="s">
        <v>1</v>
      </c>
      <c r="H441" s="7" t="s">
        <v>2</v>
      </c>
      <c r="I441" s="7" t="s">
        <v>3</v>
      </c>
      <c r="J441" s="7" t="s">
        <v>4</v>
      </c>
      <c r="K441" s="7" t="s">
        <v>5</v>
      </c>
      <c r="L441" s="7" t="s">
        <v>6</v>
      </c>
      <c r="M441" s="7" t="s">
        <v>7</v>
      </c>
      <c r="N441" s="7" t="s">
        <v>8</v>
      </c>
      <c r="O441" s="7" t="s">
        <v>9</v>
      </c>
      <c r="P441" s="7" t="s">
        <v>10</v>
      </c>
      <c r="Q441" s="7" t="s">
        <v>11</v>
      </c>
      <c r="R441" s="8" t="s">
        <v>12</v>
      </c>
      <c r="S441" s="7" t="s">
        <v>13</v>
      </c>
      <c r="T441" s="8" t="s">
        <v>14</v>
      </c>
      <c r="U441" s="7" t="s">
        <v>15</v>
      </c>
      <c r="V441" s="8" t="s">
        <v>16</v>
      </c>
      <c r="W441" s="7" t="s">
        <v>17</v>
      </c>
      <c r="X441" s="8" t="s">
        <v>18</v>
      </c>
      <c r="Y441" s="7" t="s">
        <v>19</v>
      </c>
      <c r="Z441" s="7" t="s">
        <v>20</v>
      </c>
    </row>
    <row r="442" customFormat="false" ht="13.9" hidden="false" customHeight="true" outlineLevel="0" collapsed="false">
      <c r="A442" s="1" t="n">
        <v>6</v>
      </c>
      <c r="B442" s="1" t="n">
        <v>3</v>
      </c>
      <c r="D442" s="30" t="s">
        <v>21</v>
      </c>
      <c r="E442" s="10" t="n">
        <v>41</v>
      </c>
      <c r="F442" s="10" t="s">
        <v>23</v>
      </c>
      <c r="G442" s="11" t="n">
        <f aca="false">G449+G459</f>
        <v>10445.56</v>
      </c>
      <c r="H442" s="11" t="n">
        <f aca="false">H449+H459</f>
        <v>9964.72</v>
      </c>
      <c r="I442" s="11" t="n">
        <f aca="false">I449+I459</f>
        <v>10139</v>
      </c>
      <c r="J442" s="11" t="n">
        <f aca="false">J449+J459</f>
        <v>11091</v>
      </c>
      <c r="K442" s="11" t="n">
        <f aca="false">K449+K459</f>
        <v>11575</v>
      </c>
      <c r="L442" s="11" t="n">
        <f aca="false">L449+L459</f>
        <v>0</v>
      </c>
      <c r="M442" s="11" t="n">
        <f aca="false">M449+M459</f>
        <v>1673</v>
      </c>
      <c r="N442" s="11" t="n">
        <f aca="false">N449+N459</f>
        <v>2558</v>
      </c>
      <c r="O442" s="11" t="n">
        <f aca="false">O449+O459</f>
        <v>0</v>
      </c>
      <c r="P442" s="11" t="n">
        <f aca="false">P449+P459</f>
        <v>15806</v>
      </c>
      <c r="Q442" s="11" t="n">
        <f aca="false">Q449+Q459</f>
        <v>3745.24</v>
      </c>
      <c r="R442" s="12" t="n">
        <f aca="false">Q442/$P442</f>
        <v>0.236950525117044</v>
      </c>
      <c r="S442" s="11" t="n">
        <f aca="false">S449+S459</f>
        <v>7467.57</v>
      </c>
      <c r="T442" s="12" t="n">
        <f aca="false">S442/$P442</f>
        <v>0.472451600657978</v>
      </c>
      <c r="U442" s="11" t="n">
        <f aca="false">U449+U459</f>
        <v>10276.47</v>
      </c>
      <c r="V442" s="12" t="n">
        <f aca="false">U442/$P442</f>
        <v>0.650162596482349</v>
      </c>
      <c r="W442" s="11" t="n">
        <f aca="false">W449+W459</f>
        <v>13384.27</v>
      </c>
      <c r="X442" s="12" t="n">
        <f aca="false">W442/$P442</f>
        <v>0.84678413260787</v>
      </c>
      <c r="Y442" s="11" t="n">
        <f aca="false">Y449+Y459</f>
        <v>9575</v>
      </c>
      <c r="Z442" s="11" t="n">
        <f aca="false">Z449+Z459</f>
        <v>9575</v>
      </c>
    </row>
    <row r="443" customFormat="false" ht="13.9" hidden="false" customHeight="true" outlineLevel="0" collapsed="false">
      <c r="A443" s="1" t="n">
        <v>6</v>
      </c>
      <c r="B443" s="1" t="n">
        <v>3</v>
      </c>
      <c r="D443" s="17"/>
      <c r="E443" s="18"/>
      <c r="F443" s="13" t="s">
        <v>124</v>
      </c>
      <c r="G443" s="14" t="n">
        <f aca="false">SUM(G442:G442)</f>
        <v>10445.56</v>
      </c>
      <c r="H443" s="14" t="n">
        <f aca="false">SUM(H442:H442)</f>
        <v>9964.72</v>
      </c>
      <c r="I443" s="14" t="n">
        <f aca="false">SUM(I442:I442)</f>
        <v>10139</v>
      </c>
      <c r="J443" s="14" t="n">
        <f aca="false">SUM(J442:J442)</f>
        <v>11091</v>
      </c>
      <c r="K443" s="14" t="n">
        <f aca="false">SUM(K442:K442)</f>
        <v>11575</v>
      </c>
      <c r="L443" s="14" t="n">
        <f aca="false">SUM(L442:L442)</f>
        <v>0</v>
      </c>
      <c r="M443" s="14" t="n">
        <f aca="false">SUM(M442:M442)</f>
        <v>1673</v>
      </c>
      <c r="N443" s="14" t="n">
        <f aca="false">SUM(N442:N442)</f>
        <v>2558</v>
      </c>
      <c r="O443" s="14" t="n">
        <f aca="false">SUM(O442:O442)</f>
        <v>0</v>
      </c>
      <c r="P443" s="14" t="n">
        <f aca="false">SUM(P442:P442)</f>
        <v>15806</v>
      </c>
      <c r="Q443" s="14" t="n">
        <f aca="false">SUM(Q442:Q442)</f>
        <v>3745.24</v>
      </c>
      <c r="R443" s="15" t="n">
        <f aca="false">Q443/$P443</f>
        <v>0.236950525117044</v>
      </c>
      <c r="S443" s="14" t="n">
        <f aca="false">SUM(S442:S442)</f>
        <v>7467.57</v>
      </c>
      <c r="T443" s="15" t="n">
        <f aca="false">S443/$P443</f>
        <v>0.472451600657978</v>
      </c>
      <c r="U443" s="14" t="n">
        <f aca="false">SUM(U442:U442)</f>
        <v>10276.47</v>
      </c>
      <c r="V443" s="15" t="n">
        <f aca="false">U443/$P443</f>
        <v>0.650162596482349</v>
      </c>
      <c r="W443" s="14" t="n">
        <f aca="false">SUM(W442:W442)</f>
        <v>13384.27</v>
      </c>
      <c r="X443" s="15" t="n">
        <f aca="false">W443/$P443</f>
        <v>0.84678413260787</v>
      </c>
      <c r="Y443" s="14" t="n">
        <f aca="false">SUM(Y442:Y442)</f>
        <v>9575</v>
      </c>
      <c r="Z443" s="14" t="n">
        <f aca="false">SUM(Z442:Z442)</f>
        <v>9575</v>
      </c>
    </row>
    <row r="445" customFormat="false" ht="13.9" hidden="false" customHeight="true" outlineLevel="0" collapsed="false">
      <c r="D445" s="60" t="s">
        <v>249</v>
      </c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1"/>
      <c r="S445" s="60"/>
      <c r="T445" s="61"/>
      <c r="U445" s="60"/>
      <c r="V445" s="61"/>
      <c r="W445" s="60"/>
      <c r="X445" s="61"/>
      <c r="Y445" s="60"/>
      <c r="Z445" s="60"/>
    </row>
    <row r="446" customFormat="false" ht="13.9" hidden="false" customHeight="true" outlineLevel="0" collapsed="false">
      <c r="D446" s="7" t="s">
        <v>33</v>
      </c>
      <c r="E446" s="7" t="s">
        <v>34</v>
      </c>
      <c r="F446" s="7" t="s">
        <v>35</v>
      </c>
      <c r="G446" s="7" t="s">
        <v>1</v>
      </c>
      <c r="H446" s="7" t="s">
        <v>2</v>
      </c>
      <c r="I446" s="7" t="s">
        <v>3</v>
      </c>
      <c r="J446" s="7" t="s">
        <v>4</v>
      </c>
      <c r="K446" s="7" t="s">
        <v>5</v>
      </c>
      <c r="L446" s="7" t="s">
        <v>6</v>
      </c>
      <c r="M446" s="7" t="s">
        <v>7</v>
      </c>
      <c r="N446" s="7" t="s">
        <v>8</v>
      </c>
      <c r="O446" s="7" t="s">
        <v>9</v>
      </c>
      <c r="P446" s="7" t="s">
        <v>10</v>
      </c>
      <c r="Q446" s="7" t="s">
        <v>11</v>
      </c>
      <c r="R446" s="8" t="s">
        <v>12</v>
      </c>
      <c r="S446" s="7" t="s">
        <v>13</v>
      </c>
      <c r="T446" s="8" t="s">
        <v>14</v>
      </c>
      <c r="U446" s="7" t="s">
        <v>15</v>
      </c>
      <c r="V446" s="8" t="s">
        <v>16</v>
      </c>
      <c r="W446" s="7" t="s">
        <v>17</v>
      </c>
      <c r="X446" s="8" t="s">
        <v>18</v>
      </c>
      <c r="Y446" s="7" t="s">
        <v>19</v>
      </c>
      <c r="Z446" s="7" t="s">
        <v>20</v>
      </c>
    </row>
    <row r="447" customFormat="false" ht="13.9" hidden="false" customHeight="true" outlineLevel="0" collapsed="false">
      <c r="A447" s="1" t="n">
        <v>6</v>
      </c>
      <c r="B447" s="1" t="n">
        <v>3</v>
      </c>
      <c r="C447" s="1" t="n">
        <v>1</v>
      </c>
      <c r="D447" s="76" t="s">
        <v>250</v>
      </c>
      <c r="E447" s="10" t="n">
        <v>620</v>
      </c>
      <c r="F447" s="10" t="s">
        <v>130</v>
      </c>
      <c r="G447" s="11" t="n">
        <v>0</v>
      </c>
      <c r="H447" s="11" t="n">
        <v>0</v>
      </c>
      <c r="I447" s="11" t="n">
        <v>830</v>
      </c>
      <c r="J447" s="11" t="n">
        <v>565</v>
      </c>
      <c r="K447" s="33" t="n">
        <v>0</v>
      </c>
      <c r="L447" s="33"/>
      <c r="M447" s="33"/>
      <c r="N447" s="33"/>
      <c r="O447" s="33"/>
      <c r="P447" s="33" t="n">
        <f aca="false">K447+SUM(L447:O447)</f>
        <v>0</v>
      </c>
      <c r="Q447" s="33" t="n">
        <v>0</v>
      </c>
      <c r="R447" s="34" t="e">
        <f aca="false">Q447/$P447</f>
        <v>#DIV/0!</v>
      </c>
      <c r="S447" s="33" t="n">
        <v>0</v>
      </c>
      <c r="T447" s="34" t="e">
        <f aca="false">S447/$P447</f>
        <v>#DIV/0!</v>
      </c>
      <c r="U447" s="33" t="n">
        <v>0</v>
      </c>
      <c r="V447" s="34" t="e">
        <f aca="false">U447/$P447</f>
        <v>#DIV/0!</v>
      </c>
      <c r="W447" s="33" t="n">
        <v>0</v>
      </c>
      <c r="X447" s="34" t="e">
        <f aca="false">W447/$P447</f>
        <v>#DIV/0!</v>
      </c>
      <c r="Y447" s="11" t="n">
        <f aca="false">K447</f>
        <v>0</v>
      </c>
      <c r="Z447" s="11" t="n">
        <f aca="false">Y447</f>
        <v>0</v>
      </c>
    </row>
    <row r="448" customFormat="false" ht="13.9" hidden="false" customHeight="true" outlineLevel="0" collapsed="false">
      <c r="A448" s="1" t="n">
        <v>6</v>
      </c>
      <c r="B448" s="1" t="n">
        <v>3</v>
      </c>
      <c r="C448" s="1" t="n">
        <v>1</v>
      </c>
      <c r="D448" s="76" t="s">
        <v>250</v>
      </c>
      <c r="E448" s="10" t="n">
        <v>630</v>
      </c>
      <c r="F448" s="10" t="s">
        <v>131</v>
      </c>
      <c r="G448" s="11" t="n">
        <v>6175.73</v>
      </c>
      <c r="H448" s="11" t="n">
        <v>5564.72</v>
      </c>
      <c r="I448" s="11" t="n">
        <v>4409</v>
      </c>
      <c r="J448" s="11" t="n">
        <v>5714</v>
      </c>
      <c r="K448" s="11" t="n">
        <v>7075</v>
      </c>
      <c r="L448" s="11"/>
      <c r="M448" s="11" t="n">
        <v>1373</v>
      </c>
      <c r="N448" s="11" t="n">
        <f aca="false">700+1658</f>
        <v>2358</v>
      </c>
      <c r="O448" s="11"/>
      <c r="P448" s="11" t="n">
        <f aca="false">K448+SUM(L448:O448)</f>
        <v>10806</v>
      </c>
      <c r="Q448" s="11" t="n">
        <v>1745.24</v>
      </c>
      <c r="R448" s="12" t="n">
        <f aca="false">Q448/$P448</f>
        <v>0.161506570423839</v>
      </c>
      <c r="S448" s="11" t="n">
        <v>4567.57</v>
      </c>
      <c r="T448" s="12" t="n">
        <f aca="false">S448/$P448</f>
        <v>0.42268832130298</v>
      </c>
      <c r="U448" s="11" t="n">
        <v>5876.47</v>
      </c>
      <c r="V448" s="12" t="n">
        <f aca="false">U448/$P448</f>
        <v>0.543815472885434</v>
      </c>
      <c r="W448" s="11" t="n">
        <v>8984.27</v>
      </c>
      <c r="X448" s="12" t="n">
        <f aca="false">W448/$P448</f>
        <v>0.831414954654821</v>
      </c>
      <c r="Y448" s="11" t="n">
        <v>5075</v>
      </c>
      <c r="Z448" s="11" t="n">
        <f aca="false">Y448</f>
        <v>5075</v>
      </c>
    </row>
    <row r="449" customFormat="false" ht="13.9" hidden="false" customHeight="true" outlineLevel="0" collapsed="false">
      <c r="A449" s="1" t="n">
        <v>6</v>
      </c>
      <c r="B449" s="1" t="n">
        <v>3</v>
      </c>
      <c r="C449" s="1" t="n">
        <v>1</v>
      </c>
      <c r="D449" s="67" t="s">
        <v>21</v>
      </c>
      <c r="E449" s="13" t="n">
        <v>41</v>
      </c>
      <c r="F449" s="13" t="s">
        <v>23</v>
      </c>
      <c r="G449" s="14" t="n">
        <f aca="false">SUM(G447:G448)</f>
        <v>6175.73</v>
      </c>
      <c r="H449" s="14" t="n">
        <f aca="false">SUM(H447:H448)</f>
        <v>5564.72</v>
      </c>
      <c r="I449" s="14" t="n">
        <f aca="false">SUM(I447:I448)</f>
        <v>5239</v>
      </c>
      <c r="J449" s="14" t="n">
        <f aca="false">SUM(J447:J448)</f>
        <v>6279</v>
      </c>
      <c r="K449" s="14" t="n">
        <f aca="false">SUM(K447:K448)</f>
        <v>7075</v>
      </c>
      <c r="L449" s="14" t="n">
        <f aca="false">SUM(L447:L448)</f>
        <v>0</v>
      </c>
      <c r="M449" s="14" t="n">
        <f aca="false">SUM(M447:M448)</f>
        <v>1373</v>
      </c>
      <c r="N449" s="14" t="n">
        <f aca="false">SUM(N447:N448)</f>
        <v>2358</v>
      </c>
      <c r="O449" s="14" t="n">
        <f aca="false">SUM(O447:O448)</f>
        <v>0</v>
      </c>
      <c r="P449" s="14" t="n">
        <f aca="false">SUM(P447:P448)</f>
        <v>10806</v>
      </c>
      <c r="Q449" s="14" t="n">
        <f aca="false">SUM(Q447:Q448)</f>
        <v>1745.24</v>
      </c>
      <c r="R449" s="15" t="n">
        <f aca="false">Q449/$P449</f>
        <v>0.161506570423839</v>
      </c>
      <c r="S449" s="14" t="n">
        <f aca="false">SUM(S447:S448)</f>
        <v>4567.57</v>
      </c>
      <c r="T449" s="15" t="n">
        <f aca="false">S449/$P449</f>
        <v>0.42268832130298</v>
      </c>
      <c r="U449" s="14" t="n">
        <f aca="false">SUM(U447:U448)</f>
        <v>5876.47</v>
      </c>
      <c r="V449" s="15" t="n">
        <f aca="false">U449/$P449</f>
        <v>0.543815472885434</v>
      </c>
      <c r="W449" s="14" t="n">
        <f aca="false">SUM(W447:W448)</f>
        <v>8984.27</v>
      </c>
      <c r="X449" s="15" t="n">
        <f aca="false">W449/$P449</f>
        <v>0.831414954654821</v>
      </c>
      <c r="Y449" s="14" t="n">
        <f aca="false">SUM(Y447:Y448)</f>
        <v>5075</v>
      </c>
      <c r="Z449" s="14" t="n">
        <f aca="false">SUM(Z447:Z448)</f>
        <v>5075</v>
      </c>
    </row>
    <row r="451" customFormat="false" ht="13.9" hidden="false" customHeight="true" outlineLevel="0" collapsed="false">
      <c r="E451" s="39" t="s">
        <v>57</v>
      </c>
      <c r="F451" s="17" t="s">
        <v>149</v>
      </c>
      <c r="G451" s="40"/>
      <c r="H451" s="40"/>
      <c r="I451" s="40"/>
      <c r="J451" s="40" t="n">
        <v>1000</v>
      </c>
      <c r="K451" s="40" t="n">
        <v>1000</v>
      </c>
      <c r="L451" s="40"/>
      <c r="M451" s="40" t="n">
        <v>298</v>
      </c>
      <c r="N451" s="40"/>
      <c r="O451" s="40"/>
      <c r="P451" s="40" t="n">
        <f aca="false">K451+SUM(L451:O451)</f>
        <v>1298</v>
      </c>
      <c r="Q451" s="40" t="n">
        <v>236</v>
      </c>
      <c r="R451" s="41" t="n">
        <f aca="false">Q451/$P451</f>
        <v>0.181818181818182</v>
      </c>
      <c r="S451" s="40" t="n">
        <v>590</v>
      </c>
      <c r="T451" s="41" t="n">
        <f aca="false">S451/$P451</f>
        <v>0.454545454545455</v>
      </c>
      <c r="U451" s="40" t="n">
        <v>944</v>
      </c>
      <c r="V451" s="41" t="n">
        <f aca="false">U451/$P451</f>
        <v>0.727272727272727</v>
      </c>
      <c r="W451" s="40" t="n">
        <v>1298</v>
      </c>
      <c r="X451" s="42" t="n">
        <f aca="false">W451/$P451</f>
        <v>1</v>
      </c>
      <c r="Y451" s="40" t="n">
        <f aca="false">K451</f>
        <v>1000</v>
      </c>
      <c r="Z451" s="43" t="n">
        <f aca="false">Y451</f>
        <v>1000</v>
      </c>
    </row>
    <row r="452" customFormat="false" ht="13.9" hidden="false" customHeight="true" outlineLevel="0" collapsed="false">
      <c r="E452" s="44"/>
      <c r="F452" s="84" t="s">
        <v>251</v>
      </c>
      <c r="G452" s="70" t="n">
        <v>5400</v>
      </c>
      <c r="H452" s="70" t="n">
        <v>5400</v>
      </c>
      <c r="I452" s="70" t="n">
        <v>0</v>
      </c>
      <c r="J452" s="70" t="n">
        <v>750</v>
      </c>
      <c r="K452" s="70" t="n">
        <v>3000</v>
      </c>
      <c r="L452" s="70"/>
      <c r="M452" s="70"/>
      <c r="N452" s="70"/>
      <c r="O452" s="70"/>
      <c r="P452" s="70" t="n">
        <f aca="false">K452+SUM(L452:O452)</f>
        <v>3000</v>
      </c>
      <c r="Q452" s="70" t="n">
        <v>500</v>
      </c>
      <c r="R452" s="72" t="n">
        <f aca="false">Q452/$P452</f>
        <v>0.166666666666667</v>
      </c>
      <c r="S452" s="70" t="n">
        <v>1000</v>
      </c>
      <c r="T452" s="72" t="n">
        <f aca="false">S452/$P452</f>
        <v>0.333333333333333</v>
      </c>
      <c r="U452" s="70" t="n">
        <v>1500</v>
      </c>
      <c r="V452" s="72" t="n">
        <f aca="false">U452/$P452</f>
        <v>0.5</v>
      </c>
      <c r="W452" s="70" t="n">
        <v>3000</v>
      </c>
      <c r="X452" s="47" t="n">
        <f aca="false">W452/$P452</f>
        <v>1</v>
      </c>
      <c r="Y452" s="70" t="n">
        <f aca="false">K452</f>
        <v>3000</v>
      </c>
      <c r="Z452" s="48" t="n">
        <f aca="false">Y452</f>
        <v>3000</v>
      </c>
    </row>
    <row r="453" customFormat="false" ht="13.9" hidden="false" customHeight="true" outlineLevel="0" collapsed="false">
      <c r="E453" s="44"/>
      <c r="F453" s="84" t="s">
        <v>252</v>
      </c>
      <c r="G453" s="70"/>
      <c r="H453" s="70"/>
      <c r="I453" s="70"/>
      <c r="J453" s="70"/>
      <c r="K453" s="71" t="n">
        <v>2000</v>
      </c>
      <c r="L453" s="71"/>
      <c r="M453" s="71"/>
      <c r="N453" s="71"/>
      <c r="O453" s="71"/>
      <c r="P453" s="71" t="n">
        <f aca="false">K453+SUM(L453:O453)</f>
        <v>2000</v>
      </c>
      <c r="Q453" s="71" t="n">
        <v>0</v>
      </c>
      <c r="R453" s="85" t="n">
        <f aca="false">Q453/$P453</f>
        <v>0</v>
      </c>
      <c r="S453" s="71" t="n">
        <v>0</v>
      </c>
      <c r="T453" s="85" t="n">
        <f aca="false">S453/$P453</f>
        <v>0</v>
      </c>
      <c r="U453" s="71" t="n">
        <v>0</v>
      </c>
      <c r="V453" s="85" t="n">
        <f aca="false">U453/$P453</f>
        <v>0</v>
      </c>
      <c r="W453" s="71" t="n">
        <v>0</v>
      </c>
      <c r="X453" s="51" t="n">
        <f aca="false">W453/$P453</f>
        <v>0</v>
      </c>
      <c r="Y453" s="70"/>
      <c r="Z453" s="48"/>
    </row>
    <row r="454" customFormat="false" ht="13.9" hidden="false" customHeight="true" outlineLevel="0" collapsed="false">
      <c r="E454" s="52"/>
      <c r="F454" s="86" t="s">
        <v>253</v>
      </c>
      <c r="G454" s="54"/>
      <c r="H454" s="54"/>
      <c r="I454" s="54" t="n">
        <v>5074</v>
      </c>
      <c r="J454" s="54" t="n">
        <v>3459</v>
      </c>
      <c r="K454" s="54" t="n">
        <v>0</v>
      </c>
      <c r="L454" s="54"/>
      <c r="M454" s="54"/>
      <c r="N454" s="54"/>
      <c r="O454" s="54"/>
      <c r="P454" s="54" t="n">
        <f aca="false">K454+SUM(L454:O454)</f>
        <v>0</v>
      </c>
      <c r="Q454" s="54" t="n">
        <v>0</v>
      </c>
      <c r="R454" s="55" t="e">
        <f aca="false">Q454/$P454</f>
        <v>#DIV/0!</v>
      </c>
      <c r="S454" s="54" t="n">
        <v>0</v>
      </c>
      <c r="T454" s="55" t="e">
        <f aca="false">S454/$P454</f>
        <v>#DIV/0!</v>
      </c>
      <c r="U454" s="54" t="n">
        <v>0</v>
      </c>
      <c r="V454" s="55" t="e">
        <f aca="false">U454/$P454</f>
        <v>#DIV/0!</v>
      </c>
      <c r="W454" s="54" t="n">
        <v>0</v>
      </c>
      <c r="X454" s="56" t="e">
        <f aca="false">W454/$P454</f>
        <v>#DIV/0!</v>
      </c>
      <c r="Y454" s="54" t="n">
        <f aca="false">K454</f>
        <v>0</v>
      </c>
      <c r="Z454" s="57" t="n">
        <f aca="false">Y454</f>
        <v>0</v>
      </c>
    </row>
    <row r="456" customFormat="false" ht="13.9" hidden="false" customHeight="true" outlineLevel="0" collapsed="false">
      <c r="D456" s="60" t="s">
        <v>254</v>
      </c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1"/>
      <c r="S456" s="60"/>
      <c r="T456" s="61"/>
      <c r="U456" s="60"/>
      <c r="V456" s="61"/>
      <c r="W456" s="60"/>
      <c r="X456" s="61"/>
      <c r="Y456" s="60"/>
      <c r="Z456" s="60"/>
    </row>
    <row r="457" customFormat="false" ht="13.9" hidden="false" customHeight="true" outlineLevel="0" collapsed="false">
      <c r="D457" s="7" t="s">
        <v>33</v>
      </c>
      <c r="E457" s="7" t="s">
        <v>34</v>
      </c>
      <c r="F457" s="7" t="s">
        <v>35</v>
      </c>
      <c r="G457" s="7" t="s">
        <v>1</v>
      </c>
      <c r="H457" s="7" t="s">
        <v>2</v>
      </c>
      <c r="I457" s="7" t="s">
        <v>3</v>
      </c>
      <c r="J457" s="7" t="s">
        <v>4</v>
      </c>
      <c r="K457" s="7" t="s">
        <v>5</v>
      </c>
      <c r="L457" s="7" t="s">
        <v>6</v>
      </c>
      <c r="M457" s="7" t="s">
        <v>7</v>
      </c>
      <c r="N457" s="7" t="s">
        <v>8</v>
      </c>
      <c r="O457" s="7" t="s">
        <v>9</v>
      </c>
      <c r="P457" s="7" t="s">
        <v>10</v>
      </c>
      <c r="Q457" s="7" t="s">
        <v>11</v>
      </c>
      <c r="R457" s="8" t="s">
        <v>12</v>
      </c>
      <c r="S457" s="7" t="s">
        <v>13</v>
      </c>
      <c r="T457" s="8" t="s">
        <v>14</v>
      </c>
      <c r="U457" s="7" t="s">
        <v>15</v>
      </c>
      <c r="V457" s="8" t="s">
        <v>16</v>
      </c>
      <c r="W457" s="7" t="s">
        <v>17</v>
      </c>
      <c r="X457" s="8" t="s">
        <v>18</v>
      </c>
      <c r="Y457" s="7" t="s">
        <v>19</v>
      </c>
      <c r="Z457" s="7" t="s">
        <v>20</v>
      </c>
    </row>
    <row r="458" customFormat="false" ht="13.9" hidden="false" customHeight="true" outlineLevel="0" collapsed="false">
      <c r="A458" s="1" t="n">
        <v>6</v>
      </c>
      <c r="B458" s="1" t="n">
        <v>3</v>
      </c>
      <c r="C458" s="1" t="n">
        <v>2</v>
      </c>
      <c r="D458" s="76" t="s">
        <v>250</v>
      </c>
      <c r="E458" s="10" t="n">
        <v>640</v>
      </c>
      <c r="F458" s="10" t="s">
        <v>132</v>
      </c>
      <c r="G458" s="11" t="n">
        <v>4269.83</v>
      </c>
      <c r="H458" s="11" t="n">
        <v>4400</v>
      </c>
      <c r="I458" s="11" t="n">
        <v>4900</v>
      </c>
      <c r="J458" s="11" t="n">
        <v>4812</v>
      </c>
      <c r="K458" s="11" t="n">
        <f aca="false">SUM(K461:K466)</f>
        <v>4500</v>
      </c>
      <c r="L458" s="11" t="n">
        <f aca="false">SUM(L461:L466)</f>
        <v>0</v>
      </c>
      <c r="M458" s="11" t="n">
        <f aca="false">SUM(M461:M466)</f>
        <v>300</v>
      </c>
      <c r="N458" s="11" t="n">
        <f aca="false">1500-1300</f>
        <v>200</v>
      </c>
      <c r="O458" s="11" t="n">
        <f aca="false">SUM(O461:O466)</f>
        <v>0</v>
      </c>
      <c r="P458" s="11" t="n">
        <f aca="false">K458+SUM(L458:O458)</f>
        <v>5000</v>
      </c>
      <c r="Q458" s="11" t="n">
        <v>2000</v>
      </c>
      <c r="R458" s="12" t="n">
        <f aca="false">Q458/$P458</f>
        <v>0.4</v>
      </c>
      <c r="S458" s="11" t="n">
        <v>2900</v>
      </c>
      <c r="T458" s="12" t="n">
        <f aca="false">S458/$P458</f>
        <v>0.58</v>
      </c>
      <c r="U458" s="11" t="n">
        <v>4400</v>
      </c>
      <c r="V458" s="12" t="n">
        <f aca="false">U458/$P458</f>
        <v>0.88</v>
      </c>
      <c r="W458" s="11" t="n">
        <v>4400</v>
      </c>
      <c r="X458" s="12" t="n">
        <f aca="false">W458/$P458</f>
        <v>0.88</v>
      </c>
      <c r="Y458" s="11" t="n">
        <f aca="false">SUM(Y461:Y466)</f>
        <v>4500</v>
      </c>
      <c r="Z458" s="11" t="n">
        <f aca="false">SUM(Z461:Z466)</f>
        <v>4500</v>
      </c>
    </row>
    <row r="459" customFormat="false" ht="13.9" hidden="false" customHeight="true" outlineLevel="0" collapsed="false">
      <c r="A459" s="1" t="n">
        <v>6</v>
      </c>
      <c r="B459" s="1" t="n">
        <v>3</v>
      </c>
      <c r="C459" s="1" t="n">
        <v>2</v>
      </c>
      <c r="D459" s="67" t="s">
        <v>21</v>
      </c>
      <c r="E459" s="13" t="n">
        <v>41</v>
      </c>
      <c r="F459" s="13" t="s">
        <v>23</v>
      </c>
      <c r="G459" s="14" t="n">
        <f aca="false">SUM(G458:G458)</f>
        <v>4269.83</v>
      </c>
      <c r="H459" s="14" t="n">
        <f aca="false">SUM(H458:H458)</f>
        <v>4400</v>
      </c>
      <c r="I459" s="14" t="n">
        <f aca="false">SUM(I458:I458)</f>
        <v>4900</v>
      </c>
      <c r="J459" s="14" t="n">
        <f aca="false">SUM(J458:J458)</f>
        <v>4812</v>
      </c>
      <c r="K459" s="14" t="n">
        <f aca="false">SUM(K458:K458)</f>
        <v>4500</v>
      </c>
      <c r="L459" s="14" t="n">
        <f aca="false">SUM(L458:L458)</f>
        <v>0</v>
      </c>
      <c r="M459" s="14" t="n">
        <f aca="false">SUM(M458:M458)</f>
        <v>300</v>
      </c>
      <c r="N459" s="14" t="n">
        <f aca="false">SUM(N458:N458)</f>
        <v>200</v>
      </c>
      <c r="O459" s="14" t="n">
        <f aca="false">SUM(O458:O458)</f>
        <v>0</v>
      </c>
      <c r="P459" s="14" t="n">
        <f aca="false">SUM(P458:P458)</f>
        <v>5000</v>
      </c>
      <c r="Q459" s="14" t="n">
        <f aca="false">SUM(Q458:Q458)</f>
        <v>2000</v>
      </c>
      <c r="R459" s="15" t="n">
        <f aca="false">Q459/$P459</f>
        <v>0.4</v>
      </c>
      <c r="S459" s="14" t="n">
        <f aca="false">SUM(S458:S458)</f>
        <v>2900</v>
      </c>
      <c r="T459" s="15" t="n">
        <f aca="false">S459/$P459</f>
        <v>0.58</v>
      </c>
      <c r="U459" s="14" t="n">
        <f aca="false">SUM(U458:U458)</f>
        <v>4400</v>
      </c>
      <c r="V459" s="15" t="n">
        <f aca="false">U459/$P459</f>
        <v>0.88</v>
      </c>
      <c r="W459" s="14" t="n">
        <f aca="false">SUM(W458:W458)</f>
        <v>4400</v>
      </c>
      <c r="X459" s="15" t="n">
        <f aca="false">W459/$P459</f>
        <v>0.88</v>
      </c>
      <c r="Y459" s="14" t="n">
        <f aca="false">SUM(Y458:Y458)</f>
        <v>4500</v>
      </c>
      <c r="Z459" s="14" t="n">
        <f aca="false">SUM(Z458:Z458)</f>
        <v>4500</v>
      </c>
    </row>
    <row r="461" customFormat="false" ht="13.9" hidden="false" customHeight="true" outlineLevel="0" collapsed="false">
      <c r="E461" s="39" t="s">
        <v>57</v>
      </c>
      <c r="F461" s="17" t="s">
        <v>255</v>
      </c>
      <c r="G461" s="40" t="n">
        <v>1100</v>
      </c>
      <c r="H461" s="40" t="n">
        <v>1100</v>
      </c>
      <c r="I461" s="40" t="n">
        <v>1100</v>
      </c>
      <c r="J461" s="40" t="n">
        <v>1100</v>
      </c>
      <c r="K461" s="40" t="n">
        <v>1000</v>
      </c>
      <c r="L461" s="40"/>
      <c r="M461" s="40"/>
      <c r="N461" s="40"/>
      <c r="O461" s="40"/>
      <c r="P461" s="40" t="n">
        <f aca="false">K461+SUM(L461:O461)</f>
        <v>1000</v>
      </c>
      <c r="Q461" s="40" t="n">
        <v>1000</v>
      </c>
      <c r="R461" s="41" t="n">
        <f aca="false">Q461/$P461</f>
        <v>1</v>
      </c>
      <c r="S461" s="40" t="n">
        <v>1000</v>
      </c>
      <c r="T461" s="41" t="n">
        <f aca="false">S461/$P461</f>
        <v>1</v>
      </c>
      <c r="U461" s="40" t="n">
        <v>1000</v>
      </c>
      <c r="V461" s="41" t="n">
        <f aca="false">U461/$P461</f>
        <v>1</v>
      </c>
      <c r="W461" s="40" t="n">
        <v>1000</v>
      </c>
      <c r="X461" s="42" t="n">
        <f aca="false">W461/$P461</f>
        <v>1</v>
      </c>
      <c r="Y461" s="40" t="n">
        <f aca="false">K461</f>
        <v>1000</v>
      </c>
      <c r="Z461" s="43" t="n">
        <f aca="false">Y461</f>
        <v>1000</v>
      </c>
    </row>
    <row r="462" customFormat="false" ht="13.9" hidden="false" customHeight="true" outlineLevel="0" collapsed="false">
      <c r="E462" s="44"/>
      <c r="F462" s="1" t="s">
        <v>256</v>
      </c>
      <c r="G462" s="46" t="n">
        <v>1669.83</v>
      </c>
      <c r="H462" s="46" t="n">
        <v>1000</v>
      </c>
      <c r="I462" s="46" t="n">
        <v>1500</v>
      </c>
      <c r="J462" s="46" t="n">
        <v>1412</v>
      </c>
      <c r="K462" s="46" t="n">
        <v>1200</v>
      </c>
      <c r="L462" s="46"/>
      <c r="M462" s="46"/>
      <c r="N462" s="46"/>
      <c r="O462" s="46"/>
      <c r="P462" s="46" t="n">
        <f aca="false">K462+SUM(L462:O462)</f>
        <v>1200</v>
      </c>
      <c r="Q462" s="46" t="n">
        <v>0</v>
      </c>
      <c r="R462" s="2" t="n">
        <f aca="false">Q462/$P462</f>
        <v>0</v>
      </c>
      <c r="S462" s="46" t="n">
        <v>600</v>
      </c>
      <c r="T462" s="2" t="n">
        <f aca="false">S462/$P462</f>
        <v>0.5</v>
      </c>
      <c r="U462" s="46" t="n">
        <v>600</v>
      </c>
      <c r="V462" s="2" t="n">
        <f aca="false">U462/$P462</f>
        <v>0.5</v>
      </c>
      <c r="W462" s="46" t="n">
        <v>600</v>
      </c>
      <c r="X462" s="47" t="n">
        <f aca="false">W462/$P462</f>
        <v>0.5</v>
      </c>
      <c r="Y462" s="46" t="n">
        <f aca="false">K462</f>
        <v>1200</v>
      </c>
      <c r="Z462" s="48" t="n">
        <f aca="false">Y462</f>
        <v>1200</v>
      </c>
    </row>
    <row r="463" customFormat="false" ht="13.9" hidden="false" customHeight="true" outlineLevel="0" collapsed="false">
      <c r="E463" s="44"/>
      <c r="F463" s="45" t="s">
        <v>257</v>
      </c>
      <c r="G463" s="46" t="n">
        <v>1000</v>
      </c>
      <c r="H463" s="46" t="n">
        <v>1300</v>
      </c>
      <c r="I463" s="46" t="n">
        <v>1300</v>
      </c>
      <c r="J463" s="46" t="n">
        <v>1300</v>
      </c>
      <c r="K463" s="46" t="n">
        <v>1300</v>
      </c>
      <c r="L463" s="46"/>
      <c r="M463" s="46"/>
      <c r="N463" s="46" t="n">
        <v>-1300</v>
      </c>
      <c r="O463" s="46"/>
      <c r="P463" s="46" t="n">
        <f aca="false">K463+SUM(L463:O463)</f>
        <v>0</v>
      </c>
      <c r="Q463" s="46" t="n">
        <v>0</v>
      </c>
      <c r="R463" s="2" t="e">
        <f aca="false">Q463/$P463</f>
        <v>#DIV/0!</v>
      </c>
      <c r="S463" s="46" t="n">
        <v>0</v>
      </c>
      <c r="T463" s="2" t="e">
        <f aca="false">S463/$P463</f>
        <v>#DIV/0!</v>
      </c>
      <c r="U463" s="46" t="n">
        <v>0</v>
      </c>
      <c r="V463" s="2" t="e">
        <f aca="false">U463/$P463</f>
        <v>#DIV/0!</v>
      </c>
      <c r="W463" s="46" t="n">
        <v>0</v>
      </c>
      <c r="X463" s="47" t="e">
        <f aca="false">W463/$P463</f>
        <v>#DIV/0!</v>
      </c>
      <c r="Y463" s="46" t="n">
        <f aca="false">K463</f>
        <v>1300</v>
      </c>
      <c r="Z463" s="48" t="n">
        <f aca="false">Y463</f>
        <v>1300</v>
      </c>
    </row>
    <row r="464" customFormat="false" ht="13.9" hidden="false" customHeight="true" outlineLevel="0" collapsed="false">
      <c r="E464" s="44"/>
      <c r="F464" s="69" t="s">
        <v>258</v>
      </c>
      <c r="G464" s="70" t="n">
        <v>500</v>
      </c>
      <c r="H464" s="70" t="n">
        <v>1000</v>
      </c>
      <c r="I464" s="70" t="n">
        <v>1000</v>
      </c>
      <c r="J464" s="70" t="n">
        <v>1000</v>
      </c>
      <c r="K464" s="70" t="n">
        <v>1000</v>
      </c>
      <c r="L464" s="70"/>
      <c r="M464" s="70"/>
      <c r="N464" s="70"/>
      <c r="O464" s="70"/>
      <c r="P464" s="70" t="n">
        <f aca="false">K464+SUM(L464:O464)</f>
        <v>1000</v>
      </c>
      <c r="Q464" s="70" t="n">
        <v>1000</v>
      </c>
      <c r="R464" s="72" t="n">
        <f aca="false">Q464/$P464</f>
        <v>1</v>
      </c>
      <c r="S464" s="70" t="n">
        <v>1000</v>
      </c>
      <c r="T464" s="72" t="n">
        <f aca="false">S464/$P464</f>
        <v>1</v>
      </c>
      <c r="U464" s="70" t="n">
        <v>1000</v>
      </c>
      <c r="V464" s="72" t="n">
        <f aca="false">U464/$P464</f>
        <v>1</v>
      </c>
      <c r="W464" s="70" t="n">
        <v>1000</v>
      </c>
      <c r="X464" s="47" t="n">
        <f aca="false">W464/$P464</f>
        <v>1</v>
      </c>
      <c r="Y464" s="70" t="n">
        <f aca="false">K464</f>
        <v>1000</v>
      </c>
      <c r="Z464" s="48" t="n">
        <f aca="false">Y464</f>
        <v>1000</v>
      </c>
    </row>
    <row r="465" customFormat="false" ht="13.9" hidden="false" customHeight="true" outlineLevel="0" collapsed="false">
      <c r="E465" s="44"/>
      <c r="F465" s="69" t="s">
        <v>259</v>
      </c>
      <c r="G465" s="70"/>
      <c r="H465" s="70"/>
      <c r="I465" s="70"/>
      <c r="J465" s="70"/>
      <c r="K465" s="70" t="n">
        <v>0</v>
      </c>
      <c r="L465" s="70"/>
      <c r="M465" s="70" t="n">
        <v>300</v>
      </c>
      <c r="N465" s="70"/>
      <c r="O465" s="70"/>
      <c r="P465" s="70" t="n">
        <f aca="false">K465+SUM(L465:O465)</f>
        <v>300</v>
      </c>
      <c r="Q465" s="70" t="n">
        <v>0</v>
      </c>
      <c r="R465" s="72" t="n">
        <f aca="false">Q465/$P465</f>
        <v>0</v>
      </c>
      <c r="S465" s="70" t="n">
        <v>300</v>
      </c>
      <c r="T465" s="72" t="n">
        <f aca="false">S465/$P465</f>
        <v>1</v>
      </c>
      <c r="U465" s="70" t="n">
        <v>300</v>
      </c>
      <c r="V465" s="72" t="n">
        <f aca="false">U465/$P465</f>
        <v>1</v>
      </c>
      <c r="W465" s="70" t="n">
        <v>300</v>
      </c>
      <c r="X465" s="47" t="n">
        <f aca="false">W465/$P465</f>
        <v>1</v>
      </c>
      <c r="Y465" s="70" t="n">
        <f aca="false">K465</f>
        <v>0</v>
      </c>
      <c r="Z465" s="48" t="n">
        <f aca="false">Y465</f>
        <v>0</v>
      </c>
    </row>
    <row r="466" customFormat="false" ht="13.9" hidden="false" customHeight="true" outlineLevel="0" collapsed="false">
      <c r="E466" s="52"/>
      <c r="F466" s="53" t="s">
        <v>260</v>
      </c>
      <c r="G466" s="54"/>
      <c r="H466" s="54"/>
      <c r="I466" s="54"/>
      <c r="J466" s="54"/>
      <c r="K466" s="54" t="n">
        <v>0</v>
      </c>
      <c r="L466" s="54"/>
      <c r="M466" s="54"/>
      <c r="N466" s="54" t="n">
        <v>1500</v>
      </c>
      <c r="O466" s="54"/>
      <c r="P466" s="54" t="n">
        <f aca="false">K466+SUM(L466:O466)</f>
        <v>1500</v>
      </c>
      <c r="Q466" s="54" t="n">
        <v>0</v>
      </c>
      <c r="R466" s="55" t="n">
        <f aca="false">Q466/$P466</f>
        <v>0</v>
      </c>
      <c r="S466" s="54" t="n">
        <v>0</v>
      </c>
      <c r="T466" s="55" t="n">
        <f aca="false">S466/$P466</f>
        <v>0</v>
      </c>
      <c r="U466" s="54" t="n">
        <v>1500</v>
      </c>
      <c r="V466" s="55" t="n">
        <f aca="false">U466/$P466</f>
        <v>1</v>
      </c>
      <c r="W466" s="54" t="n">
        <v>1500</v>
      </c>
      <c r="X466" s="56" t="n">
        <f aca="false">W466/$P466</f>
        <v>1</v>
      </c>
      <c r="Y466" s="54" t="n">
        <f aca="false">K466</f>
        <v>0</v>
      </c>
      <c r="Z466" s="57" t="n">
        <f aca="false">Y466</f>
        <v>0</v>
      </c>
    </row>
    <row r="468" customFormat="false" ht="13.9" hidden="false" customHeight="true" outlineLevel="0" collapsed="false">
      <c r="D468" s="19" t="s">
        <v>261</v>
      </c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20"/>
      <c r="S468" s="19"/>
      <c r="T468" s="20"/>
      <c r="U468" s="19"/>
      <c r="V468" s="20"/>
      <c r="W468" s="19"/>
      <c r="X468" s="20"/>
      <c r="Y468" s="19"/>
      <c r="Z468" s="19"/>
    </row>
    <row r="469" customFormat="false" ht="13.9" hidden="false" customHeight="true" outlineLevel="0" collapsed="false">
      <c r="D469" s="6"/>
      <c r="E469" s="6"/>
      <c r="F469" s="6"/>
      <c r="G469" s="7" t="s">
        <v>1</v>
      </c>
      <c r="H469" s="7" t="s">
        <v>2</v>
      </c>
      <c r="I469" s="7" t="s">
        <v>3</v>
      </c>
      <c r="J469" s="7" t="s">
        <v>4</v>
      </c>
      <c r="K469" s="7" t="s">
        <v>5</v>
      </c>
      <c r="L469" s="7" t="s">
        <v>6</v>
      </c>
      <c r="M469" s="7" t="s">
        <v>7</v>
      </c>
      <c r="N469" s="7" t="s">
        <v>8</v>
      </c>
      <c r="O469" s="7" t="s">
        <v>9</v>
      </c>
      <c r="P469" s="7" t="s">
        <v>10</v>
      </c>
      <c r="Q469" s="7" t="s">
        <v>11</v>
      </c>
      <c r="R469" s="8" t="s">
        <v>12</v>
      </c>
      <c r="S469" s="7" t="s">
        <v>13</v>
      </c>
      <c r="T469" s="8" t="s">
        <v>14</v>
      </c>
      <c r="U469" s="7" t="s">
        <v>15</v>
      </c>
      <c r="V469" s="8" t="s">
        <v>16</v>
      </c>
      <c r="W469" s="7" t="s">
        <v>17</v>
      </c>
      <c r="X469" s="8" t="s">
        <v>18</v>
      </c>
      <c r="Y469" s="7" t="s">
        <v>19</v>
      </c>
      <c r="Z469" s="7" t="s">
        <v>20</v>
      </c>
    </row>
    <row r="470" customFormat="false" ht="13.9" hidden="false" customHeight="true" outlineLevel="0" collapsed="false">
      <c r="A470" s="1" t="n">
        <v>7</v>
      </c>
      <c r="D470" s="21" t="s">
        <v>21</v>
      </c>
      <c r="E470" s="22" t="n">
        <v>111</v>
      </c>
      <c r="F470" s="22" t="s">
        <v>47</v>
      </c>
      <c r="G470" s="23" t="n">
        <f aca="false">G477+G517</f>
        <v>40325.07</v>
      </c>
      <c r="H470" s="23" t="n">
        <f aca="false">H477+H517</f>
        <v>36752.41</v>
      </c>
      <c r="I470" s="23" t="n">
        <f aca="false">I477+I517</f>
        <v>37512</v>
      </c>
      <c r="J470" s="23" t="n">
        <f aca="false">J477+J517</f>
        <v>36911</v>
      </c>
      <c r="K470" s="23" t="n">
        <f aca="false">K477+K517</f>
        <v>39753</v>
      </c>
      <c r="L470" s="23" t="n">
        <f aca="false">L477+L517</f>
        <v>0</v>
      </c>
      <c r="M470" s="23" t="n">
        <f aca="false">M477+M517</f>
        <v>2000</v>
      </c>
      <c r="N470" s="23" t="n">
        <f aca="false">N477+N517</f>
        <v>14758</v>
      </c>
      <c r="O470" s="23" t="n">
        <f aca="false">O477+O517</f>
        <v>6160</v>
      </c>
      <c r="P470" s="23" t="n">
        <f aca="false">P477+P517</f>
        <v>62671</v>
      </c>
      <c r="Q470" s="23" t="n">
        <f aca="false">Q477+Q517</f>
        <v>23372.05</v>
      </c>
      <c r="R470" s="24" t="n">
        <f aca="false">Q470/$P470</f>
        <v>0.3729324567982</v>
      </c>
      <c r="S470" s="23" t="n">
        <f aca="false">S477+S517</f>
        <v>34672.81</v>
      </c>
      <c r="T470" s="24" t="n">
        <f aca="false">S470/$P470</f>
        <v>0.553251264540218</v>
      </c>
      <c r="U470" s="23" t="n">
        <f aca="false">U477+U517</f>
        <v>45706.66</v>
      </c>
      <c r="V470" s="24" t="n">
        <f aca="false">U470/$P470</f>
        <v>0.729311164653508</v>
      </c>
      <c r="W470" s="23" t="n">
        <f aca="false">W477+W517</f>
        <v>62673.71</v>
      </c>
      <c r="X470" s="24" t="n">
        <f aca="false">W470/$P470</f>
        <v>1.00004324169073</v>
      </c>
      <c r="Y470" s="23" t="n">
        <f aca="false">Y477+Y517</f>
        <v>43623</v>
      </c>
      <c r="Z470" s="23" t="n">
        <f aca="false">Z477+Z517</f>
        <v>47879</v>
      </c>
    </row>
    <row r="471" customFormat="false" ht="13.9" hidden="false" customHeight="true" outlineLevel="0" collapsed="false">
      <c r="A471" s="1" t="n">
        <v>7</v>
      </c>
      <c r="D471" s="21"/>
      <c r="E471" s="22" t="n">
        <v>41</v>
      </c>
      <c r="F471" s="22" t="s">
        <v>23</v>
      </c>
      <c r="G471" s="23" t="n">
        <f aca="false">G478+G521</f>
        <v>51813.01</v>
      </c>
      <c r="H471" s="23" t="n">
        <f aca="false">H478+H521</f>
        <v>59918.84</v>
      </c>
      <c r="I471" s="23" t="n">
        <f aca="false">I478+I521</f>
        <v>82444</v>
      </c>
      <c r="J471" s="23" t="n">
        <f aca="false">J478+J521</f>
        <v>83111</v>
      </c>
      <c r="K471" s="23" t="n">
        <f aca="false">K478+K521</f>
        <v>101242</v>
      </c>
      <c r="L471" s="23" t="n">
        <f aca="false">L478+L521</f>
        <v>0</v>
      </c>
      <c r="M471" s="23" t="n">
        <f aca="false">M478+M521</f>
        <v>1000</v>
      </c>
      <c r="N471" s="23" t="n">
        <f aca="false">N478+N521</f>
        <v>-32</v>
      </c>
      <c r="O471" s="23" t="n">
        <f aca="false">O478+O521</f>
        <v>2360</v>
      </c>
      <c r="P471" s="23" t="n">
        <f aca="false">P478+P521</f>
        <v>104570</v>
      </c>
      <c r="Q471" s="23" t="n">
        <f aca="false">Q478+Q521</f>
        <v>21259.28</v>
      </c>
      <c r="R471" s="24" t="n">
        <f aca="false">Q471/$P471</f>
        <v>0.203301903031462</v>
      </c>
      <c r="S471" s="23" t="n">
        <f aca="false">S478+S521</f>
        <v>41105.68</v>
      </c>
      <c r="T471" s="24" t="n">
        <f aca="false">S471/$P471</f>
        <v>0.393092473940901</v>
      </c>
      <c r="U471" s="23" t="n">
        <f aca="false">U478+U521</f>
        <v>62405.55</v>
      </c>
      <c r="V471" s="24" t="n">
        <f aca="false">U471/$P471</f>
        <v>0.596782538012814</v>
      </c>
      <c r="W471" s="23" t="n">
        <f aca="false">W478+W521</f>
        <v>92914.83</v>
      </c>
      <c r="X471" s="24" t="n">
        <f aca="false">W471/$P471</f>
        <v>0.888541933632973</v>
      </c>
      <c r="Y471" s="23" t="n">
        <f aca="false">Y478+Y521</f>
        <v>102481</v>
      </c>
      <c r="Z471" s="23" t="n">
        <f aca="false">Z478+Z521</f>
        <v>108869</v>
      </c>
    </row>
    <row r="472" customFormat="false" ht="13.9" hidden="false" customHeight="true" outlineLevel="0" collapsed="false">
      <c r="A472" s="1" t="n">
        <v>7</v>
      </c>
      <c r="D472" s="21"/>
      <c r="E472" s="22" t="n">
        <v>72</v>
      </c>
      <c r="F472" s="22" t="s">
        <v>25</v>
      </c>
      <c r="G472" s="23" t="n">
        <f aca="false">G479</f>
        <v>0</v>
      </c>
      <c r="H472" s="23" t="n">
        <f aca="false">H479</f>
        <v>684.11</v>
      </c>
      <c r="I472" s="23" t="n">
        <f aca="false">I479</f>
        <v>700</v>
      </c>
      <c r="J472" s="23" t="n">
        <f aca="false">J479</f>
        <v>1799</v>
      </c>
      <c r="K472" s="23" t="n">
        <f aca="false">K479</f>
        <v>831</v>
      </c>
      <c r="L472" s="23" t="n">
        <f aca="false">L479</f>
        <v>0</v>
      </c>
      <c r="M472" s="23" t="n">
        <f aca="false">M479</f>
        <v>0</v>
      </c>
      <c r="N472" s="23" t="n">
        <f aca="false">N479</f>
        <v>0</v>
      </c>
      <c r="O472" s="23" t="n">
        <f aca="false">O479</f>
        <v>128</v>
      </c>
      <c r="P472" s="23" t="n">
        <f aca="false">P479</f>
        <v>959</v>
      </c>
      <c r="Q472" s="23" t="n">
        <f aca="false">Q479</f>
        <v>0</v>
      </c>
      <c r="R472" s="24" t="n">
        <f aca="false">Q472/$P472</f>
        <v>0</v>
      </c>
      <c r="S472" s="23" t="n">
        <f aca="false">S479</f>
        <v>0</v>
      </c>
      <c r="T472" s="24" t="n">
        <f aca="false">S472/$P472</f>
        <v>0</v>
      </c>
      <c r="U472" s="23" t="n">
        <f aca="false">U479</f>
        <v>0</v>
      </c>
      <c r="V472" s="24" t="n">
        <f aca="false">U472/$P472</f>
        <v>0</v>
      </c>
      <c r="W472" s="23" t="n">
        <f aca="false">W479</f>
        <v>958.75</v>
      </c>
      <c r="X472" s="24" t="n">
        <f aca="false">W472/$P472</f>
        <v>0.999739311783107</v>
      </c>
      <c r="Y472" s="23" t="n">
        <f aca="false">Y479</f>
        <v>831</v>
      </c>
      <c r="Z472" s="23" t="n">
        <f aca="false">Z479</f>
        <v>831</v>
      </c>
    </row>
    <row r="473" customFormat="false" ht="13.9" hidden="false" customHeight="true" outlineLevel="0" collapsed="false">
      <c r="A473" s="1" t="n">
        <v>7</v>
      </c>
      <c r="D473" s="17"/>
      <c r="E473" s="18"/>
      <c r="F473" s="25" t="s">
        <v>124</v>
      </c>
      <c r="G473" s="26" t="n">
        <f aca="false">SUM(G470:G472)</f>
        <v>92138.08</v>
      </c>
      <c r="H473" s="26" t="n">
        <f aca="false">SUM(H470:H472)</f>
        <v>97355.36</v>
      </c>
      <c r="I473" s="26" t="n">
        <f aca="false">SUM(I470:I472)</f>
        <v>120656</v>
      </c>
      <c r="J473" s="26" t="n">
        <f aca="false">SUM(J470:J472)</f>
        <v>121821</v>
      </c>
      <c r="K473" s="26" t="n">
        <f aca="false">SUM(K470:K472)</f>
        <v>141826</v>
      </c>
      <c r="L473" s="26" t="n">
        <f aca="false">SUM(L470:L472)</f>
        <v>0</v>
      </c>
      <c r="M473" s="26" t="n">
        <f aca="false">SUM(M470:M472)</f>
        <v>3000</v>
      </c>
      <c r="N473" s="26" t="n">
        <f aca="false">SUM(N470:N472)</f>
        <v>14726</v>
      </c>
      <c r="O473" s="26" t="n">
        <f aca="false">SUM(O470:O472)</f>
        <v>8648</v>
      </c>
      <c r="P473" s="26" t="n">
        <f aca="false">SUM(P470:P472)</f>
        <v>168200</v>
      </c>
      <c r="Q473" s="26" t="n">
        <f aca="false">SUM(Q470:Q472)</f>
        <v>44631.33</v>
      </c>
      <c r="R473" s="27" t="n">
        <f aca="false">Q473/$P473</f>
        <v>0.265346789536266</v>
      </c>
      <c r="S473" s="26" t="n">
        <f aca="false">SUM(S470:S472)</f>
        <v>75778.49</v>
      </c>
      <c r="T473" s="27" t="n">
        <f aca="false">S473/$P473</f>
        <v>0.450526099881094</v>
      </c>
      <c r="U473" s="26" t="n">
        <f aca="false">SUM(U470:U472)</f>
        <v>108112.21</v>
      </c>
      <c r="V473" s="27" t="n">
        <f aca="false">U473/$P473</f>
        <v>0.642759869203329</v>
      </c>
      <c r="W473" s="26" t="n">
        <f aca="false">SUM(W470:W472)</f>
        <v>156547.29</v>
      </c>
      <c r="X473" s="27" t="n">
        <f aca="false">W473/$P473</f>
        <v>0.930721105826397</v>
      </c>
      <c r="Y473" s="26" t="n">
        <f aca="false">SUM(Y470:Y472)</f>
        <v>146935</v>
      </c>
      <c r="Z473" s="26" t="n">
        <f aca="false">SUM(Z470:Z472)</f>
        <v>157579</v>
      </c>
    </row>
    <row r="475" customFormat="false" ht="13.9" hidden="false" customHeight="true" outlineLevel="0" collapsed="false">
      <c r="D475" s="28" t="s">
        <v>262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9"/>
      <c r="S475" s="28"/>
      <c r="T475" s="29"/>
      <c r="U475" s="28"/>
      <c r="V475" s="29"/>
      <c r="W475" s="28"/>
      <c r="X475" s="29"/>
      <c r="Y475" s="28"/>
      <c r="Z475" s="28"/>
    </row>
    <row r="476" customFormat="false" ht="13.9" hidden="false" customHeight="true" outlineLevel="0" collapsed="false">
      <c r="D476" s="108"/>
      <c r="E476" s="108"/>
      <c r="F476" s="108"/>
      <c r="G476" s="7" t="s">
        <v>1</v>
      </c>
      <c r="H476" s="7" t="s">
        <v>2</v>
      </c>
      <c r="I476" s="7" t="s">
        <v>3</v>
      </c>
      <c r="J476" s="7" t="s">
        <v>4</v>
      </c>
      <c r="K476" s="7" t="s">
        <v>5</v>
      </c>
      <c r="L476" s="7" t="s">
        <v>6</v>
      </c>
      <c r="M476" s="7" t="s">
        <v>7</v>
      </c>
      <c r="N476" s="7" t="s">
        <v>8</v>
      </c>
      <c r="O476" s="7" t="s">
        <v>9</v>
      </c>
      <c r="P476" s="7" t="s">
        <v>10</v>
      </c>
      <c r="Q476" s="7" t="s">
        <v>11</v>
      </c>
      <c r="R476" s="8" t="s">
        <v>12</v>
      </c>
      <c r="S476" s="7" t="s">
        <v>13</v>
      </c>
      <c r="T476" s="8" t="s">
        <v>14</v>
      </c>
      <c r="U476" s="7" t="s">
        <v>15</v>
      </c>
      <c r="V476" s="8" t="s">
        <v>16</v>
      </c>
      <c r="W476" s="7" t="s">
        <v>17</v>
      </c>
      <c r="X476" s="8" t="s">
        <v>18</v>
      </c>
      <c r="Y476" s="7" t="s">
        <v>19</v>
      </c>
      <c r="Z476" s="7" t="s">
        <v>20</v>
      </c>
    </row>
    <row r="477" customFormat="false" ht="13.9" hidden="false" customHeight="true" outlineLevel="0" collapsed="false">
      <c r="A477" s="1" t="n">
        <v>7</v>
      </c>
      <c r="B477" s="1" t="n">
        <v>1</v>
      </c>
      <c r="D477" s="30" t="s">
        <v>21</v>
      </c>
      <c r="E477" s="10" t="n">
        <v>111</v>
      </c>
      <c r="F477" s="10" t="s">
        <v>47</v>
      </c>
      <c r="G477" s="11" t="n">
        <f aca="false">G487</f>
        <v>38494.67</v>
      </c>
      <c r="H477" s="11" t="n">
        <f aca="false">H487</f>
        <v>34925.29</v>
      </c>
      <c r="I477" s="11" t="n">
        <f aca="false">I487</f>
        <v>35712</v>
      </c>
      <c r="J477" s="11" t="n">
        <f aca="false">J487</f>
        <v>35711</v>
      </c>
      <c r="K477" s="11" t="n">
        <f aca="false">K487</f>
        <v>38688</v>
      </c>
      <c r="L477" s="11" t="n">
        <f aca="false">L487</f>
        <v>0</v>
      </c>
      <c r="M477" s="11" t="n">
        <f aca="false">M487</f>
        <v>0</v>
      </c>
      <c r="N477" s="11" t="n">
        <f aca="false">N487</f>
        <v>0</v>
      </c>
      <c r="O477" s="11" t="n">
        <f aca="false">O487</f>
        <v>5404</v>
      </c>
      <c r="P477" s="11" t="n">
        <f aca="false">P487</f>
        <v>44092</v>
      </c>
      <c r="Q477" s="11" t="n">
        <f aca="false">Q487</f>
        <v>8858.07</v>
      </c>
      <c r="R477" s="12" t="n">
        <f aca="false">Q477/$P477</f>
        <v>0.200899709697904</v>
      </c>
      <c r="S477" s="11" t="n">
        <f aca="false">S487</f>
        <v>19238.3</v>
      </c>
      <c r="T477" s="12" t="n">
        <f aca="false">S477/$P477</f>
        <v>0.436321781729112</v>
      </c>
      <c r="U477" s="11" t="n">
        <f aca="false">U487</f>
        <v>28963.15</v>
      </c>
      <c r="V477" s="12" t="n">
        <f aca="false">U477/$P477</f>
        <v>0.65687993286764</v>
      </c>
      <c r="W477" s="11" t="n">
        <f aca="false">W487</f>
        <v>44092</v>
      </c>
      <c r="X477" s="12" t="n">
        <f aca="false">W477/$P477</f>
        <v>1</v>
      </c>
      <c r="Y477" s="11" t="n">
        <f aca="false">Y487</f>
        <v>42558</v>
      </c>
      <c r="Z477" s="11" t="n">
        <f aca="false">Z487</f>
        <v>46814</v>
      </c>
    </row>
    <row r="478" customFormat="false" ht="13.9" hidden="false" customHeight="true" outlineLevel="0" collapsed="false">
      <c r="A478" s="1" t="n">
        <v>7</v>
      </c>
      <c r="B478" s="1" t="n">
        <v>1</v>
      </c>
      <c r="D478" s="30"/>
      <c r="E478" s="10" t="n">
        <v>41</v>
      </c>
      <c r="F478" s="10" t="s">
        <v>23</v>
      </c>
      <c r="G478" s="11" t="n">
        <f aca="false">G492+G507</f>
        <v>48913.01</v>
      </c>
      <c r="H478" s="11" t="n">
        <f aca="false">H492+H507</f>
        <v>57018.84</v>
      </c>
      <c r="I478" s="11" t="n">
        <f aca="false">I492+I507</f>
        <v>78444</v>
      </c>
      <c r="J478" s="11" t="n">
        <f aca="false">J492+J507</f>
        <v>77752</v>
      </c>
      <c r="K478" s="11" t="n">
        <f aca="false">K492+K507</f>
        <v>97442</v>
      </c>
      <c r="L478" s="11" t="n">
        <f aca="false">L492+L507</f>
        <v>0</v>
      </c>
      <c r="M478" s="11" t="n">
        <f aca="false">M492+M507</f>
        <v>1000</v>
      </c>
      <c r="N478" s="11" t="n">
        <f aca="false">N492+N507</f>
        <v>-32</v>
      </c>
      <c r="O478" s="11" t="n">
        <f aca="false">O492+O507</f>
        <v>2360</v>
      </c>
      <c r="P478" s="11" t="n">
        <f aca="false">P492+P507</f>
        <v>100770</v>
      </c>
      <c r="Q478" s="11" t="n">
        <f aca="false">Q492+Q507</f>
        <v>21259.28</v>
      </c>
      <c r="R478" s="12" t="n">
        <f aca="false">Q478/$P478</f>
        <v>0.210968343753101</v>
      </c>
      <c r="S478" s="11" t="n">
        <f aca="false">S492+S507</f>
        <v>40105.68</v>
      </c>
      <c r="T478" s="12" t="n">
        <f aca="false">S478/$P478</f>
        <v>0.397992259601072</v>
      </c>
      <c r="U478" s="11" t="n">
        <f aca="false">U492+U507</f>
        <v>61305.55</v>
      </c>
      <c r="V478" s="12" t="n">
        <f aca="false">U478/$P478</f>
        <v>0.608371042969138</v>
      </c>
      <c r="W478" s="11" t="n">
        <f aca="false">W492+W507</f>
        <v>91714.83</v>
      </c>
      <c r="X478" s="12" t="n">
        <f aca="false">W478/$P478</f>
        <v>0.910140220303662</v>
      </c>
      <c r="Y478" s="11" t="n">
        <f aca="false">Y492+Y507</f>
        <v>98681</v>
      </c>
      <c r="Z478" s="11" t="n">
        <f aca="false">Z492+Z507</f>
        <v>105069</v>
      </c>
    </row>
    <row r="479" customFormat="false" ht="13.9" hidden="false" customHeight="true" outlineLevel="0" collapsed="false">
      <c r="A479" s="1" t="n">
        <v>7</v>
      </c>
      <c r="B479" s="1" t="n">
        <v>1</v>
      </c>
      <c r="D479" s="30"/>
      <c r="E479" s="10" t="n">
        <v>72</v>
      </c>
      <c r="F479" s="10" t="s">
        <v>25</v>
      </c>
      <c r="G479" s="11" t="n">
        <f aca="false">G495</f>
        <v>0</v>
      </c>
      <c r="H479" s="11" t="n">
        <f aca="false">H495</f>
        <v>684.11</v>
      </c>
      <c r="I479" s="11" t="n">
        <f aca="false">I495</f>
        <v>700</v>
      </c>
      <c r="J479" s="11" t="n">
        <f aca="false">J495</f>
        <v>1799</v>
      </c>
      <c r="K479" s="11" t="n">
        <f aca="false">K495</f>
        <v>831</v>
      </c>
      <c r="L479" s="11" t="n">
        <f aca="false">L495</f>
        <v>0</v>
      </c>
      <c r="M479" s="11" t="n">
        <f aca="false">M495</f>
        <v>0</v>
      </c>
      <c r="N479" s="11" t="n">
        <f aca="false">N495</f>
        <v>0</v>
      </c>
      <c r="O479" s="11" t="n">
        <f aca="false">O495</f>
        <v>128</v>
      </c>
      <c r="P479" s="11" t="n">
        <f aca="false">P495</f>
        <v>959</v>
      </c>
      <c r="Q479" s="11" t="n">
        <f aca="false">Q495</f>
        <v>0</v>
      </c>
      <c r="R479" s="12" t="n">
        <f aca="false">Q479/$P479</f>
        <v>0</v>
      </c>
      <c r="S479" s="11" t="n">
        <f aca="false">S495</f>
        <v>0</v>
      </c>
      <c r="T479" s="12" t="n">
        <f aca="false">S479/$P479</f>
        <v>0</v>
      </c>
      <c r="U479" s="11" t="n">
        <f aca="false">U495</f>
        <v>0</v>
      </c>
      <c r="V479" s="12" t="n">
        <f aca="false">U479/$P479</f>
        <v>0</v>
      </c>
      <c r="W479" s="11" t="n">
        <f aca="false">W495</f>
        <v>958.75</v>
      </c>
      <c r="X479" s="12" t="n">
        <f aca="false">W479/$P479</f>
        <v>0.999739311783107</v>
      </c>
      <c r="Y479" s="11" t="n">
        <f aca="false">Y495</f>
        <v>831</v>
      </c>
      <c r="Z479" s="11" t="n">
        <f aca="false">Z495</f>
        <v>831</v>
      </c>
    </row>
    <row r="480" customFormat="false" ht="13.9" hidden="false" customHeight="true" outlineLevel="0" collapsed="false">
      <c r="A480" s="1" t="n">
        <v>7</v>
      </c>
      <c r="B480" s="1" t="n">
        <v>1</v>
      </c>
      <c r="D480" s="17"/>
      <c r="E480" s="18"/>
      <c r="F480" s="13" t="s">
        <v>124</v>
      </c>
      <c r="G480" s="14" t="n">
        <f aca="false">SUM(G477:G479)</f>
        <v>87407.68</v>
      </c>
      <c r="H480" s="14" t="n">
        <f aca="false">SUM(H477:H479)</f>
        <v>92628.24</v>
      </c>
      <c r="I480" s="14" t="n">
        <f aca="false">SUM(I477:I479)</f>
        <v>114856</v>
      </c>
      <c r="J480" s="14" t="n">
        <f aca="false">SUM(J477:J479)</f>
        <v>115262</v>
      </c>
      <c r="K480" s="14" t="n">
        <f aca="false">SUM(K477:K479)</f>
        <v>136961</v>
      </c>
      <c r="L480" s="14" t="n">
        <f aca="false">SUM(L477:L479)</f>
        <v>0</v>
      </c>
      <c r="M480" s="14" t="n">
        <f aca="false">SUM(M477:M479)</f>
        <v>1000</v>
      </c>
      <c r="N480" s="14" t="n">
        <f aca="false">SUM(N477:N479)</f>
        <v>-32</v>
      </c>
      <c r="O480" s="14" t="n">
        <f aca="false">SUM(O477:O479)</f>
        <v>7892</v>
      </c>
      <c r="P480" s="14" t="n">
        <f aca="false">SUM(P477:P479)</f>
        <v>145821</v>
      </c>
      <c r="Q480" s="14" t="n">
        <f aca="false">SUM(Q477:Q479)</f>
        <v>30117.35</v>
      </c>
      <c r="R480" s="15" t="n">
        <f aca="false">Q480/$P480</f>
        <v>0.206536438510228</v>
      </c>
      <c r="S480" s="14" t="n">
        <f aca="false">SUM(S477:S479)</f>
        <v>59343.98</v>
      </c>
      <c r="T480" s="15" t="n">
        <f aca="false">S480/$P480</f>
        <v>0.406964566146166</v>
      </c>
      <c r="U480" s="14" t="n">
        <f aca="false">SUM(U477:U479)</f>
        <v>90268.7</v>
      </c>
      <c r="V480" s="15" t="n">
        <f aca="false">U480/$P480</f>
        <v>0.619037724333258</v>
      </c>
      <c r="W480" s="14" t="n">
        <f aca="false">SUM(W477:W479)</f>
        <v>136765.58</v>
      </c>
      <c r="X480" s="15" t="n">
        <f aca="false">W480/$P480</f>
        <v>0.937900439580033</v>
      </c>
      <c r="Y480" s="14" t="n">
        <f aca="false">SUM(Y477:Y479)</f>
        <v>142070</v>
      </c>
      <c r="Z480" s="14" t="n">
        <f aca="false">SUM(Z477:Z479)</f>
        <v>152714</v>
      </c>
    </row>
    <row r="482" customFormat="false" ht="13.9" hidden="false" customHeight="true" outlineLevel="0" collapsed="false">
      <c r="D482" s="60" t="s">
        <v>263</v>
      </c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1"/>
      <c r="S482" s="60"/>
      <c r="T482" s="61"/>
      <c r="U482" s="60"/>
      <c r="V482" s="61"/>
      <c r="W482" s="60"/>
      <c r="X482" s="61"/>
      <c r="Y482" s="60"/>
      <c r="Z482" s="60"/>
    </row>
    <row r="483" customFormat="false" ht="13.9" hidden="false" customHeight="true" outlineLevel="0" collapsed="false">
      <c r="D483" s="7" t="s">
        <v>33</v>
      </c>
      <c r="E483" s="7" t="s">
        <v>34</v>
      </c>
      <c r="F483" s="7" t="s">
        <v>35</v>
      </c>
      <c r="G483" s="7" t="s">
        <v>1</v>
      </c>
      <c r="H483" s="7" t="s">
        <v>2</v>
      </c>
      <c r="I483" s="7" t="s">
        <v>3</v>
      </c>
      <c r="J483" s="7" t="s">
        <v>4</v>
      </c>
      <c r="K483" s="7" t="s">
        <v>5</v>
      </c>
      <c r="L483" s="7" t="s">
        <v>6</v>
      </c>
      <c r="M483" s="7" t="s">
        <v>7</v>
      </c>
      <c r="N483" s="7" t="s">
        <v>8</v>
      </c>
      <c r="O483" s="7" t="s">
        <v>9</v>
      </c>
      <c r="P483" s="7" t="s">
        <v>10</v>
      </c>
      <c r="Q483" s="7" t="s">
        <v>11</v>
      </c>
      <c r="R483" s="8" t="s">
        <v>12</v>
      </c>
      <c r="S483" s="7" t="s">
        <v>13</v>
      </c>
      <c r="T483" s="8" t="s">
        <v>14</v>
      </c>
      <c r="U483" s="7" t="s">
        <v>15</v>
      </c>
      <c r="V483" s="8" t="s">
        <v>16</v>
      </c>
      <c r="W483" s="7" t="s">
        <v>17</v>
      </c>
      <c r="X483" s="8" t="s">
        <v>18</v>
      </c>
      <c r="Y483" s="7" t="s">
        <v>19</v>
      </c>
      <c r="Z483" s="7" t="s">
        <v>20</v>
      </c>
    </row>
    <row r="484" customFormat="false" ht="13.9" hidden="false" customHeight="true" outlineLevel="0" collapsed="false">
      <c r="A484" s="1" t="n">
        <v>7</v>
      </c>
      <c r="B484" s="1" t="n">
        <v>1</v>
      </c>
      <c r="C484" s="1" t="n">
        <v>1</v>
      </c>
      <c r="D484" s="76" t="s">
        <v>264</v>
      </c>
      <c r="E484" s="10" t="n">
        <v>610</v>
      </c>
      <c r="F484" s="10" t="s">
        <v>129</v>
      </c>
      <c r="G484" s="11" t="n">
        <v>27765.1</v>
      </c>
      <c r="H484" s="11" t="n">
        <v>24196.49</v>
      </c>
      <c r="I484" s="11" t="n">
        <v>26462</v>
      </c>
      <c r="J484" s="11" t="n">
        <v>26447</v>
      </c>
      <c r="K484" s="11" t="n">
        <v>27875</v>
      </c>
      <c r="L484" s="11"/>
      <c r="M484" s="11"/>
      <c r="N484" s="11"/>
      <c r="O484" s="11" t="n">
        <f aca="false">873+4004</f>
        <v>4877</v>
      </c>
      <c r="P484" s="11" t="n">
        <f aca="false">K484+SUM(L484:O484)</f>
        <v>32752</v>
      </c>
      <c r="Q484" s="11" t="n">
        <v>6584.07</v>
      </c>
      <c r="R484" s="12" t="n">
        <f aca="false">Q484/$P484</f>
        <v>0.201028028822667</v>
      </c>
      <c r="S484" s="11" t="n">
        <v>14291.98</v>
      </c>
      <c r="T484" s="12" t="n">
        <f aca="false">S484/$P484</f>
        <v>0.436369687347338</v>
      </c>
      <c r="U484" s="11" t="n">
        <v>21519.79</v>
      </c>
      <c r="V484" s="12" t="n">
        <f aca="false">U484/$P484</f>
        <v>0.657052699071812</v>
      </c>
      <c r="W484" s="11" t="n">
        <v>32752.23</v>
      </c>
      <c r="X484" s="12" t="n">
        <f aca="false">W484/$P484</f>
        <v>1.00000702247191</v>
      </c>
      <c r="Y484" s="11" t="n">
        <v>30663</v>
      </c>
      <c r="Z484" s="11" t="n">
        <v>33729</v>
      </c>
    </row>
    <row r="485" customFormat="false" ht="13.9" hidden="false" customHeight="true" outlineLevel="0" collapsed="false">
      <c r="A485" s="1" t="n">
        <v>7</v>
      </c>
      <c r="B485" s="1" t="n">
        <v>1</v>
      </c>
      <c r="C485" s="1" t="n">
        <v>1</v>
      </c>
      <c r="D485" s="76"/>
      <c r="E485" s="10" t="n">
        <v>620</v>
      </c>
      <c r="F485" s="10" t="s">
        <v>130</v>
      </c>
      <c r="G485" s="11" t="n">
        <v>9698.61</v>
      </c>
      <c r="H485" s="11" t="n">
        <v>8985.63</v>
      </c>
      <c r="I485" s="11" t="n">
        <v>9250</v>
      </c>
      <c r="J485" s="11" t="n">
        <v>9264</v>
      </c>
      <c r="K485" s="11" t="n">
        <v>10813</v>
      </c>
      <c r="L485" s="11"/>
      <c r="M485" s="11"/>
      <c r="N485" s="11"/>
      <c r="O485" s="11" t="n">
        <f aca="false">-873+1400</f>
        <v>527</v>
      </c>
      <c r="P485" s="11" t="n">
        <f aca="false">K485+SUM(L485:O485)</f>
        <v>11340</v>
      </c>
      <c r="Q485" s="11" t="n">
        <v>2274</v>
      </c>
      <c r="R485" s="12" t="n">
        <f aca="false">Q485/$P485</f>
        <v>0.200529100529101</v>
      </c>
      <c r="S485" s="11" t="n">
        <v>4946.32</v>
      </c>
      <c r="T485" s="12" t="n">
        <f aca="false">S485/$P485</f>
        <v>0.436183421516755</v>
      </c>
      <c r="U485" s="11" t="n">
        <v>7443.36</v>
      </c>
      <c r="V485" s="12" t="n">
        <f aca="false">U485/$P485</f>
        <v>0.656380952380952</v>
      </c>
      <c r="W485" s="11" t="n">
        <v>11339.77</v>
      </c>
      <c r="X485" s="12" t="n">
        <f aca="false">W485/$P485</f>
        <v>0.999979717813051</v>
      </c>
      <c r="Y485" s="11" t="n">
        <v>11895</v>
      </c>
      <c r="Z485" s="11" t="n">
        <v>13085</v>
      </c>
    </row>
    <row r="486" customFormat="false" ht="13.9" hidden="false" customHeight="true" outlineLevel="0" collapsed="false">
      <c r="A486" s="1" t="n">
        <v>7</v>
      </c>
      <c r="B486" s="1" t="n">
        <v>1</v>
      </c>
      <c r="C486" s="1" t="n">
        <v>1</v>
      </c>
      <c r="D486" s="76"/>
      <c r="E486" s="10" t="n">
        <v>630</v>
      </c>
      <c r="F486" s="10" t="s">
        <v>131</v>
      </c>
      <c r="G486" s="11" t="n">
        <v>1030.96</v>
      </c>
      <c r="H486" s="11" t="n">
        <v>1743.17</v>
      </c>
      <c r="I486" s="11" t="n">
        <v>0</v>
      </c>
      <c r="J486" s="11" t="n">
        <v>0</v>
      </c>
      <c r="K486" s="11" t="n">
        <v>0</v>
      </c>
      <c r="L486" s="11"/>
      <c r="M486" s="11"/>
      <c r="N486" s="11"/>
      <c r="O486" s="11"/>
      <c r="P486" s="11" t="n">
        <f aca="false">K486+SUM(L486:O486)</f>
        <v>0</v>
      </c>
      <c r="Q486" s="11" t="n">
        <v>0</v>
      </c>
      <c r="R486" s="12" t="e">
        <f aca="false">Q486/$P486</f>
        <v>#DIV/0!</v>
      </c>
      <c r="S486" s="11" t="n">
        <v>0</v>
      </c>
      <c r="T486" s="12" t="e">
        <f aca="false">S486/$P486</f>
        <v>#DIV/0!</v>
      </c>
      <c r="U486" s="11" t="n">
        <v>0</v>
      </c>
      <c r="V486" s="12" t="e">
        <f aca="false">U486/$P486</f>
        <v>#DIV/0!</v>
      </c>
      <c r="W486" s="11" t="n">
        <v>0</v>
      </c>
      <c r="X486" s="12" t="e">
        <f aca="false">W486/$P486</f>
        <v>#DIV/0!</v>
      </c>
      <c r="Y486" s="11" t="n">
        <f aca="false">K486</f>
        <v>0</v>
      </c>
      <c r="Z486" s="11" t="n">
        <f aca="false">Y486</f>
        <v>0</v>
      </c>
    </row>
    <row r="487" customFormat="false" ht="13.9" hidden="false" customHeight="true" outlineLevel="0" collapsed="false">
      <c r="A487" s="1" t="n">
        <v>7</v>
      </c>
      <c r="B487" s="1" t="n">
        <v>1</v>
      </c>
      <c r="C487" s="1" t="n">
        <v>1</v>
      </c>
      <c r="D487" s="77" t="s">
        <v>21</v>
      </c>
      <c r="E487" s="35" t="n">
        <v>111</v>
      </c>
      <c r="F487" s="35" t="s">
        <v>134</v>
      </c>
      <c r="G487" s="36" t="n">
        <f aca="false">SUM(G484:G486)</f>
        <v>38494.67</v>
      </c>
      <c r="H487" s="36" t="n">
        <f aca="false">SUM(H484:H486)</f>
        <v>34925.29</v>
      </c>
      <c r="I487" s="36" t="n">
        <f aca="false">SUM(I484:I486)</f>
        <v>35712</v>
      </c>
      <c r="J487" s="36" t="n">
        <f aca="false">SUM(J484:J486)</f>
        <v>35711</v>
      </c>
      <c r="K487" s="89" t="n">
        <f aca="false">SUM(K484:K486)</f>
        <v>38688</v>
      </c>
      <c r="L487" s="89" t="n">
        <f aca="false">SUM(L484:L486)</f>
        <v>0</v>
      </c>
      <c r="M487" s="89" t="n">
        <f aca="false">SUM(M484:M486)</f>
        <v>0</v>
      </c>
      <c r="N487" s="89" t="n">
        <f aca="false">SUM(N484:N486)</f>
        <v>0</v>
      </c>
      <c r="O487" s="89" t="n">
        <f aca="false">SUM(O484:O486)</f>
        <v>5404</v>
      </c>
      <c r="P487" s="89" t="n">
        <f aca="false">SUM(P484:P486)</f>
        <v>44092</v>
      </c>
      <c r="Q487" s="89" t="n">
        <f aca="false">SUM(Q484:Q486)</f>
        <v>8858.07</v>
      </c>
      <c r="R487" s="90" t="n">
        <f aca="false">Q487/$P487</f>
        <v>0.200899709697904</v>
      </c>
      <c r="S487" s="89" t="n">
        <f aca="false">SUM(S484:S486)</f>
        <v>19238.3</v>
      </c>
      <c r="T487" s="90" t="n">
        <f aca="false">S487/$P487</f>
        <v>0.436321781729112</v>
      </c>
      <c r="U487" s="89" t="n">
        <f aca="false">SUM(U484:U486)</f>
        <v>28963.15</v>
      </c>
      <c r="V487" s="90" t="n">
        <f aca="false">U487/$P487</f>
        <v>0.65687993286764</v>
      </c>
      <c r="W487" s="89" t="n">
        <f aca="false">SUM(W484:W486)</f>
        <v>44092</v>
      </c>
      <c r="X487" s="90" t="n">
        <f aca="false">W487/$P487</f>
        <v>1</v>
      </c>
      <c r="Y487" s="36" t="n">
        <f aca="false">SUM(Y484:Y486)</f>
        <v>42558</v>
      </c>
      <c r="Z487" s="36" t="n">
        <f aca="false">SUM(Z484:Z486)</f>
        <v>46814</v>
      </c>
    </row>
    <row r="488" customFormat="false" ht="13.9" hidden="false" customHeight="true" outlineLevel="0" collapsed="false">
      <c r="A488" s="1" t="n">
        <v>7</v>
      </c>
      <c r="B488" s="1" t="n">
        <v>1</v>
      </c>
      <c r="C488" s="1" t="n">
        <v>1</v>
      </c>
      <c r="D488" s="76" t="s">
        <v>264</v>
      </c>
      <c r="E488" s="10" t="n">
        <v>610</v>
      </c>
      <c r="F488" s="10" t="s">
        <v>129</v>
      </c>
      <c r="G488" s="11" t="n">
        <v>22026.13</v>
      </c>
      <c r="H488" s="11" t="n">
        <v>26657.85</v>
      </c>
      <c r="I488" s="11" t="n">
        <v>30458</v>
      </c>
      <c r="J488" s="11" t="n">
        <v>32144</v>
      </c>
      <c r="K488" s="11" t="n">
        <v>46273</v>
      </c>
      <c r="L488" s="11"/>
      <c r="M488" s="11" t="n">
        <v>-86</v>
      </c>
      <c r="N488" s="11"/>
      <c r="O488" s="11" t="n">
        <v>-340</v>
      </c>
      <c r="P488" s="11" t="n">
        <f aca="false">K488+SUM(L488:O488)</f>
        <v>45847</v>
      </c>
      <c r="Q488" s="11" t="n">
        <v>10921.35</v>
      </c>
      <c r="R488" s="12" t="n">
        <f aca="false">Q488/$P488</f>
        <v>0.238212969223722</v>
      </c>
      <c r="S488" s="11" t="n">
        <v>21037.24</v>
      </c>
      <c r="T488" s="12" t="n">
        <f aca="false">S488/$P488</f>
        <v>0.458857504307806</v>
      </c>
      <c r="U488" s="11" t="n">
        <v>30911.77</v>
      </c>
      <c r="V488" s="12" t="n">
        <f aca="false">U488/$P488</f>
        <v>0.674237572796475</v>
      </c>
      <c r="W488" s="11" t="n">
        <v>44457.69</v>
      </c>
      <c r="X488" s="12" t="n">
        <f aca="false">W488/$P488</f>
        <v>0.969696817676184</v>
      </c>
      <c r="Y488" s="11" t="n">
        <v>50472</v>
      </c>
      <c r="Z488" s="11" t="n">
        <v>55091</v>
      </c>
    </row>
    <row r="489" customFormat="false" ht="13.9" hidden="false" customHeight="true" outlineLevel="0" collapsed="false">
      <c r="A489" s="1" t="n">
        <v>7</v>
      </c>
      <c r="B489" s="1" t="n">
        <v>1</v>
      </c>
      <c r="C489" s="1" t="n">
        <v>1</v>
      </c>
      <c r="D489" s="76"/>
      <c r="E489" s="10" t="n">
        <v>620</v>
      </c>
      <c r="F489" s="10" t="s">
        <v>130</v>
      </c>
      <c r="G489" s="11" t="n">
        <v>8620.44</v>
      </c>
      <c r="H489" s="11" t="n">
        <v>10236.89</v>
      </c>
      <c r="I489" s="11" t="n">
        <v>12380</v>
      </c>
      <c r="J489" s="11" t="n">
        <v>12081</v>
      </c>
      <c r="K489" s="11" t="n">
        <v>18335</v>
      </c>
      <c r="L489" s="11"/>
      <c r="M489" s="11"/>
      <c r="N489" s="11"/>
      <c r="O489" s="11"/>
      <c r="P489" s="11" t="n">
        <f aca="false">K489+SUM(L489:O489)</f>
        <v>18335</v>
      </c>
      <c r="Q489" s="11" t="n">
        <v>3992.66</v>
      </c>
      <c r="R489" s="12" t="n">
        <f aca="false">Q489/$P489</f>
        <v>0.217761658031088</v>
      </c>
      <c r="S489" s="11" t="n">
        <v>6251.24</v>
      </c>
      <c r="T489" s="12" t="n">
        <f aca="false">S489/$P489</f>
        <v>0.340945732206163</v>
      </c>
      <c r="U489" s="11" t="n">
        <v>9927.8</v>
      </c>
      <c r="V489" s="12" t="n">
        <f aca="false">U489/$P489</f>
        <v>0.541467139350968</v>
      </c>
      <c r="W489" s="11" t="n">
        <v>15094.65</v>
      </c>
      <c r="X489" s="12" t="n">
        <f aca="false">W489/$P489</f>
        <v>0.823269702754295</v>
      </c>
      <c r="Y489" s="11" t="n">
        <v>18649</v>
      </c>
      <c r="Z489" s="11" t="n">
        <v>20358</v>
      </c>
    </row>
    <row r="490" customFormat="false" ht="13.9" hidden="false" customHeight="true" outlineLevel="0" collapsed="false">
      <c r="A490" s="1" t="n">
        <v>7</v>
      </c>
      <c r="B490" s="1" t="n">
        <v>1</v>
      </c>
      <c r="C490" s="1" t="n">
        <v>1</v>
      </c>
      <c r="D490" s="76"/>
      <c r="E490" s="10" t="n">
        <v>630</v>
      </c>
      <c r="F490" s="10" t="s">
        <v>131</v>
      </c>
      <c r="G490" s="11" t="n">
        <v>15044.36</v>
      </c>
      <c r="H490" s="11" t="n">
        <v>16568.79</v>
      </c>
      <c r="I490" s="11" t="n">
        <v>18056</v>
      </c>
      <c r="J490" s="11" t="n">
        <v>29646</v>
      </c>
      <c r="K490" s="11" t="n">
        <f aca="false">6846+18837</f>
        <v>25683</v>
      </c>
      <c r="L490" s="11"/>
      <c r="M490" s="11" t="n">
        <v>1000</v>
      </c>
      <c r="N490" s="11" t="n">
        <f aca="false">95+400</f>
        <v>495</v>
      </c>
      <c r="O490" s="11" t="n">
        <f aca="false">340+2360+541</f>
        <v>3241</v>
      </c>
      <c r="P490" s="11" t="n">
        <f aca="false">K490+SUM(L490:O490)</f>
        <v>30419</v>
      </c>
      <c r="Q490" s="11" t="n">
        <v>6273.87</v>
      </c>
      <c r="R490" s="12" t="n">
        <f aca="false">Q490/$P490</f>
        <v>0.206248397383214</v>
      </c>
      <c r="S490" s="11" t="n">
        <v>12745.8</v>
      </c>
      <c r="T490" s="12" t="n">
        <f aca="false">S490/$P490</f>
        <v>0.419007856931523</v>
      </c>
      <c r="U490" s="11" t="n">
        <v>20308.49</v>
      </c>
      <c r="V490" s="12" t="n">
        <f aca="false">U490/$P490</f>
        <v>0.667625168480226</v>
      </c>
      <c r="W490" s="11" t="n">
        <v>30286.91</v>
      </c>
      <c r="X490" s="12" t="n">
        <f aca="false">W490/$P490</f>
        <v>0.995657648180413</v>
      </c>
      <c r="Y490" s="11" t="n">
        <f aca="false">6923+18837</f>
        <v>25760</v>
      </c>
      <c r="Z490" s="11" t="n">
        <f aca="false">6983+18837</f>
        <v>25820</v>
      </c>
    </row>
    <row r="491" customFormat="false" ht="13.9" hidden="false" customHeight="true" outlineLevel="0" collapsed="false">
      <c r="A491" s="1" t="n">
        <v>7</v>
      </c>
      <c r="B491" s="1" t="n">
        <v>1</v>
      </c>
      <c r="C491" s="1" t="n">
        <v>1</v>
      </c>
      <c r="D491" s="76"/>
      <c r="E491" s="10" t="n">
        <v>640</v>
      </c>
      <c r="F491" s="10" t="s">
        <v>132</v>
      </c>
      <c r="G491" s="11" t="n">
        <v>216.69</v>
      </c>
      <c r="H491" s="11" t="n">
        <v>73.18</v>
      </c>
      <c r="I491" s="11" t="n">
        <v>3050</v>
      </c>
      <c r="J491" s="11" t="n">
        <v>88</v>
      </c>
      <c r="K491" s="11" t="n">
        <v>3351</v>
      </c>
      <c r="L491" s="11"/>
      <c r="M491" s="11" t="n">
        <v>86</v>
      </c>
      <c r="N491" s="11"/>
      <c r="O491" s="11" t="n">
        <v>-541</v>
      </c>
      <c r="P491" s="11" t="n">
        <f aca="false">K491+SUM(L491:O491)</f>
        <v>2896</v>
      </c>
      <c r="Q491" s="11" t="n">
        <v>0</v>
      </c>
      <c r="R491" s="12" t="n">
        <f aca="false">Q491/$P491</f>
        <v>0</v>
      </c>
      <c r="S491" s="11" t="n">
        <v>0</v>
      </c>
      <c r="T491" s="12" t="n">
        <f aca="false">S491/$P491</f>
        <v>0</v>
      </c>
      <c r="U491" s="11" t="n">
        <v>86.09</v>
      </c>
      <c r="V491" s="12" t="n">
        <f aca="false">U491/$P491</f>
        <v>0.0297272099447514</v>
      </c>
      <c r="W491" s="11" t="n">
        <v>172.18</v>
      </c>
      <c r="X491" s="12" t="n">
        <f aca="false">W491/$P491</f>
        <v>0.0594544198895028</v>
      </c>
      <c r="Y491" s="11" t="n">
        <v>0</v>
      </c>
      <c r="Z491" s="11" t="n">
        <f aca="false">Y491</f>
        <v>0</v>
      </c>
    </row>
    <row r="492" customFormat="false" ht="13.9" hidden="false" customHeight="true" outlineLevel="0" collapsed="false">
      <c r="A492" s="1" t="n">
        <v>7</v>
      </c>
      <c r="B492" s="1" t="n">
        <v>1</v>
      </c>
      <c r="C492" s="1" t="n">
        <v>1</v>
      </c>
      <c r="D492" s="77" t="s">
        <v>21</v>
      </c>
      <c r="E492" s="35" t="n">
        <v>41</v>
      </c>
      <c r="F492" s="35" t="s">
        <v>23</v>
      </c>
      <c r="G492" s="36" t="n">
        <f aca="false">SUM(G488:G491)</f>
        <v>45907.62</v>
      </c>
      <c r="H492" s="36" t="n">
        <f aca="false">SUM(H488:H491)</f>
        <v>53536.71</v>
      </c>
      <c r="I492" s="36" t="n">
        <f aca="false">SUM(I488:I491)</f>
        <v>63944</v>
      </c>
      <c r="J492" s="36" t="n">
        <f aca="false">SUM(J488:J491)</f>
        <v>73959</v>
      </c>
      <c r="K492" s="36" t="n">
        <f aca="false">SUM(K488:K491)</f>
        <v>93642</v>
      </c>
      <c r="L492" s="36" t="n">
        <f aca="false">SUM(L488:L491)</f>
        <v>0</v>
      </c>
      <c r="M492" s="36" t="n">
        <f aca="false">SUM(M488:M491)</f>
        <v>1000</v>
      </c>
      <c r="N492" s="36" t="n">
        <f aca="false">SUM(N488:N491)</f>
        <v>495</v>
      </c>
      <c r="O492" s="36" t="n">
        <f aca="false">SUM(O488:O491)</f>
        <v>2360</v>
      </c>
      <c r="P492" s="36" t="n">
        <f aca="false">SUM(P488:P491)</f>
        <v>97497</v>
      </c>
      <c r="Q492" s="36" t="n">
        <f aca="false">SUM(Q488:Q491)</f>
        <v>21187.88</v>
      </c>
      <c r="R492" s="37" t="n">
        <f aca="false">Q492/$P492</f>
        <v>0.217318276459789</v>
      </c>
      <c r="S492" s="36" t="n">
        <f aca="false">SUM(S488:S491)</f>
        <v>40034.28</v>
      </c>
      <c r="T492" s="37" t="n">
        <f aca="false">S492/$P492</f>
        <v>0.410620634481061</v>
      </c>
      <c r="U492" s="36" t="n">
        <f aca="false">SUM(U488:U491)</f>
        <v>61234.15</v>
      </c>
      <c r="V492" s="37" t="n">
        <f aca="false">U492/$P492</f>
        <v>0.628061889083767</v>
      </c>
      <c r="W492" s="36" t="n">
        <f aca="false">SUM(W488:W491)</f>
        <v>90011.43</v>
      </c>
      <c r="X492" s="37" t="n">
        <f aca="false">W492/$P492</f>
        <v>0.923222560694175</v>
      </c>
      <c r="Y492" s="36" t="n">
        <f aca="false">SUM(Y488:Y491)</f>
        <v>94881</v>
      </c>
      <c r="Z492" s="36" t="n">
        <f aca="false">SUM(Z488:Z491)</f>
        <v>101269</v>
      </c>
    </row>
    <row r="493" customFormat="false" ht="13.9" hidden="false" customHeight="true" outlineLevel="0" collapsed="false">
      <c r="A493" s="1" t="n">
        <v>7</v>
      </c>
      <c r="B493" s="1" t="n">
        <v>1</v>
      </c>
      <c r="C493" s="1" t="n">
        <v>1</v>
      </c>
      <c r="D493" s="38" t="s">
        <v>264</v>
      </c>
      <c r="E493" s="10" t="n">
        <v>630</v>
      </c>
      <c r="F493" s="10" t="s">
        <v>131</v>
      </c>
      <c r="G493" s="11" t="n">
        <v>0</v>
      </c>
      <c r="H493" s="11" t="n">
        <v>0</v>
      </c>
      <c r="I493" s="11" t="n">
        <v>0</v>
      </c>
      <c r="J493" s="11" t="n">
        <v>1000</v>
      </c>
      <c r="K493" s="11" t="n">
        <v>0</v>
      </c>
      <c r="L493" s="11"/>
      <c r="M493" s="11"/>
      <c r="N493" s="11"/>
      <c r="O493" s="11"/>
      <c r="P493" s="11" t="n">
        <f aca="false">K493+SUM(L493:O493)</f>
        <v>0</v>
      </c>
      <c r="Q493" s="11" t="n">
        <v>0</v>
      </c>
      <c r="R493" s="12" t="e">
        <f aca="false">Q493/$P493</f>
        <v>#DIV/0!</v>
      </c>
      <c r="S493" s="11" t="n">
        <v>0</v>
      </c>
      <c r="T493" s="12" t="e">
        <f aca="false">S493/$P493</f>
        <v>#DIV/0!</v>
      </c>
      <c r="U493" s="11" t="n">
        <v>0</v>
      </c>
      <c r="V493" s="12" t="e">
        <f aca="false">U493/$P493</f>
        <v>#DIV/0!</v>
      </c>
      <c r="W493" s="11" t="n">
        <v>0</v>
      </c>
      <c r="X493" s="12" t="e">
        <f aca="false">W493/$P493</f>
        <v>#DIV/0!</v>
      </c>
      <c r="Y493" s="11" t="n">
        <f aca="false">K493</f>
        <v>0</v>
      </c>
      <c r="Z493" s="11" t="n">
        <f aca="false">Y493</f>
        <v>0</v>
      </c>
    </row>
    <row r="494" customFormat="false" ht="13.9" hidden="false" customHeight="true" outlineLevel="0" collapsed="false">
      <c r="A494" s="1" t="n">
        <v>7</v>
      </c>
      <c r="B494" s="1" t="n">
        <v>1</v>
      </c>
      <c r="C494" s="1" t="n">
        <v>1</v>
      </c>
      <c r="D494" s="38"/>
      <c r="E494" s="10" t="n">
        <v>640</v>
      </c>
      <c r="F494" s="10" t="s">
        <v>132</v>
      </c>
      <c r="G494" s="11" t="n">
        <v>0</v>
      </c>
      <c r="H494" s="11" t="n">
        <v>684.11</v>
      </c>
      <c r="I494" s="11" t="n">
        <v>700</v>
      </c>
      <c r="J494" s="11" t="n">
        <v>799</v>
      </c>
      <c r="K494" s="11" t="n">
        <v>831</v>
      </c>
      <c r="L494" s="11"/>
      <c r="M494" s="11"/>
      <c r="N494" s="11"/>
      <c r="O494" s="11" t="n">
        <v>128</v>
      </c>
      <c r="P494" s="11" t="n">
        <f aca="false">K494+SUM(L494:O494)</f>
        <v>959</v>
      </c>
      <c r="Q494" s="11" t="n">
        <v>0</v>
      </c>
      <c r="R494" s="12" t="n">
        <f aca="false">Q494/$P494</f>
        <v>0</v>
      </c>
      <c r="S494" s="11" t="n">
        <v>0</v>
      </c>
      <c r="T494" s="12" t="n">
        <f aca="false">S494/$P494</f>
        <v>0</v>
      </c>
      <c r="U494" s="11" t="n">
        <v>0</v>
      </c>
      <c r="V494" s="12" t="n">
        <f aca="false">U494/$P494</f>
        <v>0</v>
      </c>
      <c r="W494" s="11" t="n">
        <v>958.75</v>
      </c>
      <c r="X494" s="12" t="n">
        <f aca="false">W494/$P494</f>
        <v>0.999739311783107</v>
      </c>
      <c r="Y494" s="11" t="n">
        <f aca="false">K494</f>
        <v>831</v>
      </c>
      <c r="Z494" s="11" t="n">
        <f aca="false">Y494</f>
        <v>831</v>
      </c>
    </row>
    <row r="495" customFormat="false" ht="13.9" hidden="false" customHeight="true" outlineLevel="0" collapsed="false">
      <c r="A495" s="1" t="n">
        <v>7</v>
      </c>
      <c r="B495" s="1" t="n">
        <v>1</v>
      </c>
      <c r="C495" s="1" t="n">
        <v>1</v>
      </c>
      <c r="D495" s="77" t="s">
        <v>21</v>
      </c>
      <c r="E495" s="35" t="n">
        <v>72</v>
      </c>
      <c r="F495" s="35" t="s">
        <v>25</v>
      </c>
      <c r="G495" s="36" t="n">
        <f aca="false">SUM(G493:G494)</f>
        <v>0</v>
      </c>
      <c r="H495" s="36" t="n">
        <f aca="false">SUM(H493:H494)</f>
        <v>684.11</v>
      </c>
      <c r="I495" s="36" t="n">
        <f aca="false">SUM(I493:I494)</f>
        <v>700</v>
      </c>
      <c r="J495" s="36" t="n">
        <f aca="false">SUM(J493:J494)</f>
        <v>1799</v>
      </c>
      <c r="K495" s="36" t="n">
        <f aca="false">SUM(K493:K494)</f>
        <v>831</v>
      </c>
      <c r="L495" s="36" t="n">
        <f aca="false">SUM(L493:L494)</f>
        <v>0</v>
      </c>
      <c r="M495" s="36" t="n">
        <f aca="false">SUM(M493:M494)</f>
        <v>0</v>
      </c>
      <c r="N495" s="36" t="n">
        <f aca="false">SUM(N493:N494)</f>
        <v>0</v>
      </c>
      <c r="O495" s="36" t="n">
        <f aca="false">SUM(O493:O494)</f>
        <v>128</v>
      </c>
      <c r="P495" s="36" t="n">
        <f aca="false">SUM(P493:P494)</f>
        <v>959</v>
      </c>
      <c r="Q495" s="36" t="n">
        <f aca="false">SUM(Q493:Q494)</f>
        <v>0</v>
      </c>
      <c r="R495" s="37" t="n">
        <f aca="false">Q495/$P495</f>
        <v>0</v>
      </c>
      <c r="S495" s="36" t="n">
        <f aca="false">SUM(S493:S494)</f>
        <v>0</v>
      </c>
      <c r="T495" s="37" t="n">
        <f aca="false">S495/$P495</f>
        <v>0</v>
      </c>
      <c r="U495" s="36" t="n">
        <f aca="false">SUM(U493:U494)</f>
        <v>0</v>
      </c>
      <c r="V495" s="37" t="n">
        <f aca="false">U495/$P495</f>
        <v>0</v>
      </c>
      <c r="W495" s="36" t="n">
        <f aca="false">SUM(W493:W494)</f>
        <v>958.75</v>
      </c>
      <c r="X495" s="37" t="n">
        <f aca="false">W495/$P495</f>
        <v>0.999739311783107</v>
      </c>
      <c r="Y495" s="36" t="n">
        <f aca="false">SUM(Y493:Y494)</f>
        <v>831</v>
      </c>
      <c r="Z495" s="36" t="n">
        <f aca="false">SUM(Z493:Z494)</f>
        <v>831</v>
      </c>
    </row>
    <row r="496" customFormat="false" ht="13.9" hidden="false" customHeight="true" outlineLevel="0" collapsed="false">
      <c r="A496" s="1" t="n">
        <v>7</v>
      </c>
      <c r="B496" s="1" t="n">
        <v>1</v>
      </c>
      <c r="C496" s="1" t="n">
        <v>1</v>
      </c>
      <c r="D496" s="17"/>
      <c r="E496" s="18"/>
      <c r="F496" s="13" t="s">
        <v>124</v>
      </c>
      <c r="G496" s="14" t="n">
        <f aca="false">G487+G492+G495</f>
        <v>84402.29</v>
      </c>
      <c r="H496" s="14" t="n">
        <f aca="false">H487+H492+H495</f>
        <v>89146.11</v>
      </c>
      <c r="I496" s="14" t="n">
        <f aca="false">I487+I492+I495</f>
        <v>100356</v>
      </c>
      <c r="J496" s="14" t="n">
        <f aca="false">J487+J492+J495</f>
        <v>111469</v>
      </c>
      <c r="K496" s="14" t="n">
        <f aca="false">K487+K492+K495</f>
        <v>133161</v>
      </c>
      <c r="L496" s="14" t="n">
        <f aca="false">L487+L492+L495</f>
        <v>0</v>
      </c>
      <c r="M496" s="14" t="n">
        <f aca="false">M487+M492+M495</f>
        <v>1000</v>
      </c>
      <c r="N496" s="14" t="n">
        <f aca="false">N487+N492+N495</f>
        <v>495</v>
      </c>
      <c r="O496" s="14" t="n">
        <f aca="false">O487+O492+O495</f>
        <v>7892</v>
      </c>
      <c r="P496" s="14" t="n">
        <f aca="false">P487+P492+P495</f>
        <v>142548</v>
      </c>
      <c r="Q496" s="14" t="n">
        <f aca="false">Q487+Q492+Q495</f>
        <v>30045.95</v>
      </c>
      <c r="R496" s="15" t="n">
        <f aca="false">Q496/$P496</f>
        <v>0.210777773100991</v>
      </c>
      <c r="S496" s="14" t="n">
        <f aca="false">S487+S492+S495</f>
        <v>59272.58</v>
      </c>
      <c r="T496" s="15" t="n">
        <f aca="false">S496/$P496</f>
        <v>0.415807868226843</v>
      </c>
      <c r="U496" s="14" t="n">
        <f aca="false">U487+U492+U495</f>
        <v>90197.3</v>
      </c>
      <c r="V496" s="15" t="n">
        <f aca="false">U496/$P496</f>
        <v>0.632750371804585</v>
      </c>
      <c r="W496" s="14" t="n">
        <f aca="false">W487+W492+W495</f>
        <v>135062.18</v>
      </c>
      <c r="X496" s="15" t="n">
        <f aca="false">W496/$P496</f>
        <v>0.947485618879255</v>
      </c>
      <c r="Y496" s="14" t="n">
        <f aca="false">Y487+Y492+Y495</f>
        <v>138270</v>
      </c>
      <c r="Z496" s="14" t="n">
        <f aca="false">Z487+Z492+Z495</f>
        <v>148914</v>
      </c>
    </row>
    <row r="498" customFormat="false" ht="13.9" hidden="false" customHeight="true" outlineLevel="0" collapsed="false">
      <c r="E498" s="39" t="s">
        <v>57</v>
      </c>
      <c r="F498" s="17" t="s">
        <v>149</v>
      </c>
      <c r="G498" s="40" t="n">
        <v>2695</v>
      </c>
      <c r="H498" s="40" t="n">
        <v>3025</v>
      </c>
      <c r="I498" s="40" t="n">
        <v>2926</v>
      </c>
      <c r="J498" s="40" t="n">
        <v>2926</v>
      </c>
      <c r="K498" s="40" t="n">
        <v>2926</v>
      </c>
      <c r="L498" s="40"/>
      <c r="M498" s="40" t="n">
        <v>-473</v>
      </c>
      <c r="N498" s="40"/>
      <c r="O498" s="40"/>
      <c r="P498" s="40" t="n">
        <f aca="false">K498+SUM(L498:O498)</f>
        <v>2453</v>
      </c>
      <c r="Q498" s="40" t="n">
        <v>446</v>
      </c>
      <c r="R498" s="41" t="n">
        <f aca="false">Q498/$P498</f>
        <v>0.181818181818182</v>
      </c>
      <c r="S498" s="40" t="n">
        <v>1115</v>
      </c>
      <c r="T498" s="41" t="n">
        <f aca="false">S498/$P498</f>
        <v>0.454545454545455</v>
      </c>
      <c r="U498" s="40" t="n">
        <v>1784</v>
      </c>
      <c r="V498" s="41" t="n">
        <f aca="false">U498/$P498</f>
        <v>0.727272727272727</v>
      </c>
      <c r="W498" s="40" t="n">
        <v>2453</v>
      </c>
      <c r="X498" s="42" t="n">
        <f aca="false">W498/$P498</f>
        <v>1</v>
      </c>
      <c r="Y498" s="40" t="n">
        <f aca="false">K498</f>
        <v>2926</v>
      </c>
      <c r="Z498" s="43" t="n">
        <f aca="false">Y498</f>
        <v>2926</v>
      </c>
    </row>
    <row r="499" customFormat="false" ht="13.9" hidden="false" customHeight="true" outlineLevel="0" collapsed="false">
      <c r="E499" s="44"/>
      <c r="F499" s="84" t="s">
        <v>150</v>
      </c>
      <c r="G499" s="70" t="n">
        <v>3530.82</v>
      </c>
      <c r="H499" s="70" t="n">
        <v>1740</v>
      </c>
      <c r="I499" s="70" t="n">
        <v>4785</v>
      </c>
      <c r="J499" s="70" t="n">
        <v>4785</v>
      </c>
      <c r="K499" s="70" t="n">
        <v>2400</v>
      </c>
      <c r="L499" s="70"/>
      <c r="M499" s="70" t="n">
        <v>-252</v>
      </c>
      <c r="N499" s="70"/>
      <c r="O499" s="70"/>
      <c r="P499" s="70" t="n">
        <f aca="false">K499+SUM(L499:O499)</f>
        <v>2148</v>
      </c>
      <c r="Q499" s="70" t="n">
        <v>537</v>
      </c>
      <c r="R499" s="72" t="n">
        <f aca="false">Q499/$P499</f>
        <v>0.25</v>
      </c>
      <c r="S499" s="70" t="n">
        <v>1074</v>
      </c>
      <c r="T499" s="72" t="n">
        <f aca="false">S499/$P499</f>
        <v>0.5</v>
      </c>
      <c r="U499" s="70" t="n">
        <v>1611</v>
      </c>
      <c r="V499" s="72" t="n">
        <f aca="false">U499/$P499</f>
        <v>0.75</v>
      </c>
      <c r="W499" s="70" t="n">
        <v>2148</v>
      </c>
      <c r="X499" s="47" t="n">
        <f aca="false">W499/$P499</f>
        <v>1</v>
      </c>
      <c r="Y499" s="70" t="n">
        <f aca="false">K499</f>
        <v>2400</v>
      </c>
      <c r="Z499" s="48" t="n">
        <f aca="false">Y499</f>
        <v>2400</v>
      </c>
    </row>
    <row r="500" customFormat="false" ht="13.9" hidden="false" customHeight="true" outlineLevel="0" collapsed="false">
      <c r="E500" s="44"/>
      <c r="F500" s="84" t="s">
        <v>265</v>
      </c>
      <c r="G500" s="70"/>
      <c r="H500" s="70"/>
      <c r="I500" s="70" t="n">
        <v>1721</v>
      </c>
      <c r="J500" s="70" t="n">
        <v>10042</v>
      </c>
      <c r="K500" s="70" t="n">
        <v>10045</v>
      </c>
      <c r="L500" s="70"/>
      <c r="M500" s="70" t="n">
        <v>1000</v>
      </c>
      <c r="N500" s="70"/>
      <c r="O500" s="70"/>
      <c r="P500" s="70" t="n">
        <f aca="false">K500+SUM(L500:O500)</f>
        <v>11045</v>
      </c>
      <c r="Q500" s="70" t="n">
        <v>3034.14</v>
      </c>
      <c r="R500" s="72" t="n">
        <f aca="false">Q500/$P500</f>
        <v>0.274707107288366</v>
      </c>
      <c r="S500" s="70" t="n">
        <v>5980.37</v>
      </c>
      <c r="T500" s="72" t="n">
        <f aca="false">S500/$P500</f>
        <v>0.541454956994115</v>
      </c>
      <c r="U500" s="70" t="n">
        <v>9556.67</v>
      </c>
      <c r="V500" s="72" t="n">
        <f aca="false">U500/$P500</f>
        <v>0.865248528746039</v>
      </c>
      <c r="W500" s="70" t="n">
        <v>13404.89</v>
      </c>
      <c r="X500" s="47" t="n">
        <f aca="false">W500/$P500</f>
        <v>1.21366138524219</v>
      </c>
      <c r="Y500" s="70" t="n">
        <f aca="false">K500</f>
        <v>10045</v>
      </c>
      <c r="Z500" s="48" t="n">
        <f aca="false">Y500</f>
        <v>10045</v>
      </c>
    </row>
    <row r="501" customFormat="false" ht="13.9" hidden="false" customHeight="true" outlineLevel="0" collapsed="false">
      <c r="E501" s="44"/>
      <c r="F501" s="84" t="s">
        <v>266</v>
      </c>
      <c r="G501" s="70"/>
      <c r="H501" s="70"/>
      <c r="I501" s="70" t="n">
        <v>4115</v>
      </c>
      <c r="J501" s="70" t="n">
        <v>0</v>
      </c>
      <c r="K501" s="70" t="n">
        <v>4321</v>
      </c>
      <c r="L501" s="70"/>
      <c r="M501" s="70"/>
      <c r="N501" s="70"/>
      <c r="O501" s="70"/>
      <c r="P501" s="70" t="n">
        <f aca="false">K501+SUM(L501:O501)</f>
        <v>4321</v>
      </c>
      <c r="Q501" s="70" t="n">
        <v>0</v>
      </c>
      <c r="R501" s="72" t="n">
        <f aca="false">Q501/$P501</f>
        <v>0</v>
      </c>
      <c r="S501" s="70" t="n">
        <v>0</v>
      </c>
      <c r="T501" s="72" t="n">
        <f aca="false">S501/$P501</f>
        <v>0</v>
      </c>
      <c r="U501" s="70" t="n">
        <v>0</v>
      </c>
      <c r="V501" s="72" t="n">
        <f aca="false">U501/$P501</f>
        <v>0</v>
      </c>
      <c r="W501" s="70" t="n">
        <v>0</v>
      </c>
      <c r="X501" s="47" t="n">
        <f aca="false">W501/$P501</f>
        <v>0</v>
      </c>
      <c r="Y501" s="70"/>
      <c r="Z501" s="48"/>
    </row>
    <row r="502" customFormat="false" ht="13.9" hidden="false" customHeight="true" outlineLevel="0" collapsed="false">
      <c r="E502" s="52"/>
      <c r="F502" s="86" t="s">
        <v>267</v>
      </c>
      <c r="G502" s="54" t="n">
        <v>1030.96</v>
      </c>
      <c r="H502" s="54" t="n">
        <v>1743.17</v>
      </c>
      <c r="I502" s="54"/>
      <c r="J502" s="54"/>
      <c r="K502" s="54" t="n">
        <v>0</v>
      </c>
      <c r="L502" s="54"/>
      <c r="M502" s="54"/>
      <c r="N502" s="54"/>
      <c r="O502" s="54"/>
      <c r="P502" s="54" t="n">
        <f aca="false">K502+SUM(L502:O502)</f>
        <v>0</v>
      </c>
      <c r="Q502" s="54" t="n">
        <v>0</v>
      </c>
      <c r="R502" s="55" t="e">
        <f aca="false">Q502/$P502</f>
        <v>#DIV/0!</v>
      </c>
      <c r="S502" s="54" t="n">
        <v>0</v>
      </c>
      <c r="T502" s="55" t="e">
        <f aca="false">S502/$P502</f>
        <v>#DIV/0!</v>
      </c>
      <c r="U502" s="54" t="n">
        <v>0</v>
      </c>
      <c r="V502" s="55" t="e">
        <f aca="false">U502/$P502</f>
        <v>#DIV/0!</v>
      </c>
      <c r="W502" s="54" t="n">
        <v>0</v>
      </c>
      <c r="X502" s="56" t="e">
        <f aca="false">W502/$P502</f>
        <v>#DIV/0!</v>
      </c>
      <c r="Y502" s="54"/>
      <c r="Z502" s="57"/>
    </row>
    <row r="504" customFormat="false" ht="13.9" hidden="false" customHeight="true" outlineLevel="0" collapsed="false">
      <c r="D504" s="60" t="s">
        <v>268</v>
      </c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1"/>
      <c r="S504" s="60"/>
      <c r="T504" s="61"/>
      <c r="U504" s="60"/>
      <c r="V504" s="61"/>
      <c r="W504" s="60"/>
      <c r="X504" s="61"/>
      <c r="Y504" s="60"/>
      <c r="Z504" s="60"/>
    </row>
    <row r="505" customFormat="false" ht="13.9" hidden="false" customHeight="true" outlineLevel="0" collapsed="false">
      <c r="D505" s="7" t="s">
        <v>33</v>
      </c>
      <c r="E505" s="7" t="s">
        <v>34</v>
      </c>
      <c r="F505" s="7" t="s">
        <v>35</v>
      </c>
      <c r="G505" s="7" t="s">
        <v>1</v>
      </c>
      <c r="H505" s="7" t="s">
        <v>2</v>
      </c>
      <c r="I505" s="7" t="s">
        <v>3</v>
      </c>
      <c r="J505" s="7" t="s">
        <v>4</v>
      </c>
      <c r="K505" s="7" t="s">
        <v>5</v>
      </c>
      <c r="L505" s="7" t="s">
        <v>6</v>
      </c>
      <c r="M505" s="7" t="s">
        <v>7</v>
      </c>
      <c r="N505" s="7" t="s">
        <v>8</v>
      </c>
      <c r="O505" s="7" t="s">
        <v>9</v>
      </c>
      <c r="P505" s="7" t="s">
        <v>10</v>
      </c>
      <c r="Q505" s="7" t="s">
        <v>11</v>
      </c>
      <c r="R505" s="8" t="s">
        <v>12</v>
      </c>
      <c r="S505" s="7" t="s">
        <v>13</v>
      </c>
      <c r="T505" s="8" t="s">
        <v>14</v>
      </c>
      <c r="U505" s="7" t="s">
        <v>15</v>
      </c>
      <c r="V505" s="8" t="s">
        <v>16</v>
      </c>
      <c r="W505" s="7" t="s">
        <v>17</v>
      </c>
      <c r="X505" s="8" t="s">
        <v>18</v>
      </c>
      <c r="Y505" s="7" t="s">
        <v>19</v>
      </c>
      <c r="Z505" s="7" t="s">
        <v>20</v>
      </c>
    </row>
    <row r="506" customFormat="false" ht="13.9" hidden="false" customHeight="true" outlineLevel="0" collapsed="false">
      <c r="A506" s="1" t="n">
        <v>7</v>
      </c>
      <c r="B506" s="1" t="n">
        <v>1</v>
      </c>
      <c r="C506" s="1" t="n">
        <v>2</v>
      </c>
      <c r="D506" s="76" t="s">
        <v>264</v>
      </c>
      <c r="E506" s="10" t="n">
        <v>630</v>
      </c>
      <c r="F506" s="10" t="s">
        <v>131</v>
      </c>
      <c r="G506" s="11" t="n">
        <v>3005.39</v>
      </c>
      <c r="H506" s="11" t="n">
        <v>3482.13</v>
      </c>
      <c r="I506" s="11" t="n">
        <v>14500</v>
      </c>
      <c r="J506" s="11" t="n">
        <v>3793</v>
      </c>
      <c r="K506" s="11" t="n">
        <v>3800</v>
      </c>
      <c r="L506" s="11"/>
      <c r="M506" s="11"/>
      <c r="N506" s="11" t="n">
        <v>-527</v>
      </c>
      <c r="O506" s="11"/>
      <c r="P506" s="11" t="n">
        <f aca="false">K506+SUM(L506:O506)</f>
        <v>3273</v>
      </c>
      <c r="Q506" s="11" t="n">
        <v>71.4</v>
      </c>
      <c r="R506" s="12" t="n">
        <f aca="false">Q506/$P506</f>
        <v>0.0218148487626031</v>
      </c>
      <c r="S506" s="11" t="n">
        <v>71.4</v>
      </c>
      <c r="T506" s="12" t="n">
        <f aca="false">S506/$P506</f>
        <v>0.0218148487626031</v>
      </c>
      <c r="U506" s="11" t="n">
        <v>71.4</v>
      </c>
      <c r="V506" s="12" t="n">
        <f aca="false">U506/$P506</f>
        <v>0.0218148487626031</v>
      </c>
      <c r="W506" s="11" t="n">
        <v>1703.4</v>
      </c>
      <c r="X506" s="12" t="n">
        <f aca="false">W506/$P506</f>
        <v>0.520439963336389</v>
      </c>
      <c r="Y506" s="11" t="n">
        <f aca="false">K506</f>
        <v>3800</v>
      </c>
      <c r="Z506" s="11" t="n">
        <f aca="false">Y506</f>
        <v>3800</v>
      </c>
    </row>
    <row r="507" customFormat="false" ht="13.9" hidden="false" customHeight="true" outlineLevel="0" collapsed="false">
      <c r="A507" s="1" t="n">
        <v>7</v>
      </c>
      <c r="B507" s="1" t="n">
        <v>1</v>
      </c>
      <c r="C507" s="1" t="n">
        <v>2</v>
      </c>
      <c r="D507" s="67" t="s">
        <v>21</v>
      </c>
      <c r="E507" s="13" t="n">
        <v>41</v>
      </c>
      <c r="F507" s="13" t="s">
        <v>23</v>
      </c>
      <c r="G507" s="14" t="n">
        <f aca="false">SUM(G506:G506)</f>
        <v>3005.39</v>
      </c>
      <c r="H507" s="14" t="n">
        <f aca="false">SUM(H506:H506)</f>
        <v>3482.13</v>
      </c>
      <c r="I507" s="14" t="n">
        <f aca="false">SUM(I506:I506)</f>
        <v>14500</v>
      </c>
      <c r="J507" s="14" t="n">
        <f aca="false">SUM(J506:J506)</f>
        <v>3793</v>
      </c>
      <c r="K507" s="14" t="n">
        <f aca="false">SUM(K506:K506)</f>
        <v>3800</v>
      </c>
      <c r="L507" s="14" t="n">
        <f aca="false">SUM(L506:L506)</f>
        <v>0</v>
      </c>
      <c r="M507" s="14" t="n">
        <f aca="false">SUM(M506:M506)</f>
        <v>0</v>
      </c>
      <c r="N507" s="14" t="n">
        <f aca="false">SUM(N506:N506)</f>
        <v>-527</v>
      </c>
      <c r="O507" s="14" t="n">
        <f aca="false">SUM(O506:O506)</f>
        <v>0</v>
      </c>
      <c r="P507" s="14" t="n">
        <f aca="false">SUM(P506:P506)</f>
        <v>3273</v>
      </c>
      <c r="Q507" s="14" t="n">
        <f aca="false">SUM(Q506:Q506)</f>
        <v>71.4</v>
      </c>
      <c r="R507" s="15" t="n">
        <f aca="false">Q507/$P507</f>
        <v>0.0218148487626031</v>
      </c>
      <c r="S507" s="14" t="n">
        <f aca="false">SUM(S506:S506)</f>
        <v>71.4</v>
      </c>
      <c r="T507" s="15" t="n">
        <f aca="false">S507/$P507</f>
        <v>0.0218148487626031</v>
      </c>
      <c r="U507" s="14" t="n">
        <f aca="false">SUM(U506:U506)</f>
        <v>71.4</v>
      </c>
      <c r="V507" s="15" t="n">
        <f aca="false">U507/$P507</f>
        <v>0.0218148487626031</v>
      </c>
      <c r="W507" s="14" t="n">
        <f aca="false">SUM(W506:W506)</f>
        <v>1703.4</v>
      </c>
      <c r="X507" s="15" t="n">
        <f aca="false">W507/$P507</f>
        <v>0.520439963336389</v>
      </c>
      <c r="Y507" s="14" t="n">
        <f aca="false">SUM(Y506:Y506)</f>
        <v>3800</v>
      </c>
      <c r="Z507" s="14" t="n">
        <f aca="false">SUM(Z506:Z506)</f>
        <v>3800</v>
      </c>
    </row>
    <row r="509" customFormat="false" ht="13.9" hidden="false" customHeight="true" outlineLevel="0" collapsed="false">
      <c r="E509" s="39" t="s">
        <v>57</v>
      </c>
      <c r="F509" s="17" t="s">
        <v>269</v>
      </c>
      <c r="G509" s="40" t="n">
        <v>658.52</v>
      </c>
      <c r="H509" s="40" t="n">
        <v>284</v>
      </c>
      <c r="I509" s="40" t="n">
        <v>500</v>
      </c>
      <c r="J509" s="40" t="n">
        <v>200</v>
      </c>
      <c r="K509" s="40" t="n">
        <v>200</v>
      </c>
      <c r="L509" s="40"/>
      <c r="M509" s="40"/>
      <c r="N509" s="40"/>
      <c r="O509" s="40"/>
      <c r="P509" s="40" t="n">
        <f aca="false">K509+SUM(L509:O509)</f>
        <v>200</v>
      </c>
      <c r="Q509" s="40" t="n">
        <v>14.4</v>
      </c>
      <c r="R509" s="41" t="n">
        <f aca="false">Q509/$P509</f>
        <v>0.072</v>
      </c>
      <c r="S509" s="40" t="n">
        <v>14.4</v>
      </c>
      <c r="T509" s="41" t="n">
        <f aca="false">S509/$P509</f>
        <v>0.072</v>
      </c>
      <c r="U509" s="40" t="n">
        <v>14.4</v>
      </c>
      <c r="V509" s="41" t="n">
        <f aca="false">U509/$P509</f>
        <v>0.072</v>
      </c>
      <c r="W509" s="40" t="n">
        <v>14.4</v>
      </c>
      <c r="X509" s="42" t="n">
        <f aca="false">W509/$P509</f>
        <v>0.072</v>
      </c>
      <c r="Y509" s="40" t="n">
        <f aca="false">K509</f>
        <v>200</v>
      </c>
      <c r="Z509" s="43" t="n">
        <f aca="false">Y509</f>
        <v>200</v>
      </c>
    </row>
    <row r="510" customFormat="false" ht="13.9" hidden="false" customHeight="true" outlineLevel="0" collapsed="false">
      <c r="E510" s="44"/>
      <c r="F510" s="84" t="s">
        <v>270</v>
      </c>
      <c r="G510" s="70" t="n">
        <v>2346.87</v>
      </c>
      <c r="H510" s="70" t="n">
        <v>3198.13</v>
      </c>
      <c r="I510" s="70" t="n">
        <v>3000</v>
      </c>
      <c r="J510" s="70" t="n">
        <v>3593</v>
      </c>
      <c r="K510" s="70" t="n">
        <v>3600</v>
      </c>
      <c r="L510" s="70"/>
      <c r="M510" s="70"/>
      <c r="N510" s="70" t="n">
        <v>-527</v>
      </c>
      <c r="O510" s="70"/>
      <c r="P510" s="70" t="n">
        <f aca="false">K510+SUM(L510:O510)</f>
        <v>3073</v>
      </c>
      <c r="Q510" s="70" t="n">
        <v>57</v>
      </c>
      <c r="R510" s="72" t="n">
        <f aca="false">Q510/$P510</f>
        <v>0.0185486495281484</v>
      </c>
      <c r="S510" s="70" t="n">
        <v>57</v>
      </c>
      <c r="T510" s="72" t="n">
        <f aca="false">S510/$P510</f>
        <v>0.0185486495281484</v>
      </c>
      <c r="U510" s="70" t="n">
        <v>57</v>
      </c>
      <c r="V510" s="72" t="n">
        <f aca="false">U510/$P510</f>
        <v>0.0185486495281484</v>
      </c>
      <c r="W510" s="70" t="n">
        <v>1689</v>
      </c>
      <c r="X510" s="47" t="n">
        <f aca="false">W510/$P510</f>
        <v>0.549625772860397</v>
      </c>
      <c r="Y510" s="70" t="n">
        <f aca="false">K510</f>
        <v>3600</v>
      </c>
      <c r="Z510" s="48" t="n">
        <f aca="false">Y510</f>
        <v>3600</v>
      </c>
    </row>
    <row r="511" customFormat="false" ht="13.9" hidden="false" customHeight="true" outlineLevel="0" collapsed="false">
      <c r="E511" s="52"/>
      <c r="F511" s="86" t="s">
        <v>271</v>
      </c>
      <c r="G511" s="54"/>
      <c r="H511" s="54"/>
      <c r="I511" s="54" t="n">
        <v>11000</v>
      </c>
      <c r="J511" s="54" t="n">
        <v>0</v>
      </c>
      <c r="K511" s="54" t="n">
        <v>0</v>
      </c>
      <c r="L511" s="54"/>
      <c r="M511" s="54"/>
      <c r="N511" s="54"/>
      <c r="O511" s="54"/>
      <c r="P511" s="54" t="n">
        <f aca="false">K511+SUM(L511:O511)</f>
        <v>0</v>
      </c>
      <c r="Q511" s="54" t="n">
        <v>0</v>
      </c>
      <c r="R511" s="55" t="e">
        <f aca="false">Q511/$P511</f>
        <v>#DIV/0!</v>
      </c>
      <c r="S511" s="54" t="n">
        <v>0</v>
      </c>
      <c r="T511" s="55" t="e">
        <f aca="false">S511/$P511</f>
        <v>#DIV/0!</v>
      </c>
      <c r="U511" s="54" t="n">
        <v>0</v>
      </c>
      <c r="V511" s="55" t="e">
        <f aca="false">U511/$P511</f>
        <v>#DIV/0!</v>
      </c>
      <c r="W511" s="54" t="n">
        <v>0</v>
      </c>
      <c r="X511" s="56" t="e">
        <f aca="false">W511/$P511</f>
        <v>#DIV/0!</v>
      </c>
      <c r="Y511" s="54" t="n">
        <f aca="false">K511</f>
        <v>0</v>
      </c>
      <c r="Z511" s="57" t="n">
        <f aca="false">Y511</f>
        <v>0</v>
      </c>
    </row>
    <row r="513" customFormat="false" ht="13.9" hidden="false" customHeight="true" outlineLevel="0" collapsed="false">
      <c r="D513" s="28" t="s">
        <v>272</v>
      </c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9"/>
      <c r="S513" s="28"/>
      <c r="T513" s="29"/>
      <c r="U513" s="28"/>
      <c r="V513" s="29"/>
      <c r="W513" s="28"/>
      <c r="X513" s="29"/>
      <c r="Y513" s="28"/>
      <c r="Z513" s="28"/>
    </row>
    <row r="514" customFormat="false" ht="13.9" hidden="false" customHeight="true" outlineLevel="0" collapsed="false">
      <c r="D514" s="7" t="s">
        <v>33</v>
      </c>
      <c r="E514" s="7" t="s">
        <v>34</v>
      </c>
      <c r="F514" s="7" t="s">
        <v>35</v>
      </c>
      <c r="G514" s="7" t="s">
        <v>1</v>
      </c>
      <c r="H514" s="7" t="s">
        <v>2</v>
      </c>
      <c r="I514" s="7" t="s">
        <v>3</v>
      </c>
      <c r="J514" s="7" t="s">
        <v>4</v>
      </c>
      <c r="K514" s="7" t="s">
        <v>5</v>
      </c>
      <c r="L514" s="7" t="s">
        <v>6</v>
      </c>
      <c r="M514" s="7" t="s">
        <v>7</v>
      </c>
      <c r="N514" s="7" t="s">
        <v>8</v>
      </c>
      <c r="O514" s="7" t="s">
        <v>9</v>
      </c>
      <c r="P514" s="7" t="s">
        <v>10</v>
      </c>
      <c r="Q514" s="7" t="s">
        <v>11</v>
      </c>
      <c r="R514" s="8" t="s">
        <v>12</v>
      </c>
      <c r="S514" s="7" t="s">
        <v>13</v>
      </c>
      <c r="T514" s="8" t="s">
        <v>14</v>
      </c>
      <c r="U514" s="7" t="s">
        <v>15</v>
      </c>
      <c r="V514" s="8" t="s">
        <v>16</v>
      </c>
      <c r="W514" s="7" t="s">
        <v>17</v>
      </c>
      <c r="X514" s="8" t="s">
        <v>18</v>
      </c>
      <c r="Y514" s="7" t="s">
        <v>19</v>
      </c>
      <c r="Z514" s="7" t="s">
        <v>20</v>
      </c>
    </row>
    <row r="515" customFormat="false" ht="13.9" hidden="false" customHeight="true" outlineLevel="0" collapsed="false">
      <c r="A515" s="1" t="n">
        <v>7</v>
      </c>
      <c r="B515" s="1" t="n">
        <v>2</v>
      </c>
      <c r="D515" s="38" t="s">
        <v>273</v>
      </c>
      <c r="E515" s="10" t="n">
        <v>640</v>
      </c>
      <c r="F515" s="10" t="s">
        <v>132</v>
      </c>
      <c r="G515" s="11" t="n">
        <v>1058.4</v>
      </c>
      <c r="H515" s="11" t="n">
        <v>1065.12</v>
      </c>
      <c r="I515" s="11" t="n">
        <v>1060</v>
      </c>
      <c r="J515" s="11" t="n">
        <v>1200</v>
      </c>
      <c r="K515" s="33" t="n">
        <v>1065</v>
      </c>
      <c r="L515" s="33"/>
      <c r="M515" s="33" t="n">
        <v>2000</v>
      </c>
      <c r="N515" s="33" t="n">
        <v>764</v>
      </c>
      <c r="O515" s="33" t="n">
        <v>756</v>
      </c>
      <c r="P515" s="33" t="n">
        <f aca="false">K515+SUM(L515:O515)</f>
        <v>4585</v>
      </c>
      <c r="Q515" s="33" t="n">
        <v>519.58</v>
      </c>
      <c r="R515" s="34" t="n">
        <f aca="false">Q515/$P515</f>
        <v>0.113321701199564</v>
      </c>
      <c r="S515" s="33" t="n">
        <v>1440.11</v>
      </c>
      <c r="T515" s="34" t="n">
        <f aca="false">S515/$P515</f>
        <v>0.314091603053435</v>
      </c>
      <c r="U515" s="33" t="n">
        <v>2749.11</v>
      </c>
      <c r="V515" s="34" t="n">
        <f aca="false">U515/$P515</f>
        <v>0.599587786259542</v>
      </c>
      <c r="W515" s="33" t="n">
        <v>4587.31</v>
      </c>
      <c r="X515" s="34" t="n">
        <f aca="false">W515/$P515</f>
        <v>1.00050381679389</v>
      </c>
      <c r="Y515" s="11" t="n">
        <f aca="false">K515</f>
        <v>1065</v>
      </c>
      <c r="Z515" s="11" t="n">
        <f aca="false">Y515</f>
        <v>1065</v>
      </c>
    </row>
    <row r="516" customFormat="false" ht="13.9" hidden="false" customHeight="true" outlineLevel="0" collapsed="false">
      <c r="A516" s="1" t="n">
        <v>7</v>
      </c>
      <c r="B516" s="1" t="n">
        <v>2</v>
      </c>
      <c r="D516" s="117" t="s">
        <v>274</v>
      </c>
      <c r="E516" s="10" t="n">
        <v>630</v>
      </c>
      <c r="F516" s="10" t="s">
        <v>131</v>
      </c>
      <c r="G516" s="11" t="n">
        <v>772</v>
      </c>
      <c r="H516" s="11" t="n">
        <v>762</v>
      </c>
      <c r="I516" s="11" t="n">
        <v>740</v>
      </c>
      <c r="J516" s="11" t="n">
        <f aca="false">6055-6055</f>
        <v>0</v>
      </c>
      <c r="K516" s="33" t="n">
        <f aca="false">12110-12110</f>
        <v>0</v>
      </c>
      <c r="L516" s="33"/>
      <c r="M516" s="33"/>
      <c r="N516" s="33" t="n">
        <v>13994</v>
      </c>
      <c r="O516" s="33"/>
      <c r="P516" s="33" t="n">
        <f aca="false">K516+SUM(L516:O516)</f>
        <v>13994</v>
      </c>
      <c r="Q516" s="33" t="n">
        <v>13994.4</v>
      </c>
      <c r="R516" s="34" t="n">
        <f aca="false">Q516/$P516</f>
        <v>1.00002858367872</v>
      </c>
      <c r="S516" s="33" t="n">
        <v>13994.4</v>
      </c>
      <c r="T516" s="34" t="n">
        <f aca="false">S516/$P516</f>
        <v>1.00002858367872</v>
      </c>
      <c r="U516" s="33" t="n">
        <v>13994.4</v>
      </c>
      <c r="V516" s="34" t="n">
        <f aca="false">U516/$P516</f>
        <v>1.00002858367872</v>
      </c>
      <c r="W516" s="33" t="n">
        <v>13994.4</v>
      </c>
      <c r="X516" s="34" t="n">
        <f aca="false">W516/$P516</f>
        <v>1.00002858367872</v>
      </c>
      <c r="Y516" s="11" t="n">
        <f aca="false">K516</f>
        <v>0</v>
      </c>
      <c r="Z516" s="11" t="n">
        <f aca="false">Y516</f>
        <v>0</v>
      </c>
    </row>
    <row r="517" customFormat="false" ht="13.9" hidden="false" customHeight="true" outlineLevel="0" collapsed="false">
      <c r="A517" s="1" t="n">
        <v>7</v>
      </c>
      <c r="B517" s="1" t="n">
        <v>2</v>
      </c>
      <c r="D517" s="77" t="s">
        <v>21</v>
      </c>
      <c r="E517" s="35" t="n">
        <v>111</v>
      </c>
      <c r="F517" s="35" t="s">
        <v>134</v>
      </c>
      <c r="G517" s="36" t="n">
        <f aca="false">SUM(G515:G516)</f>
        <v>1830.4</v>
      </c>
      <c r="H517" s="36" t="n">
        <f aca="false">SUM(H515:H516)</f>
        <v>1827.12</v>
      </c>
      <c r="I517" s="36" t="n">
        <f aca="false">SUM(I515:I516)</f>
        <v>1800</v>
      </c>
      <c r="J517" s="36" t="n">
        <f aca="false">SUM(J515:J516)</f>
        <v>1200</v>
      </c>
      <c r="K517" s="36" t="n">
        <f aca="false">SUM(K515:K516)</f>
        <v>1065</v>
      </c>
      <c r="L517" s="36" t="n">
        <f aca="false">SUM(L515:L516)</f>
        <v>0</v>
      </c>
      <c r="M517" s="36" t="n">
        <f aca="false">SUM(M515:M516)</f>
        <v>2000</v>
      </c>
      <c r="N517" s="36" t="n">
        <f aca="false">SUM(N515:N516)</f>
        <v>14758</v>
      </c>
      <c r="O517" s="36" t="n">
        <f aca="false">SUM(O515:O516)</f>
        <v>756</v>
      </c>
      <c r="P517" s="36" t="n">
        <f aca="false">SUM(P515:P516)</f>
        <v>18579</v>
      </c>
      <c r="Q517" s="36" t="n">
        <f aca="false">SUM(Q515:Q516)</f>
        <v>14513.98</v>
      </c>
      <c r="R517" s="37" t="n">
        <f aca="false">Q517/$P517</f>
        <v>0.7812035093385</v>
      </c>
      <c r="S517" s="36" t="n">
        <f aca="false">SUM(S515:S516)</f>
        <v>15434.51</v>
      </c>
      <c r="T517" s="37" t="n">
        <f aca="false">S517/$P517</f>
        <v>0.830750309489208</v>
      </c>
      <c r="U517" s="36" t="n">
        <f aca="false">SUM(U515:U516)</f>
        <v>16743.51</v>
      </c>
      <c r="V517" s="37" t="n">
        <f aca="false">U517/$P517</f>
        <v>0.901206200549007</v>
      </c>
      <c r="W517" s="36" t="n">
        <f aca="false">SUM(W515:W516)</f>
        <v>18581.71</v>
      </c>
      <c r="X517" s="37" t="n">
        <f aca="false">W517/$P517</f>
        <v>1.00014586360945</v>
      </c>
      <c r="Y517" s="36" t="n">
        <f aca="false">SUM(Y515:Y516)</f>
        <v>1065</v>
      </c>
      <c r="Z517" s="36" t="n">
        <f aca="false">SUM(Z515:Z516)</f>
        <v>1065</v>
      </c>
    </row>
    <row r="518" customFormat="false" ht="13.9" hidden="false" customHeight="true" outlineLevel="0" collapsed="false">
      <c r="A518" s="1" t="n">
        <v>7</v>
      </c>
      <c r="B518" s="1" t="n">
        <v>2</v>
      </c>
      <c r="D518" s="118" t="s">
        <v>273</v>
      </c>
      <c r="E518" s="10" t="n">
        <v>630</v>
      </c>
      <c r="F518" s="10" t="s">
        <v>131</v>
      </c>
      <c r="G518" s="11" t="n">
        <v>0</v>
      </c>
      <c r="H518" s="11" t="n">
        <v>0</v>
      </c>
      <c r="I518" s="11" t="n">
        <v>0</v>
      </c>
      <c r="J518" s="11" t="n">
        <v>459</v>
      </c>
      <c r="K518" s="11" t="n">
        <v>0</v>
      </c>
      <c r="L518" s="11"/>
      <c r="M518" s="11"/>
      <c r="N518" s="11"/>
      <c r="O518" s="11"/>
      <c r="P518" s="11" t="n">
        <f aca="false">K518+SUM(L518:O518)</f>
        <v>0</v>
      </c>
      <c r="Q518" s="11" t="n">
        <v>0</v>
      </c>
      <c r="R518" s="12" t="e">
        <f aca="false">Q518/$P518</f>
        <v>#DIV/0!</v>
      </c>
      <c r="S518" s="11" t="n">
        <v>0</v>
      </c>
      <c r="T518" s="12" t="e">
        <f aca="false">S518/$P518</f>
        <v>#DIV/0!</v>
      </c>
      <c r="U518" s="11" t="n">
        <v>0</v>
      </c>
      <c r="V518" s="12" t="e">
        <f aca="false">U518/$P518</f>
        <v>#DIV/0!</v>
      </c>
      <c r="W518" s="11" t="n">
        <v>0</v>
      </c>
      <c r="X518" s="12" t="e">
        <f aca="false">W518/$P518</f>
        <v>#DIV/0!</v>
      </c>
      <c r="Y518" s="11" t="n">
        <f aca="false">K518</f>
        <v>0</v>
      </c>
      <c r="Z518" s="11" t="n">
        <f aca="false">Y518</f>
        <v>0</v>
      </c>
    </row>
    <row r="519" customFormat="false" ht="13.9" hidden="false" customHeight="true" outlineLevel="0" collapsed="false">
      <c r="A519" s="1" t="n">
        <v>7</v>
      </c>
      <c r="B519" s="1" t="n">
        <v>2</v>
      </c>
      <c r="D519" s="118"/>
      <c r="E519" s="10" t="n">
        <v>640</v>
      </c>
      <c r="F519" s="10" t="s">
        <v>132</v>
      </c>
      <c r="G519" s="11" t="n">
        <v>2900</v>
      </c>
      <c r="H519" s="11" t="n">
        <v>2900</v>
      </c>
      <c r="I519" s="11" t="n">
        <v>3000</v>
      </c>
      <c r="J519" s="11" t="n">
        <v>3800</v>
      </c>
      <c r="K519" s="11" t="n">
        <v>3800</v>
      </c>
      <c r="L519" s="11"/>
      <c r="M519" s="11"/>
      <c r="N519" s="11"/>
      <c r="O519" s="11"/>
      <c r="P519" s="11" t="n">
        <f aca="false">K519+SUM(L519:O519)</f>
        <v>3800</v>
      </c>
      <c r="Q519" s="11" t="n">
        <v>0</v>
      </c>
      <c r="R519" s="12" t="n">
        <f aca="false">Q519/$P519</f>
        <v>0</v>
      </c>
      <c r="S519" s="11" t="n">
        <v>1000</v>
      </c>
      <c r="T519" s="12" t="n">
        <f aca="false">S519/$P519</f>
        <v>0.263157894736842</v>
      </c>
      <c r="U519" s="11" t="n">
        <v>1100</v>
      </c>
      <c r="V519" s="12" t="n">
        <f aca="false">U519/$P519</f>
        <v>0.289473684210526</v>
      </c>
      <c r="W519" s="11" t="n">
        <v>1200</v>
      </c>
      <c r="X519" s="12" t="n">
        <f aca="false">W519/$P519</f>
        <v>0.31578947368421</v>
      </c>
      <c r="Y519" s="11" t="n">
        <f aca="false">K519</f>
        <v>3800</v>
      </c>
      <c r="Z519" s="11" t="n">
        <f aca="false">Y519</f>
        <v>3800</v>
      </c>
    </row>
    <row r="520" customFormat="false" ht="13.9" hidden="false" customHeight="true" outlineLevel="0" collapsed="false">
      <c r="A520" s="1" t="n">
        <v>7</v>
      </c>
      <c r="B520" s="1" t="n">
        <v>2</v>
      </c>
      <c r="D520" s="117" t="s">
        <v>274</v>
      </c>
      <c r="E520" s="10" t="n">
        <v>640</v>
      </c>
      <c r="F520" s="10" t="s">
        <v>132</v>
      </c>
      <c r="G520" s="11" t="n">
        <v>0</v>
      </c>
      <c r="H520" s="11" t="n">
        <v>0</v>
      </c>
      <c r="I520" s="11" t="n">
        <v>1000</v>
      </c>
      <c r="J520" s="11" t="n">
        <v>1100</v>
      </c>
      <c r="K520" s="11" t="n">
        <v>0</v>
      </c>
      <c r="L520" s="11"/>
      <c r="M520" s="11"/>
      <c r="N520" s="11"/>
      <c r="O520" s="11"/>
      <c r="P520" s="11" t="n">
        <f aca="false">K520+SUM(L520:O520)</f>
        <v>0</v>
      </c>
      <c r="Q520" s="11" t="n">
        <v>0</v>
      </c>
      <c r="R520" s="12" t="e">
        <f aca="false">Q520/$P520</f>
        <v>#DIV/0!</v>
      </c>
      <c r="S520" s="11" t="n">
        <v>0</v>
      </c>
      <c r="T520" s="12" t="e">
        <f aca="false">S520/$P520</f>
        <v>#DIV/0!</v>
      </c>
      <c r="U520" s="11" t="n">
        <v>0</v>
      </c>
      <c r="V520" s="12" t="e">
        <f aca="false">U520/$P520</f>
        <v>#DIV/0!</v>
      </c>
      <c r="W520" s="11" t="n">
        <v>0</v>
      </c>
      <c r="X520" s="12" t="e">
        <f aca="false">W520/$P520</f>
        <v>#DIV/0!</v>
      </c>
      <c r="Y520" s="11" t="n">
        <v>0</v>
      </c>
      <c r="Z520" s="11" t="n">
        <f aca="false">Y520</f>
        <v>0</v>
      </c>
    </row>
    <row r="521" customFormat="false" ht="13.9" hidden="false" customHeight="true" outlineLevel="0" collapsed="false">
      <c r="A521" s="1" t="n">
        <v>7</v>
      </c>
      <c r="B521" s="1" t="n">
        <v>2</v>
      </c>
      <c r="D521" s="77" t="s">
        <v>21</v>
      </c>
      <c r="E521" s="35" t="n">
        <v>41</v>
      </c>
      <c r="F521" s="35" t="s">
        <v>23</v>
      </c>
      <c r="G521" s="36" t="n">
        <f aca="false">SUM(G518:G520)</f>
        <v>2900</v>
      </c>
      <c r="H521" s="36" t="n">
        <f aca="false">SUM(H518:H520)</f>
        <v>2900</v>
      </c>
      <c r="I521" s="36" t="n">
        <f aca="false">SUM(I518:I520)</f>
        <v>4000</v>
      </c>
      <c r="J521" s="36" t="n">
        <f aca="false">SUM(J518:J520)</f>
        <v>5359</v>
      </c>
      <c r="K521" s="36" t="n">
        <f aca="false">SUM(K518:K520)</f>
        <v>3800</v>
      </c>
      <c r="L521" s="36" t="n">
        <f aca="false">SUM(L518:L520)</f>
        <v>0</v>
      </c>
      <c r="M521" s="36" t="n">
        <f aca="false">SUM(M518:M520)</f>
        <v>0</v>
      </c>
      <c r="N521" s="36" t="n">
        <f aca="false">SUM(N518:N520)</f>
        <v>0</v>
      </c>
      <c r="O521" s="36" t="n">
        <f aca="false">SUM(O518:O520)</f>
        <v>0</v>
      </c>
      <c r="P521" s="36" t="n">
        <f aca="false">SUM(P518:P520)</f>
        <v>3800</v>
      </c>
      <c r="Q521" s="36" t="n">
        <f aca="false">SUM(Q518:Q520)</f>
        <v>0</v>
      </c>
      <c r="R521" s="37" t="n">
        <f aca="false">Q521/$P521</f>
        <v>0</v>
      </c>
      <c r="S521" s="36" t="n">
        <f aca="false">SUM(S518:S520)</f>
        <v>1000</v>
      </c>
      <c r="T521" s="37" t="n">
        <f aca="false">S521/$P521</f>
        <v>0.263157894736842</v>
      </c>
      <c r="U521" s="36" t="n">
        <f aca="false">SUM(U518:U520)</f>
        <v>1100</v>
      </c>
      <c r="V521" s="37" t="n">
        <f aca="false">U521/$P521</f>
        <v>0.289473684210526</v>
      </c>
      <c r="W521" s="36" t="n">
        <f aca="false">SUM(W518:W520)</f>
        <v>1200</v>
      </c>
      <c r="X521" s="37" t="n">
        <f aca="false">W521/$P521</f>
        <v>0.31578947368421</v>
      </c>
      <c r="Y521" s="36" t="n">
        <f aca="false">SUM(Y518:Y520)</f>
        <v>3800</v>
      </c>
      <c r="Z521" s="36" t="n">
        <f aca="false">SUM(Z518:Z520)</f>
        <v>3800</v>
      </c>
    </row>
    <row r="522" customFormat="false" ht="13.9" hidden="false" customHeight="true" outlineLevel="0" collapsed="false">
      <c r="A522" s="1" t="n">
        <v>7</v>
      </c>
      <c r="B522" s="1" t="n">
        <v>2</v>
      </c>
      <c r="D522" s="17"/>
      <c r="E522" s="18"/>
      <c r="F522" s="13" t="s">
        <v>124</v>
      </c>
      <c r="G522" s="14" t="n">
        <f aca="false">G517+G521</f>
        <v>4730.4</v>
      </c>
      <c r="H522" s="14" t="n">
        <f aca="false">H517+H521</f>
        <v>4727.12</v>
      </c>
      <c r="I522" s="14" t="n">
        <f aca="false">I517+I521</f>
        <v>5800</v>
      </c>
      <c r="J522" s="14" t="n">
        <f aca="false">J517+J521</f>
        <v>6559</v>
      </c>
      <c r="K522" s="14" t="n">
        <f aca="false">K517+K521</f>
        <v>4865</v>
      </c>
      <c r="L522" s="14" t="n">
        <f aca="false">L517+L521</f>
        <v>0</v>
      </c>
      <c r="M522" s="14" t="n">
        <f aca="false">M517+M521</f>
        <v>2000</v>
      </c>
      <c r="N522" s="14" t="n">
        <f aca="false">N517+N521</f>
        <v>14758</v>
      </c>
      <c r="O522" s="14" t="n">
        <f aca="false">O517+O521</f>
        <v>756</v>
      </c>
      <c r="P522" s="14" t="n">
        <f aca="false">P517+P521</f>
        <v>22379</v>
      </c>
      <c r="Q522" s="14" t="n">
        <f aca="false">Q517+Q521</f>
        <v>14513.98</v>
      </c>
      <c r="R522" s="15" t="n">
        <f aca="false">Q522/$P522</f>
        <v>0.648553554671791</v>
      </c>
      <c r="S522" s="14" t="n">
        <f aca="false">S517+S521</f>
        <v>16434.51</v>
      </c>
      <c r="T522" s="15" t="n">
        <f aca="false">S522/$P522</f>
        <v>0.734371955851468</v>
      </c>
      <c r="U522" s="14" t="n">
        <f aca="false">U517+U521</f>
        <v>17843.51</v>
      </c>
      <c r="V522" s="15" t="n">
        <f aca="false">U522/$P522</f>
        <v>0.797332767326511</v>
      </c>
      <c r="W522" s="14" t="n">
        <f aca="false">W517+W521</f>
        <v>19781.71</v>
      </c>
      <c r="X522" s="15" t="n">
        <f aca="false">W522/$P522</f>
        <v>0.8839407480227</v>
      </c>
      <c r="Y522" s="14" t="n">
        <f aca="false">Y517+Y521</f>
        <v>4865</v>
      </c>
      <c r="Z522" s="14" t="n">
        <f aca="false">Z517+Z521</f>
        <v>4865</v>
      </c>
    </row>
    <row r="524" customFormat="false" ht="13.9" hidden="false" customHeight="true" outlineLevel="0" collapsed="false">
      <c r="E524" s="101" t="s">
        <v>57</v>
      </c>
      <c r="F524" s="102" t="s">
        <v>275</v>
      </c>
      <c r="G524" s="103" t="n">
        <v>2900</v>
      </c>
      <c r="H524" s="103" t="n">
        <v>2900</v>
      </c>
      <c r="I524" s="103" t="n">
        <v>3000</v>
      </c>
      <c r="J524" s="103" t="n">
        <v>3800</v>
      </c>
      <c r="K524" s="103" t="n">
        <v>3800</v>
      </c>
      <c r="L524" s="103"/>
      <c r="M524" s="103"/>
      <c r="N524" s="103"/>
      <c r="O524" s="103"/>
      <c r="P524" s="103" t="n">
        <f aca="false">K524+SUM(L524:O524)</f>
        <v>3800</v>
      </c>
      <c r="Q524" s="103" t="n">
        <v>0</v>
      </c>
      <c r="R524" s="109" t="n">
        <f aca="false">Q524/$P524</f>
        <v>0</v>
      </c>
      <c r="S524" s="103" t="n">
        <v>1000</v>
      </c>
      <c r="T524" s="109" t="n">
        <f aca="false">S524/$P524</f>
        <v>0.263157894736842</v>
      </c>
      <c r="U524" s="103" t="n">
        <v>1100</v>
      </c>
      <c r="V524" s="109" t="n">
        <f aca="false">U524/$P524</f>
        <v>0.289473684210526</v>
      </c>
      <c r="W524" s="103" t="n">
        <v>1200</v>
      </c>
      <c r="X524" s="110" t="n">
        <f aca="false">W524/$P524</f>
        <v>0.31578947368421</v>
      </c>
      <c r="Y524" s="103" t="n">
        <f aca="false">K524</f>
        <v>3800</v>
      </c>
      <c r="Z524" s="107" t="n">
        <f aca="false">Y524</f>
        <v>3800</v>
      </c>
    </row>
    <row r="526" customFormat="false" ht="13.9" hidden="false" customHeight="true" outlineLevel="0" collapsed="false">
      <c r="D526" s="19" t="s">
        <v>276</v>
      </c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20"/>
      <c r="S526" s="19"/>
      <c r="T526" s="20"/>
      <c r="U526" s="19"/>
      <c r="V526" s="20"/>
      <c r="W526" s="19"/>
      <c r="X526" s="20"/>
      <c r="Y526" s="19"/>
      <c r="Z526" s="19"/>
    </row>
    <row r="527" customFormat="false" ht="13.9" hidden="false" customHeight="true" outlineLevel="0" collapsed="false">
      <c r="D527" s="6"/>
      <c r="E527" s="6"/>
      <c r="F527" s="6"/>
      <c r="G527" s="7" t="s">
        <v>1</v>
      </c>
      <c r="H527" s="7" t="s">
        <v>2</v>
      </c>
      <c r="I527" s="7" t="s">
        <v>3</v>
      </c>
      <c r="J527" s="7" t="s">
        <v>4</v>
      </c>
      <c r="K527" s="7" t="s">
        <v>5</v>
      </c>
      <c r="L527" s="7" t="s">
        <v>6</v>
      </c>
      <c r="M527" s="7" t="s">
        <v>7</v>
      </c>
      <c r="N527" s="7" t="s">
        <v>8</v>
      </c>
      <c r="O527" s="7" t="s">
        <v>9</v>
      </c>
      <c r="P527" s="7" t="s">
        <v>10</v>
      </c>
      <c r="Q527" s="7" t="s">
        <v>11</v>
      </c>
      <c r="R527" s="8" t="s">
        <v>12</v>
      </c>
      <c r="S527" s="7" t="s">
        <v>13</v>
      </c>
      <c r="T527" s="8" t="s">
        <v>14</v>
      </c>
      <c r="U527" s="7" t="s">
        <v>15</v>
      </c>
      <c r="V527" s="8" t="s">
        <v>16</v>
      </c>
      <c r="W527" s="7" t="s">
        <v>17</v>
      </c>
      <c r="X527" s="8" t="s">
        <v>18</v>
      </c>
      <c r="Y527" s="7" t="s">
        <v>19</v>
      </c>
      <c r="Z527" s="7" t="s">
        <v>20</v>
      </c>
    </row>
    <row r="528" customFormat="false" ht="13.9" hidden="false" customHeight="true" outlineLevel="0" collapsed="false">
      <c r="A528" s="1" t="n">
        <v>8</v>
      </c>
      <c r="D528" s="21" t="s">
        <v>21</v>
      </c>
      <c r="E528" s="22" t="n">
        <v>111</v>
      </c>
      <c r="F528" s="22" t="s">
        <v>47</v>
      </c>
      <c r="G528" s="23" t="n">
        <f aca="false">G554+G592+G623</f>
        <v>0</v>
      </c>
      <c r="H528" s="23" t="n">
        <f aca="false">H554+H579+H592+H610+H623</f>
        <v>675504.98</v>
      </c>
      <c r="I528" s="23" t="n">
        <f aca="false">I554+I579+I592+I610+I623</f>
        <v>995166</v>
      </c>
      <c r="J528" s="23" t="n">
        <f aca="false">J554+J579+J592+J610+J623</f>
        <v>975398</v>
      </c>
      <c r="K528" s="23" t="n">
        <f aca="false">K554+K579+K592+K610+K623</f>
        <v>330000</v>
      </c>
      <c r="L528" s="23" t="n">
        <f aca="false">L554+L579+L592+L610+L623</f>
        <v>0</v>
      </c>
      <c r="M528" s="23" t="n">
        <f aca="false">M554+M579+M592+M610+M623</f>
        <v>0</v>
      </c>
      <c r="N528" s="23" t="n">
        <f aca="false">N554+N579+N592+N610+N623</f>
        <v>0</v>
      </c>
      <c r="O528" s="23" t="n">
        <f aca="false">O554+O579+O592+O610+O623</f>
        <v>0</v>
      </c>
      <c r="P528" s="23" t="n">
        <f aca="false">P554+P579+P592+P610+P623</f>
        <v>330000</v>
      </c>
      <c r="Q528" s="23" t="n">
        <f aca="false">Q554+Q579+Q592+Q610+Q623</f>
        <v>0</v>
      </c>
      <c r="R528" s="24" t="n">
        <f aca="false">Q528/$P528</f>
        <v>0</v>
      </c>
      <c r="S528" s="23" t="n">
        <f aca="false">S554+S579+S592+S610+S623</f>
        <v>0</v>
      </c>
      <c r="T528" s="24" t="n">
        <f aca="false">S528/$P528</f>
        <v>0</v>
      </c>
      <c r="U528" s="23" t="n">
        <f aca="false">U554+U579+U592+U610+U623</f>
        <v>0</v>
      </c>
      <c r="V528" s="24" t="n">
        <f aca="false">U528/$P528</f>
        <v>0</v>
      </c>
      <c r="W528" s="23" t="n">
        <f aca="false">W554+W579+W592+W610+W623</f>
        <v>0</v>
      </c>
      <c r="X528" s="24" t="n">
        <f aca="false">W528/$P528</f>
        <v>0</v>
      </c>
      <c r="Y528" s="23" t="n">
        <f aca="false">Y554+Y579+Y592+Y610+Y623</f>
        <v>0</v>
      </c>
      <c r="Z528" s="23" t="n">
        <f aca="false">Z554+Z579+Z592+Z610+Z623</f>
        <v>0</v>
      </c>
    </row>
    <row r="529" customFormat="false" ht="13.9" hidden="false" customHeight="true" outlineLevel="0" collapsed="false">
      <c r="A529" s="1" t="n">
        <v>8</v>
      </c>
      <c r="D529" s="21"/>
      <c r="E529" s="22" t="n">
        <v>41</v>
      </c>
      <c r="F529" s="22" t="s">
        <v>23</v>
      </c>
      <c r="G529" s="23" t="n">
        <f aca="false">G535+G555+G569+G580+G593+G611+G624+G632</f>
        <v>275897.18</v>
      </c>
      <c r="H529" s="23" t="n">
        <f aca="false">H535+H555+H569+H580+H593+H611+H624+H632</f>
        <v>541019.75</v>
      </c>
      <c r="I529" s="23" t="n">
        <f aca="false">I535+I555+I569+I580+I593+I611+I624+I632</f>
        <v>362550</v>
      </c>
      <c r="J529" s="23" t="n">
        <f aca="false">J535+J555+J569+J580+J593+J611+J624+J632</f>
        <v>261826</v>
      </c>
      <c r="K529" s="23" t="n">
        <f aca="false">K535+K555+K569+K580+K593+K611+K624+K632</f>
        <v>742710</v>
      </c>
      <c r="L529" s="23" t="n">
        <f aca="false">L535+L555+L569+L580+L593+L611+L624+L632</f>
        <v>1560</v>
      </c>
      <c r="M529" s="23" t="n">
        <f aca="false">M535+M555+M569+M580+M593+M611+M624+M632</f>
        <v>0</v>
      </c>
      <c r="N529" s="23" t="n">
        <f aca="false">N535+N555+N569+N580+N593+N611+N624+N632</f>
        <v>-125208</v>
      </c>
      <c r="O529" s="23" t="n">
        <f aca="false">O535+O555+O569+O580+O593+O611+O624+O632</f>
        <v>6080</v>
      </c>
      <c r="P529" s="23" t="n">
        <f aca="false">P535+P555+P569+P580+P593+P611+P624+P632</f>
        <v>625142</v>
      </c>
      <c r="Q529" s="23" t="n">
        <f aca="false">Q535+Q555+Q569+Q580+Q593+Q611+Q624+Q632</f>
        <v>6010.36</v>
      </c>
      <c r="R529" s="24" t="n">
        <f aca="false">Q529/$P529</f>
        <v>0.00961439161022616</v>
      </c>
      <c r="S529" s="23" t="n">
        <f aca="false">S535+S555+S569+S580+S593+S611+S624+S632</f>
        <v>57165.96</v>
      </c>
      <c r="T529" s="24" t="n">
        <f aca="false">S529/$P529</f>
        <v>0.0914447597505847</v>
      </c>
      <c r="U529" s="23" t="n">
        <f aca="false">U535+U555+U569+U580+U593+U611+U624+U632</f>
        <v>82253.55</v>
      </c>
      <c r="V529" s="24" t="n">
        <f aca="false">U529/$P529</f>
        <v>0.131575785981425</v>
      </c>
      <c r="W529" s="23" t="n">
        <f aca="false">W535+W555+W569+W580+W593+W611+W624+W632</f>
        <v>137834.32</v>
      </c>
      <c r="X529" s="24" t="n">
        <f aca="false">W529/$P529</f>
        <v>0.220484817849385</v>
      </c>
      <c r="Y529" s="23" t="n">
        <f aca="false">Y535+Y555+Y569+Y580+Y593+Y611+Y624+Y632</f>
        <v>372036</v>
      </c>
      <c r="Z529" s="23" t="n">
        <f aca="false">Z535+Z555+Z569+Z580+Z593+Z611+Z624+Z632</f>
        <v>393009</v>
      </c>
    </row>
    <row r="530" customFormat="false" ht="13.9" hidden="false" customHeight="true" outlineLevel="0" collapsed="false">
      <c r="A530" s="1" t="n">
        <v>8</v>
      </c>
      <c r="D530" s="21"/>
      <c r="E530" s="22" t="n">
        <v>52</v>
      </c>
      <c r="F530" s="22" t="s">
        <v>28</v>
      </c>
      <c r="G530" s="23" t="n">
        <f aca="false">G536</f>
        <v>0</v>
      </c>
      <c r="H530" s="23" t="n">
        <f aca="false">H536</f>
        <v>0</v>
      </c>
      <c r="I530" s="23" t="n">
        <f aca="false">I536</f>
        <v>0</v>
      </c>
      <c r="J530" s="23" t="n">
        <f aca="false">J536</f>
        <v>0</v>
      </c>
      <c r="K530" s="23" t="n">
        <f aca="false">K536</f>
        <v>0</v>
      </c>
      <c r="L530" s="23" t="n">
        <f aca="false">L536</f>
        <v>0</v>
      </c>
      <c r="M530" s="23" t="n">
        <f aca="false">M536</f>
        <v>0</v>
      </c>
      <c r="N530" s="23" t="n">
        <f aca="false">N536</f>
        <v>0</v>
      </c>
      <c r="O530" s="23" t="n">
        <f aca="false">O536</f>
        <v>0</v>
      </c>
      <c r="P530" s="23" t="n">
        <f aca="false">P536</f>
        <v>0</v>
      </c>
      <c r="Q530" s="23" t="n">
        <f aca="false">Q536</f>
        <v>0</v>
      </c>
      <c r="R530" s="24" t="e">
        <f aca="false">Q530/$P530</f>
        <v>#DIV/0!</v>
      </c>
      <c r="S530" s="23" t="n">
        <f aca="false">S536</f>
        <v>0</v>
      </c>
      <c r="T530" s="24" t="e">
        <f aca="false">S530/$P530</f>
        <v>#DIV/0!</v>
      </c>
      <c r="U530" s="23" t="n">
        <f aca="false">U536</f>
        <v>0</v>
      </c>
      <c r="V530" s="24" t="e">
        <f aca="false">U530/$P530</f>
        <v>#DIV/0!</v>
      </c>
      <c r="W530" s="23" t="n">
        <f aca="false">W536</f>
        <v>0</v>
      </c>
      <c r="X530" s="24" t="e">
        <f aca="false">W530/$P530</f>
        <v>#DIV/0!</v>
      </c>
      <c r="Y530" s="23" t="n">
        <f aca="false">Y536</f>
        <v>0</v>
      </c>
      <c r="Z530" s="23" t="n">
        <f aca="false">Z536</f>
        <v>0</v>
      </c>
    </row>
    <row r="531" customFormat="false" ht="13.9" hidden="false" customHeight="true" outlineLevel="0" collapsed="false">
      <c r="A531" s="1" t="n">
        <v>8</v>
      </c>
      <c r="D531" s="17"/>
      <c r="E531" s="18"/>
      <c r="F531" s="25" t="s">
        <v>124</v>
      </c>
      <c r="G531" s="26" t="n">
        <f aca="false">SUM(G528:G530)</f>
        <v>275897.18</v>
      </c>
      <c r="H531" s="26" t="n">
        <f aca="false">SUM(H528:H530)</f>
        <v>1216524.73</v>
      </c>
      <c r="I531" s="26" t="n">
        <f aca="false">SUM(I528:I530)</f>
        <v>1357716</v>
      </c>
      <c r="J531" s="26" t="n">
        <f aca="false">SUM(J528:J530)</f>
        <v>1237224</v>
      </c>
      <c r="K531" s="26" t="n">
        <f aca="false">SUM(K528:K530)</f>
        <v>1072710</v>
      </c>
      <c r="L531" s="26" t="n">
        <f aca="false">SUM(L528:L530)</f>
        <v>1560</v>
      </c>
      <c r="M531" s="26" t="n">
        <f aca="false">SUM(M528:M530)</f>
        <v>0</v>
      </c>
      <c r="N531" s="26" t="n">
        <f aca="false">SUM(N528:N530)</f>
        <v>-125208</v>
      </c>
      <c r="O531" s="26" t="n">
        <f aca="false">SUM(O528:O530)</f>
        <v>6080</v>
      </c>
      <c r="P531" s="26" t="n">
        <f aca="false">SUM(P528:P530)</f>
        <v>955142</v>
      </c>
      <c r="Q531" s="26" t="n">
        <f aca="false">SUM(Q528:Q530)</f>
        <v>6010.36</v>
      </c>
      <c r="R531" s="27" t="n">
        <f aca="false">Q531/$P531</f>
        <v>0.00629263502180828</v>
      </c>
      <c r="S531" s="26" t="n">
        <f aca="false">SUM(S528:S530)</f>
        <v>57165.96</v>
      </c>
      <c r="T531" s="27" t="n">
        <f aca="false">S531/$P531</f>
        <v>0.0598507447060228</v>
      </c>
      <c r="U531" s="26" t="n">
        <f aca="false">SUM(U528:U530)</f>
        <v>82253.55</v>
      </c>
      <c r="V531" s="27" t="n">
        <f aca="false">U531/$P531</f>
        <v>0.0861165669607242</v>
      </c>
      <c r="W531" s="26" t="n">
        <f aca="false">SUM(W528:W530)</f>
        <v>137834.32</v>
      </c>
      <c r="X531" s="27" t="n">
        <f aca="false">W531/$P531</f>
        <v>0.144307673623398</v>
      </c>
      <c r="Y531" s="26" t="n">
        <f aca="false">SUM(Y528:Y530)</f>
        <v>372036</v>
      </c>
      <c r="Z531" s="26" t="n">
        <f aca="false">SUM(Z528:Z530)</f>
        <v>393009</v>
      </c>
    </row>
    <row r="533" customFormat="false" ht="13.9" hidden="false" customHeight="true" outlineLevel="0" collapsed="false">
      <c r="D533" s="28" t="s">
        <v>277</v>
      </c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9"/>
      <c r="S533" s="28"/>
      <c r="T533" s="29"/>
      <c r="U533" s="28"/>
      <c r="V533" s="29"/>
      <c r="W533" s="28"/>
      <c r="X533" s="29"/>
      <c r="Y533" s="28"/>
      <c r="Z533" s="28"/>
    </row>
    <row r="534" customFormat="false" ht="13.9" hidden="false" customHeight="true" outlineLevel="0" collapsed="false">
      <c r="D534" s="119"/>
      <c r="E534" s="7"/>
      <c r="F534" s="7"/>
      <c r="G534" s="7" t="s">
        <v>1</v>
      </c>
      <c r="H534" s="7" t="s">
        <v>2</v>
      </c>
      <c r="I534" s="7" t="s">
        <v>3</v>
      </c>
      <c r="J534" s="7" t="s">
        <v>4</v>
      </c>
      <c r="K534" s="7" t="s">
        <v>5</v>
      </c>
      <c r="L534" s="7" t="s">
        <v>6</v>
      </c>
      <c r="M534" s="7" t="s">
        <v>7</v>
      </c>
      <c r="N534" s="7" t="s">
        <v>8</v>
      </c>
      <c r="O534" s="7" t="s">
        <v>9</v>
      </c>
      <c r="P534" s="7" t="s">
        <v>10</v>
      </c>
      <c r="Q534" s="7" t="s">
        <v>11</v>
      </c>
      <c r="R534" s="8" t="s">
        <v>12</v>
      </c>
      <c r="S534" s="7" t="s">
        <v>13</v>
      </c>
      <c r="T534" s="8" t="s">
        <v>14</v>
      </c>
      <c r="U534" s="7" t="s">
        <v>15</v>
      </c>
      <c r="V534" s="8" t="s">
        <v>16</v>
      </c>
      <c r="W534" s="7" t="s">
        <v>17</v>
      </c>
      <c r="X534" s="8" t="s">
        <v>18</v>
      </c>
      <c r="Y534" s="7" t="s">
        <v>19</v>
      </c>
      <c r="Z534" s="7" t="s">
        <v>20</v>
      </c>
    </row>
    <row r="535" customFormat="false" ht="13.9" hidden="false" customHeight="true" outlineLevel="0" collapsed="false">
      <c r="A535" s="1" t="n">
        <v>8</v>
      </c>
      <c r="B535" s="1" t="n">
        <v>1</v>
      </c>
      <c r="D535" s="30" t="s">
        <v>21</v>
      </c>
      <c r="E535" s="10" t="n">
        <v>41</v>
      </c>
      <c r="F535" s="10" t="s">
        <v>23</v>
      </c>
      <c r="G535" s="11" t="n">
        <f aca="false">G540+G547</f>
        <v>153043.69</v>
      </c>
      <c r="H535" s="11" t="n">
        <f aca="false">H540+H548+H549</f>
        <v>49341.19</v>
      </c>
      <c r="I535" s="11" t="n">
        <f aca="false">I540+I548</f>
        <v>25000</v>
      </c>
      <c r="J535" s="11" t="n">
        <f aca="false">J540+J548+J550</f>
        <v>14712</v>
      </c>
      <c r="K535" s="11" t="n">
        <f aca="false">K540+K548</f>
        <v>0</v>
      </c>
      <c r="L535" s="11" t="n">
        <f aca="false">L540+L548</f>
        <v>0</v>
      </c>
      <c r="M535" s="11" t="n">
        <f aca="false">M540+M548</f>
        <v>0</v>
      </c>
      <c r="N535" s="11" t="n">
        <v>3000</v>
      </c>
      <c r="O535" s="11" t="n">
        <f aca="false">O540+O548</f>
        <v>0</v>
      </c>
      <c r="P535" s="11" t="n">
        <f aca="false">P540+P548+P550</f>
        <v>3000</v>
      </c>
      <c r="Q535" s="11" t="n">
        <f aca="false">Q540+Q548+Q550</f>
        <v>0</v>
      </c>
      <c r="R535" s="12" t="n">
        <f aca="false">Q535/$P535</f>
        <v>0</v>
      </c>
      <c r="S535" s="11" t="n">
        <f aca="false">S540+S548+S550</f>
        <v>0</v>
      </c>
      <c r="T535" s="12" t="n">
        <f aca="false">S535/$P535</f>
        <v>0</v>
      </c>
      <c r="U535" s="11" t="n">
        <f aca="false">U540+U548+U550</f>
        <v>2670</v>
      </c>
      <c r="V535" s="12" t="n">
        <f aca="false">U535/$P535</f>
        <v>0.89</v>
      </c>
      <c r="W535" s="11" t="n">
        <f aca="false">W540+W548+W550</f>
        <v>2670</v>
      </c>
      <c r="X535" s="12" t="n">
        <f aca="false">W535/$P535</f>
        <v>0.89</v>
      </c>
      <c r="Y535" s="11" t="n">
        <v>0</v>
      </c>
      <c r="Z535" s="11" t="n">
        <f aca="false">Y535</f>
        <v>0</v>
      </c>
    </row>
    <row r="536" customFormat="false" ht="13.9" hidden="false" customHeight="true" outlineLevel="0" collapsed="false">
      <c r="A536" s="1" t="n">
        <v>8</v>
      </c>
      <c r="B536" s="1" t="n">
        <v>1</v>
      </c>
      <c r="D536" s="30"/>
      <c r="E536" s="10" t="n">
        <v>52</v>
      </c>
      <c r="F536" s="10" t="s">
        <v>28</v>
      </c>
      <c r="G536" s="11" t="n">
        <v>0</v>
      </c>
      <c r="H536" s="11" t="n">
        <v>0</v>
      </c>
      <c r="I536" s="11" t="n">
        <v>0</v>
      </c>
      <c r="J536" s="11" t="n">
        <v>0</v>
      </c>
      <c r="K536" s="11" t="n">
        <v>0</v>
      </c>
      <c r="L536" s="11" t="n">
        <v>0</v>
      </c>
      <c r="M536" s="11" t="n">
        <v>0</v>
      </c>
      <c r="N536" s="11" t="n">
        <v>0</v>
      </c>
      <c r="O536" s="11" t="n">
        <v>0</v>
      </c>
      <c r="P536" s="11" t="n">
        <v>0</v>
      </c>
      <c r="Q536" s="11" t="n">
        <v>0</v>
      </c>
      <c r="R536" s="12" t="e">
        <f aca="false">Q536/$P536</f>
        <v>#DIV/0!</v>
      </c>
      <c r="S536" s="11" t="n">
        <v>0</v>
      </c>
      <c r="T536" s="12" t="e">
        <f aca="false">S536/$P536</f>
        <v>#DIV/0!</v>
      </c>
      <c r="U536" s="11" t="n">
        <v>0</v>
      </c>
      <c r="V536" s="12" t="e">
        <f aca="false">U536/$P536</f>
        <v>#DIV/0!</v>
      </c>
      <c r="W536" s="11" t="n">
        <v>0</v>
      </c>
      <c r="X536" s="12" t="e">
        <f aca="false">W536/$P536</f>
        <v>#DIV/0!</v>
      </c>
      <c r="Y536" s="11" t="n">
        <v>0</v>
      </c>
      <c r="Z536" s="11" t="n">
        <f aca="false">Y536</f>
        <v>0</v>
      </c>
    </row>
    <row r="537" customFormat="false" ht="13.9" hidden="false" customHeight="true" outlineLevel="0" collapsed="false">
      <c r="A537" s="1" t="n">
        <v>8</v>
      </c>
      <c r="B537" s="1" t="n">
        <v>1</v>
      </c>
      <c r="D537" s="17"/>
      <c r="E537" s="18"/>
      <c r="F537" s="13" t="s">
        <v>124</v>
      </c>
      <c r="G537" s="14" t="n">
        <f aca="false">SUM(G535:G536)</f>
        <v>153043.69</v>
      </c>
      <c r="H537" s="14" t="n">
        <f aca="false">SUM(H535:H536)</f>
        <v>49341.19</v>
      </c>
      <c r="I537" s="14" t="n">
        <f aca="false">SUM(I535:I536)</f>
        <v>25000</v>
      </c>
      <c r="J537" s="14" t="n">
        <f aca="false">SUM(J535:J536)</f>
        <v>14712</v>
      </c>
      <c r="K537" s="14" t="n">
        <f aca="false">SUM(K535:K536)</f>
        <v>0</v>
      </c>
      <c r="L537" s="14" t="n">
        <f aca="false">SUM(L535:L536)</f>
        <v>0</v>
      </c>
      <c r="M537" s="14" t="n">
        <f aca="false">SUM(M535:M536)</f>
        <v>0</v>
      </c>
      <c r="N537" s="14" t="n">
        <f aca="false">SUM(N535:N536)</f>
        <v>3000</v>
      </c>
      <c r="O537" s="14" t="n">
        <f aca="false">SUM(O535:O536)</f>
        <v>0</v>
      </c>
      <c r="P537" s="14" t="n">
        <f aca="false">SUM(P535:P536)</f>
        <v>3000</v>
      </c>
      <c r="Q537" s="14" t="n">
        <f aca="false">SUM(Q535:Q536)</f>
        <v>0</v>
      </c>
      <c r="R537" s="15" t="n">
        <f aca="false">Q537/$P537</f>
        <v>0</v>
      </c>
      <c r="S537" s="14" t="n">
        <f aca="false">SUM(S535:S536)</f>
        <v>0</v>
      </c>
      <c r="T537" s="15" t="n">
        <f aca="false">S537/$P537</f>
        <v>0</v>
      </c>
      <c r="U537" s="14" t="n">
        <f aca="false">SUM(U535:U536)</f>
        <v>2670</v>
      </c>
      <c r="V537" s="15" t="n">
        <f aca="false">U537/$P537</f>
        <v>0.89</v>
      </c>
      <c r="W537" s="14" t="n">
        <f aca="false">SUM(W535:W536)</f>
        <v>2670</v>
      </c>
      <c r="X537" s="15" t="n">
        <f aca="false">W537/$P537</f>
        <v>0.89</v>
      </c>
      <c r="Y537" s="14" t="n">
        <f aca="false">SUM(Y535:Y536)</f>
        <v>0</v>
      </c>
      <c r="Z537" s="14" t="n">
        <f aca="false">SUM(Z535:Z536)</f>
        <v>0</v>
      </c>
    </row>
    <row r="539" customFormat="false" ht="13.9" hidden="false" customHeight="true" outlineLevel="0" collapsed="false">
      <c r="D539" s="1" t="s">
        <v>57</v>
      </c>
    </row>
    <row r="540" customFormat="false" ht="13.9" hidden="false" customHeight="true" outlineLevel="0" collapsed="false">
      <c r="D540" s="30" t="s">
        <v>278</v>
      </c>
      <c r="E540" s="39" t="s">
        <v>279</v>
      </c>
      <c r="F540" s="17"/>
      <c r="G540" s="40" t="n">
        <f aca="false">SUM(G541:G546)</f>
        <v>63103.69</v>
      </c>
      <c r="H540" s="40" t="n">
        <v>35901.29</v>
      </c>
      <c r="I540" s="40" t="n">
        <f aca="false">SUM(I541:I546)</f>
        <v>20000</v>
      </c>
      <c r="J540" s="40" t="n">
        <f aca="false">SUM(J541:J546)</f>
        <v>11730</v>
      </c>
      <c r="K540" s="40"/>
      <c r="L540" s="40"/>
      <c r="M540" s="40"/>
      <c r="N540" s="40"/>
      <c r="O540" s="40"/>
      <c r="P540" s="40" t="n">
        <f aca="false">K540+SUM(L540:O540)</f>
        <v>0</v>
      </c>
      <c r="Q540" s="40"/>
      <c r="R540" s="41" t="e">
        <f aca="false">Q540/$P540</f>
        <v>#DIV/0!</v>
      </c>
      <c r="S540" s="40"/>
      <c r="T540" s="41" t="e">
        <f aca="false">S540/$P540</f>
        <v>#DIV/0!</v>
      </c>
      <c r="U540" s="40"/>
      <c r="V540" s="41" t="e">
        <f aca="false">U540/$P540</f>
        <v>#DIV/0!</v>
      </c>
      <c r="W540" s="40"/>
      <c r="X540" s="42" t="e">
        <f aca="false">W540/$P540</f>
        <v>#DIV/0!</v>
      </c>
      <c r="Y540" s="40"/>
      <c r="Z540" s="43"/>
    </row>
    <row r="541" customFormat="false" ht="13.9" hidden="false" customHeight="true" outlineLevel="0" collapsed="false">
      <c r="D541" s="30"/>
      <c r="E541" s="44" t="s">
        <v>280</v>
      </c>
      <c r="F541" s="84"/>
      <c r="G541" s="70"/>
      <c r="H541" s="70"/>
      <c r="I541" s="70" t="n">
        <v>10000</v>
      </c>
      <c r="J541" s="70" t="n">
        <v>5840</v>
      </c>
      <c r="K541" s="70"/>
      <c r="L541" s="70"/>
      <c r="M541" s="70"/>
      <c r="N541" s="70"/>
      <c r="O541" s="70"/>
      <c r="P541" s="70" t="n">
        <f aca="false">K541+SUM(L541:O541)</f>
        <v>0</v>
      </c>
      <c r="Q541" s="70"/>
      <c r="R541" s="72" t="e">
        <f aca="false">Q541/$P541</f>
        <v>#DIV/0!</v>
      </c>
      <c r="S541" s="70"/>
      <c r="T541" s="72" t="e">
        <f aca="false">S541/$P541</f>
        <v>#DIV/0!</v>
      </c>
      <c r="U541" s="70"/>
      <c r="V541" s="72" t="e">
        <f aca="false">U541/$P541</f>
        <v>#DIV/0!</v>
      </c>
      <c r="W541" s="70"/>
      <c r="X541" s="47" t="e">
        <f aca="false">W541/$P541</f>
        <v>#DIV/0!</v>
      </c>
      <c r="Y541" s="70"/>
      <c r="Z541" s="48"/>
    </row>
    <row r="542" customFormat="false" ht="13.9" hidden="false" customHeight="true" outlineLevel="0" collapsed="false">
      <c r="D542" s="30"/>
      <c r="E542" s="44" t="s">
        <v>281</v>
      </c>
      <c r="F542" s="84"/>
      <c r="G542" s="70" t="n">
        <v>13648.01</v>
      </c>
      <c r="H542" s="70"/>
      <c r="I542" s="70"/>
      <c r="J542" s="70"/>
      <c r="K542" s="70"/>
      <c r="L542" s="70"/>
      <c r="M542" s="70"/>
      <c r="N542" s="70"/>
      <c r="O542" s="70"/>
      <c r="P542" s="70" t="n">
        <f aca="false">K542+SUM(L542:O542)</f>
        <v>0</v>
      </c>
      <c r="Q542" s="70"/>
      <c r="R542" s="72" t="e">
        <f aca="false">Q542/$P542</f>
        <v>#DIV/0!</v>
      </c>
      <c r="S542" s="70"/>
      <c r="T542" s="72" t="e">
        <f aca="false">S542/$P542</f>
        <v>#DIV/0!</v>
      </c>
      <c r="U542" s="70"/>
      <c r="V542" s="72" t="e">
        <f aca="false">U542/$P542</f>
        <v>#DIV/0!</v>
      </c>
      <c r="W542" s="70"/>
      <c r="X542" s="47" t="e">
        <f aca="false">W542/$P542</f>
        <v>#DIV/0!</v>
      </c>
      <c r="Y542" s="70"/>
      <c r="Z542" s="48"/>
    </row>
    <row r="543" customFormat="false" ht="13.9" hidden="false" customHeight="true" outlineLevel="0" collapsed="false">
      <c r="D543" s="30"/>
      <c r="E543" s="44" t="s">
        <v>282</v>
      </c>
      <c r="F543" s="84"/>
      <c r="G543" s="70" t="n">
        <v>49455.68</v>
      </c>
      <c r="H543" s="70" t="n">
        <v>649.11</v>
      </c>
      <c r="I543" s="70"/>
      <c r="J543" s="70"/>
      <c r="K543" s="70"/>
      <c r="L543" s="70"/>
      <c r="M543" s="70"/>
      <c r="N543" s="70"/>
      <c r="O543" s="70"/>
      <c r="P543" s="70" t="n">
        <f aca="false">K543+SUM(L543:O543)</f>
        <v>0</v>
      </c>
      <c r="Q543" s="70"/>
      <c r="R543" s="72" t="e">
        <f aca="false">Q543/$P543</f>
        <v>#DIV/0!</v>
      </c>
      <c r="S543" s="70"/>
      <c r="T543" s="72" t="e">
        <f aca="false">S543/$P543</f>
        <v>#DIV/0!</v>
      </c>
      <c r="U543" s="70"/>
      <c r="V543" s="72" t="e">
        <f aca="false">U543/$P543</f>
        <v>#DIV/0!</v>
      </c>
      <c r="W543" s="70"/>
      <c r="X543" s="47" t="e">
        <f aca="false">W543/$P543</f>
        <v>#DIV/0!</v>
      </c>
      <c r="Y543" s="70"/>
      <c r="Z543" s="48"/>
    </row>
    <row r="544" customFormat="false" ht="13.9" hidden="false" customHeight="true" outlineLevel="0" collapsed="false">
      <c r="D544" s="30"/>
      <c r="E544" s="44" t="s">
        <v>283</v>
      </c>
      <c r="F544" s="84"/>
      <c r="G544" s="70"/>
      <c r="H544" s="70" t="n">
        <v>32527.13</v>
      </c>
      <c r="I544" s="70"/>
      <c r="J544" s="70"/>
      <c r="K544" s="70"/>
      <c r="L544" s="70"/>
      <c r="M544" s="70"/>
      <c r="N544" s="70"/>
      <c r="O544" s="70"/>
      <c r="P544" s="70" t="n">
        <f aca="false">K544+SUM(L544:O544)</f>
        <v>0</v>
      </c>
      <c r="Q544" s="70"/>
      <c r="R544" s="72" t="e">
        <f aca="false">Q544/$P544</f>
        <v>#DIV/0!</v>
      </c>
      <c r="S544" s="70"/>
      <c r="T544" s="72" t="e">
        <f aca="false">S544/$P544</f>
        <v>#DIV/0!</v>
      </c>
      <c r="U544" s="70"/>
      <c r="V544" s="72" t="e">
        <f aca="false">U544/$P544</f>
        <v>#DIV/0!</v>
      </c>
      <c r="W544" s="70"/>
      <c r="X544" s="47" t="e">
        <f aca="false">W544/$P544</f>
        <v>#DIV/0!</v>
      </c>
      <c r="Y544" s="70"/>
      <c r="Z544" s="48"/>
    </row>
    <row r="545" customFormat="false" ht="13.9" hidden="false" customHeight="true" outlineLevel="0" collapsed="false">
      <c r="D545" s="30"/>
      <c r="E545" s="44" t="s">
        <v>284</v>
      </c>
      <c r="F545" s="84"/>
      <c r="G545" s="70"/>
      <c r="H545" s="70" t="n">
        <v>2725.05</v>
      </c>
      <c r="I545" s="70"/>
      <c r="J545" s="70"/>
      <c r="K545" s="70"/>
      <c r="L545" s="70"/>
      <c r="M545" s="70"/>
      <c r="N545" s="70"/>
      <c r="O545" s="70"/>
      <c r="P545" s="70" t="n">
        <f aca="false">K545+SUM(L545:O545)</f>
        <v>0</v>
      </c>
      <c r="Q545" s="70"/>
      <c r="R545" s="72" t="e">
        <f aca="false">Q545/$P545</f>
        <v>#DIV/0!</v>
      </c>
      <c r="S545" s="70"/>
      <c r="T545" s="72" t="e">
        <f aca="false">S545/$P545</f>
        <v>#DIV/0!</v>
      </c>
      <c r="U545" s="70"/>
      <c r="V545" s="72" t="e">
        <f aca="false">U545/$P545</f>
        <v>#DIV/0!</v>
      </c>
      <c r="W545" s="70"/>
      <c r="X545" s="47" t="e">
        <f aca="false">W545/$P545</f>
        <v>#DIV/0!</v>
      </c>
      <c r="Y545" s="70"/>
      <c r="Z545" s="48"/>
    </row>
    <row r="546" customFormat="false" ht="13.9" hidden="false" customHeight="true" outlineLevel="0" collapsed="false">
      <c r="D546" s="30"/>
      <c r="E546" s="52" t="s">
        <v>285</v>
      </c>
      <c r="F546" s="86"/>
      <c r="G546" s="54"/>
      <c r="H546" s="54"/>
      <c r="I546" s="54" t="n">
        <v>10000</v>
      </c>
      <c r="J546" s="54" t="n">
        <v>5890</v>
      </c>
      <c r="K546" s="54"/>
      <c r="L546" s="54"/>
      <c r="M546" s="54"/>
      <c r="N546" s="54"/>
      <c r="O546" s="54"/>
      <c r="P546" s="54" t="n">
        <f aca="false">K546+SUM(L546:O546)</f>
        <v>0</v>
      </c>
      <c r="Q546" s="54"/>
      <c r="R546" s="55" t="e">
        <f aca="false">Q546/$P546</f>
        <v>#DIV/0!</v>
      </c>
      <c r="S546" s="54"/>
      <c r="T546" s="55" t="e">
        <f aca="false">S546/$P546</f>
        <v>#DIV/0!</v>
      </c>
      <c r="U546" s="54"/>
      <c r="V546" s="55" t="e">
        <f aca="false">U546/$P546</f>
        <v>#DIV/0!</v>
      </c>
      <c r="W546" s="54"/>
      <c r="X546" s="56" t="e">
        <f aca="false">W546/$P546</f>
        <v>#DIV/0!</v>
      </c>
      <c r="Y546" s="54"/>
      <c r="Z546" s="57"/>
    </row>
    <row r="547" customFormat="false" ht="13.9" hidden="false" customHeight="true" outlineLevel="0" collapsed="false">
      <c r="D547" s="30"/>
      <c r="E547" s="101" t="s">
        <v>286</v>
      </c>
      <c r="F547" s="102"/>
      <c r="G547" s="103" t="n">
        <v>89940</v>
      </c>
      <c r="H547" s="103"/>
      <c r="I547" s="103"/>
      <c r="J547" s="103"/>
      <c r="K547" s="103"/>
      <c r="L547" s="103"/>
      <c r="M547" s="103"/>
      <c r="N547" s="103"/>
      <c r="O547" s="103"/>
      <c r="P547" s="103" t="n">
        <f aca="false">K547+SUM(L547:O547)</f>
        <v>0</v>
      </c>
      <c r="Q547" s="103"/>
      <c r="R547" s="109" t="e">
        <f aca="false">Q547/$P547</f>
        <v>#DIV/0!</v>
      </c>
      <c r="S547" s="103"/>
      <c r="T547" s="109" t="e">
        <f aca="false">S547/$P547</f>
        <v>#DIV/0!</v>
      </c>
      <c r="U547" s="103"/>
      <c r="V547" s="109" t="e">
        <f aca="false">U547/$P547</f>
        <v>#DIV/0!</v>
      </c>
      <c r="W547" s="103"/>
      <c r="X547" s="110" t="e">
        <f aca="false">W547/$P547</f>
        <v>#DIV/0!</v>
      </c>
      <c r="Y547" s="103"/>
      <c r="Z547" s="107"/>
    </row>
    <row r="548" customFormat="false" ht="13.9" hidden="false" customHeight="true" outlineLevel="0" collapsed="false">
      <c r="D548" s="30"/>
      <c r="E548" s="101" t="s">
        <v>287</v>
      </c>
      <c r="F548" s="102"/>
      <c r="G548" s="103"/>
      <c r="H548" s="103" t="n">
        <v>11045</v>
      </c>
      <c r="I548" s="103" t="n">
        <v>5000</v>
      </c>
      <c r="J548" s="103" t="n">
        <v>2980</v>
      </c>
      <c r="K548" s="103"/>
      <c r="L548" s="103"/>
      <c r="M548" s="103"/>
      <c r="N548" s="103"/>
      <c r="O548" s="103"/>
      <c r="P548" s="103" t="n">
        <f aca="false">K548+SUM(L548:O548)</f>
        <v>0</v>
      </c>
      <c r="Q548" s="103"/>
      <c r="R548" s="109" t="e">
        <f aca="false">Q548/$P548</f>
        <v>#DIV/0!</v>
      </c>
      <c r="S548" s="103"/>
      <c r="T548" s="109" t="e">
        <f aca="false">S548/$P548</f>
        <v>#DIV/0!</v>
      </c>
      <c r="U548" s="103"/>
      <c r="V548" s="109" t="e">
        <f aca="false">U548/$P548</f>
        <v>#DIV/0!</v>
      </c>
      <c r="W548" s="103"/>
      <c r="X548" s="110" t="e">
        <f aca="false">W548/$P548</f>
        <v>#DIV/0!</v>
      </c>
      <c r="Y548" s="103"/>
      <c r="Z548" s="107"/>
    </row>
    <row r="549" customFormat="false" ht="13.9" hidden="false" customHeight="true" outlineLevel="0" collapsed="false">
      <c r="D549" s="30"/>
      <c r="E549" s="101" t="s">
        <v>288</v>
      </c>
      <c r="F549" s="102"/>
      <c r="G549" s="103"/>
      <c r="H549" s="103" t="n">
        <v>2394.9</v>
      </c>
      <c r="I549" s="103"/>
      <c r="J549" s="103"/>
      <c r="K549" s="103"/>
      <c r="L549" s="103"/>
      <c r="M549" s="103"/>
      <c r="N549" s="103"/>
      <c r="O549" s="103"/>
      <c r="P549" s="103" t="n">
        <f aca="false">K549+SUM(L549:O549)</f>
        <v>0</v>
      </c>
      <c r="Q549" s="103"/>
      <c r="R549" s="109" t="e">
        <f aca="false">Q549/$P549</f>
        <v>#DIV/0!</v>
      </c>
      <c r="S549" s="103"/>
      <c r="T549" s="109" t="e">
        <f aca="false">S549/$P549</f>
        <v>#DIV/0!</v>
      </c>
      <c r="U549" s="103"/>
      <c r="V549" s="109" t="e">
        <f aca="false">U549/$P549</f>
        <v>#DIV/0!</v>
      </c>
      <c r="W549" s="103"/>
      <c r="X549" s="110" t="e">
        <f aca="false">W549/$P549</f>
        <v>#DIV/0!</v>
      </c>
      <c r="Y549" s="103"/>
      <c r="Z549" s="107"/>
    </row>
    <row r="550" customFormat="false" ht="13.9" hidden="false" customHeight="true" outlineLevel="0" collapsed="false">
      <c r="D550" s="30"/>
      <c r="E550" s="101" t="s">
        <v>289</v>
      </c>
      <c r="F550" s="102"/>
      <c r="G550" s="103"/>
      <c r="H550" s="103"/>
      <c r="I550" s="103"/>
      <c r="J550" s="103" t="n">
        <v>2</v>
      </c>
      <c r="K550" s="103"/>
      <c r="L550" s="103"/>
      <c r="M550" s="103"/>
      <c r="N550" s="103" t="n">
        <v>3000</v>
      </c>
      <c r="O550" s="103"/>
      <c r="P550" s="103" t="n">
        <f aca="false">K550+SUM(L550:O550)</f>
        <v>3000</v>
      </c>
      <c r="Q550" s="103"/>
      <c r="R550" s="109" t="n">
        <f aca="false">Q550/$P550</f>
        <v>0</v>
      </c>
      <c r="S550" s="103"/>
      <c r="T550" s="109" t="n">
        <f aca="false">S550/$P550</f>
        <v>0</v>
      </c>
      <c r="U550" s="103" t="n">
        <v>2670</v>
      </c>
      <c r="V550" s="109" t="n">
        <f aca="false">U550/$P550</f>
        <v>0.89</v>
      </c>
      <c r="W550" s="103" t="n">
        <v>2670</v>
      </c>
      <c r="X550" s="110" t="n">
        <f aca="false">W550/$P550</f>
        <v>0.89</v>
      </c>
      <c r="Y550" s="103"/>
      <c r="Z550" s="107"/>
    </row>
    <row r="552" customFormat="false" ht="13.9" hidden="false" customHeight="true" outlineLevel="0" collapsed="false">
      <c r="D552" s="28" t="s">
        <v>290</v>
      </c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9"/>
      <c r="S552" s="28"/>
      <c r="T552" s="29"/>
      <c r="U552" s="28"/>
      <c r="V552" s="29"/>
      <c r="W552" s="28"/>
      <c r="X552" s="29"/>
      <c r="Y552" s="28"/>
      <c r="Z552" s="28"/>
    </row>
    <row r="553" customFormat="false" ht="13.9" hidden="false" customHeight="true" outlineLevel="0" collapsed="false">
      <c r="D553" s="119"/>
      <c r="E553" s="7"/>
      <c r="F553" s="7"/>
      <c r="G553" s="7" t="s">
        <v>1</v>
      </c>
      <c r="H553" s="7" t="s">
        <v>2</v>
      </c>
      <c r="I553" s="7" t="s">
        <v>3</v>
      </c>
      <c r="J553" s="7" t="s">
        <v>4</v>
      </c>
      <c r="K553" s="7" t="s">
        <v>5</v>
      </c>
      <c r="L553" s="7" t="s">
        <v>6</v>
      </c>
      <c r="M553" s="7" t="s">
        <v>7</v>
      </c>
      <c r="N553" s="7" t="s">
        <v>8</v>
      </c>
      <c r="O553" s="7" t="s">
        <v>9</v>
      </c>
      <c r="P553" s="7" t="s">
        <v>10</v>
      </c>
      <c r="Q553" s="7" t="s">
        <v>11</v>
      </c>
      <c r="R553" s="8" t="s">
        <v>12</v>
      </c>
      <c r="S553" s="7" t="s">
        <v>13</v>
      </c>
      <c r="T553" s="8" t="s">
        <v>14</v>
      </c>
      <c r="U553" s="7" t="s">
        <v>15</v>
      </c>
      <c r="V553" s="8" t="s">
        <v>16</v>
      </c>
      <c r="W553" s="7" t="s">
        <v>17</v>
      </c>
      <c r="X553" s="8" t="s">
        <v>18</v>
      </c>
      <c r="Y553" s="7" t="s">
        <v>19</v>
      </c>
      <c r="Z553" s="7" t="s">
        <v>20</v>
      </c>
    </row>
    <row r="554" customFormat="false" ht="13.9" hidden="false" customHeight="true" outlineLevel="0" collapsed="false">
      <c r="A554" s="1" t="n">
        <v>8</v>
      </c>
      <c r="B554" s="1" t="n">
        <v>2</v>
      </c>
      <c r="D554" s="120" t="s">
        <v>21</v>
      </c>
      <c r="E554" s="10" t="n">
        <v>111</v>
      </c>
      <c r="F554" s="10" t="s">
        <v>134</v>
      </c>
      <c r="G554" s="11" t="n">
        <v>0</v>
      </c>
      <c r="H554" s="11" t="n">
        <f aca="false">249670.98+113000</f>
        <v>362670.98</v>
      </c>
      <c r="I554" s="11" t="n">
        <v>390000</v>
      </c>
      <c r="J554" s="11" t="n">
        <v>338952</v>
      </c>
      <c r="K554" s="11" t="n">
        <f aca="false">200000+130000</f>
        <v>330000</v>
      </c>
      <c r="L554" s="11"/>
      <c r="M554" s="11"/>
      <c r="N554" s="11"/>
      <c r="O554" s="11"/>
      <c r="P554" s="11" t="n">
        <f aca="false">K554+SUM(L554:O554)</f>
        <v>330000</v>
      </c>
      <c r="Q554" s="11" t="n">
        <v>0</v>
      </c>
      <c r="R554" s="12" t="n">
        <f aca="false">Q554/$P554</f>
        <v>0</v>
      </c>
      <c r="S554" s="11" t="n">
        <v>0</v>
      </c>
      <c r="T554" s="12" t="n">
        <f aca="false">S554/$P554</f>
        <v>0</v>
      </c>
      <c r="U554" s="11" t="n">
        <v>0</v>
      </c>
      <c r="V554" s="12" t="n">
        <f aca="false">U554/$P554</f>
        <v>0</v>
      </c>
      <c r="W554" s="11" t="n">
        <v>0</v>
      </c>
      <c r="X554" s="12" t="n">
        <f aca="false">W554/$P554</f>
        <v>0</v>
      </c>
      <c r="Y554" s="11" t="n">
        <v>0</v>
      </c>
      <c r="Z554" s="11" t="n">
        <v>0</v>
      </c>
    </row>
    <row r="555" customFormat="false" ht="13.9" hidden="false" customHeight="true" outlineLevel="0" collapsed="false">
      <c r="A555" s="1" t="n">
        <v>8</v>
      </c>
      <c r="B555" s="1" t="n">
        <v>2</v>
      </c>
      <c r="D555" s="120" t="s">
        <v>21</v>
      </c>
      <c r="E555" s="10" t="n">
        <v>41</v>
      </c>
      <c r="F555" s="10" t="s">
        <v>23</v>
      </c>
      <c r="G555" s="11" t="n">
        <f aca="false">SUM(G559:G565)</f>
        <v>8138</v>
      </c>
      <c r="H555" s="11" t="n">
        <f aca="false">SUM(H559:H565)-H554</f>
        <v>140200.63</v>
      </c>
      <c r="I555" s="11" t="n">
        <f aca="false">SUM(I559:I565)-I554</f>
        <v>53250</v>
      </c>
      <c r="J555" s="11" t="n">
        <f aca="false">SUM(J559:J565)-J554</f>
        <v>74778</v>
      </c>
      <c r="K555" s="11" t="n">
        <f aca="false">SUM(K559:K565)-K554</f>
        <v>161000</v>
      </c>
      <c r="L555" s="11" t="n">
        <f aca="false">SUM(L559:L565)-L554</f>
        <v>0</v>
      </c>
      <c r="M555" s="11" t="n">
        <f aca="false">SUM(M559:M565)-M554</f>
        <v>0</v>
      </c>
      <c r="N555" s="11" t="n">
        <f aca="false">SUM(N559:N565)-N554</f>
        <v>-99860</v>
      </c>
      <c r="O555" s="11" t="n">
        <f aca="false">SUM(O559:O565)-O554</f>
        <v>0</v>
      </c>
      <c r="P555" s="11" t="n">
        <f aca="false">SUM(P559:P565)-P554</f>
        <v>61140</v>
      </c>
      <c r="Q555" s="11" t="n">
        <f aca="false">SUM(Q559:Q565)-Q554</f>
        <v>140</v>
      </c>
      <c r="R555" s="12" t="n">
        <f aca="false">Q555/$P555</f>
        <v>0.0022898266274125</v>
      </c>
      <c r="S555" s="11" t="n">
        <f aca="false">SUM(S559:S565)-S554</f>
        <v>140</v>
      </c>
      <c r="T555" s="12" t="n">
        <f aca="false">S555/$P555</f>
        <v>0.0022898266274125</v>
      </c>
      <c r="U555" s="11" t="n">
        <f aca="false">SUM(U559:U565)-U554</f>
        <v>140</v>
      </c>
      <c r="V555" s="12" t="n">
        <f aca="false">U555/$P555</f>
        <v>0.0022898266274125</v>
      </c>
      <c r="W555" s="11" t="n">
        <f aca="false">SUM(W559:W565)-W554</f>
        <v>140</v>
      </c>
      <c r="X555" s="12" t="n">
        <f aca="false">W555/$P555</f>
        <v>0.0022898266274125</v>
      </c>
      <c r="Y555" s="11" t="n">
        <v>0</v>
      </c>
      <c r="Z555" s="11" t="n">
        <f aca="false">SUM(Z559:Z565)</f>
        <v>0</v>
      </c>
    </row>
    <row r="556" customFormat="false" ht="13.9" hidden="false" customHeight="true" outlineLevel="0" collapsed="false">
      <c r="A556" s="1" t="n">
        <v>8</v>
      </c>
      <c r="B556" s="1" t="n">
        <v>2</v>
      </c>
      <c r="D556" s="17"/>
      <c r="E556" s="18"/>
      <c r="F556" s="13" t="s">
        <v>124</v>
      </c>
      <c r="G556" s="14" t="n">
        <f aca="false">SUM(G554:G555)</f>
        <v>8138</v>
      </c>
      <c r="H556" s="14" t="n">
        <f aca="false">SUM(H554:H555)</f>
        <v>502871.61</v>
      </c>
      <c r="I556" s="14" t="n">
        <f aca="false">SUM(I554:I555)</f>
        <v>443250</v>
      </c>
      <c r="J556" s="14" t="n">
        <f aca="false">SUM(J554:J555)</f>
        <v>413730</v>
      </c>
      <c r="K556" s="14" t="n">
        <f aca="false">SUM(K554:K555)</f>
        <v>491000</v>
      </c>
      <c r="L556" s="14" t="n">
        <f aca="false">SUM(L554:L555)</f>
        <v>0</v>
      </c>
      <c r="M556" s="14" t="n">
        <f aca="false">SUM(M554:M555)</f>
        <v>0</v>
      </c>
      <c r="N556" s="14" t="n">
        <f aca="false">SUM(N554:N555)</f>
        <v>-99860</v>
      </c>
      <c r="O556" s="14" t="n">
        <f aca="false">SUM(O554:O555)</f>
        <v>0</v>
      </c>
      <c r="P556" s="14" t="n">
        <f aca="false">SUM(P554:P555)</f>
        <v>391140</v>
      </c>
      <c r="Q556" s="14" t="n">
        <f aca="false">SUM(Q554:Q555)</f>
        <v>140</v>
      </c>
      <c r="R556" s="15" t="n">
        <f aca="false">Q556/$P556</f>
        <v>0.000357928107582963</v>
      </c>
      <c r="S556" s="14" t="n">
        <f aca="false">SUM(S554:S555)</f>
        <v>140</v>
      </c>
      <c r="T556" s="15" t="n">
        <f aca="false">S556/$P556</f>
        <v>0.000357928107582963</v>
      </c>
      <c r="U556" s="14" t="n">
        <f aca="false">SUM(U554:U555)</f>
        <v>140</v>
      </c>
      <c r="V556" s="15" t="n">
        <f aca="false">U556/$P556</f>
        <v>0.000357928107582963</v>
      </c>
      <c r="W556" s="14" t="n">
        <f aca="false">SUM(W554:W555)</f>
        <v>140</v>
      </c>
      <c r="X556" s="15" t="n">
        <f aca="false">W556/$P556</f>
        <v>0.000357928107582963</v>
      </c>
      <c r="Y556" s="14" t="n">
        <f aca="false">SUM(Y554:Y555)</f>
        <v>0</v>
      </c>
      <c r="Z556" s="14" t="n">
        <f aca="false">SUM(Z554:Z555)</f>
        <v>0</v>
      </c>
    </row>
    <row r="558" customFormat="false" ht="13.9" hidden="false" customHeight="true" outlineLevel="0" collapsed="false">
      <c r="D558" s="1" t="s">
        <v>57</v>
      </c>
    </row>
    <row r="559" customFormat="false" ht="13.9" hidden="false" customHeight="true" outlineLevel="0" collapsed="false">
      <c r="D559" s="30" t="s">
        <v>291</v>
      </c>
      <c r="E559" s="101" t="s">
        <v>292</v>
      </c>
      <c r="F559" s="102"/>
      <c r="G559" s="103"/>
      <c r="H559" s="103" t="n">
        <v>36966.24</v>
      </c>
      <c r="I559" s="103" t="n">
        <v>411000</v>
      </c>
      <c r="J559" s="103" t="n">
        <v>365797</v>
      </c>
      <c r="K559" s="104" t="n">
        <v>0</v>
      </c>
      <c r="L559" s="104"/>
      <c r="M559" s="104"/>
      <c r="N559" s="104"/>
      <c r="O559" s="104"/>
      <c r="P559" s="104" t="n">
        <f aca="false">K559+SUM(L559:O559)</f>
        <v>0</v>
      </c>
      <c r="Q559" s="104"/>
      <c r="R559" s="105" t="e">
        <f aca="false">Q559/$P559</f>
        <v>#DIV/0!</v>
      </c>
      <c r="S559" s="104"/>
      <c r="T559" s="105" t="e">
        <f aca="false">S559/$P559</f>
        <v>#DIV/0!</v>
      </c>
      <c r="U559" s="104"/>
      <c r="V559" s="105" t="e">
        <f aca="false">U559/$P559</f>
        <v>#DIV/0!</v>
      </c>
      <c r="W559" s="104"/>
      <c r="X559" s="106" t="e">
        <f aca="false">W559/$P559</f>
        <v>#DIV/0!</v>
      </c>
      <c r="Y559" s="103"/>
      <c r="Z559" s="107"/>
    </row>
    <row r="560" customFormat="false" ht="13.9" hidden="false" customHeight="true" outlineLevel="0" collapsed="false">
      <c r="D560" s="30"/>
      <c r="E560" s="101" t="s">
        <v>293</v>
      </c>
      <c r="F560" s="102"/>
      <c r="G560" s="103" t="n">
        <v>7640</v>
      </c>
      <c r="H560" s="103" t="n">
        <v>305874.97</v>
      </c>
      <c r="I560" s="103"/>
      <c r="J560" s="103"/>
      <c r="K560" s="103" t="n">
        <v>0</v>
      </c>
      <c r="L560" s="103"/>
      <c r="M560" s="103"/>
      <c r="N560" s="103"/>
      <c r="O560" s="103"/>
      <c r="P560" s="103" t="n">
        <f aca="false">K560+SUM(L560:O560)</f>
        <v>0</v>
      </c>
      <c r="Q560" s="103"/>
      <c r="R560" s="109" t="e">
        <f aca="false">Q560/$P560</f>
        <v>#DIV/0!</v>
      </c>
      <c r="S560" s="103"/>
      <c r="T560" s="109" t="e">
        <f aca="false">S560/$P560</f>
        <v>#DIV/0!</v>
      </c>
      <c r="U560" s="103"/>
      <c r="V560" s="109" t="e">
        <f aca="false">U560/$P560</f>
        <v>#DIV/0!</v>
      </c>
      <c r="W560" s="103"/>
      <c r="X560" s="110" t="e">
        <f aca="false">W560/$P560</f>
        <v>#DIV/0!</v>
      </c>
      <c r="Y560" s="103"/>
      <c r="Z560" s="107"/>
    </row>
    <row r="561" customFormat="false" ht="13.9" hidden="false" customHeight="true" outlineLevel="0" collapsed="false">
      <c r="D561" s="30"/>
      <c r="E561" s="101" t="s">
        <v>294</v>
      </c>
      <c r="F561" s="102"/>
      <c r="G561" s="103"/>
      <c r="H561" s="103"/>
      <c r="I561" s="103"/>
      <c r="J561" s="103"/>
      <c r="K561" s="103" t="n">
        <v>210000</v>
      </c>
      <c r="L561" s="103"/>
      <c r="M561" s="103"/>
      <c r="N561" s="103"/>
      <c r="O561" s="103"/>
      <c r="P561" s="103" t="n">
        <f aca="false">K561+SUM(L561:O561)</f>
        <v>210000</v>
      </c>
      <c r="Q561" s="103" t="n">
        <v>0</v>
      </c>
      <c r="R561" s="109" t="n">
        <f aca="false">Q561/$P561</f>
        <v>0</v>
      </c>
      <c r="S561" s="103" t="n">
        <v>0</v>
      </c>
      <c r="T561" s="109" t="n">
        <f aca="false">S561/$P561</f>
        <v>0</v>
      </c>
      <c r="U561" s="103" t="n">
        <v>0</v>
      </c>
      <c r="V561" s="109" t="n">
        <f aca="false">U561/$P561</f>
        <v>0</v>
      </c>
      <c r="W561" s="103" t="n">
        <v>0</v>
      </c>
      <c r="X561" s="110" t="n">
        <f aca="false">W561/$P561</f>
        <v>0</v>
      </c>
      <c r="Y561" s="103"/>
      <c r="Z561" s="107"/>
    </row>
    <row r="562" customFormat="false" ht="13.9" hidden="false" customHeight="true" outlineLevel="0" collapsed="false">
      <c r="D562" s="30"/>
      <c r="E562" s="121" t="s">
        <v>295</v>
      </c>
      <c r="F562" s="102"/>
      <c r="G562" s="103"/>
      <c r="H562" s="103"/>
      <c r="I562" s="103"/>
      <c r="J562" s="103"/>
      <c r="K562" s="103" t="n">
        <v>181000</v>
      </c>
      <c r="L562" s="103"/>
      <c r="M562" s="103"/>
      <c r="N562" s="103"/>
      <c r="O562" s="103"/>
      <c r="P562" s="103" t="n">
        <f aca="false">K562+SUM(L562:O562)</f>
        <v>181000</v>
      </c>
      <c r="Q562" s="103" t="n">
        <v>0</v>
      </c>
      <c r="R562" s="109" t="n">
        <f aca="false">Q562/$P562</f>
        <v>0</v>
      </c>
      <c r="S562" s="103" t="n">
        <v>0</v>
      </c>
      <c r="T562" s="109" t="n">
        <f aca="false">S562/$P562</f>
        <v>0</v>
      </c>
      <c r="U562" s="103" t="n">
        <v>0</v>
      </c>
      <c r="V562" s="109" t="n">
        <f aca="false">U562/$P562</f>
        <v>0</v>
      </c>
      <c r="W562" s="103" t="n">
        <v>0</v>
      </c>
      <c r="X562" s="110" t="n">
        <f aca="false">W562/$P562</f>
        <v>0</v>
      </c>
      <c r="Y562" s="103"/>
      <c r="Z562" s="107"/>
    </row>
    <row r="563" customFormat="false" ht="13.9" hidden="false" customHeight="true" outlineLevel="0" collapsed="false">
      <c r="D563" s="30"/>
      <c r="E563" s="121" t="s">
        <v>296</v>
      </c>
      <c r="F563" s="102"/>
      <c r="G563" s="103" t="n">
        <v>498</v>
      </c>
      <c r="H563" s="103" t="n">
        <v>158680.4</v>
      </c>
      <c r="I563" s="103" t="n">
        <v>7250</v>
      </c>
      <c r="J563" s="103"/>
      <c r="K563" s="103" t="n">
        <v>100000</v>
      </c>
      <c r="L563" s="103"/>
      <c r="M563" s="103"/>
      <c r="N563" s="103" t="n">
        <v>-99860</v>
      </c>
      <c r="O563" s="103"/>
      <c r="P563" s="103" t="n">
        <f aca="false">K563+SUM(L563:O563)</f>
        <v>140</v>
      </c>
      <c r="Q563" s="103" t="n">
        <v>140</v>
      </c>
      <c r="R563" s="109" t="n">
        <f aca="false">Q563/$P563</f>
        <v>1</v>
      </c>
      <c r="S563" s="103" t="n">
        <v>140</v>
      </c>
      <c r="T563" s="109" t="n">
        <f aca="false">S563/$P563</f>
        <v>1</v>
      </c>
      <c r="U563" s="103" t="n">
        <v>140</v>
      </c>
      <c r="V563" s="109" t="n">
        <f aca="false">U563/$P563</f>
        <v>1</v>
      </c>
      <c r="W563" s="103" t="n">
        <v>140</v>
      </c>
      <c r="X563" s="110" t="n">
        <f aca="false">W563/$P563</f>
        <v>1</v>
      </c>
      <c r="Y563" s="103"/>
      <c r="Z563" s="107"/>
    </row>
    <row r="564" customFormat="false" ht="13.9" hidden="false" customHeight="true" outlineLevel="0" collapsed="false">
      <c r="D564" s="30"/>
      <c r="E564" s="121" t="s">
        <v>297</v>
      </c>
      <c r="F564" s="102"/>
      <c r="G564" s="103"/>
      <c r="H564" s="103" t="n">
        <v>1350</v>
      </c>
      <c r="I564" s="103" t="n">
        <v>10000</v>
      </c>
      <c r="J564" s="103"/>
      <c r="K564" s="103" t="n">
        <v>0</v>
      </c>
      <c r="L564" s="103"/>
      <c r="M564" s="103"/>
      <c r="N564" s="103"/>
      <c r="O564" s="103"/>
      <c r="P564" s="103" t="n">
        <f aca="false">K564+SUM(L564:O564)</f>
        <v>0</v>
      </c>
      <c r="Q564" s="103"/>
      <c r="R564" s="109" t="e">
        <f aca="false">Q564/$P564</f>
        <v>#DIV/0!</v>
      </c>
      <c r="S564" s="103"/>
      <c r="T564" s="109" t="e">
        <f aca="false">S564/$P564</f>
        <v>#DIV/0!</v>
      </c>
      <c r="U564" s="103"/>
      <c r="V564" s="109" t="e">
        <f aca="false">U564/$P564</f>
        <v>#DIV/0!</v>
      </c>
      <c r="W564" s="103"/>
      <c r="X564" s="110" t="e">
        <f aca="false">W564/$P564</f>
        <v>#DIV/0!</v>
      </c>
      <c r="Y564" s="103"/>
      <c r="Z564" s="107"/>
    </row>
    <row r="565" customFormat="false" ht="13.9" hidden="false" customHeight="true" outlineLevel="0" collapsed="false">
      <c r="D565" s="30"/>
      <c r="E565" s="121" t="s">
        <v>298</v>
      </c>
      <c r="F565" s="102"/>
      <c r="G565" s="103"/>
      <c r="H565" s="103"/>
      <c r="I565" s="103" t="n">
        <v>15000</v>
      </c>
      <c r="J565" s="103" t="n">
        <v>47933</v>
      </c>
      <c r="K565" s="103" t="n">
        <v>0</v>
      </c>
      <c r="L565" s="103"/>
      <c r="M565" s="103"/>
      <c r="N565" s="103"/>
      <c r="O565" s="103"/>
      <c r="P565" s="103" t="n">
        <f aca="false">K565+SUM(L565:O565)</f>
        <v>0</v>
      </c>
      <c r="Q565" s="103"/>
      <c r="R565" s="109" t="e">
        <f aca="false">Q565/$P565</f>
        <v>#DIV/0!</v>
      </c>
      <c r="S565" s="103"/>
      <c r="T565" s="109" t="e">
        <f aca="false">S565/$P565</f>
        <v>#DIV/0!</v>
      </c>
      <c r="U565" s="103"/>
      <c r="V565" s="109" t="e">
        <f aca="false">U565/$P565</f>
        <v>#DIV/0!</v>
      </c>
      <c r="W565" s="103"/>
      <c r="X565" s="110" t="e">
        <f aca="false">W565/$P565</f>
        <v>#DIV/0!</v>
      </c>
      <c r="Y565" s="103"/>
      <c r="Z565" s="107"/>
    </row>
    <row r="567" customFormat="false" ht="13.9" hidden="false" customHeight="true" outlineLevel="0" collapsed="false">
      <c r="D567" s="28" t="s">
        <v>299</v>
      </c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9"/>
      <c r="S567" s="28"/>
      <c r="T567" s="29"/>
      <c r="U567" s="28"/>
      <c r="V567" s="29"/>
      <c r="W567" s="28"/>
      <c r="X567" s="29"/>
      <c r="Y567" s="28"/>
      <c r="Z567" s="28"/>
    </row>
    <row r="568" customFormat="false" ht="13.9" hidden="false" customHeight="true" outlineLevel="0" collapsed="false">
      <c r="D568" s="119"/>
      <c r="E568" s="7"/>
      <c r="F568" s="7"/>
      <c r="G568" s="7" t="s">
        <v>1</v>
      </c>
      <c r="H568" s="7" t="s">
        <v>2</v>
      </c>
      <c r="I568" s="7" t="s">
        <v>3</v>
      </c>
      <c r="J568" s="7" t="s">
        <v>4</v>
      </c>
      <c r="K568" s="7" t="s">
        <v>5</v>
      </c>
      <c r="L568" s="7" t="s">
        <v>6</v>
      </c>
      <c r="M568" s="7" t="s">
        <v>7</v>
      </c>
      <c r="N568" s="7" t="s">
        <v>8</v>
      </c>
      <c r="O568" s="7" t="s">
        <v>9</v>
      </c>
      <c r="P568" s="7" t="s">
        <v>10</v>
      </c>
      <c r="Q568" s="7" t="s">
        <v>11</v>
      </c>
      <c r="R568" s="8" t="s">
        <v>12</v>
      </c>
      <c r="S568" s="7" t="s">
        <v>13</v>
      </c>
      <c r="T568" s="8" t="s">
        <v>14</v>
      </c>
      <c r="U568" s="7" t="s">
        <v>15</v>
      </c>
      <c r="V568" s="8" t="s">
        <v>16</v>
      </c>
      <c r="W568" s="7" t="s">
        <v>17</v>
      </c>
      <c r="X568" s="8" t="s">
        <v>18</v>
      </c>
      <c r="Y568" s="7" t="s">
        <v>19</v>
      </c>
      <c r="Z568" s="7" t="s">
        <v>20</v>
      </c>
    </row>
    <row r="569" customFormat="false" ht="13.9" hidden="false" customHeight="true" outlineLevel="0" collapsed="false">
      <c r="A569" s="1" t="n">
        <v>8</v>
      </c>
      <c r="B569" s="1" t="n">
        <v>3</v>
      </c>
      <c r="D569" s="120" t="s">
        <v>21</v>
      </c>
      <c r="E569" s="10" t="n">
        <v>41</v>
      </c>
      <c r="F569" s="10" t="s">
        <v>23</v>
      </c>
      <c r="G569" s="11" t="n">
        <f aca="false">SUM(G573:G575)</f>
        <v>0</v>
      </c>
      <c r="H569" s="11" t="n">
        <f aca="false">SUM(H573:H575)</f>
        <v>18600</v>
      </c>
      <c r="I569" s="11" t="n">
        <f aca="false">SUM(I573:I575)</f>
        <v>0</v>
      </c>
      <c r="J569" s="11" t="n">
        <v>0</v>
      </c>
      <c r="K569" s="11" t="n">
        <f aca="false">SUM(K573:K575)</f>
        <v>20000</v>
      </c>
      <c r="L569" s="11" t="n">
        <f aca="false">SUM(L573:L575)</f>
        <v>420</v>
      </c>
      <c r="M569" s="11" t="n">
        <f aca="false">SUM(M573:M575)</f>
        <v>450</v>
      </c>
      <c r="N569" s="11" t="n">
        <f aca="false">SUM(N573:N575)</f>
        <v>0</v>
      </c>
      <c r="O569" s="11" t="n">
        <f aca="false">SUM(O573:O575)</f>
        <v>800</v>
      </c>
      <c r="P569" s="11" t="n">
        <f aca="false">SUM(P573:P575)</f>
        <v>21670</v>
      </c>
      <c r="Q569" s="11" t="n">
        <f aca="false">SUM(Q573:Q575)</f>
        <v>420</v>
      </c>
      <c r="R569" s="12" t="n">
        <f aca="false">Q569/$P569</f>
        <v>0.0193816335948316</v>
      </c>
      <c r="S569" s="11" t="n">
        <f aca="false">SUM(S573:S575)</f>
        <v>420</v>
      </c>
      <c r="T569" s="12" t="n">
        <f aca="false">S569/$P569</f>
        <v>0.0193816335948316</v>
      </c>
      <c r="U569" s="11" t="n">
        <f aca="false">SUM(U573:U575)</f>
        <v>870</v>
      </c>
      <c r="V569" s="12" t="n">
        <f aca="false">U569/$P569</f>
        <v>0.040147669589294</v>
      </c>
      <c r="W569" s="11" t="n">
        <f aca="false">SUM(W573:W575)</f>
        <v>1010</v>
      </c>
      <c r="X569" s="12" t="n">
        <f aca="false">W569/$P569</f>
        <v>0.0466082141209045</v>
      </c>
      <c r="Y569" s="11" t="n">
        <f aca="false">SUM(Y573:Y575)</f>
        <v>372036</v>
      </c>
      <c r="Z569" s="11" t="n">
        <f aca="false">SUM(Z573:Z575)</f>
        <v>0</v>
      </c>
    </row>
    <row r="570" customFormat="false" ht="13.9" hidden="false" customHeight="true" outlineLevel="0" collapsed="false">
      <c r="A570" s="1" t="n">
        <v>8</v>
      </c>
      <c r="B570" s="1" t="n">
        <v>3</v>
      </c>
      <c r="D570" s="17"/>
      <c r="E570" s="18"/>
      <c r="F570" s="13" t="s">
        <v>124</v>
      </c>
      <c r="G570" s="14" t="n">
        <f aca="false">SUM(G569:G569)</f>
        <v>0</v>
      </c>
      <c r="H570" s="14" t="n">
        <f aca="false">SUM(H569:H569)</f>
        <v>18600</v>
      </c>
      <c r="I570" s="14" t="n">
        <f aca="false">SUM(I569:I569)</f>
        <v>0</v>
      </c>
      <c r="J570" s="14" t="n">
        <f aca="false">SUM(J569:J569)</f>
        <v>0</v>
      </c>
      <c r="K570" s="14" t="n">
        <f aca="false">SUM(K569:K569)</f>
        <v>20000</v>
      </c>
      <c r="L570" s="14" t="n">
        <f aca="false">SUM(L569:L569)</f>
        <v>420</v>
      </c>
      <c r="M570" s="14" t="n">
        <f aca="false">SUM(M569:M569)</f>
        <v>450</v>
      </c>
      <c r="N570" s="14" t="n">
        <f aca="false">SUM(N569:N569)</f>
        <v>0</v>
      </c>
      <c r="O570" s="14" t="n">
        <f aca="false">SUM(O569:O569)</f>
        <v>800</v>
      </c>
      <c r="P570" s="14" t="n">
        <f aca="false">SUM(P569:P569)</f>
        <v>21670</v>
      </c>
      <c r="Q570" s="14" t="n">
        <f aca="false">SUM(Q569:Q569)</f>
        <v>420</v>
      </c>
      <c r="R570" s="15" t="n">
        <f aca="false">Q570/$P570</f>
        <v>0.0193816335948316</v>
      </c>
      <c r="S570" s="14" t="n">
        <f aca="false">SUM(S569:S569)</f>
        <v>420</v>
      </c>
      <c r="T570" s="15" t="n">
        <f aca="false">S570/$P570</f>
        <v>0.0193816335948316</v>
      </c>
      <c r="U570" s="14" t="n">
        <f aca="false">SUM(U569:U569)</f>
        <v>870</v>
      </c>
      <c r="V570" s="15" t="n">
        <f aca="false">U570/$P570</f>
        <v>0.040147669589294</v>
      </c>
      <c r="W570" s="14" t="n">
        <f aca="false">SUM(W569:W569)</f>
        <v>1010</v>
      </c>
      <c r="X570" s="15" t="n">
        <f aca="false">W570/$P570</f>
        <v>0.0466082141209045</v>
      </c>
      <c r="Y570" s="14" t="n">
        <f aca="false">SUM(Y569:Y569)</f>
        <v>372036</v>
      </c>
      <c r="Z570" s="14" t="n">
        <f aca="false">SUM(Z569:Z569)</f>
        <v>0</v>
      </c>
    </row>
    <row r="572" customFormat="false" ht="13.9" hidden="false" customHeight="true" outlineLevel="0" collapsed="false">
      <c r="D572" s="1" t="s">
        <v>57</v>
      </c>
    </row>
    <row r="573" customFormat="false" ht="13.9" hidden="false" customHeight="true" outlineLevel="0" collapsed="false">
      <c r="D573" s="30" t="s">
        <v>300</v>
      </c>
      <c r="E573" s="101" t="s">
        <v>301</v>
      </c>
      <c r="F573" s="102"/>
      <c r="G573" s="103"/>
      <c r="H573" s="103" t="n">
        <v>18600</v>
      </c>
      <c r="I573" s="103"/>
      <c r="J573" s="103"/>
      <c r="K573" s="103" t="n">
        <v>0</v>
      </c>
      <c r="L573" s="103" t="n">
        <v>420</v>
      </c>
      <c r="M573" s="103" t="n">
        <v>450</v>
      </c>
      <c r="N573" s="103"/>
      <c r="O573" s="103" t="n">
        <v>800</v>
      </c>
      <c r="P573" s="103" t="n">
        <f aca="false">K573+SUM(L573:O573)</f>
        <v>1670</v>
      </c>
      <c r="Q573" s="103" t="n">
        <v>420</v>
      </c>
      <c r="R573" s="109" t="n">
        <f aca="false">Q573/$P573</f>
        <v>0.251497005988024</v>
      </c>
      <c r="S573" s="103" t="n">
        <v>420</v>
      </c>
      <c r="T573" s="109" t="n">
        <f aca="false">S573/$P573</f>
        <v>0.251497005988024</v>
      </c>
      <c r="U573" s="103" t="n">
        <v>870</v>
      </c>
      <c r="V573" s="109" t="n">
        <f aca="false">U573/$P573</f>
        <v>0.520958083832335</v>
      </c>
      <c r="W573" s="103" t="n">
        <v>870</v>
      </c>
      <c r="X573" s="110" t="n">
        <f aca="false">W573/$P573</f>
        <v>0.520958083832335</v>
      </c>
      <c r="Y573" s="103"/>
      <c r="Z573" s="107"/>
    </row>
    <row r="574" customFormat="false" ht="13.9" hidden="false" customHeight="true" outlineLevel="0" collapsed="false">
      <c r="D574" s="30"/>
      <c r="E574" s="101" t="s">
        <v>302</v>
      </c>
      <c r="F574" s="102"/>
      <c r="G574" s="103"/>
      <c r="H574" s="103"/>
      <c r="I574" s="103"/>
      <c r="J574" s="103"/>
      <c r="K574" s="103" t="n">
        <v>20000</v>
      </c>
      <c r="L574" s="103"/>
      <c r="M574" s="103"/>
      <c r="N574" s="103"/>
      <c r="O574" s="103"/>
      <c r="P574" s="103" t="n">
        <f aca="false">K574+SUM(L574:O574)</f>
        <v>20000</v>
      </c>
      <c r="Q574" s="103" t="n">
        <v>0</v>
      </c>
      <c r="R574" s="109" t="n">
        <f aca="false">Q574/$P574</f>
        <v>0</v>
      </c>
      <c r="S574" s="103" t="n">
        <v>0</v>
      </c>
      <c r="T574" s="109" t="n">
        <f aca="false">S574/$P574</f>
        <v>0</v>
      </c>
      <c r="U574" s="103" t="n">
        <v>0</v>
      </c>
      <c r="V574" s="109" t="n">
        <f aca="false">U574/$P574</f>
        <v>0</v>
      </c>
      <c r="W574" s="103" t="n">
        <v>140</v>
      </c>
      <c r="X574" s="110" t="n">
        <f aca="false">W574/$P574</f>
        <v>0.007</v>
      </c>
      <c r="Y574" s="103"/>
      <c r="Z574" s="107"/>
    </row>
    <row r="575" customFormat="false" ht="13.9" hidden="false" customHeight="true" outlineLevel="0" collapsed="false">
      <c r="D575" s="30"/>
      <c r="E575" s="101" t="s">
        <v>303</v>
      </c>
      <c r="F575" s="102"/>
      <c r="G575" s="103"/>
      <c r="H575" s="103"/>
      <c r="I575" s="103"/>
      <c r="J575" s="103"/>
      <c r="K575" s="103" t="n">
        <v>0</v>
      </c>
      <c r="L575" s="103"/>
      <c r="M575" s="103"/>
      <c r="N575" s="103"/>
      <c r="O575" s="103"/>
      <c r="P575" s="103" t="n">
        <f aca="false">K575+SUM(L575:O575)</f>
        <v>0</v>
      </c>
      <c r="Q575" s="103"/>
      <c r="R575" s="109" t="e">
        <f aca="false">Q575/$P575</f>
        <v>#DIV/0!</v>
      </c>
      <c r="S575" s="103"/>
      <c r="T575" s="109" t="e">
        <f aca="false">S575/$P575</f>
        <v>#DIV/0!</v>
      </c>
      <c r="U575" s="103"/>
      <c r="V575" s="109" t="e">
        <f aca="false">U575/$P575</f>
        <v>#DIV/0!</v>
      </c>
      <c r="W575" s="103"/>
      <c r="X575" s="110" t="e">
        <f aca="false">W575/$P575</f>
        <v>#DIV/0!</v>
      </c>
      <c r="Y575" s="104" t="n">
        <v>372036</v>
      </c>
      <c r="Z575" s="107"/>
    </row>
    <row r="577" customFormat="false" ht="13.9" hidden="false" customHeight="true" outlineLevel="0" collapsed="false">
      <c r="D577" s="28" t="s">
        <v>304</v>
      </c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9"/>
      <c r="S577" s="28"/>
      <c r="T577" s="29"/>
      <c r="U577" s="28"/>
      <c r="V577" s="29"/>
      <c r="W577" s="28"/>
      <c r="X577" s="29"/>
      <c r="Y577" s="28"/>
      <c r="Z577" s="28"/>
    </row>
    <row r="578" customFormat="false" ht="13.9" hidden="false" customHeight="true" outlineLevel="0" collapsed="false">
      <c r="D578" s="119"/>
      <c r="E578" s="7"/>
      <c r="F578" s="7"/>
      <c r="G578" s="7" t="s">
        <v>1</v>
      </c>
      <c r="H578" s="7" t="s">
        <v>2</v>
      </c>
      <c r="I578" s="7" t="s">
        <v>3</v>
      </c>
      <c r="J578" s="7" t="s">
        <v>4</v>
      </c>
      <c r="K578" s="7" t="s">
        <v>5</v>
      </c>
      <c r="L578" s="7" t="s">
        <v>6</v>
      </c>
      <c r="M578" s="7" t="s">
        <v>7</v>
      </c>
      <c r="N578" s="7" t="s">
        <v>8</v>
      </c>
      <c r="O578" s="7" t="s">
        <v>9</v>
      </c>
      <c r="P578" s="7" t="s">
        <v>10</v>
      </c>
      <c r="Q578" s="7" t="s">
        <v>11</v>
      </c>
      <c r="R578" s="8" t="s">
        <v>12</v>
      </c>
      <c r="S578" s="7" t="s">
        <v>13</v>
      </c>
      <c r="T578" s="8" t="s">
        <v>14</v>
      </c>
      <c r="U578" s="7" t="s">
        <v>15</v>
      </c>
      <c r="V578" s="8" t="s">
        <v>16</v>
      </c>
      <c r="W578" s="7" t="s">
        <v>17</v>
      </c>
      <c r="X578" s="8" t="s">
        <v>18</v>
      </c>
      <c r="Y578" s="7" t="s">
        <v>19</v>
      </c>
      <c r="Z578" s="7" t="s">
        <v>20</v>
      </c>
    </row>
    <row r="579" customFormat="false" ht="13.9" hidden="false" customHeight="true" outlineLevel="0" collapsed="false">
      <c r="A579" s="1" t="n">
        <v>8</v>
      </c>
      <c r="B579" s="1" t="n">
        <v>4</v>
      </c>
      <c r="D579" s="120" t="s">
        <v>21</v>
      </c>
      <c r="E579" s="10" t="n">
        <v>111</v>
      </c>
      <c r="F579" s="10" t="s">
        <v>47</v>
      </c>
      <c r="G579" s="11" t="n">
        <f aca="false">SUM(G583:G583)</f>
        <v>0</v>
      </c>
      <c r="H579" s="11" t="n">
        <v>282834</v>
      </c>
      <c r="I579" s="11" t="n">
        <v>605166</v>
      </c>
      <c r="J579" s="11" t="n">
        <v>636446</v>
      </c>
      <c r="K579" s="11" t="n">
        <v>0</v>
      </c>
      <c r="L579" s="11" t="n">
        <v>0</v>
      </c>
      <c r="M579" s="11" t="n">
        <v>0</v>
      </c>
      <c r="N579" s="11" t="n">
        <v>0</v>
      </c>
      <c r="O579" s="11" t="n">
        <v>0</v>
      </c>
      <c r="P579" s="11" t="n">
        <v>0</v>
      </c>
      <c r="Q579" s="11" t="n">
        <v>0</v>
      </c>
      <c r="R579" s="12" t="e">
        <f aca="false">Q579/$P579</f>
        <v>#DIV/0!</v>
      </c>
      <c r="S579" s="11" t="n">
        <v>0</v>
      </c>
      <c r="T579" s="12" t="e">
        <f aca="false">S579/$P579</f>
        <v>#DIV/0!</v>
      </c>
      <c r="U579" s="11" t="n">
        <v>0</v>
      </c>
      <c r="V579" s="12" t="e">
        <f aca="false">U579/$P579</f>
        <v>#DIV/0!</v>
      </c>
      <c r="W579" s="11" t="n">
        <v>0</v>
      </c>
      <c r="X579" s="12" t="e">
        <f aca="false">W579/$P579</f>
        <v>#DIV/0!</v>
      </c>
      <c r="Y579" s="11" t="n">
        <f aca="false">SUM(Y583:Y583)</f>
        <v>0</v>
      </c>
      <c r="Z579" s="11" t="n">
        <f aca="false">SUM(Z583:Z583)</f>
        <v>0</v>
      </c>
    </row>
    <row r="580" customFormat="false" ht="13.9" hidden="false" customHeight="true" outlineLevel="0" collapsed="false">
      <c r="A580" s="1" t="n">
        <v>8</v>
      </c>
      <c r="B580" s="1" t="n">
        <v>4</v>
      </c>
      <c r="D580" s="120" t="s">
        <v>21</v>
      </c>
      <c r="E580" s="10" t="n">
        <v>41</v>
      </c>
      <c r="F580" s="10" t="s">
        <v>23</v>
      </c>
      <c r="G580" s="11" t="n">
        <f aca="false">SUM(G584:G584)</f>
        <v>5790</v>
      </c>
      <c r="H580" s="11" t="n">
        <f aca="false">SUM(H584:H587)-H579</f>
        <v>17366</v>
      </c>
      <c r="I580" s="11" t="n">
        <f aca="false">SUM(I584:I587)-I579</f>
        <v>78000</v>
      </c>
      <c r="J580" s="11" t="n">
        <f aca="false">SUM(J584:J588)-J579</f>
        <v>42486</v>
      </c>
      <c r="K580" s="11" t="n">
        <f aca="false">SUM(K584:K588)-K579</f>
        <v>0</v>
      </c>
      <c r="L580" s="11" t="n">
        <f aca="false">SUM(L584:L588)-L579</f>
        <v>0</v>
      </c>
      <c r="M580" s="11" t="n">
        <f aca="false">SUM(M584:M588)-M579</f>
        <v>0</v>
      </c>
      <c r="N580" s="11" t="n">
        <f aca="false">SUM(N584:N588)-N579</f>
        <v>0</v>
      </c>
      <c r="O580" s="11" t="n">
        <f aca="false">SUM(O584:O588)-O579</f>
        <v>0</v>
      </c>
      <c r="P580" s="11" t="n">
        <f aca="false">SUM(P584:P588)-P579</f>
        <v>0</v>
      </c>
      <c r="Q580" s="11" t="n">
        <f aca="false">SUM(Q584:Q588)-Q579</f>
        <v>0</v>
      </c>
      <c r="R580" s="12" t="e">
        <f aca="false">Q580/$P580</f>
        <v>#DIV/0!</v>
      </c>
      <c r="S580" s="11" t="n">
        <f aca="false">SUM(S584:S588)-S579</f>
        <v>0</v>
      </c>
      <c r="T580" s="12" t="e">
        <f aca="false">S580/$P580</f>
        <v>#DIV/0!</v>
      </c>
      <c r="U580" s="11" t="n">
        <f aca="false">SUM(U584:U588)-U579</f>
        <v>0</v>
      </c>
      <c r="V580" s="12" t="e">
        <f aca="false">U580/$P580</f>
        <v>#DIV/0!</v>
      </c>
      <c r="W580" s="11" t="n">
        <f aca="false">SUM(W584:W588)-W579</f>
        <v>0</v>
      </c>
      <c r="X580" s="12" t="e">
        <f aca="false">W580/$P580</f>
        <v>#DIV/0!</v>
      </c>
      <c r="Y580" s="11" t="n">
        <f aca="false">SUM(Y584:Y588)-Y579</f>
        <v>0</v>
      </c>
      <c r="Z580" s="11" t="n">
        <f aca="false">SUM(Z584:Z588)-Z579</f>
        <v>0</v>
      </c>
    </row>
    <row r="581" customFormat="false" ht="13.9" hidden="false" customHeight="true" outlineLevel="0" collapsed="false">
      <c r="A581" s="1" t="n">
        <v>8</v>
      </c>
      <c r="B581" s="1" t="n">
        <v>4</v>
      </c>
      <c r="D581" s="17"/>
      <c r="E581" s="18"/>
      <c r="F581" s="13" t="s">
        <v>124</v>
      </c>
      <c r="G581" s="14" t="n">
        <f aca="false">SUM(G579:G580)</f>
        <v>5790</v>
      </c>
      <c r="H581" s="14" t="n">
        <f aca="false">SUM(H579:H580)</f>
        <v>300200</v>
      </c>
      <c r="I581" s="14" t="n">
        <f aca="false">SUM(I579:I580)</f>
        <v>683166</v>
      </c>
      <c r="J581" s="14" t="n">
        <f aca="false">SUM(J579:J580)</f>
        <v>678932</v>
      </c>
      <c r="K581" s="14" t="n">
        <f aca="false">SUM(K579:K580)</f>
        <v>0</v>
      </c>
      <c r="L581" s="14" t="n">
        <f aca="false">SUM(L579:L580)</f>
        <v>0</v>
      </c>
      <c r="M581" s="14" t="n">
        <f aca="false">SUM(M579:M580)</f>
        <v>0</v>
      </c>
      <c r="N581" s="14" t="n">
        <f aca="false">SUM(N579:N580)</f>
        <v>0</v>
      </c>
      <c r="O581" s="14" t="n">
        <f aca="false">SUM(O579:O580)</f>
        <v>0</v>
      </c>
      <c r="P581" s="14" t="n">
        <f aca="false">SUM(P579:P580)</f>
        <v>0</v>
      </c>
      <c r="Q581" s="14" t="n">
        <f aca="false">SUM(Q579:Q580)</f>
        <v>0</v>
      </c>
      <c r="R581" s="15" t="e">
        <f aca="false">Q581/$P581</f>
        <v>#DIV/0!</v>
      </c>
      <c r="S581" s="14" t="n">
        <f aca="false">SUM(S579:S580)</f>
        <v>0</v>
      </c>
      <c r="T581" s="15" t="e">
        <f aca="false">S581/$P581</f>
        <v>#DIV/0!</v>
      </c>
      <c r="U581" s="14" t="n">
        <f aca="false">SUM(U579:U580)</f>
        <v>0</v>
      </c>
      <c r="V581" s="15" t="e">
        <f aca="false">U581/$P581</f>
        <v>#DIV/0!</v>
      </c>
      <c r="W581" s="14" t="n">
        <f aca="false">SUM(W579:W580)</f>
        <v>0</v>
      </c>
      <c r="X581" s="15" t="e">
        <f aca="false">W581/$P581</f>
        <v>#DIV/0!</v>
      </c>
      <c r="Y581" s="14" t="n">
        <f aca="false">SUM(Y580:Y580)</f>
        <v>0</v>
      </c>
      <c r="Z581" s="14" t="n">
        <f aca="false">SUM(Z580:Z580)</f>
        <v>0</v>
      </c>
    </row>
    <row r="583" customFormat="false" ht="13.9" hidden="false" customHeight="true" outlineLevel="0" collapsed="false">
      <c r="D583" s="1" t="s">
        <v>57</v>
      </c>
    </row>
    <row r="584" customFormat="false" ht="13.9" hidden="false" customHeight="true" outlineLevel="0" collapsed="false">
      <c r="D584" s="30" t="s">
        <v>305</v>
      </c>
      <c r="E584" s="39" t="s">
        <v>98</v>
      </c>
      <c r="F584" s="17"/>
      <c r="G584" s="40" t="n">
        <v>5790</v>
      </c>
      <c r="H584" s="40" t="n">
        <v>300200</v>
      </c>
      <c r="I584" s="40" t="n">
        <v>650166</v>
      </c>
      <c r="J584" s="40" t="n">
        <v>525971</v>
      </c>
      <c r="K584" s="40" t="n">
        <v>0</v>
      </c>
      <c r="L584" s="40"/>
      <c r="M584" s="40"/>
      <c r="N584" s="40"/>
      <c r="O584" s="40"/>
      <c r="P584" s="40" t="n">
        <f aca="false">K584+SUM(L584:O584)</f>
        <v>0</v>
      </c>
      <c r="Q584" s="40"/>
      <c r="R584" s="41" t="e">
        <f aca="false">Q584/$P584</f>
        <v>#DIV/0!</v>
      </c>
      <c r="S584" s="40"/>
      <c r="T584" s="41" t="e">
        <f aca="false">S584/$P584</f>
        <v>#DIV/0!</v>
      </c>
      <c r="U584" s="40"/>
      <c r="V584" s="41" t="e">
        <f aca="false">U584/$P584</f>
        <v>#DIV/0!</v>
      </c>
      <c r="W584" s="40"/>
      <c r="X584" s="42" t="e">
        <f aca="false">W584/$P584</f>
        <v>#DIV/0!</v>
      </c>
      <c r="Y584" s="40"/>
      <c r="Z584" s="43"/>
    </row>
    <row r="585" customFormat="false" ht="13.9" hidden="false" customHeight="true" outlineLevel="0" collapsed="false">
      <c r="D585" s="30"/>
      <c r="E585" s="44" t="s">
        <v>306</v>
      </c>
      <c r="F585" s="84"/>
      <c r="G585" s="70"/>
      <c r="H585" s="70"/>
      <c r="I585" s="70" t="n">
        <v>15000</v>
      </c>
      <c r="J585" s="70" t="n">
        <v>2934</v>
      </c>
      <c r="K585" s="70" t="n">
        <v>0</v>
      </c>
      <c r="L585" s="70"/>
      <c r="M585" s="70"/>
      <c r="N585" s="70"/>
      <c r="O585" s="70"/>
      <c r="P585" s="70" t="n">
        <f aca="false">K585+SUM(L585:O585)</f>
        <v>0</v>
      </c>
      <c r="Q585" s="70"/>
      <c r="R585" s="72" t="e">
        <f aca="false">Q585/$P585</f>
        <v>#DIV/0!</v>
      </c>
      <c r="S585" s="70"/>
      <c r="T585" s="72" t="e">
        <f aca="false">S585/$P585</f>
        <v>#DIV/0!</v>
      </c>
      <c r="U585" s="70"/>
      <c r="V585" s="72" t="e">
        <f aca="false">U585/$P585</f>
        <v>#DIV/0!</v>
      </c>
      <c r="W585" s="70"/>
      <c r="X585" s="47" t="e">
        <f aca="false">W585/$P585</f>
        <v>#DIV/0!</v>
      </c>
      <c r="Y585" s="70"/>
      <c r="Z585" s="48"/>
    </row>
    <row r="586" customFormat="false" ht="13.9" hidden="false" customHeight="true" outlineLevel="0" collapsed="false">
      <c r="D586" s="30"/>
      <c r="E586" s="44" t="s">
        <v>307</v>
      </c>
      <c r="F586" s="84"/>
      <c r="G586" s="70"/>
      <c r="H586" s="70"/>
      <c r="I586" s="70" t="n">
        <v>10000</v>
      </c>
      <c r="J586" s="70" t="n">
        <v>0</v>
      </c>
      <c r="K586" s="70" t="n">
        <v>0</v>
      </c>
      <c r="L586" s="70"/>
      <c r="M586" s="70"/>
      <c r="N586" s="70"/>
      <c r="O586" s="70"/>
      <c r="P586" s="70" t="n">
        <f aca="false">K586+SUM(L586:O586)</f>
        <v>0</v>
      </c>
      <c r="Q586" s="70"/>
      <c r="R586" s="72" t="e">
        <f aca="false">Q586/$P586</f>
        <v>#DIV/0!</v>
      </c>
      <c r="S586" s="70"/>
      <c r="T586" s="72" t="e">
        <f aca="false">S586/$P586</f>
        <v>#DIV/0!</v>
      </c>
      <c r="U586" s="70"/>
      <c r="V586" s="72" t="e">
        <f aca="false">U586/$P586</f>
        <v>#DIV/0!</v>
      </c>
      <c r="W586" s="70"/>
      <c r="X586" s="47" t="e">
        <f aca="false">W586/$P586</f>
        <v>#DIV/0!</v>
      </c>
      <c r="Y586" s="70"/>
      <c r="Z586" s="48"/>
    </row>
    <row r="587" customFormat="false" ht="13.9" hidden="false" customHeight="true" outlineLevel="0" collapsed="false">
      <c r="D587" s="30"/>
      <c r="E587" s="52" t="s">
        <v>308</v>
      </c>
      <c r="F587" s="86"/>
      <c r="G587" s="54"/>
      <c r="H587" s="54"/>
      <c r="I587" s="54" t="n">
        <v>8000</v>
      </c>
      <c r="J587" s="54" t="n">
        <v>5125</v>
      </c>
      <c r="K587" s="54" t="n">
        <v>0</v>
      </c>
      <c r="L587" s="54"/>
      <c r="M587" s="54"/>
      <c r="N587" s="54"/>
      <c r="O587" s="54"/>
      <c r="P587" s="54" t="n">
        <f aca="false">K587+SUM(L587:O587)</f>
        <v>0</v>
      </c>
      <c r="Q587" s="54"/>
      <c r="R587" s="55" t="e">
        <f aca="false">Q587/$P587</f>
        <v>#DIV/0!</v>
      </c>
      <c r="S587" s="54"/>
      <c r="T587" s="55" t="e">
        <f aca="false">S587/$P587</f>
        <v>#DIV/0!</v>
      </c>
      <c r="U587" s="54"/>
      <c r="V587" s="55" t="e">
        <f aca="false">U587/$P587</f>
        <v>#DIV/0!</v>
      </c>
      <c r="W587" s="54"/>
      <c r="X587" s="56" t="e">
        <f aca="false">W587/$P587</f>
        <v>#DIV/0!</v>
      </c>
      <c r="Y587" s="54"/>
      <c r="Z587" s="57"/>
    </row>
    <row r="588" customFormat="false" ht="13.9" hidden="false" customHeight="true" outlineLevel="0" collapsed="false">
      <c r="D588" s="10" t="s">
        <v>305</v>
      </c>
      <c r="E588" s="52" t="s">
        <v>197</v>
      </c>
      <c r="F588" s="86"/>
      <c r="G588" s="54"/>
      <c r="H588" s="54"/>
      <c r="I588" s="54" t="n">
        <v>0</v>
      </c>
      <c r="J588" s="54" t="n">
        <v>144902</v>
      </c>
      <c r="K588" s="54" t="n">
        <v>0</v>
      </c>
      <c r="L588" s="54"/>
      <c r="M588" s="54"/>
      <c r="N588" s="54"/>
      <c r="O588" s="54"/>
      <c r="P588" s="54" t="n">
        <f aca="false">K588+SUM(L588:O588)</f>
        <v>0</v>
      </c>
      <c r="Q588" s="54"/>
      <c r="R588" s="55" t="e">
        <f aca="false">Q588/$P588</f>
        <v>#DIV/0!</v>
      </c>
      <c r="S588" s="54"/>
      <c r="T588" s="55" t="e">
        <f aca="false">S588/$P588</f>
        <v>#DIV/0!</v>
      </c>
      <c r="U588" s="54"/>
      <c r="V588" s="55" t="e">
        <f aca="false">U588/$P588</f>
        <v>#DIV/0!</v>
      </c>
      <c r="W588" s="54"/>
      <c r="X588" s="56" t="e">
        <f aca="false">W588/$P588</f>
        <v>#DIV/0!</v>
      </c>
      <c r="Y588" s="54"/>
      <c r="Z588" s="57"/>
    </row>
    <row r="590" customFormat="false" ht="13.9" hidden="false" customHeight="true" outlineLevel="0" collapsed="false">
      <c r="D590" s="28" t="s">
        <v>309</v>
      </c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9"/>
      <c r="S590" s="28"/>
      <c r="T590" s="29"/>
      <c r="U590" s="28"/>
      <c r="V590" s="29"/>
      <c r="W590" s="28"/>
      <c r="X590" s="29"/>
      <c r="Y590" s="28"/>
      <c r="Z590" s="28"/>
    </row>
    <row r="591" customFormat="false" ht="13.9" hidden="false" customHeight="true" outlineLevel="0" collapsed="false">
      <c r="D591" s="119"/>
      <c r="E591" s="7"/>
      <c r="F591" s="7"/>
      <c r="G591" s="7" t="s">
        <v>1</v>
      </c>
      <c r="H591" s="7" t="s">
        <v>2</v>
      </c>
      <c r="I591" s="7" t="s">
        <v>3</v>
      </c>
      <c r="J591" s="7" t="s">
        <v>4</v>
      </c>
      <c r="K591" s="7" t="s">
        <v>5</v>
      </c>
      <c r="L591" s="7" t="s">
        <v>6</v>
      </c>
      <c r="M591" s="7" t="s">
        <v>7</v>
      </c>
      <c r="N591" s="7" t="s">
        <v>8</v>
      </c>
      <c r="O591" s="7" t="s">
        <v>9</v>
      </c>
      <c r="P591" s="7" t="s">
        <v>10</v>
      </c>
      <c r="Q591" s="7" t="s">
        <v>11</v>
      </c>
      <c r="R591" s="8" t="s">
        <v>12</v>
      </c>
      <c r="S591" s="7" t="s">
        <v>13</v>
      </c>
      <c r="T591" s="8" t="s">
        <v>14</v>
      </c>
      <c r="U591" s="7" t="s">
        <v>15</v>
      </c>
      <c r="V591" s="8" t="s">
        <v>16</v>
      </c>
      <c r="W591" s="7" t="s">
        <v>17</v>
      </c>
      <c r="X591" s="8" t="s">
        <v>18</v>
      </c>
      <c r="Y591" s="7" t="s">
        <v>19</v>
      </c>
      <c r="Z591" s="7" t="s">
        <v>20</v>
      </c>
    </row>
    <row r="592" customFormat="false" ht="13.9" hidden="false" customHeight="true" outlineLevel="0" collapsed="false">
      <c r="A592" s="1" t="n">
        <v>8</v>
      </c>
      <c r="B592" s="1" t="n">
        <v>5</v>
      </c>
      <c r="D592" s="30" t="s">
        <v>21</v>
      </c>
      <c r="E592" s="10" t="n">
        <v>111</v>
      </c>
      <c r="F592" s="10" t="s">
        <v>47</v>
      </c>
      <c r="G592" s="11" t="n">
        <f aca="false">G606</f>
        <v>0</v>
      </c>
      <c r="H592" s="11" t="n">
        <v>30000</v>
      </c>
      <c r="I592" s="11" t="n">
        <v>0</v>
      </c>
      <c r="J592" s="11" t="n">
        <v>0</v>
      </c>
      <c r="K592" s="11" t="n">
        <v>0</v>
      </c>
      <c r="L592" s="11" t="n">
        <v>0</v>
      </c>
      <c r="M592" s="11" t="n">
        <v>0</v>
      </c>
      <c r="N592" s="11" t="n">
        <v>0</v>
      </c>
      <c r="O592" s="11" t="n">
        <v>0</v>
      </c>
      <c r="P592" s="11" t="n">
        <v>0</v>
      </c>
      <c r="Q592" s="11" t="n">
        <v>0</v>
      </c>
      <c r="R592" s="12" t="e">
        <f aca="false">Q592/$P592</f>
        <v>#DIV/0!</v>
      </c>
      <c r="S592" s="11" t="n">
        <v>0</v>
      </c>
      <c r="T592" s="12" t="e">
        <f aca="false">S592/$P592</f>
        <v>#DIV/0!</v>
      </c>
      <c r="U592" s="11" t="n">
        <v>0</v>
      </c>
      <c r="V592" s="12" t="e">
        <f aca="false">U592/$P592</f>
        <v>#DIV/0!</v>
      </c>
      <c r="W592" s="11" t="n">
        <v>0</v>
      </c>
      <c r="X592" s="12" t="e">
        <f aca="false">W592/$P592</f>
        <v>#DIV/0!</v>
      </c>
      <c r="Y592" s="11" t="n">
        <v>0</v>
      </c>
      <c r="Z592" s="11" t="n">
        <v>0</v>
      </c>
    </row>
    <row r="593" customFormat="false" ht="13.9" hidden="false" customHeight="true" outlineLevel="0" collapsed="false">
      <c r="A593" s="1" t="n">
        <v>8</v>
      </c>
      <c r="B593" s="1" t="n">
        <v>5</v>
      </c>
      <c r="D593" s="30"/>
      <c r="E593" s="10" t="n">
        <v>41</v>
      </c>
      <c r="F593" s="10" t="s">
        <v>23</v>
      </c>
      <c r="G593" s="11" t="n">
        <f aca="false">SUM(G597:G606)</f>
        <v>103975.49</v>
      </c>
      <c r="H593" s="11" t="n">
        <f aca="false">SUM(H597:H606)-H592</f>
        <v>227464.27</v>
      </c>
      <c r="I593" s="11" t="n">
        <f aca="false">SUM(I597:I606)-I592</f>
        <v>52000</v>
      </c>
      <c r="J593" s="11" t="n">
        <f aca="false">SUM(J597:J606)-J592</f>
        <v>41016</v>
      </c>
      <c r="K593" s="11" t="n">
        <f aca="false">SUM(K597:K606)-K592</f>
        <v>445710</v>
      </c>
      <c r="L593" s="11" t="n">
        <f aca="false">SUM(L597:L606)-L592</f>
        <v>1140</v>
      </c>
      <c r="M593" s="11" t="n">
        <f aca="false">SUM(M597:M606)-M592</f>
        <v>-450</v>
      </c>
      <c r="N593" s="11" t="n">
        <f aca="false">SUM(N597:N606)-N592</f>
        <v>-60690</v>
      </c>
      <c r="O593" s="11" t="n">
        <f aca="false">SUM(O597:O606)-O592</f>
        <v>-800</v>
      </c>
      <c r="P593" s="11" t="n">
        <f aca="false">SUM(P597:P606)-P592</f>
        <v>384910</v>
      </c>
      <c r="Q593" s="11" t="n">
        <f aca="false">SUM(Q597:Q606)-Q592</f>
        <v>1831.05</v>
      </c>
      <c r="R593" s="12" t="n">
        <f aca="false">Q593/$P593</f>
        <v>0.0047570860720688</v>
      </c>
      <c r="S593" s="11" t="n">
        <f aca="false">SUM(S597:S606)-S592</f>
        <v>52707.71</v>
      </c>
      <c r="T593" s="12" t="n">
        <f aca="false">S593/$P593</f>
        <v>0.136935153672287</v>
      </c>
      <c r="U593" s="11" t="n">
        <f aca="false">SUM(U597:U606)-U592</f>
        <v>70801.52</v>
      </c>
      <c r="V593" s="12" t="n">
        <f aca="false">U593/$P593</f>
        <v>0.183943051622457</v>
      </c>
      <c r="W593" s="11" t="n">
        <f aca="false">SUM(W597:W606)-W592</f>
        <v>74155.57</v>
      </c>
      <c r="X593" s="12" t="n">
        <f aca="false">W593/$P593</f>
        <v>0.192656906809384</v>
      </c>
      <c r="Y593" s="11" t="n">
        <f aca="false">SUM(Y597:Y606)</f>
        <v>0</v>
      </c>
      <c r="Z593" s="11" t="n">
        <f aca="false">SUM(Z597:Z606)</f>
        <v>393009</v>
      </c>
    </row>
    <row r="594" customFormat="false" ht="13.9" hidden="false" customHeight="true" outlineLevel="0" collapsed="false">
      <c r="A594" s="1" t="n">
        <v>8</v>
      </c>
      <c r="B594" s="1" t="n">
        <v>5</v>
      </c>
      <c r="D594" s="17"/>
      <c r="E594" s="18"/>
      <c r="F594" s="13" t="s">
        <v>124</v>
      </c>
      <c r="G594" s="14" t="n">
        <f aca="false">SUM(G592:G593)</f>
        <v>103975.49</v>
      </c>
      <c r="H594" s="14" t="n">
        <f aca="false">SUM(H592:H593)</f>
        <v>257464.27</v>
      </c>
      <c r="I594" s="14" t="n">
        <f aca="false">SUM(I592:I593)</f>
        <v>52000</v>
      </c>
      <c r="J594" s="14" t="n">
        <f aca="false">SUM(J592:J593)</f>
        <v>41016</v>
      </c>
      <c r="K594" s="14" t="n">
        <f aca="false">SUM(K592:K593)</f>
        <v>445710</v>
      </c>
      <c r="L594" s="14" t="n">
        <f aca="false">SUM(L592:L593)</f>
        <v>1140</v>
      </c>
      <c r="M594" s="14" t="n">
        <f aca="false">SUM(M592:M593)</f>
        <v>-450</v>
      </c>
      <c r="N594" s="14" t="n">
        <f aca="false">SUM(N592:N593)</f>
        <v>-60690</v>
      </c>
      <c r="O594" s="14" t="n">
        <f aca="false">SUM(O592:O593)</f>
        <v>-800</v>
      </c>
      <c r="P594" s="14" t="n">
        <f aca="false">SUM(P592:P593)</f>
        <v>384910</v>
      </c>
      <c r="Q594" s="14" t="n">
        <f aca="false">SUM(Q592:Q593)</f>
        <v>1831.05</v>
      </c>
      <c r="R594" s="15" t="n">
        <f aca="false">Q594/$P594</f>
        <v>0.0047570860720688</v>
      </c>
      <c r="S594" s="14" t="n">
        <f aca="false">SUM(S592:S593)</f>
        <v>52707.71</v>
      </c>
      <c r="T594" s="15" t="n">
        <f aca="false">S594/$P594</f>
        <v>0.136935153672287</v>
      </c>
      <c r="U594" s="14" t="n">
        <f aca="false">SUM(U592:U593)</f>
        <v>70801.52</v>
      </c>
      <c r="V594" s="15" t="n">
        <f aca="false">U594/$P594</f>
        <v>0.183943051622457</v>
      </c>
      <c r="W594" s="14" t="n">
        <f aca="false">SUM(W592:W593)</f>
        <v>74155.57</v>
      </c>
      <c r="X594" s="15" t="n">
        <f aca="false">W594/$P594</f>
        <v>0.192656906809384</v>
      </c>
      <c r="Y594" s="14" t="n">
        <f aca="false">SUM(Y592:Y593)</f>
        <v>0</v>
      </c>
      <c r="Z594" s="14" t="n">
        <f aca="false">SUM(Z592:Z593)</f>
        <v>393009</v>
      </c>
    </row>
    <row r="596" customFormat="false" ht="13.9" hidden="false" customHeight="true" outlineLevel="0" collapsed="false">
      <c r="D596" s="1" t="s">
        <v>57</v>
      </c>
    </row>
    <row r="597" customFormat="false" ht="13.9" hidden="false" customHeight="true" outlineLevel="0" collapsed="false">
      <c r="D597" s="30" t="s">
        <v>310</v>
      </c>
      <c r="E597" s="101" t="s">
        <v>311</v>
      </c>
      <c r="F597" s="102"/>
      <c r="G597" s="103" t="n">
        <v>12370.62</v>
      </c>
      <c r="H597" s="103" t="n">
        <v>151025.6</v>
      </c>
      <c r="I597" s="103"/>
      <c r="J597" s="103"/>
      <c r="K597" s="104" t="n">
        <v>71210</v>
      </c>
      <c r="L597" s="104" t="n">
        <v>1140</v>
      </c>
      <c r="M597" s="104" t="n">
        <v>-450</v>
      </c>
      <c r="N597" s="104" t="n">
        <v>-51690</v>
      </c>
      <c r="O597" s="104"/>
      <c r="P597" s="104" t="n">
        <f aca="false">K597+SUM(L597:O597)</f>
        <v>20210</v>
      </c>
      <c r="Q597" s="104" t="n">
        <v>0</v>
      </c>
      <c r="R597" s="105" t="n">
        <f aca="false">Q597/$P597</f>
        <v>0</v>
      </c>
      <c r="S597" s="104" t="n">
        <v>4236.46</v>
      </c>
      <c r="T597" s="105" t="n">
        <f aca="false">S597/$P597</f>
        <v>0.209621969322118</v>
      </c>
      <c r="U597" s="104" t="n">
        <v>20209.86</v>
      </c>
      <c r="V597" s="105" t="n">
        <f aca="false">U597/$P597</f>
        <v>0.999993072736269</v>
      </c>
      <c r="W597" s="104" t="n">
        <v>20209.86</v>
      </c>
      <c r="X597" s="106" t="n">
        <f aca="false">W597/$P597</f>
        <v>0.999993072736269</v>
      </c>
      <c r="Y597" s="103"/>
      <c r="Z597" s="107"/>
    </row>
    <row r="598" customFormat="false" ht="13.9" hidden="false" customHeight="true" outlineLevel="0" collapsed="false">
      <c r="D598" s="30"/>
      <c r="E598" s="101" t="s">
        <v>312</v>
      </c>
      <c r="F598" s="102"/>
      <c r="G598" s="103"/>
      <c r="H598" s="103"/>
      <c r="I598" s="103" t="n">
        <v>10000</v>
      </c>
      <c r="J598" s="103"/>
      <c r="K598" s="103" t="n">
        <v>0</v>
      </c>
      <c r="L598" s="103"/>
      <c r="M598" s="103"/>
      <c r="N598" s="103"/>
      <c r="O598" s="103"/>
      <c r="P598" s="103" t="n">
        <f aca="false">K598+SUM(L598:O598)</f>
        <v>0</v>
      </c>
      <c r="Q598" s="103"/>
      <c r="R598" s="109" t="e">
        <f aca="false">Q598/$P598</f>
        <v>#DIV/0!</v>
      </c>
      <c r="S598" s="103"/>
      <c r="T598" s="109" t="e">
        <f aca="false">S598/$P598</f>
        <v>#DIV/0!</v>
      </c>
      <c r="U598" s="103"/>
      <c r="V598" s="109" t="e">
        <f aca="false">U598/$P598</f>
        <v>#DIV/0!</v>
      </c>
      <c r="W598" s="103"/>
      <c r="X598" s="110" t="e">
        <f aca="false">W598/$P598</f>
        <v>#DIV/0!</v>
      </c>
      <c r="Y598" s="103"/>
      <c r="Z598" s="107"/>
    </row>
    <row r="599" customFormat="false" ht="13.9" hidden="false" customHeight="true" outlineLevel="0" collapsed="false">
      <c r="D599" s="10" t="s">
        <v>313</v>
      </c>
      <c r="E599" s="101" t="s">
        <v>314</v>
      </c>
      <c r="F599" s="102"/>
      <c r="G599" s="103"/>
      <c r="H599" s="103"/>
      <c r="I599" s="103"/>
      <c r="J599" s="103"/>
      <c r="K599" s="103" t="n">
        <v>50000</v>
      </c>
      <c r="L599" s="103" t="n">
        <v>-50000</v>
      </c>
      <c r="M599" s="103"/>
      <c r="N599" s="103"/>
      <c r="O599" s="103"/>
      <c r="P599" s="103" t="n">
        <f aca="false">K599+SUM(L599:O599)</f>
        <v>0</v>
      </c>
      <c r="Q599" s="103"/>
      <c r="R599" s="109" t="e">
        <f aca="false">Q599/$P599</f>
        <v>#DIV/0!</v>
      </c>
      <c r="S599" s="103"/>
      <c r="T599" s="109" t="e">
        <f aca="false">S599/$P599</f>
        <v>#DIV/0!</v>
      </c>
      <c r="U599" s="103"/>
      <c r="V599" s="109" t="e">
        <f aca="false">U599/$P599</f>
        <v>#DIV/0!</v>
      </c>
      <c r="W599" s="103"/>
      <c r="X599" s="110" t="e">
        <f aca="false">W599/$P599</f>
        <v>#DIV/0!</v>
      </c>
      <c r="Y599" s="103"/>
      <c r="Z599" s="107"/>
    </row>
    <row r="600" customFormat="false" ht="13.9" hidden="false" customHeight="true" outlineLevel="0" collapsed="false">
      <c r="D600" s="30" t="s">
        <v>315</v>
      </c>
      <c r="E600" s="101" t="s">
        <v>316</v>
      </c>
      <c r="F600" s="102"/>
      <c r="G600" s="103" t="n">
        <v>88311.47</v>
      </c>
      <c r="H600" s="103" t="n">
        <v>26784.19</v>
      </c>
      <c r="I600" s="103"/>
      <c r="J600" s="103"/>
      <c r="K600" s="103" t="n">
        <v>60000</v>
      </c>
      <c r="L600" s="103"/>
      <c r="M600" s="103"/>
      <c r="N600" s="103" t="n">
        <v>-9000</v>
      </c>
      <c r="O600" s="103"/>
      <c r="P600" s="103" t="n">
        <f aca="false">K600+SUM(L600:O600)</f>
        <v>51000</v>
      </c>
      <c r="Q600" s="103" t="n">
        <v>1607.15</v>
      </c>
      <c r="R600" s="109" t="n">
        <f aca="false">Q600/$P600</f>
        <v>0.0315127450980392</v>
      </c>
      <c r="S600" s="103" t="n">
        <v>48247.35</v>
      </c>
      <c r="T600" s="109" t="n">
        <f aca="false">S600/$P600</f>
        <v>0.946026470588235</v>
      </c>
      <c r="U600" s="103" t="n">
        <v>50367.76</v>
      </c>
      <c r="V600" s="109" t="n">
        <f aca="false">U600/$P600</f>
        <v>0.987603137254902</v>
      </c>
      <c r="W600" s="103" t="n">
        <v>50367.76</v>
      </c>
      <c r="X600" s="110" t="n">
        <f aca="false">W600/$P600</f>
        <v>0.987603137254902</v>
      </c>
      <c r="Y600" s="103"/>
      <c r="Z600" s="107"/>
    </row>
    <row r="601" customFormat="false" ht="13.9" hidden="false" customHeight="true" outlineLevel="0" collapsed="false">
      <c r="D601" s="30"/>
      <c r="E601" s="39" t="s">
        <v>317</v>
      </c>
      <c r="F601" s="17"/>
      <c r="G601" s="40" t="n">
        <v>2693.4</v>
      </c>
      <c r="H601" s="40"/>
      <c r="I601" s="40" t="n">
        <v>35000</v>
      </c>
      <c r="J601" s="40" t="n">
        <v>37740</v>
      </c>
      <c r="K601" s="40" t="n">
        <v>4500</v>
      </c>
      <c r="L601" s="40"/>
      <c r="M601" s="40"/>
      <c r="N601" s="40"/>
      <c r="O601" s="40" t="n">
        <f aca="false">-800-1200</f>
        <v>-2000</v>
      </c>
      <c r="P601" s="40" t="n">
        <f aca="false">K601+SUM(L601:O601)</f>
        <v>2500</v>
      </c>
      <c r="Q601" s="40" t="n">
        <v>223.9</v>
      </c>
      <c r="R601" s="41" t="n">
        <f aca="false">Q601/$P601</f>
        <v>0.08956</v>
      </c>
      <c r="S601" s="40" t="n">
        <v>223.9</v>
      </c>
      <c r="T601" s="41" t="n">
        <f aca="false">S601/$P601</f>
        <v>0.08956</v>
      </c>
      <c r="U601" s="40" t="n">
        <v>223.9</v>
      </c>
      <c r="V601" s="41" t="n">
        <f aca="false">U601/$P601</f>
        <v>0.08956</v>
      </c>
      <c r="W601" s="40" t="n">
        <v>223.9</v>
      </c>
      <c r="X601" s="42" t="n">
        <f aca="false">W601/$P601</f>
        <v>0.08956</v>
      </c>
      <c r="Y601" s="40"/>
      <c r="Z601" s="43"/>
    </row>
    <row r="602" customFormat="false" ht="13.9" hidden="false" customHeight="true" outlineLevel="0" collapsed="false">
      <c r="D602" s="30"/>
      <c r="E602" s="52" t="s">
        <v>318</v>
      </c>
      <c r="F602" s="86"/>
      <c r="G602" s="54"/>
      <c r="H602" s="54"/>
      <c r="I602" s="54"/>
      <c r="J602" s="54"/>
      <c r="K602" s="54" t="n">
        <v>0</v>
      </c>
      <c r="L602" s="54"/>
      <c r="M602" s="54"/>
      <c r="N602" s="54"/>
      <c r="O602" s="54"/>
      <c r="P602" s="54" t="n">
        <f aca="false">K602+SUM(L602:O602)</f>
        <v>0</v>
      </c>
      <c r="Q602" s="54"/>
      <c r="R602" s="55" t="e">
        <f aca="false">Q602/$P602</f>
        <v>#DIV/0!</v>
      </c>
      <c r="S602" s="54"/>
      <c r="T602" s="55" t="e">
        <f aca="false">S602/$P602</f>
        <v>#DIV/0!</v>
      </c>
      <c r="U602" s="54"/>
      <c r="V602" s="55" t="e">
        <f aca="false">U602/$P602</f>
        <v>#DIV/0!</v>
      </c>
      <c r="W602" s="54"/>
      <c r="X602" s="56" t="e">
        <f aca="false">W602/$P602</f>
        <v>#DIV/0!</v>
      </c>
      <c r="Y602" s="54"/>
      <c r="Z602" s="122" t="n">
        <v>393009</v>
      </c>
    </row>
    <row r="603" customFormat="false" ht="13.9" hidden="false" customHeight="true" outlineLevel="0" collapsed="false">
      <c r="D603" s="30"/>
      <c r="E603" s="52" t="s">
        <v>319</v>
      </c>
      <c r="F603" s="86"/>
      <c r="G603" s="54"/>
      <c r="H603" s="54"/>
      <c r="I603" s="54"/>
      <c r="J603" s="54"/>
      <c r="K603" s="54" t="n">
        <v>0</v>
      </c>
      <c r="L603" s="54"/>
      <c r="M603" s="54"/>
      <c r="N603" s="54"/>
      <c r="O603" s="54" t="n">
        <v>1200</v>
      </c>
      <c r="P603" s="54" t="n">
        <f aca="false">K603+SUM(L603:O603)</f>
        <v>1200</v>
      </c>
      <c r="Q603" s="54"/>
      <c r="R603" s="55" t="n">
        <f aca="false">Q603/$P603</f>
        <v>0</v>
      </c>
      <c r="S603" s="54"/>
      <c r="T603" s="55" t="n">
        <f aca="false">S603/$P603</f>
        <v>0</v>
      </c>
      <c r="U603" s="54"/>
      <c r="V603" s="55" t="n">
        <f aca="false">U603/$P603</f>
        <v>0</v>
      </c>
      <c r="W603" s="54" t="n">
        <v>1200</v>
      </c>
      <c r="X603" s="56" t="n">
        <f aca="false">W603/$P603</f>
        <v>1</v>
      </c>
      <c r="Y603" s="16"/>
      <c r="Z603" s="122"/>
    </row>
    <row r="604" customFormat="false" ht="13.9" hidden="false" customHeight="true" outlineLevel="0" collapsed="false">
      <c r="D604" s="1" t="s">
        <v>320</v>
      </c>
      <c r="E604" s="101" t="s">
        <v>321</v>
      </c>
      <c r="F604" s="102"/>
      <c r="G604" s="103"/>
      <c r="H604" s="103"/>
      <c r="I604" s="103" t="n">
        <v>2000</v>
      </c>
      <c r="J604" s="103" t="n">
        <v>1776</v>
      </c>
      <c r="K604" s="103" t="n">
        <v>250000</v>
      </c>
      <c r="L604" s="103" t="n">
        <v>50000</v>
      </c>
      <c r="M604" s="103"/>
      <c r="N604" s="103"/>
      <c r="O604" s="103"/>
      <c r="P604" s="103" t="n">
        <f aca="false">K604+SUM(L604:O604)</f>
        <v>300000</v>
      </c>
      <c r="Q604" s="103" t="n">
        <v>0</v>
      </c>
      <c r="R604" s="109" t="n">
        <f aca="false">Q604/$P604</f>
        <v>0</v>
      </c>
      <c r="S604" s="103" t="n">
        <v>0</v>
      </c>
      <c r="T604" s="109" t="n">
        <f aca="false">S604/$P604</f>
        <v>0</v>
      </c>
      <c r="U604" s="103" t="n">
        <v>0</v>
      </c>
      <c r="V604" s="109" t="n">
        <f aca="false">U604/$P604</f>
        <v>0</v>
      </c>
      <c r="W604" s="103" t="n">
        <v>2154.05</v>
      </c>
      <c r="X604" s="110" t="n">
        <f aca="false">W604/$P604</f>
        <v>0.00718016666666667</v>
      </c>
      <c r="Y604" s="103"/>
      <c r="Z604" s="107"/>
    </row>
    <row r="605" customFormat="false" ht="13.9" hidden="false" customHeight="true" outlineLevel="0" collapsed="false">
      <c r="D605" s="123" t="s">
        <v>322</v>
      </c>
      <c r="E605" s="101" t="s">
        <v>323</v>
      </c>
      <c r="F605" s="102"/>
      <c r="G605" s="103" t="n">
        <v>600</v>
      </c>
      <c r="H605" s="103" t="n">
        <v>76476.28</v>
      </c>
      <c r="I605" s="103"/>
      <c r="J605" s="103"/>
      <c r="K605" s="103" t="n">
        <v>0</v>
      </c>
      <c r="L605" s="103"/>
      <c r="M605" s="103"/>
      <c r="N605" s="103"/>
      <c r="O605" s="103"/>
      <c r="P605" s="103" t="n">
        <f aca="false">K605+SUM(L605:O605)</f>
        <v>0</v>
      </c>
      <c r="Q605" s="103"/>
      <c r="R605" s="109" t="e">
        <f aca="false">Q605/$P605</f>
        <v>#DIV/0!</v>
      </c>
      <c r="S605" s="103"/>
      <c r="T605" s="109" t="e">
        <f aca="false">S605/$P605</f>
        <v>#DIV/0!</v>
      </c>
      <c r="U605" s="103"/>
      <c r="V605" s="109" t="e">
        <f aca="false">U605/$P605</f>
        <v>#DIV/0!</v>
      </c>
      <c r="W605" s="103"/>
      <c r="X605" s="110" t="e">
        <f aca="false">W605/$P605</f>
        <v>#DIV/0!</v>
      </c>
      <c r="Y605" s="103"/>
      <c r="Z605" s="107"/>
    </row>
    <row r="606" customFormat="false" ht="13.9" hidden="false" customHeight="true" outlineLevel="0" collapsed="false">
      <c r="D606" s="30" t="s">
        <v>324</v>
      </c>
      <c r="E606" s="121" t="s">
        <v>325</v>
      </c>
      <c r="F606" s="102"/>
      <c r="G606" s="102"/>
      <c r="H606" s="103" t="n">
        <v>3178.2</v>
      </c>
      <c r="I606" s="103" t="n">
        <v>5000</v>
      </c>
      <c r="J606" s="103" t="n">
        <v>1500</v>
      </c>
      <c r="K606" s="103" t="n">
        <v>10000</v>
      </c>
      <c r="L606" s="103"/>
      <c r="M606" s="103"/>
      <c r="N606" s="103"/>
      <c r="O606" s="103"/>
      <c r="P606" s="103" t="n">
        <f aca="false">K606+SUM(L606:O606)</f>
        <v>10000</v>
      </c>
      <c r="Q606" s="103" t="n">
        <v>0</v>
      </c>
      <c r="R606" s="109" t="n">
        <f aca="false">Q606/$P606</f>
        <v>0</v>
      </c>
      <c r="S606" s="103" t="n">
        <v>0</v>
      </c>
      <c r="T606" s="109" t="n">
        <f aca="false">S606/$P606</f>
        <v>0</v>
      </c>
      <c r="U606" s="103" t="n">
        <v>0</v>
      </c>
      <c r="V606" s="109" t="n">
        <f aca="false">U606/$P606</f>
        <v>0</v>
      </c>
      <c r="W606" s="103" t="n">
        <v>0</v>
      </c>
      <c r="X606" s="110" t="n">
        <f aca="false">W606/$P606</f>
        <v>0</v>
      </c>
      <c r="Y606" s="102"/>
      <c r="Z606" s="124"/>
    </row>
    <row r="608" customFormat="false" ht="13.9" hidden="false" customHeight="true" outlineLevel="0" collapsed="false">
      <c r="D608" s="28" t="s">
        <v>326</v>
      </c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9"/>
      <c r="S608" s="28"/>
      <c r="T608" s="29"/>
      <c r="U608" s="28"/>
      <c r="V608" s="29"/>
      <c r="W608" s="28"/>
      <c r="X608" s="29"/>
      <c r="Y608" s="28"/>
      <c r="Z608" s="28"/>
    </row>
    <row r="609" customFormat="false" ht="13.9" hidden="false" customHeight="true" outlineLevel="0" collapsed="false">
      <c r="D609" s="119"/>
      <c r="E609" s="7"/>
      <c r="F609" s="7"/>
      <c r="G609" s="7" t="s">
        <v>1</v>
      </c>
      <c r="H609" s="7" t="s">
        <v>2</v>
      </c>
      <c r="I609" s="7" t="s">
        <v>3</v>
      </c>
      <c r="J609" s="7" t="s">
        <v>4</v>
      </c>
      <c r="K609" s="7" t="s">
        <v>5</v>
      </c>
      <c r="L609" s="7" t="s">
        <v>6</v>
      </c>
      <c r="M609" s="7" t="s">
        <v>7</v>
      </c>
      <c r="N609" s="7" t="s">
        <v>8</v>
      </c>
      <c r="O609" s="7" t="s">
        <v>9</v>
      </c>
      <c r="P609" s="7" t="s">
        <v>10</v>
      </c>
      <c r="Q609" s="7" t="s">
        <v>11</v>
      </c>
      <c r="R609" s="8" t="s">
        <v>12</v>
      </c>
      <c r="S609" s="7" t="s">
        <v>13</v>
      </c>
      <c r="T609" s="8" t="s">
        <v>14</v>
      </c>
      <c r="U609" s="7" t="s">
        <v>15</v>
      </c>
      <c r="V609" s="8" t="s">
        <v>16</v>
      </c>
      <c r="W609" s="7" t="s">
        <v>17</v>
      </c>
      <c r="X609" s="8" t="s">
        <v>18</v>
      </c>
      <c r="Y609" s="7" t="s">
        <v>19</v>
      </c>
      <c r="Z609" s="7" t="s">
        <v>20</v>
      </c>
    </row>
    <row r="610" customFormat="false" ht="13.9" hidden="false" customHeight="true" outlineLevel="0" collapsed="false">
      <c r="A610" s="1" t="n">
        <v>8</v>
      </c>
      <c r="B610" s="1" t="n">
        <v>6</v>
      </c>
      <c r="D610" s="120" t="s">
        <v>21</v>
      </c>
      <c r="E610" s="10" t="n">
        <v>111</v>
      </c>
      <c r="F610" s="10" t="s">
        <v>134</v>
      </c>
      <c r="G610" s="11" t="n">
        <f aca="false">SUM(G614:G614)</f>
        <v>0</v>
      </c>
      <c r="H610" s="11" t="n">
        <v>0</v>
      </c>
      <c r="I610" s="11" t="n">
        <v>0</v>
      </c>
      <c r="J610" s="11" t="n">
        <v>0</v>
      </c>
      <c r="K610" s="11" t="n">
        <v>0</v>
      </c>
      <c r="L610" s="11" t="n">
        <v>0</v>
      </c>
      <c r="M610" s="11" t="n">
        <v>0</v>
      </c>
      <c r="N610" s="11" t="n">
        <v>0</v>
      </c>
      <c r="O610" s="11" t="n">
        <v>0</v>
      </c>
      <c r="P610" s="11" t="n">
        <v>0</v>
      </c>
      <c r="Q610" s="11" t="n">
        <v>0</v>
      </c>
      <c r="R610" s="12" t="e">
        <f aca="false">Q610/$P610</f>
        <v>#DIV/0!</v>
      </c>
      <c r="S610" s="11" t="n">
        <v>0</v>
      </c>
      <c r="T610" s="12" t="e">
        <f aca="false">S610/$P610</f>
        <v>#DIV/0!</v>
      </c>
      <c r="U610" s="11" t="n">
        <v>0</v>
      </c>
      <c r="V610" s="12" t="e">
        <f aca="false">U610/$P610</f>
        <v>#DIV/0!</v>
      </c>
      <c r="W610" s="11" t="n">
        <v>0</v>
      </c>
      <c r="X610" s="12" t="e">
        <f aca="false">W610/$P610</f>
        <v>#DIV/0!</v>
      </c>
      <c r="Y610" s="11" t="n">
        <f aca="false">SUM(Y614:Y614)</f>
        <v>0</v>
      </c>
      <c r="Z610" s="11" t="n">
        <f aca="false">SUM(Z614:Z614)</f>
        <v>0</v>
      </c>
    </row>
    <row r="611" customFormat="false" ht="13.9" hidden="false" customHeight="true" outlineLevel="0" collapsed="false">
      <c r="A611" s="1" t="n">
        <v>8</v>
      </c>
      <c r="B611" s="1" t="n">
        <v>6</v>
      </c>
      <c r="D611" s="120" t="s">
        <v>21</v>
      </c>
      <c r="E611" s="10" t="n">
        <v>41</v>
      </c>
      <c r="F611" s="10" t="s">
        <v>23</v>
      </c>
      <c r="G611" s="11" t="n">
        <f aca="false">SUM(G615:G615)</f>
        <v>4950</v>
      </c>
      <c r="H611" s="11" t="n">
        <f aca="false">SUM(H615:H616)</f>
        <v>88047.66</v>
      </c>
      <c r="I611" s="11" t="n">
        <f aca="false">SUM(I615:I619)-I610</f>
        <v>147300</v>
      </c>
      <c r="J611" s="11" t="n">
        <f aca="false">SUM(J615:J619)-J610</f>
        <v>86834</v>
      </c>
      <c r="K611" s="11" t="n">
        <f aca="false">SUM(K615:K619)-K610</f>
        <v>105000</v>
      </c>
      <c r="L611" s="11" t="n">
        <f aca="false">SUM(L615:L619)-L610</f>
        <v>0</v>
      </c>
      <c r="M611" s="11" t="n">
        <f aca="false">SUM(M615:M619)-M610</f>
        <v>0</v>
      </c>
      <c r="N611" s="11" t="n">
        <f aca="false">SUM(N615:N619)-N610</f>
        <v>-1658</v>
      </c>
      <c r="O611" s="11" t="n">
        <f aca="false">SUM(O615:O619)-O610</f>
        <v>4080</v>
      </c>
      <c r="P611" s="11" t="n">
        <f aca="false">SUM(P615:P619)-P610</f>
        <v>107422</v>
      </c>
      <c r="Q611" s="11" t="n">
        <f aca="false">SUM(Q615:Q619)-Q610</f>
        <v>3619.31</v>
      </c>
      <c r="R611" s="12" t="n">
        <f aca="false">Q611/$P611</f>
        <v>0.0336924466124258</v>
      </c>
      <c r="S611" s="11" t="n">
        <f aca="false">SUM(S615:S619)-S610</f>
        <v>3898.25</v>
      </c>
      <c r="T611" s="12" t="n">
        <f aca="false">S611/$P611</f>
        <v>0.0362891214090224</v>
      </c>
      <c r="U611" s="11" t="n">
        <f aca="false">SUM(U615:U619)-U610</f>
        <v>7772.03</v>
      </c>
      <c r="V611" s="12" t="n">
        <f aca="false">U611/$P611</f>
        <v>0.0723504496285677</v>
      </c>
      <c r="W611" s="11" t="n">
        <f aca="false">SUM(W615:W619)-W610</f>
        <v>13652.03</v>
      </c>
      <c r="X611" s="12" t="n">
        <f aca="false">W611/$P611</f>
        <v>0.127087840479604</v>
      </c>
      <c r="Y611" s="11" t="n">
        <f aca="false">SUM(Y615:Y619)-Y610</f>
        <v>0</v>
      </c>
      <c r="Z611" s="11" t="n">
        <f aca="false">SUM(Z615:Z619)-Z610</f>
        <v>0</v>
      </c>
    </row>
    <row r="612" customFormat="false" ht="13.9" hidden="false" customHeight="true" outlineLevel="0" collapsed="false">
      <c r="A612" s="1" t="n">
        <v>8</v>
      </c>
      <c r="B612" s="1" t="n">
        <v>6</v>
      </c>
      <c r="D612" s="17"/>
      <c r="E612" s="18"/>
      <c r="F612" s="13" t="s">
        <v>124</v>
      </c>
      <c r="G612" s="14" t="n">
        <f aca="false">SUM(G610:G611)</f>
        <v>4950</v>
      </c>
      <c r="H612" s="14" t="n">
        <f aca="false">SUM(H610:H611)</f>
        <v>88047.66</v>
      </c>
      <c r="I612" s="14" t="n">
        <f aca="false">SUM(I610:I611)</f>
        <v>147300</v>
      </c>
      <c r="J612" s="14" t="n">
        <f aca="false">SUM(J610:J611)</f>
        <v>86834</v>
      </c>
      <c r="K612" s="14" t="n">
        <f aca="false">SUM(K610:K611)</f>
        <v>105000</v>
      </c>
      <c r="L612" s="14" t="n">
        <f aca="false">SUM(L610:L611)</f>
        <v>0</v>
      </c>
      <c r="M612" s="14" t="n">
        <f aca="false">SUM(M610:M611)</f>
        <v>0</v>
      </c>
      <c r="N612" s="14" t="n">
        <f aca="false">SUM(N610:N611)</f>
        <v>-1658</v>
      </c>
      <c r="O612" s="14" t="n">
        <f aca="false">SUM(O610:O611)</f>
        <v>4080</v>
      </c>
      <c r="P612" s="14" t="n">
        <f aca="false">SUM(P610:P611)</f>
        <v>107422</v>
      </c>
      <c r="Q612" s="14" t="n">
        <f aca="false">SUM(Q610:Q611)</f>
        <v>3619.31</v>
      </c>
      <c r="R612" s="15" t="n">
        <f aca="false">Q612/$P612</f>
        <v>0.0336924466124258</v>
      </c>
      <c r="S612" s="14" t="n">
        <f aca="false">SUM(S610:S611)</f>
        <v>3898.25</v>
      </c>
      <c r="T612" s="15" t="n">
        <f aca="false">S612/$P612</f>
        <v>0.0362891214090224</v>
      </c>
      <c r="U612" s="14" t="n">
        <f aca="false">SUM(U610:U611)</f>
        <v>7772.03</v>
      </c>
      <c r="V612" s="15" t="n">
        <f aca="false">U612/$P612</f>
        <v>0.0723504496285677</v>
      </c>
      <c r="W612" s="14" t="n">
        <f aca="false">SUM(W610:W611)</f>
        <v>13652.03</v>
      </c>
      <c r="X612" s="15" t="n">
        <f aca="false">W612/$P612</f>
        <v>0.127087840479604</v>
      </c>
      <c r="Y612" s="14" t="n">
        <f aca="false">SUM(Y610:Y611)</f>
        <v>0</v>
      </c>
      <c r="Z612" s="14" t="n">
        <f aca="false">SUM(Z610:Z611)</f>
        <v>0</v>
      </c>
    </row>
    <row r="614" customFormat="false" ht="13.9" hidden="false" customHeight="true" outlineLevel="0" collapsed="false">
      <c r="D614" s="1" t="s">
        <v>57</v>
      </c>
    </row>
    <row r="615" customFormat="false" ht="13.9" hidden="false" customHeight="true" outlineLevel="0" collapsed="false">
      <c r="D615" s="30" t="s">
        <v>327</v>
      </c>
      <c r="E615" s="39" t="s">
        <v>328</v>
      </c>
      <c r="F615" s="17"/>
      <c r="G615" s="40" t="n">
        <v>4950</v>
      </c>
      <c r="H615" s="40"/>
      <c r="I615" s="40"/>
      <c r="J615" s="40" t="n">
        <v>1400</v>
      </c>
      <c r="K615" s="40" t="n">
        <v>0</v>
      </c>
      <c r="L615" s="40" t="n">
        <v>110</v>
      </c>
      <c r="M615" s="40"/>
      <c r="N615" s="40"/>
      <c r="O615" s="40"/>
      <c r="P615" s="40" t="n">
        <f aca="false">K615+SUM(L615:O615)</f>
        <v>110</v>
      </c>
      <c r="Q615" s="40" t="n">
        <v>110</v>
      </c>
      <c r="R615" s="41" t="n">
        <f aca="false">Q615/$P615</f>
        <v>1</v>
      </c>
      <c r="S615" s="40" t="n">
        <v>110</v>
      </c>
      <c r="T615" s="41" t="n">
        <f aca="false">S615/$P615</f>
        <v>1</v>
      </c>
      <c r="U615" s="40" t="n">
        <v>110</v>
      </c>
      <c r="V615" s="41" t="n">
        <f aca="false">U615/$P615</f>
        <v>1</v>
      </c>
      <c r="W615" s="40" t="n">
        <v>110</v>
      </c>
      <c r="X615" s="42" t="n">
        <f aca="false">W615/$P615</f>
        <v>1</v>
      </c>
      <c r="Y615" s="40"/>
      <c r="Z615" s="43"/>
    </row>
    <row r="616" customFormat="false" ht="13.9" hidden="false" customHeight="true" outlineLevel="0" collapsed="false">
      <c r="D616" s="30"/>
      <c r="E616" s="52" t="s">
        <v>329</v>
      </c>
      <c r="F616" s="86"/>
      <c r="G616" s="54"/>
      <c r="H616" s="54" t="n">
        <v>88047.66</v>
      </c>
      <c r="I616" s="54" t="n">
        <f aca="false">17300+100000</f>
        <v>117300</v>
      </c>
      <c r="J616" s="54" t="n">
        <v>64756</v>
      </c>
      <c r="K616" s="54" t="n">
        <v>100000</v>
      </c>
      <c r="L616" s="54" t="n">
        <v>-110</v>
      </c>
      <c r="M616" s="54"/>
      <c r="N616" s="54"/>
      <c r="O616" s="54" t="n">
        <v>-1800</v>
      </c>
      <c r="P616" s="54" t="n">
        <f aca="false">K616+SUM(L616:O616)</f>
        <v>98090</v>
      </c>
      <c r="Q616" s="54" t="n">
        <v>167.71</v>
      </c>
      <c r="R616" s="55" t="n">
        <f aca="false">Q616/$P616</f>
        <v>0.00170975634621266</v>
      </c>
      <c r="S616" s="54" t="n">
        <v>446.65</v>
      </c>
      <c r="T616" s="55" t="n">
        <f aca="false">S616/$P616</f>
        <v>0.00455347130186563</v>
      </c>
      <c r="U616" s="54" t="n">
        <v>4320.43</v>
      </c>
      <c r="V616" s="55" t="n">
        <f aca="false">U616/$P616</f>
        <v>0.0440455703945356</v>
      </c>
      <c r="W616" s="54" t="n">
        <v>4320.43</v>
      </c>
      <c r="X616" s="56" t="n">
        <f aca="false">W616/$P616</f>
        <v>0.0440455703945356</v>
      </c>
      <c r="Y616" s="54"/>
      <c r="Z616" s="57"/>
    </row>
    <row r="617" customFormat="false" ht="13.9" hidden="false" customHeight="true" outlineLevel="0" collapsed="false">
      <c r="D617" s="125" t="s">
        <v>330</v>
      </c>
      <c r="E617" s="44" t="s">
        <v>331</v>
      </c>
      <c r="F617" s="84"/>
      <c r="G617" s="70"/>
      <c r="H617" s="70"/>
      <c r="I617" s="70"/>
      <c r="J617" s="70"/>
      <c r="K617" s="70" t="n">
        <v>0</v>
      </c>
      <c r="L617" s="70" t="n">
        <v>1212</v>
      </c>
      <c r="M617" s="70"/>
      <c r="N617" s="70"/>
      <c r="O617" s="70" t="n">
        <v>1800</v>
      </c>
      <c r="P617" s="40" t="n">
        <f aca="false">K617+SUM(L617:O617)</f>
        <v>3012</v>
      </c>
      <c r="Q617" s="70" t="n">
        <v>1212</v>
      </c>
      <c r="R617" s="41" t="n">
        <f aca="false">Q617/$P617</f>
        <v>0.402390438247012</v>
      </c>
      <c r="S617" s="70" t="n">
        <v>1212</v>
      </c>
      <c r="T617" s="41" t="n">
        <f aca="false">S617/$P617</f>
        <v>0.402390438247012</v>
      </c>
      <c r="U617" s="70" t="n">
        <v>1212</v>
      </c>
      <c r="V617" s="41" t="n">
        <f aca="false">U617/$P617</f>
        <v>0.402390438247012</v>
      </c>
      <c r="W617" s="70" t="n">
        <v>3012</v>
      </c>
      <c r="X617" s="42" t="n">
        <f aca="false">W617/$P617</f>
        <v>1</v>
      </c>
      <c r="Y617" s="70"/>
      <c r="Z617" s="48"/>
    </row>
    <row r="618" customFormat="false" ht="13.9" hidden="false" customHeight="true" outlineLevel="0" collapsed="false">
      <c r="D618" s="125"/>
      <c r="E618" s="44" t="s">
        <v>332</v>
      </c>
      <c r="F618" s="84"/>
      <c r="G618" s="70"/>
      <c r="H618" s="70"/>
      <c r="I618" s="70" t="n">
        <v>30000</v>
      </c>
      <c r="J618" s="70" t="n">
        <v>20678</v>
      </c>
      <c r="K618" s="70" t="n">
        <v>5000</v>
      </c>
      <c r="L618" s="70" t="n">
        <v>-1212</v>
      </c>
      <c r="M618" s="70"/>
      <c r="N618" s="70" t="n">
        <v>-1658</v>
      </c>
      <c r="O618" s="70"/>
      <c r="P618" s="70" t="n">
        <f aca="false">K618+SUM(L618:O618)</f>
        <v>2130</v>
      </c>
      <c r="Q618" s="70" t="n">
        <v>2129.6</v>
      </c>
      <c r="R618" s="72" t="n">
        <f aca="false">Q618/$P618</f>
        <v>0.99981220657277</v>
      </c>
      <c r="S618" s="70" t="n">
        <v>2129.6</v>
      </c>
      <c r="T618" s="72" t="n">
        <f aca="false">S618/$P618</f>
        <v>0.99981220657277</v>
      </c>
      <c r="U618" s="70" t="n">
        <v>2129.6</v>
      </c>
      <c r="V618" s="72" t="n">
        <f aca="false">U618/$P618</f>
        <v>0.99981220657277</v>
      </c>
      <c r="W618" s="70" t="n">
        <v>2129.6</v>
      </c>
      <c r="X618" s="47" t="n">
        <f aca="false">W618/$P618</f>
        <v>0.99981220657277</v>
      </c>
      <c r="Y618" s="70"/>
      <c r="Z618" s="48"/>
    </row>
    <row r="619" customFormat="false" ht="13.9" hidden="false" customHeight="true" outlineLevel="0" collapsed="false">
      <c r="D619" s="125"/>
      <c r="E619" s="52" t="s">
        <v>333</v>
      </c>
      <c r="F619" s="86"/>
      <c r="G619" s="54"/>
      <c r="H619" s="54"/>
      <c r="I619" s="54"/>
      <c r="J619" s="54"/>
      <c r="K619" s="54" t="n">
        <v>0</v>
      </c>
      <c r="L619" s="54"/>
      <c r="M619" s="54"/>
      <c r="N619" s="54"/>
      <c r="O619" s="54" t="n">
        <v>4080</v>
      </c>
      <c r="P619" s="54" t="n">
        <f aca="false">K619+SUM(L619:O619)</f>
        <v>4080</v>
      </c>
      <c r="Q619" s="54" t="n">
        <v>0</v>
      </c>
      <c r="R619" s="55" t="n">
        <f aca="false">Q619/$P619</f>
        <v>0</v>
      </c>
      <c r="S619" s="54" t="n">
        <v>0</v>
      </c>
      <c r="T619" s="55" t="n">
        <f aca="false">S619/$P619</f>
        <v>0</v>
      </c>
      <c r="U619" s="54" t="n">
        <v>0</v>
      </c>
      <c r="V619" s="55" t="n">
        <f aca="false">U619/$P619</f>
        <v>0</v>
      </c>
      <c r="W619" s="54" t="n">
        <v>4080</v>
      </c>
      <c r="X619" s="56" t="n">
        <f aca="false">W619/$P619</f>
        <v>1</v>
      </c>
      <c r="Y619" s="54"/>
      <c r="Z619" s="57"/>
    </row>
    <row r="621" customFormat="false" ht="13.9" hidden="false" customHeight="true" outlineLevel="0" collapsed="false">
      <c r="D621" s="28" t="s">
        <v>334</v>
      </c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9"/>
      <c r="S621" s="28"/>
      <c r="T621" s="29"/>
      <c r="U621" s="28"/>
      <c r="V621" s="29"/>
      <c r="W621" s="28"/>
      <c r="X621" s="29"/>
      <c r="Y621" s="28"/>
      <c r="Z621" s="28"/>
    </row>
    <row r="622" customFormat="false" ht="13.9" hidden="false" customHeight="true" outlineLevel="0" collapsed="false">
      <c r="D622" s="119"/>
      <c r="E622" s="7"/>
      <c r="F622" s="7"/>
      <c r="G622" s="7" t="s">
        <v>1</v>
      </c>
      <c r="H622" s="7" t="s">
        <v>2</v>
      </c>
      <c r="I622" s="7" t="s">
        <v>3</v>
      </c>
      <c r="J622" s="7" t="s">
        <v>4</v>
      </c>
      <c r="K622" s="7" t="s">
        <v>5</v>
      </c>
      <c r="L622" s="7" t="s">
        <v>6</v>
      </c>
      <c r="M622" s="7" t="s">
        <v>7</v>
      </c>
      <c r="N622" s="7" t="s">
        <v>8</v>
      </c>
      <c r="O622" s="7" t="s">
        <v>9</v>
      </c>
      <c r="P622" s="7" t="s">
        <v>10</v>
      </c>
      <c r="Q622" s="7" t="s">
        <v>11</v>
      </c>
      <c r="R622" s="8" t="s">
        <v>12</v>
      </c>
      <c r="S622" s="7" t="s">
        <v>13</v>
      </c>
      <c r="T622" s="8" t="s">
        <v>14</v>
      </c>
      <c r="U622" s="7" t="s">
        <v>15</v>
      </c>
      <c r="V622" s="8" t="s">
        <v>16</v>
      </c>
      <c r="W622" s="7" t="s">
        <v>17</v>
      </c>
      <c r="X622" s="8" t="s">
        <v>18</v>
      </c>
      <c r="Y622" s="7" t="s">
        <v>19</v>
      </c>
      <c r="Z622" s="7" t="s">
        <v>20</v>
      </c>
    </row>
    <row r="623" customFormat="false" ht="13.9" hidden="false" customHeight="true" outlineLevel="0" collapsed="false">
      <c r="A623" s="1" t="n">
        <v>8</v>
      </c>
      <c r="B623" s="1" t="n">
        <v>7</v>
      </c>
      <c r="D623" s="30" t="s">
        <v>21</v>
      </c>
      <c r="E623" s="10" t="n">
        <v>111</v>
      </c>
      <c r="F623" s="10" t="s">
        <v>47</v>
      </c>
      <c r="G623" s="11" t="n">
        <v>0</v>
      </c>
      <c r="H623" s="11" t="n">
        <v>0</v>
      </c>
      <c r="I623" s="11" t="n">
        <v>0</v>
      </c>
      <c r="J623" s="11" t="n">
        <v>0</v>
      </c>
      <c r="K623" s="11" t="n">
        <v>0</v>
      </c>
      <c r="L623" s="11" t="n">
        <v>0</v>
      </c>
      <c r="M623" s="11" t="n">
        <v>0</v>
      </c>
      <c r="N623" s="11" t="n">
        <v>0</v>
      </c>
      <c r="O623" s="11" t="n">
        <v>0</v>
      </c>
      <c r="P623" s="11" t="n">
        <v>0</v>
      </c>
      <c r="Q623" s="11" t="n">
        <v>0</v>
      </c>
      <c r="R623" s="12" t="e">
        <f aca="false">Q623/$P623</f>
        <v>#DIV/0!</v>
      </c>
      <c r="S623" s="11" t="n">
        <v>0</v>
      </c>
      <c r="T623" s="12" t="e">
        <f aca="false">S623/$P623</f>
        <v>#DIV/0!</v>
      </c>
      <c r="U623" s="11" t="n">
        <v>0</v>
      </c>
      <c r="V623" s="12" t="e">
        <f aca="false">U623/$P623</f>
        <v>#DIV/0!</v>
      </c>
      <c r="W623" s="11" t="n">
        <v>0</v>
      </c>
      <c r="X623" s="12" t="e">
        <f aca="false">W623/$P623</f>
        <v>#DIV/0!</v>
      </c>
      <c r="Y623" s="11" t="n">
        <v>0</v>
      </c>
      <c r="Z623" s="11" t="n">
        <v>0</v>
      </c>
    </row>
    <row r="624" customFormat="false" ht="13.9" hidden="false" customHeight="true" outlineLevel="0" collapsed="false">
      <c r="A624" s="1" t="n">
        <v>8</v>
      </c>
      <c r="B624" s="1" t="n">
        <v>7</v>
      </c>
      <c r="D624" s="30"/>
      <c r="E624" s="10" t="n">
        <v>41</v>
      </c>
      <c r="F624" s="10" t="s">
        <v>23</v>
      </c>
      <c r="G624" s="11" t="n">
        <f aca="false">SUM(G628:G628)</f>
        <v>0</v>
      </c>
      <c r="H624" s="11" t="n">
        <f aca="false">SUM(H628:H628)</f>
        <v>0</v>
      </c>
      <c r="I624" s="11" t="n">
        <f aca="false">SUM(I628:I628)-I623</f>
        <v>5000</v>
      </c>
      <c r="J624" s="11" t="n">
        <f aca="false">SUM(J628:J628)</f>
        <v>0</v>
      </c>
      <c r="K624" s="11" t="n">
        <f aca="false">SUM(K628:K628)-K623</f>
        <v>0</v>
      </c>
      <c r="L624" s="11" t="n">
        <f aca="false">SUM(L628:L628)-L623</f>
        <v>0</v>
      </c>
      <c r="M624" s="11" t="n">
        <f aca="false">SUM(M628:M628)-M623</f>
        <v>0</v>
      </c>
      <c r="N624" s="11" t="n">
        <f aca="false">SUM(N628:N628)-N623</f>
        <v>40000</v>
      </c>
      <c r="O624" s="11" t="n">
        <f aca="false">SUM(O628:O628)-O623</f>
        <v>2000</v>
      </c>
      <c r="P624" s="11" t="n">
        <f aca="false">SUM(P628:P628)-P623</f>
        <v>42000</v>
      </c>
      <c r="Q624" s="11" t="n">
        <f aca="false">SUM(Q628:Q628)-Q623</f>
        <v>0</v>
      </c>
      <c r="R624" s="12" t="n">
        <f aca="false">Q624/$P624</f>
        <v>0</v>
      </c>
      <c r="S624" s="11" t="n">
        <f aca="false">SUM(S628:S628)-S623</f>
        <v>0</v>
      </c>
      <c r="T624" s="12" t="n">
        <f aca="false">S624/$P624</f>
        <v>0</v>
      </c>
      <c r="U624" s="11" t="n">
        <f aca="false">SUM(U628:U628)-U623</f>
        <v>0</v>
      </c>
      <c r="V624" s="12" t="n">
        <f aca="false">U624/$P624</f>
        <v>0</v>
      </c>
      <c r="W624" s="11" t="n">
        <f aca="false">SUM(W628:W628)-W623</f>
        <v>41814.72</v>
      </c>
      <c r="X624" s="12" t="n">
        <f aca="false">W624/$P624</f>
        <v>0.995588571428571</v>
      </c>
      <c r="Y624" s="11" t="n">
        <f aca="false">SUM(Y628:Y628)</f>
        <v>0</v>
      </c>
      <c r="Z624" s="11" t="n">
        <f aca="false">SUM(Z628:Z628)</f>
        <v>0</v>
      </c>
    </row>
    <row r="625" customFormat="false" ht="13.9" hidden="false" customHeight="true" outlineLevel="0" collapsed="false">
      <c r="A625" s="1" t="n">
        <v>8</v>
      </c>
      <c r="B625" s="1" t="n">
        <v>7</v>
      </c>
      <c r="D625" s="17"/>
      <c r="E625" s="18"/>
      <c r="F625" s="13" t="s">
        <v>124</v>
      </c>
      <c r="G625" s="14" t="n">
        <f aca="false">SUM(G623:G624)</f>
        <v>0</v>
      </c>
      <c r="H625" s="14" t="n">
        <f aca="false">SUM(H623:H624)</f>
        <v>0</v>
      </c>
      <c r="I625" s="14" t="n">
        <f aca="false">SUM(I623:I624)</f>
        <v>5000</v>
      </c>
      <c r="J625" s="14" t="n">
        <f aca="false">SUM(J623:J624)</f>
        <v>0</v>
      </c>
      <c r="K625" s="14" t="n">
        <f aca="false">SUM(K623:K624)</f>
        <v>0</v>
      </c>
      <c r="L625" s="14" t="n">
        <f aca="false">SUM(L623:L624)</f>
        <v>0</v>
      </c>
      <c r="M625" s="14" t="n">
        <f aca="false">SUM(M623:M624)</f>
        <v>0</v>
      </c>
      <c r="N625" s="14" t="n">
        <f aca="false">SUM(N623:N624)</f>
        <v>40000</v>
      </c>
      <c r="O625" s="14" t="n">
        <f aca="false">SUM(O623:O624)</f>
        <v>2000</v>
      </c>
      <c r="P625" s="14" t="n">
        <f aca="false">SUM(P623:P624)</f>
        <v>42000</v>
      </c>
      <c r="Q625" s="14" t="n">
        <f aca="false">SUM(Q623:Q624)</f>
        <v>0</v>
      </c>
      <c r="R625" s="15" t="n">
        <f aca="false">Q625/$P625</f>
        <v>0</v>
      </c>
      <c r="S625" s="14" t="n">
        <f aca="false">SUM(S623:S624)</f>
        <v>0</v>
      </c>
      <c r="T625" s="15" t="n">
        <f aca="false">S625/$P625</f>
        <v>0</v>
      </c>
      <c r="U625" s="14" t="n">
        <f aca="false">SUM(U623:U624)</f>
        <v>0</v>
      </c>
      <c r="V625" s="15" t="n">
        <f aca="false">U625/$P625</f>
        <v>0</v>
      </c>
      <c r="W625" s="14" t="n">
        <f aca="false">SUM(W623:W624)</f>
        <v>41814.72</v>
      </c>
      <c r="X625" s="15" t="n">
        <f aca="false">W625/$P625</f>
        <v>0.995588571428571</v>
      </c>
      <c r="Y625" s="14" t="n">
        <f aca="false">SUM(Y623:Y624)</f>
        <v>0</v>
      </c>
      <c r="Z625" s="14" t="n">
        <f aca="false">SUM(Z623:Z624)</f>
        <v>0</v>
      </c>
    </row>
    <row r="627" customFormat="false" ht="13.9" hidden="false" customHeight="true" outlineLevel="0" collapsed="false">
      <c r="D627" s="1" t="s">
        <v>57</v>
      </c>
    </row>
    <row r="628" customFormat="false" ht="13.9" hidden="false" customHeight="true" outlineLevel="0" collapsed="false">
      <c r="D628" s="30" t="s">
        <v>335</v>
      </c>
      <c r="E628" s="101" t="s">
        <v>336</v>
      </c>
      <c r="F628" s="102"/>
      <c r="G628" s="103"/>
      <c r="H628" s="103"/>
      <c r="I628" s="104" t="n">
        <v>5000</v>
      </c>
      <c r="J628" s="103" t="n">
        <v>0</v>
      </c>
      <c r="K628" s="104" t="n">
        <v>0</v>
      </c>
      <c r="L628" s="104"/>
      <c r="M628" s="104"/>
      <c r="N628" s="104" t="n">
        <v>40000</v>
      </c>
      <c r="O628" s="104" t="n">
        <v>2000</v>
      </c>
      <c r="P628" s="104" t="n">
        <f aca="false">K628+SUM(L628:O628)</f>
        <v>42000</v>
      </c>
      <c r="Q628" s="104" t="n">
        <v>0</v>
      </c>
      <c r="R628" s="105" t="n">
        <f aca="false">Q628/$P628</f>
        <v>0</v>
      </c>
      <c r="S628" s="104" t="n">
        <v>0</v>
      </c>
      <c r="T628" s="105" t="n">
        <f aca="false">S628/$P628</f>
        <v>0</v>
      </c>
      <c r="U628" s="104" t="n">
        <v>0</v>
      </c>
      <c r="V628" s="105" t="n">
        <f aca="false">U628/$P628</f>
        <v>0</v>
      </c>
      <c r="W628" s="104" t="n">
        <v>41814.72</v>
      </c>
      <c r="X628" s="106" t="n">
        <f aca="false">W628/$P628</f>
        <v>0.995588571428571</v>
      </c>
      <c r="Y628" s="103"/>
      <c r="Z628" s="107"/>
      <c r="AB628" s="126"/>
    </row>
    <row r="630" customFormat="false" ht="13.9" hidden="false" customHeight="true" outlineLevel="0" collapsed="false">
      <c r="D630" s="28" t="s">
        <v>337</v>
      </c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9"/>
      <c r="S630" s="28"/>
      <c r="T630" s="29"/>
      <c r="U630" s="28"/>
      <c r="V630" s="29"/>
      <c r="W630" s="28"/>
      <c r="X630" s="29"/>
      <c r="Y630" s="28"/>
      <c r="Z630" s="28"/>
    </row>
    <row r="631" customFormat="false" ht="13.9" hidden="false" customHeight="true" outlineLevel="0" collapsed="false">
      <c r="D631" s="119"/>
      <c r="E631" s="7"/>
      <c r="F631" s="7"/>
      <c r="G631" s="7" t="s">
        <v>1</v>
      </c>
      <c r="H631" s="7" t="s">
        <v>2</v>
      </c>
      <c r="I631" s="7" t="s">
        <v>3</v>
      </c>
      <c r="J631" s="7" t="s">
        <v>4</v>
      </c>
      <c r="K631" s="7" t="s">
        <v>5</v>
      </c>
      <c r="L631" s="7" t="s">
        <v>6</v>
      </c>
      <c r="M631" s="7" t="s">
        <v>7</v>
      </c>
      <c r="N631" s="7" t="s">
        <v>8</v>
      </c>
      <c r="O631" s="7" t="s">
        <v>9</v>
      </c>
      <c r="P631" s="7" t="s">
        <v>10</v>
      </c>
      <c r="Q631" s="7" t="s">
        <v>11</v>
      </c>
      <c r="R631" s="8" t="s">
        <v>12</v>
      </c>
      <c r="S631" s="7" t="s">
        <v>13</v>
      </c>
      <c r="T631" s="8" t="s">
        <v>14</v>
      </c>
      <c r="U631" s="7" t="s">
        <v>15</v>
      </c>
      <c r="V631" s="8" t="s">
        <v>16</v>
      </c>
      <c r="W631" s="7" t="s">
        <v>17</v>
      </c>
      <c r="X631" s="8" t="s">
        <v>18</v>
      </c>
      <c r="Y631" s="7" t="s">
        <v>19</v>
      </c>
      <c r="Z631" s="7" t="s">
        <v>20</v>
      </c>
    </row>
    <row r="632" customFormat="false" ht="13.9" hidden="false" customHeight="true" outlineLevel="0" collapsed="false">
      <c r="A632" s="1" t="n">
        <v>8</v>
      </c>
      <c r="B632" s="1" t="n">
        <v>8</v>
      </c>
      <c r="D632" s="115" t="s">
        <v>21</v>
      </c>
      <c r="E632" s="10" t="n">
        <v>41</v>
      </c>
      <c r="F632" s="10" t="s">
        <v>23</v>
      </c>
      <c r="G632" s="11" t="n">
        <f aca="false">SUM(G636:G638)</f>
        <v>0</v>
      </c>
      <c r="H632" s="11" t="n">
        <f aca="false">SUM(H636:H638)</f>
        <v>0</v>
      </c>
      <c r="I632" s="11" t="n">
        <f aca="false">SUM(I636:I638)</f>
        <v>2000</v>
      </c>
      <c r="J632" s="11" t="n">
        <f aca="false">SUM(J636:J638)</f>
        <v>2000</v>
      </c>
      <c r="K632" s="11" t="n">
        <f aca="false">SUM(K636:K638)</f>
        <v>11000</v>
      </c>
      <c r="L632" s="11" t="n">
        <f aca="false">SUM(L636:L638)</f>
        <v>0</v>
      </c>
      <c r="M632" s="11" t="n">
        <f aca="false">SUM(M636:M638)</f>
        <v>0</v>
      </c>
      <c r="N632" s="11" t="n">
        <f aca="false">SUM(N636:N638)</f>
        <v>-6000</v>
      </c>
      <c r="O632" s="11" t="n">
        <f aca="false">SUM(O636:O638)</f>
        <v>0</v>
      </c>
      <c r="P632" s="11" t="n">
        <f aca="false">SUM(P636:P638)</f>
        <v>5000</v>
      </c>
      <c r="Q632" s="11" t="n">
        <f aca="false">SUM(Q636:Q638)</f>
        <v>0</v>
      </c>
      <c r="R632" s="12" t="n">
        <f aca="false">Q632/$P632</f>
        <v>0</v>
      </c>
      <c r="S632" s="11" t="n">
        <f aca="false">SUM(S636:S638)</f>
        <v>0</v>
      </c>
      <c r="T632" s="12" t="n">
        <f aca="false">S632/$P632</f>
        <v>0</v>
      </c>
      <c r="U632" s="11" t="n">
        <f aca="false">SUM(U636:U638)</f>
        <v>0</v>
      </c>
      <c r="V632" s="12" t="n">
        <f aca="false">U632/$P632</f>
        <v>0</v>
      </c>
      <c r="W632" s="11" t="n">
        <f aca="false">SUM(W636:W638)</f>
        <v>4392</v>
      </c>
      <c r="X632" s="12" t="n">
        <f aca="false">W632/$P632</f>
        <v>0.8784</v>
      </c>
      <c r="Y632" s="11" t="n">
        <f aca="false">SUM(Y636:Y638)</f>
        <v>0</v>
      </c>
      <c r="Z632" s="11" t="n">
        <f aca="false">SUM(Z636:Z638)</f>
        <v>0</v>
      </c>
    </row>
    <row r="633" customFormat="false" ht="13.9" hidden="false" customHeight="true" outlineLevel="0" collapsed="false">
      <c r="A633" s="1" t="n">
        <v>8</v>
      </c>
      <c r="B633" s="1" t="n">
        <v>8</v>
      </c>
      <c r="D633" s="17"/>
      <c r="E633" s="18"/>
      <c r="F633" s="13" t="s">
        <v>124</v>
      </c>
      <c r="G633" s="14" t="n">
        <f aca="false">SUM(G632)</f>
        <v>0</v>
      </c>
      <c r="H633" s="14" t="n">
        <f aca="false">SUM(H632)</f>
        <v>0</v>
      </c>
      <c r="I633" s="14" t="n">
        <f aca="false">SUM(I632)</f>
        <v>2000</v>
      </c>
      <c r="J633" s="14" t="n">
        <f aca="false">SUM(J632)</f>
        <v>2000</v>
      </c>
      <c r="K633" s="14" t="n">
        <f aca="false">SUM(K632)</f>
        <v>11000</v>
      </c>
      <c r="L633" s="14" t="n">
        <f aca="false">SUM(L632)</f>
        <v>0</v>
      </c>
      <c r="M633" s="14" t="n">
        <f aca="false">SUM(M632)</f>
        <v>0</v>
      </c>
      <c r="N633" s="14" t="n">
        <f aca="false">SUM(N632)</f>
        <v>-6000</v>
      </c>
      <c r="O633" s="14" t="n">
        <f aca="false">SUM(O632)</f>
        <v>0</v>
      </c>
      <c r="P633" s="14" t="n">
        <f aca="false">SUM(P632)</f>
        <v>5000</v>
      </c>
      <c r="Q633" s="14" t="n">
        <f aca="false">SUM(Q632)</f>
        <v>0</v>
      </c>
      <c r="R633" s="15" t="n">
        <f aca="false">Q633/$P633</f>
        <v>0</v>
      </c>
      <c r="S633" s="14" t="n">
        <f aca="false">SUM(S632)</f>
        <v>0</v>
      </c>
      <c r="T633" s="15" t="n">
        <f aca="false">S633/$P633</f>
        <v>0</v>
      </c>
      <c r="U633" s="14" t="n">
        <f aca="false">SUM(U632)</f>
        <v>0</v>
      </c>
      <c r="V633" s="15" t="n">
        <f aca="false">U633/$P633</f>
        <v>0</v>
      </c>
      <c r="W633" s="14" t="n">
        <f aca="false">SUM(W632)</f>
        <v>4392</v>
      </c>
      <c r="X633" s="15" t="n">
        <f aca="false">W633/$P633</f>
        <v>0.8784</v>
      </c>
      <c r="Y633" s="14" t="n">
        <f aca="false">SUM(Y632)</f>
        <v>0</v>
      </c>
      <c r="Z633" s="14" t="n">
        <f aca="false">SUM(Z632)</f>
        <v>0</v>
      </c>
    </row>
    <row r="635" customFormat="false" ht="13.9" hidden="false" customHeight="true" outlineLevel="0" collapsed="false">
      <c r="D635" s="1" t="s">
        <v>57</v>
      </c>
    </row>
    <row r="636" customFormat="false" ht="13.9" hidden="false" customHeight="true" outlineLevel="0" collapsed="false">
      <c r="D636" s="38" t="s">
        <v>338</v>
      </c>
      <c r="E636" s="101" t="s">
        <v>339</v>
      </c>
      <c r="F636" s="102"/>
      <c r="G636" s="103"/>
      <c r="H636" s="103"/>
      <c r="I636" s="103"/>
      <c r="J636" s="103"/>
      <c r="K636" s="103" t="n">
        <v>5000</v>
      </c>
      <c r="L636" s="103"/>
      <c r="M636" s="103"/>
      <c r="N636" s="103"/>
      <c r="O636" s="103"/>
      <c r="P636" s="103" t="n">
        <f aca="false">K636+SUM(L636:O636)</f>
        <v>5000</v>
      </c>
      <c r="Q636" s="103" t="n">
        <v>0</v>
      </c>
      <c r="R636" s="109" t="n">
        <f aca="false">Q636/$P636</f>
        <v>0</v>
      </c>
      <c r="S636" s="103" t="n">
        <v>0</v>
      </c>
      <c r="T636" s="109" t="n">
        <f aca="false">S636/$P636</f>
        <v>0</v>
      </c>
      <c r="U636" s="103" t="n">
        <v>0</v>
      </c>
      <c r="V636" s="109" t="n">
        <f aca="false">U636/$P636</f>
        <v>0</v>
      </c>
      <c r="W636" s="103" t="n">
        <v>4392</v>
      </c>
      <c r="X636" s="110" t="n">
        <f aca="false">W636/$P636</f>
        <v>0.8784</v>
      </c>
      <c r="Y636" s="103"/>
      <c r="Z636" s="107"/>
    </row>
    <row r="637" customFormat="false" ht="13.9" hidden="false" customHeight="true" outlineLevel="0" collapsed="false">
      <c r="D637" s="38"/>
      <c r="E637" s="101" t="s">
        <v>340</v>
      </c>
      <c r="F637" s="102"/>
      <c r="G637" s="103"/>
      <c r="H637" s="103"/>
      <c r="I637" s="103" t="n">
        <v>2000</v>
      </c>
      <c r="J637" s="103" t="n">
        <v>2000</v>
      </c>
      <c r="K637" s="103" t="n">
        <v>0</v>
      </c>
      <c r="L637" s="103"/>
      <c r="M637" s="103"/>
      <c r="N637" s="103"/>
      <c r="O637" s="103"/>
      <c r="P637" s="103" t="n">
        <f aca="false">K637+SUM(L637:O637)</f>
        <v>0</v>
      </c>
      <c r="Q637" s="103"/>
      <c r="R637" s="109" t="e">
        <f aca="false">Q637/$P637</f>
        <v>#DIV/0!</v>
      </c>
      <c r="S637" s="103"/>
      <c r="T637" s="109" t="e">
        <f aca="false">S637/$P637</f>
        <v>#DIV/0!</v>
      </c>
      <c r="U637" s="103"/>
      <c r="V637" s="109" t="e">
        <f aca="false">U637/$P637</f>
        <v>#DIV/0!</v>
      </c>
      <c r="W637" s="103"/>
      <c r="X637" s="110" t="e">
        <f aca="false">W637/$P637</f>
        <v>#DIV/0!</v>
      </c>
      <c r="Y637" s="103"/>
      <c r="Z637" s="107"/>
    </row>
    <row r="638" customFormat="false" ht="13.9" hidden="false" customHeight="true" outlineLevel="0" collapsed="false">
      <c r="D638" s="38"/>
      <c r="E638" s="101" t="s">
        <v>341</v>
      </c>
      <c r="F638" s="102"/>
      <c r="G638" s="103"/>
      <c r="H638" s="103"/>
      <c r="I638" s="103"/>
      <c r="J638" s="103"/>
      <c r="K638" s="103" t="n">
        <v>6000</v>
      </c>
      <c r="L638" s="103"/>
      <c r="M638" s="103"/>
      <c r="N638" s="103" t="n">
        <v>-6000</v>
      </c>
      <c r="O638" s="103"/>
      <c r="P638" s="103" t="n">
        <f aca="false">K638+SUM(L638:O638)</f>
        <v>0</v>
      </c>
      <c r="Q638" s="103" t="n">
        <v>0</v>
      </c>
      <c r="R638" s="109" t="e">
        <f aca="false">Q638/$P638</f>
        <v>#DIV/0!</v>
      </c>
      <c r="S638" s="103" t="n">
        <v>0</v>
      </c>
      <c r="T638" s="109" t="e">
        <f aca="false">S638/$P638</f>
        <v>#DIV/0!</v>
      </c>
      <c r="U638" s="103" t="n">
        <v>0</v>
      </c>
      <c r="V638" s="109" t="e">
        <f aca="false">U638/$P638</f>
        <v>#DIV/0!</v>
      </c>
      <c r="W638" s="103" t="n">
        <v>0</v>
      </c>
      <c r="X638" s="110" t="e">
        <f aca="false">W638/$P638</f>
        <v>#DIV/0!</v>
      </c>
      <c r="Y638" s="103"/>
      <c r="Z638" s="107"/>
    </row>
    <row r="640" customFormat="false" ht="13.9" hidden="false" customHeight="true" outlineLevel="0" collapsed="false">
      <c r="D640" s="19" t="s">
        <v>342</v>
      </c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20"/>
      <c r="S640" s="19"/>
      <c r="T640" s="20"/>
      <c r="U640" s="19"/>
      <c r="V640" s="20"/>
      <c r="W640" s="19"/>
      <c r="X640" s="20"/>
      <c r="Y640" s="19"/>
      <c r="Z640" s="19"/>
    </row>
    <row r="641" customFormat="false" ht="13.9" hidden="false" customHeight="true" outlineLevel="0" collapsed="false">
      <c r="D641" s="6"/>
      <c r="E641" s="6"/>
      <c r="F641" s="6"/>
      <c r="G641" s="7" t="s">
        <v>1</v>
      </c>
      <c r="H641" s="7" t="s">
        <v>2</v>
      </c>
      <c r="I641" s="7" t="s">
        <v>3</v>
      </c>
      <c r="J641" s="7" t="s">
        <v>4</v>
      </c>
      <c r="K641" s="7" t="s">
        <v>5</v>
      </c>
      <c r="L641" s="7" t="s">
        <v>6</v>
      </c>
      <c r="M641" s="7" t="s">
        <v>7</v>
      </c>
      <c r="N641" s="7" t="s">
        <v>8</v>
      </c>
      <c r="O641" s="7" t="s">
        <v>9</v>
      </c>
      <c r="P641" s="7" t="s">
        <v>10</v>
      </c>
      <c r="Q641" s="7" t="s">
        <v>11</v>
      </c>
      <c r="R641" s="8" t="s">
        <v>12</v>
      </c>
      <c r="S641" s="7" t="s">
        <v>13</v>
      </c>
      <c r="T641" s="8" t="s">
        <v>14</v>
      </c>
      <c r="U641" s="7" t="s">
        <v>15</v>
      </c>
      <c r="V641" s="8" t="s">
        <v>16</v>
      </c>
      <c r="W641" s="7" t="s">
        <v>17</v>
      </c>
      <c r="X641" s="8" t="s">
        <v>18</v>
      </c>
      <c r="Y641" s="7" t="s">
        <v>19</v>
      </c>
      <c r="Z641" s="7" t="s">
        <v>20</v>
      </c>
    </row>
    <row r="642" customFormat="false" ht="13.9" hidden="false" customHeight="true" outlineLevel="0" collapsed="false">
      <c r="A642" s="1" t="n">
        <v>9</v>
      </c>
      <c r="D642" s="75" t="s">
        <v>21</v>
      </c>
      <c r="E642" s="22" t="n">
        <v>41</v>
      </c>
      <c r="F642" s="22" t="s">
        <v>23</v>
      </c>
      <c r="G642" s="23" t="n">
        <f aca="false">G650</f>
        <v>0</v>
      </c>
      <c r="H642" s="23" t="n">
        <f aca="false">H650</f>
        <v>0</v>
      </c>
      <c r="I642" s="23" t="n">
        <f aca="false">I650</f>
        <v>0</v>
      </c>
      <c r="J642" s="23" t="n">
        <f aca="false">J650</f>
        <v>0</v>
      </c>
      <c r="K642" s="23" t="n">
        <f aca="false">K650</f>
        <v>0</v>
      </c>
      <c r="L642" s="23" t="n">
        <f aca="false">L650</f>
        <v>0</v>
      </c>
      <c r="M642" s="23" t="n">
        <f aca="false">M650</f>
        <v>0</v>
      </c>
      <c r="N642" s="23" t="n">
        <f aca="false">N650</f>
        <v>0</v>
      </c>
      <c r="O642" s="23" t="n">
        <f aca="false">O650</f>
        <v>0</v>
      </c>
      <c r="P642" s="23" t="n">
        <f aca="false">P650</f>
        <v>0</v>
      </c>
      <c r="Q642" s="23" t="n">
        <f aca="false">Q650</f>
        <v>0</v>
      </c>
      <c r="R642" s="24" t="e">
        <f aca="false">Q642/$P642</f>
        <v>#DIV/0!</v>
      </c>
      <c r="S642" s="23" t="n">
        <f aca="false">S650</f>
        <v>0</v>
      </c>
      <c r="T642" s="24" t="e">
        <f aca="false">S642/$P642</f>
        <v>#DIV/0!</v>
      </c>
      <c r="U642" s="23" t="n">
        <f aca="false">U650</f>
        <v>0</v>
      </c>
      <c r="V642" s="24" t="e">
        <f aca="false">U642/$P642</f>
        <v>#DIV/0!</v>
      </c>
      <c r="W642" s="23" t="n">
        <f aca="false">W650</f>
        <v>0</v>
      </c>
      <c r="X642" s="24" t="e">
        <f aca="false">W642/$P642</f>
        <v>#DIV/0!</v>
      </c>
      <c r="Y642" s="23" t="n">
        <f aca="false">Y650</f>
        <v>0</v>
      </c>
      <c r="Z642" s="23" t="n">
        <f aca="false">Z650</f>
        <v>0</v>
      </c>
    </row>
    <row r="643" customFormat="false" ht="13.9" hidden="false" customHeight="true" outlineLevel="0" collapsed="false">
      <c r="A643" s="1" t="n">
        <v>9</v>
      </c>
      <c r="D643" s="75"/>
      <c r="E643" s="22" t="n">
        <v>71</v>
      </c>
      <c r="F643" s="22" t="s">
        <v>24</v>
      </c>
      <c r="G643" s="23" t="n">
        <f aca="false">G652</f>
        <v>0</v>
      </c>
      <c r="H643" s="23" t="n">
        <f aca="false">H652</f>
        <v>70010.5</v>
      </c>
      <c r="I643" s="23" t="n">
        <f aca="false">I652</f>
        <v>4500</v>
      </c>
      <c r="J643" s="23" t="n">
        <f aca="false">J652</f>
        <v>1500</v>
      </c>
      <c r="K643" s="23" t="n">
        <f aca="false">K652</f>
        <v>0</v>
      </c>
      <c r="L643" s="23" t="n">
        <f aca="false">L652</f>
        <v>0</v>
      </c>
      <c r="M643" s="23" t="n">
        <f aca="false">M652</f>
        <v>0</v>
      </c>
      <c r="N643" s="23" t="n">
        <f aca="false">N652</f>
        <v>0</v>
      </c>
      <c r="O643" s="23" t="n">
        <f aca="false">O652</f>
        <v>0</v>
      </c>
      <c r="P643" s="23" t="n">
        <f aca="false">P652</f>
        <v>0</v>
      </c>
      <c r="Q643" s="23" t="n">
        <f aca="false">Q652</f>
        <v>0</v>
      </c>
      <c r="R643" s="24" t="e">
        <f aca="false">Q643/$P643</f>
        <v>#DIV/0!</v>
      </c>
      <c r="S643" s="23" t="n">
        <f aca="false">S652</f>
        <v>0</v>
      </c>
      <c r="T643" s="24" t="e">
        <f aca="false">S643/$P643</f>
        <v>#DIV/0!</v>
      </c>
      <c r="U643" s="23" t="n">
        <f aca="false">U652</f>
        <v>0</v>
      </c>
      <c r="V643" s="24" t="e">
        <f aca="false">U643/$P643</f>
        <v>#DIV/0!</v>
      </c>
      <c r="W643" s="23" t="n">
        <f aca="false">W652</f>
        <v>0</v>
      </c>
      <c r="X643" s="24" t="e">
        <f aca="false">W643/$P643</f>
        <v>#DIV/0!</v>
      </c>
      <c r="Y643" s="23" t="n">
        <f aca="false">Y652</f>
        <v>0</v>
      </c>
      <c r="Z643" s="23" t="n">
        <f aca="false">Z652</f>
        <v>0</v>
      </c>
    </row>
    <row r="644" customFormat="false" ht="13.9" hidden="false" customHeight="true" outlineLevel="0" collapsed="false">
      <c r="A644" s="1" t="n">
        <v>9</v>
      </c>
      <c r="D644" s="17"/>
      <c r="E644" s="18"/>
      <c r="F644" s="25" t="s">
        <v>124</v>
      </c>
      <c r="G644" s="26" t="n">
        <f aca="false">SUM(G642:G643)</f>
        <v>0</v>
      </c>
      <c r="H644" s="26" t="n">
        <f aca="false">SUM(H642:H643)</f>
        <v>70010.5</v>
      </c>
      <c r="I644" s="26" t="n">
        <f aca="false">SUM(I642:I643)</f>
        <v>4500</v>
      </c>
      <c r="J644" s="26" t="n">
        <f aca="false">SUM(J642:J643)</f>
        <v>1500</v>
      </c>
      <c r="K644" s="26" t="n">
        <f aca="false">SUM(K642:K643)</f>
        <v>0</v>
      </c>
      <c r="L644" s="26" t="n">
        <f aca="false">SUM(L642:L643)</f>
        <v>0</v>
      </c>
      <c r="M644" s="26" t="n">
        <f aca="false">SUM(M642:M643)</f>
        <v>0</v>
      </c>
      <c r="N644" s="26" t="n">
        <f aca="false">SUM(N642:N643)</f>
        <v>0</v>
      </c>
      <c r="O644" s="26" t="n">
        <f aca="false">SUM(O642:O643)</f>
        <v>0</v>
      </c>
      <c r="P644" s="26" t="n">
        <f aca="false">SUM(P642:P643)</f>
        <v>0</v>
      </c>
      <c r="Q644" s="26" t="n">
        <f aca="false">SUM(Q642:Q643)</f>
        <v>0</v>
      </c>
      <c r="R644" s="27" t="e">
        <f aca="false">Q644/$P644</f>
        <v>#DIV/0!</v>
      </c>
      <c r="S644" s="26" t="n">
        <f aca="false">SUM(S642:S643)</f>
        <v>0</v>
      </c>
      <c r="T644" s="27" t="e">
        <f aca="false">S644/$P644</f>
        <v>#DIV/0!</v>
      </c>
      <c r="U644" s="26" t="n">
        <f aca="false">SUM(U642:U643)</f>
        <v>0</v>
      </c>
      <c r="V644" s="27" t="e">
        <f aca="false">U644/$P644</f>
        <v>#DIV/0!</v>
      </c>
      <c r="W644" s="26" t="n">
        <f aca="false">SUM(W642:W643)</f>
        <v>0</v>
      </c>
      <c r="X644" s="27" t="e">
        <f aca="false">W644/$P644</f>
        <v>#DIV/0!</v>
      </c>
      <c r="Y644" s="26" t="n">
        <f aca="false">SUM(Y642:Y643)</f>
        <v>0</v>
      </c>
      <c r="Z644" s="26" t="n">
        <f aca="false">SUM(Z642:Z643)</f>
        <v>0</v>
      </c>
    </row>
    <row r="646" customFormat="false" ht="13.9" hidden="false" customHeight="true" outlineLevel="0" collapsed="false">
      <c r="D646" s="60" t="s">
        <v>343</v>
      </c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1"/>
      <c r="S646" s="60"/>
      <c r="T646" s="61"/>
      <c r="U646" s="60"/>
      <c r="V646" s="61"/>
      <c r="W646" s="60"/>
      <c r="X646" s="61"/>
      <c r="Y646" s="60"/>
      <c r="Z646" s="60"/>
    </row>
    <row r="647" customFormat="false" ht="13.9" hidden="false" customHeight="true" outlineLevel="0" collapsed="false">
      <c r="D647" s="7" t="s">
        <v>33</v>
      </c>
      <c r="E647" s="7" t="s">
        <v>34</v>
      </c>
      <c r="F647" s="7" t="s">
        <v>35</v>
      </c>
      <c r="G647" s="7" t="s">
        <v>1</v>
      </c>
      <c r="H647" s="7" t="s">
        <v>2</v>
      </c>
      <c r="I647" s="7" t="s">
        <v>3</v>
      </c>
      <c r="J647" s="7" t="s">
        <v>4</v>
      </c>
      <c r="K647" s="7" t="s">
        <v>5</v>
      </c>
      <c r="L647" s="7" t="s">
        <v>6</v>
      </c>
      <c r="M647" s="7" t="s">
        <v>7</v>
      </c>
      <c r="N647" s="7" t="s">
        <v>8</v>
      </c>
      <c r="O647" s="7" t="s">
        <v>9</v>
      </c>
      <c r="P647" s="7" t="s">
        <v>10</v>
      </c>
      <c r="Q647" s="7" t="s">
        <v>11</v>
      </c>
      <c r="R647" s="8" t="s">
        <v>12</v>
      </c>
      <c r="S647" s="7" t="s">
        <v>13</v>
      </c>
      <c r="T647" s="8" t="s">
        <v>14</v>
      </c>
      <c r="U647" s="7" t="s">
        <v>15</v>
      </c>
      <c r="V647" s="8" t="s">
        <v>16</v>
      </c>
      <c r="W647" s="7" t="s">
        <v>17</v>
      </c>
      <c r="X647" s="8" t="s">
        <v>18</v>
      </c>
      <c r="Y647" s="7" t="s">
        <v>19</v>
      </c>
      <c r="Z647" s="7" t="s">
        <v>20</v>
      </c>
    </row>
    <row r="648" customFormat="false" ht="13.9" hidden="false" customHeight="true" outlineLevel="0" collapsed="false">
      <c r="A648" s="1" t="n">
        <v>9</v>
      </c>
      <c r="B648" s="1" t="n">
        <v>1</v>
      </c>
      <c r="D648" s="76" t="s">
        <v>128</v>
      </c>
      <c r="E648" s="10" t="n">
        <v>650</v>
      </c>
      <c r="F648" s="10" t="s">
        <v>344</v>
      </c>
      <c r="G648" s="11" t="n">
        <v>0</v>
      </c>
      <c r="H648" s="11" t="n">
        <v>0</v>
      </c>
      <c r="I648" s="11" t="n">
        <v>0</v>
      </c>
      <c r="J648" s="11" t="n">
        <v>0</v>
      </c>
      <c r="K648" s="11" t="n">
        <v>0</v>
      </c>
      <c r="L648" s="11"/>
      <c r="M648" s="11"/>
      <c r="N648" s="11"/>
      <c r="O648" s="11"/>
      <c r="P648" s="11" t="n">
        <f aca="false">K648+SUM(L648:O648)</f>
        <v>0</v>
      </c>
      <c r="Q648" s="11" t="n">
        <v>0</v>
      </c>
      <c r="R648" s="12" t="e">
        <f aca="false">Q648/$P648</f>
        <v>#DIV/0!</v>
      </c>
      <c r="S648" s="11" t="n">
        <v>0</v>
      </c>
      <c r="T648" s="12" t="e">
        <f aca="false">S648/$P648</f>
        <v>#DIV/0!</v>
      </c>
      <c r="U648" s="11" t="n">
        <v>0</v>
      </c>
      <c r="V648" s="12" t="e">
        <f aca="false">U648/$P648</f>
        <v>#DIV/0!</v>
      </c>
      <c r="W648" s="11"/>
      <c r="X648" s="12" t="e">
        <f aca="false">W648/$P648</f>
        <v>#DIV/0!</v>
      </c>
      <c r="Y648" s="11" t="n">
        <v>0</v>
      </c>
      <c r="Z648" s="11" t="n">
        <v>0</v>
      </c>
    </row>
    <row r="649" customFormat="false" ht="13.9" hidden="false" customHeight="true" outlineLevel="0" collapsed="false">
      <c r="A649" s="1" t="n">
        <v>9</v>
      </c>
      <c r="B649" s="1" t="n">
        <v>1</v>
      </c>
      <c r="D649" s="76"/>
      <c r="E649" s="10" t="n">
        <v>820</v>
      </c>
      <c r="F649" s="10" t="s">
        <v>345</v>
      </c>
      <c r="G649" s="11" t="n">
        <v>0</v>
      </c>
      <c r="H649" s="11" t="n">
        <v>0</v>
      </c>
      <c r="I649" s="11" t="n">
        <v>0</v>
      </c>
      <c r="J649" s="11" t="n">
        <v>0</v>
      </c>
      <c r="K649" s="11" t="n">
        <v>0</v>
      </c>
      <c r="L649" s="11"/>
      <c r="M649" s="11"/>
      <c r="N649" s="11"/>
      <c r="O649" s="11"/>
      <c r="P649" s="11" t="n">
        <f aca="false">K649+SUM(L649:O649)</f>
        <v>0</v>
      </c>
      <c r="Q649" s="11" t="n">
        <v>0</v>
      </c>
      <c r="R649" s="12" t="e">
        <f aca="false">Q649/$P649</f>
        <v>#DIV/0!</v>
      </c>
      <c r="S649" s="11" t="n">
        <v>0</v>
      </c>
      <c r="T649" s="12" t="e">
        <f aca="false">S649/$P649</f>
        <v>#DIV/0!</v>
      </c>
      <c r="U649" s="11" t="n">
        <v>0</v>
      </c>
      <c r="V649" s="12" t="e">
        <f aca="false">U649/$P649</f>
        <v>#DIV/0!</v>
      </c>
      <c r="W649" s="11"/>
      <c r="X649" s="12" t="e">
        <f aca="false">W649/$P649</f>
        <v>#DIV/0!</v>
      </c>
      <c r="Y649" s="11" t="n">
        <f aca="false">K649</f>
        <v>0</v>
      </c>
      <c r="Z649" s="11" t="n">
        <f aca="false">Y649</f>
        <v>0</v>
      </c>
    </row>
    <row r="650" customFormat="false" ht="13.9" hidden="false" customHeight="true" outlineLevel="0" collapsed="false">
      <c r="A650" s="1" t="n">
        <v>9</v>
      </c>
      <c r="B650" s="1" t="n">
        <v>1</v>
      </c>
      <c r="D650" s="77" t="s">
        <v>21</v>
      </c>
      <c r="E650" s="35" t="n">
        <v>41</v>
      </c>
      <c r="F650" s="35" t="s">
        <v>23</v>
      </c>
      <c r="G650" s="36" t="n">
        <f aca="false">SUM(G648:G649)</f>
        <v>0</v>
      </c>
      <c r="H650" s="36" t="n">
        <f aca="false">SUM(H648:H649)</f>
        <v>0</v>
      </c>
      <c r="I650" s="36" t="n">
        <f aca="false">SUM(I648:I649)</f>
        <v>0</v>
      </c>
      <c r="J650" s="36" t="n">
        <f aca="false">SUM(J648:J649)</f>
        <v>0</v>
      </c>
      <c r="K650" s="36" t="n">
        <f aca="false">SUM(K648:K649)</f>
        <v>0</v>
      </c>
      <c r="L650" s="36" t="n">
        <f aca="false">SUM(L648:L649)</f>
        <v>0</v>
      </c>
      <c r="M650" s="36" t="n">
        <f aca="false">SUM(M648:M649)</f>
        <v>0</v>
      </c>
      <c r="N650" s="36" t="n">
        <f aca="false">SUM(N648:N649)</f>
        <v>0</v>
      </c>
      <c r="O650" s="36" t="n">
        <f aca="false">SUM(O648:O649)</f>
        <v>0</v>
      </c>
      <c r="P650" s="36" t="n">
        <f aca="false">SUM(P648:P649)</f>
        <v>0</v>
      </c>
      <c r="Q650" s="36" t="n">
        <f aca="false">SUM(Q648:Q649)</f>
        <v>0</v>
      </c>
      <c r="R650" s="37" t="e">
        <f aca="false">Q650/$P650</f>
        <v>#DIV/0!</v>
      </c>
      <c r="S650" s="36" t="n">
        <f aca="false">SUM(S648:S649)</f>
        <v>0</v>
      </c>
      <c r="T650" s="37" t="e">
        <f aca="false">S650/$P650</f>
        <v>#DIV/0!</v>
      </c>
      <c r="U650" s="36" t="n">
        <f aca="false">SUM(U648:U649)</f>
        <v>0</v>
      </c>
      <c r="V650" s="37" t="e">
        <f aca="false">U650/$P650</f>
        <v>#DIV/0!</v>
      </c>
      <c r="W650" s="36" t="n">
        <f aca="false">SUM(W648:W649)</f>
        <v>0</v>
      </c>
      <c r="X650" s="37" t="e">
        <f aca="false">W650/$P650</f>
        <v>#DIV/0!</v>
      </c>
      <c r="Y650" s="36" t="n">
        <f aca="false">SUM(Y648:Y649)</f>
        <v>0</v>
      </c>
      <c r="Z650" s="36" t="n">
        <f aca="false">SUM(Z648:Z649)</f>
        <v>0</v>
      </c>
    </row>
    <row r="651" customFormat="false" ht="13.9" hidden="false" customHeight="true" outlineLevel="0" collapsed="false">
      <c r="A651" s="1" t="n">
        <v>9</v>
      </c>
      <c r="B651" s="1" t="n">
        <v>1</v>
      </c>
      <c r="D651" s="76" t="s">
        <v>128</v>
      </c>
      <c r="E651" s="10" t="n">
        <v>810</v>
      </c>
      <c r="F651" s="10" t="s">
        <v>346</v>
      </c>
      <c r="G651" s="11" t="n">
        <v>0</v>
      </c>
      <c r="H651" s="11" t="n">
        <v>70010.5</v>
      </c>
      <c r="I651" s="11" t="n">
        <v>4500</v>
      </c>
      <c r="J651" s="11" t="n">
        <v>1500</v>
      </c>
      <c r="K651" s="11" t="n">
        <v>0</v>
      </c>
      <c r="L651" s="11"/>
      <c r="M651" s="11"/>
      <c r="N651" s="11"/>
      <c r="O651" s="11"/>
      <c r="P651" s="11" t="n">
        <f aca="false">K651+SUM(L651:O651)</f>
        <v>0</v>
      </c>
      <c r="Q651" s="11" t="n">
        <v>0</v>
      </c>
      <c r="R651" s="12" t="e">
        <f aca="false">Q651/$P651</f>
        <v>#DIV/0!</v>
      </c>
      <c r="S651" s="11" t="n">
        <v>0</v>
      </c>
      <c r="T651" s="12" t="e">
        <f aca="false">S651/$P651</f>
        <v>#DIV/0!</v>
      </c>
      <c r="U651" s="11" t="n">
        <v>0</v>
      </c>
      <c r="V651" s="12" t="e">
        <f aca="false">U651/$P651</f>
        <v>#DIV/0!</v>
      </c>
      <c r="W651" s="11"/>
      <c r="X651" s="12" t="e">
        <f aca="false">W651/$P651</f>
        <v>#DIV/0!</v>
      </c>
      <c r="Y651" s="11" t="n">
        <v>0</v>
      </c>
      <c r="Z651" s="11" t="n">
        <v>0</v>
      </c>
    </row>
    <row r="652" customFormat="false" ht="13.9" hidden="false" customHeight="true" outlineLevel="0" collapsed="false">
      <c r="A652" s="1" t="n">
        <v>9</v>
      </c>
      <c r="B652" s="1" t="n">
        <v>1</v>
      </c>
      <c r="D652" s="77" t="s">
        <v>21</v>
      </c>
      <c r="E652" s="35" t="n">
        <v>71</v>
      </c>
      <c r="F652" s="35" t="s">
        <v>24</v>
      </c>
      <c r="G652" s="36" t="n">
        <f aca="false">SUM(G651:G651)</f>
        <v>0</v>
      </c>
      <c r="H652" s="36" t="n">
        <f aca="false">SUM(H651:H651)</f>
        <v>70010.5</v>
      </c>
      <c r="I652" s="36" t="n">
        <f aca="false">SUM(I651:I651)</f>
        <v>4500</v>
      </c>
      <c r="J652" s="36" t="n">
        <f aca="false">SUM(J651:J651)</f>
        <v>1500</v>
      </c>
      <c r="K652" s="36" t="n">
        <f aca="false">SUM(K651:K651)</f>
        <v>0</v>
      </c>
      <c r="L652" s="36" t="n">
        <f aca="false">SUM(L651:L651)</f>
        <v>0</v>
      </c>
      <c r="M652" s="36" t="n">
        <f aca="false">SUM(M651:M651)</f>
        <v>0</v>
      </c>
      <c r="N652" s="36" t="n">
        <f aca="false">SUM(N651:N651)</f>
        <v>0</v>
      </c>
      <c r="O652" s="36" t="n">
        <f aca="false">SUM(O651:O651)</f>
        <v>0</v>
      </c>
      <c r="P652" s="36" t="n">
        <f aca="false">SUM(P651:P651)</f>
        <v>0</v>
      </c>
      <c r="Q652" s="36" t="n">
        <f aca="false">SUM(Q651:Q651)</f>
        <v>0</v>
      </c>
      <c r="R652" s="37" t="e">
        <f aca="false">Q652/$P652</f>
        <v>#DIV/0!</v>
      </c>
      <c r="S652" s="36" t="n">
        <f aca="false">SUM(S651:S651)</f>
        <v>0</v>
      </c>
      <c r="T652" s="37" t="e">
        <f aca="false">S652/$P652</f>
        <v>#DIV/0!</v>
      </c>
      <c r="U652" s="36" t="n">
        <f aca="false">SUM(U651:U651)</f>
        <v>0</v>
      </c>
      <c r="V652" s="37" t="e">
        <f aca="false">U652/$P652</f>
        <v>#DIV/0!</v>
      </c>
      <c r="W652" s="36" t="n">
        <f aca="false">SUM(W651:W651)</f>
        <v>0</v>
      </c>
      <c r="X652" s="37" t="e">
        <f aca="false">W652/$P652</f>
        <v>#DIV/0!</v>
      </c>
      <c r="Y652" s="36" t="n">
        <f aca="false">SUM(Y651:Y651)</f>
        <v>0</v>
      </c>
      <c r="Z652" s="36" t="n">
        <f aca="false">SUM(Z651:Z651)</f>
        <v>0</v>
      </c>
    </row>
    <row r="653" customFormat="false" ht="13.9" hidden="false" customHeight="true" outlineLevel="0" collapsed="false">
      <c r="A653" s="1" t="n">
        <v>9</v>
      </c>
      <c r="B653" s="1" t="n">
        <v>1</v>
      </c>
      <c r="D653" s="79"/>
      <c r="E653" s="80"/>
      <c r="F653" s="13" t="s">
        <v>23</v>
      </c>
      <c r="G653" s="14" t="n">
        <f aca="false">SUM(G652:G652)</f>
        <v>0</v>
      </c>
      <c r="H653" s="14" t="n">
        <f aca="false">SUM(H652:H652)</f>
        <v>70010.5</v>
      </c>
      <c r="I653" s="14" t="n">
        <f aca="false">SUM(I652:I652)</f>
        <v>4500</v>
      </c>
      <c r="J653" s="14" t="n">
        <f aca="false">SUM(J652:J652)</f>
        <v>1500</v>
      </c>
      <c r="K653" s="14" t="n">
        <f aca="false">SUM(K652:K652)</f>
        <v>0</v>
      </c>
      <c r="L653" s="14" t="n">
        <f aca="false">SUM(L652:L652)</f>
        <v>0</v>
      </c>
      <c r="M653" s="14" t="n">
        <f aca="false">SUM(M652:M652)</f>
        <v>0</v>
      </c>
      <c r="N653" s="14" t="n">
        <f aca="false">SUM(N652:N652)</f>
        <v>0</v>
      </c>
      <c r="O653" s="14" t="n">
        <f aca="false">SUM(O652:O652)</f>
        <v>0</v>
      </c>
      <c r="P653" s="14" t="n">
        <f aca="false">SUM(P652:P652)</f>
        <v>0</v>
      </c>
      <c r="Q653" s="14" t="n">
        <f aca="false">SUM(Q652:Q652)</f>
        <v>0</v>
      </c>
      <c r="R653" s="15" t="e">
        <f aca="false">Q653/$P653</f>
        <v>#DIV/0!</v>
      </c>
      <c r="S653" s="14" t="n">
        <f aca="false">SUM(S652:S652)</f>
        <v>0</v>
      </c>
      <c r="T653" s="15" t="e">
        <f aca="false">S653/$P653</f>
        <v>#DIV/0!</v>
      </c>
      <c r="U653" s="14" t="n">
        <f aca="false">SUM(U652:U652)</f>
        <v>0</v>
      </c>
      <c r="V653" s="15" t="e">
        <f aca="false">U653/$P653</f>
        <v>#DIV/0!</v>
      </c>
      <c r="W653" s="14" t="n">
        <f aca="false">SUM(W652:W652)</f>
        <v>0</v>
      </c>
      <c r="X653" s="15" t="e">
        <f aca="false">W653/$P653</f>
        <v>#DIV/0!</v>
      </c>
      <c r="Y653" s="14" t="n">
        <f aca="false">SUM(Y652:Y652)</f>
        <v>0</v>
      </c>
      <c r="Z653" s="14" t="n">
        <f aca="false">SUM(Z652:Z652)</f>
        <v>0</v>
      </c>
    </row>
  </sheetData>
  <mergeCells count="72">
    <mergeCell ref="D3:D19"/>
    <mergeCell ref="D22:Z22"/>
    <mergeCell ref="D24:D26"/>
    <mergeCell ref="D29:Z29"/>
    <mergeCell ref="D31:D33"/>
    <mergeCell ref="D36:Z36"/>
    <mergeCell ref="D38:D41"/>
    <mergeCell ref="D47:Z47"/>
    <mergeCell ref="D51:D54"/>
    <mergeCell ref="D60:Z60"/>
    <mergeCell ref="D62:D64"/>
    <mergeCell ref="D70:Z70"/>
    <mergeCell ref="D85:Z85"/>
    <mergeCell ref="D87:D90"/>
    <mergeCell ref="D100:Z100"/>
    <mergeCell ref="D105:Z105"/>
    <mergeCell ref="D107:D109"/>
    <mergeCell ref="D111:D114"/>
    <mergeCell ref="D120:Z120"/>
    <mergeCell ref="D129:Z129"/>
    <mergeCell ref="D133:D134"/>
    <mergeCell ref="D143:Z143"/>
    <mergeCell ref="D145:D146"/>
    <mergeCell ref="D149:Z149"/>
    <mergeCell ref="D151:D153"/>
    <mergeCell ref="D158:D160"/>
    <mergeCell ref="D162:D165"/>
    <mergeCell ref="D167:D168"/>
    <mergeCell ref="D178:D180"/>
    <mergeCell ref="D182:D184"/>
    <mergeCell ref="D198:D201"/>
    <mergeCell ref="D212:D213"/>
    <mergeCell ref="D218:D220"/>
    <mergeCell ref="D241:D243"/>
    <mergeCell ref="D265:D268"/>
    <mergeCell ref="D286:D289"/>
    <mergeCell ref="D294:D296"/>
    <mergeCell ref="D301:D302"/>
    <mergeCell ref="D312:D313"/>
    <mergeCell ref="D323:D324"/>
    <mergeCell ref="D337:D339"/>
    <mergeCell ref="D359:D360"/>
    <mergeCell ref="D362:D365"/>
    <mergeCell ref="D373:D374"/>
    <mergeCell ref="D379:D380"/>
    <mergeCell ref="D387:D389"/>
    <mergeCell ref="D411:D412"/>
    <mergeCell ref="D423:D425"/>
    <mergeCell ref="D436:D437"/>
    <mergeCell ref="D470:D472"/>
    <mergeCell ref="D477:D479"/>
    <mergeCell ref="D484:D486"/>
    <mergeCell ref="D488:D491"/>
    <mergeCell ref="D493:D494"/>
    <mergeCell ref="D518:D519"/>
    <mergeCell ref="D528:D530"/>
    <mergeCell ref="D535:D536"/>
    <mergeCell ref="D540:D550"/>
    <mergeCell ref="D554:D555"/>
    <mergeCell ref="D559:D565"/>
    <mergeCell ref="D573:D575"/>
    <mergeCell ref="D579:D580"/>
    <mergeCell ref="D584:D587"/>
    <mergeCell ref="D592:D593"/>
    <mergeCell ref="D597:D598"/>
    <mergeCell ref="D600:D603"/>
    <mergeCell ref="D615:D616"/>
    <mergeCell ref="D617:D619"/>
    <mergeCell ref="D623:D624"/>
    <mergeCell ref="D636:D638"/>
    <mergeCell ref="D642:D643"/>
    <mergeCell ref="D648:D649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8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&amp;L&amp;"Arial,Normálne"&amp;10&amp;KffffffCerpanie a plnenie rozpočtu 2020&amp;C&amp;"Arial,Normálne"&amp;10&amp;KffffffObec Nesluša&amp;R&amp;"Arial,Normálne"&amp;10&amp;KffffffStav k 31. 12. 2020</oddHeader>
    <oddFooter>&amp;L&amp;"Arial,Normálne"&amp;10&amp;KffffffSchválený UOZ_V-24/2019&amp;R&amp;"Arial,Normálne"&amp;10&amp;KffffffPosledná úprava: starostka, 15. 12. 2020</oddFooter>
  </headerFooter>
  <rowBreaks count="13" manualBreakCount="13">
    <brk id="21" man="true" max="16383" min="0"/>
    <brk id="84" man="true" max="16383" min="0"/>
    <brk id="148" man="true" max="16383" min="0"/>
    <brk id="209" man="true" max="16383" min="0"/>
    <brk id="238" man="true" max="16383" min="0"/>
    <brk id="283" man="true" max="16383" min="0"/>
    <brk id="351" man="true" max="16383" min="0"/>
    <brk id="370" man="true" max="16383" min="0"/>
    <brk id="433" man="true" max="16383" min="0"/>
    <brk id="467" man="true" max="16383" min="0"/>
    <brk id="525" man="true" max="16383" min="0"/>
    <brk id="589" man="true" max="16383" min="0"/>
    <brk id="639" man="true" max="16383" min="0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0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27" width="16.34"/>
    <col collapsed="false" customWidth="true" hidden="false" outlineLevel="0" max="2" min="2" style="127" width="17.55"/>
    <col collapsed="false" customWidth="true" hidden="false" outlineLevel="0" max="64" min="3" style="127" width="8.64"/>
  </cols>
  <sheetData>
    <row r="1" customFormat="false" ht="12.8" hidden="false" customHeight="false" outlineLevel="0" collapsed="false">
      <c r="A1" s="127" t="s">
        <v>347</v>
      </c>
      <c r="B1" s="127" t="s">
        <v>348</v>
      </c>
    </row>
    <row r="2" customFormat="false" ht="12.8" hidden="false" customHeight="false" outlineLevel="0" collapsed="false">
      <c r="A2" s="127" t="s">
        <v>1</v>
      </c>
      <c r="B2" s="127" t="s">
        <v>349</v>
      </c>
    </row>
    <row r="3" customFormat="false" ht="12.8" hidden="false" customHeight="false" outlineLevel="0" collapsed="false">
      <c r="A3" s="127" t="s">
        <v>2</v>
      </c>
      <c r="B3" s="127" t="s">
        <v>350</v>
      </c>
    </row>
    <row r="4" customFormat="false" ht="12.8" hidden="false" customHeight="false" outlineLevel="0" collapsed="false">
      <c r="A4" s="127" t="s">
        <v>3</v>
      </c>
      <c r="B4" s="127" t="s">
        <v>351</v>
      </c>
    </row>
    <row r="5" customFormat="false" ht="12.8" hidden="false" customHeight="false" outlineLevel="0" collapsed="false">
      <c r="A5" s="127" t="s">
        <v>4</v>
      </c>
      <c r="B5" s="127" t="s">
        <v>352</v>
      </c>
    </row>
    <row r="6" customFormat="false" ht="12.8" hidden="false" customHeight="false" outlineLevel="0" collapsed="false">
      <c r="A6" s="127" t="s">
        <v>5</v>
      </c>
      <c r="B6" s="127" t="s">
        <v>353</v>
      </c>
    </row>
    <row r="7" customFormat="false" ht="12.8" hidden="false" customHeight="false" outlineLevel="0" collapsed="false">
      <c r="A7" s="127" t="s">
        <v>19</v>
      </c>
      <c r="B7" s="127" t="s">
        <v>354</v>
      </c>
    </row>
    <row r="8" customFormat="false" ht="12.8" hidden="false" customHeight="false" outlineLevel="0" collapsed="false">
      <c r="A8" s="127" t="s">
        <v>20</v>
      </c>
      <c r="B8" s="127" t="s">
        <v>355</v>
      </c>
    </row>
    <row r="9" customFormat="false" ht="12.8" hidden="false" customHeight="false" outlineLevel="0" collapsed="false">
      <c r="A9" s="127" t="s">
        <v>356</v>
      </c>
      <c r="B9" s="127" t="s">
        <v>357</v>
      </c>
    </row>
    <row r="10" customFormat="false" ht="12.8" hidden="false" customHeight="false" outlineLevel="0" collapsed="false">
      <c r="A10" s="127" t="s">
        <v>358</v>
      </c>
      <c r="B10" s="127" t="s">
        <v>359</v>
      </c>
    </row>
    <row r="11" customFormat="false" ht="12.8" hidden="false" customHeight="false" outlineLevel="0" collapsed="false">
      <c r="A11" s="127" t="s">
        <v>360</v>
      </c>
      <c r="B11" s="127" t="s">
        <v>361</v>
      </c>
    </row>
    <row r="12" customFormat="false" ht="12.8" hidden="false" customHeight="false" outlineLevel="0" collapsed="false">
      <c r="A12" s="127" t="s">
        <v>85</v>
      </c>
      <c r="B12" s="127" t="s">
        <v>362</v>
      </c>
    </row>
    <row r="13" customFormat="false" ht="12.8" hidden="false" customHeight="false" outlineLevel="0" collapsed="false">
      <c r="A13" s="127" t="s">
        <v>34</v>
      </c>
      <c r="B13" s="127" t="s">
        <v>363</v>
      </c>
    </row>
    <row r="14" customFormat="false" ht="12.8" hidden="false" customHeight="false" outlineLevel="0" collapsed="false">
      <c r="A14" s="127" t="s">
        <v>364</v>
      </c>
      <c r="B14" s="127" t="s">
        <v>225</v>
      </c>
    </row>
    <row r="15" customFormat="false" ht="12.8" hidden="false" customHeight="false" outlineLevel="0" collapsed="false">
      <c r="A15" s="127" t="s">
        <v>33</v>
      </c>
      <c r="B15" s="127" t="s">
        <v>365</v>
      </c>
    </row>
    <row r="16" customFormat="false" ht="12.8" hidden="false" customHeight="false" outlineLevel="0" collapsed="false">
      <c r="A16" s="127" t="s">
        <v>366</v>
      </c>
      <c r="B16" s="127" t="s">
        <v>367</v>
      </c>
    </row>
    <row r="17" customFormat="false" ht="12.8" hidden="false" customHeight="false" outlineLevel="0" collapsed="false">
      <c r="A17" s="127" t="s">
        <v>368</v>
      </c>
      <c r="B17" s="127" t="s">
        <v>369</v>
      </c>
    </row>
    <row r="18" customFormat="false" ht="12.8" hidden="false" customHeight="false" outlineLevel="0" collapsed="false">
      <c r="A18" s="127" t="s">
        <v>370</v>
      </c>
      <c r="B18" s="127" t="s">
        <v>371</v>
      </c>
    </row>
    <row r="19" customFormat="false" ht="12.8" hidden="false" customHeight="false" outlineLevel="0" collapsed="false">
      <c r="A19" s="127" t="s">
        <v>372</v>
      </c>
      <c r="B19" s="127" t="s">
        <v>373</v>
      </c>
    </row>
    <row r="20" customFormat="false" ht="12.8" hidden="false" customHeight="false" outlineLevel="0" collapsed="false">
      <c r="A20" s="127" t="s">
        <v>118</v>
      </c>
      <c r="B20" s="127" t="s">
        <v>374</v>
      </c>
    </row>
    <row r="21" customFormat="false" ht="12.8" hidden="false" customHeight="false" outlineLevel="0" collapsed="false">
      <c r="A21" s="127" t="s">
        <v>119</v>
      </c>
      <c r="B21" s="127" t="s">
        <v>375</v>
      </c>
    </row>
    <row r="22" customFormat="false" ht="12.8" hidden="false" customHeight="false" outlineLevel="0" collapsed="false">
      <c r="A22" s="127" t="s">
        <v>120</v>
      </c>
      <c r="B22" s="127" t="s">
        <v>376</v>
      </c>
    </row>
    <row r="23" customFormat="false" ht="12.8" hidden="false" customHeight="false" outlineLevel="0" collapsed="false">
      <c r="A23" s="127" t="s">
        <v>51</v>
      </c>
      <c r="B23" s="127" t="s">
        <v>377</v>
      </c>
    </row>
    <row r="24" customFormat="false" ht="12.8" hidden="false" customHeight="false" outlineLevel="0" collapsed="false">
      <c r="A24" s="127" t="s">
        <v>255</v>
      </c>
      <c r="B24" s="127" t="s">
        <v>378</v>
      </c>
    </row>
    <row r="25" customFormat="false" ht="12.8" hidden="false" customHeight="false" outlineLevel="0" collapsed="false">
      <c r="A25" s="127" t="s">
        <v>379</v>
      </c>
      <c r="B25" s="127" t="s">
        <v>380</v>
      </c>
    </row>
    <row r="26" customFormat="false" ht="12.8" hidden="false" customHeight="false" outlineLevel="0" collapsed="false">
      <c r="A26" s="127" t="s">
        <v>381</v>
      </c>
      <c r="B26" s="127" t="s">
        <v>382</v>
      </c>
    </row>
    <row r="27" customFormat="false" ht="12.8" hidden="false" customHeight="false" outlineLevel="0" collapsed="false">
      <c r="A27" s="127" t="s">
        <v>383</v>
      </c>
      <c r="B27" s="127" t="s">
        <v>384</v>
      </c>
    </row>
    <row r="28" customFormat="false" ht="12.8" hidden="false" customHeight="false" outlineLevel="0" collapsed="false">
      <c r="A28" s="127" t="s">
        <v>385</v>
      </c>
      <c r="B28" s="127" t="s">
        <v>386</v>
      </c>
    </row>
    <row r="29" customFormat="false" ht="12.8" hidden="false" customHeight="false" outlineLevel="0" collapsed="false">
      <c r="A29" s="127" t="s">
        <v>387</v>
      </c>
      <c r="B29" s="127" t="s">
        <v>388</v>
      </c>
    </row>
    <row r="30" customFormat="false" ht="12.8" hidden="false" customHeight="false" outlineLevel="0" collapsed="false">
      <c r="A30" s="127" t="s">
        <v>389</v>
      </c>
      <c r="B30" s="127" t="s">
        <v>390</v>
      </c>
    </row>
  </sheetData>
  <printOptions headings="false" gridLines="false" gridLinesSet="true" horizontalCentered="false" verticalCentered="false"/>
  <pageMargins left="0.196527777777778" right="0" top="0.138888888888889" bottom="0.138888888888889" header="0" footer="0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&amp;C&amp;"Arial,Normálne"&amp;10&amp;Kffffff&amp;A</oddHeader>
    <oddFooter>&amp;C&amp;"Arial,Normálne"&amp;10&amp;KffffffStrana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2295</TotalTime>
  <Application>LibreOffice/7.1.3.2$Linux_X86_64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 06. 12. 2019, uznesením č. V-24/2019 podľa návrhu č. 1 z 21. 11. 2019.
Úpravy:
RO č. 1-1/2020  zo 17. 02. 2020 schválené uznesením č. I-5/2020,
RO č. 1-2/2020 z 28. 02. 2020 schválené starostkou obce,
RO č. 2-1/2020 z 01. 06. 2020 schválené starostkou obce.
RO č. 3-1/2020 z 03. 08. 2020 schválené starostkou obce,
RO č. 3-2/2020 zo 14. 09. 2020 schválené uznesením č. IV-5/2020,
RO č. 3-3/2020 z 30. 09. 2020 schválené starostkou obce,
RO č. 4-1/2020 z 02. 11. 2020 schválené starostkou obce,
RO č. 4-2/2020 zo 14. 12. 2020 schválené uznesením č. V-2/2020,
RO č. 4-3/2020 z 15. 12. 2020 schválené starostkou obce.</dc:description>
  <cp:keywords>rozpočet rozpočet čerpanie úpravy obec Nesluša 2020</cp:keywords>
  <dc:language>sk-SK</dc:language>
  <cp:lastModifiedBy>Matej Tabaček</cp:lastModifiedBy>
  <dcterms:modified xsi:type="dcterms:W3CDTF">2021-06-11T11:09:50Z</dcterms:modified>
  <cp:revision>213</cp:revision>
  <dc:subject>Čerpanie a úpravy rozpočtu Obce Nesluša</dc:subject>
  <dc:title>Rozpočet 2020 - Obec Nesluša (čerpanie a úpravy)</dc:title>
</cp:coreProperties>
</file>