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íjmy" sheetId="1" state="visible" r:id="rId2"/>
    <sheet name="výdaje" sheetId="2" state="visible" r:id="rId3"/>
    <sheet name="skratky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Matej Tabaček</author>
  </authors>
  <commentList>
    <comment ref="F121" authorId="0">
      <text>
        <r>
          <rPr>
            <b val="true"/>
            <sz val="9"/>
            <color rgb="FF000000"/>
            <rFont val="Segoe UI"/>
            <family val="0"/>
          </rPr>
          <t xml:space="preserve">Matej Tabaček:
</t>
        </r>
        <r>
          <rPr>
            <sz val="9"/>
            <color rgb="FF000000"/>
            <rFont val="Segoe UI"/>
            <family val="0"/>
          </rPr>
          <t xml:space="preserve">Pre zjednodušenie porovnania sú položky 610, 620 a 630 zo starých rokov presunuté do položky 640</t>
        </r>
      </text>
    </comment>
    <comment ref="F125" authorId="0">
      <text>
        <r>
          <rPr>
            <b val="true"/>
            <sz val="9"/>
            <color rgb="FF000000"/>
            <rFont val="Segoe UI"/>
            <family val="0"/>
          </rPr>
          <t xml:space="preserve">Matej Tabaček:
</t>
        </r>
        <r>
          <rPr>
            <sz val="9"/>
            <color rgb="FF000000"/>
            <rFont val="Segoe UI"/>
            <family val="0"/>
          </rPr>
          <t xml:space="preserve">Pre zjednodušenie porovnania sú položky 610, 620 a 630 zo starých rokov presunuté do položky 640</t>
        </r>
      </text>
    </comment>
  </commentList>
</comments>
</file>

<file path=xl/sharedStrings.xml><?xml version="1.0" encoding="utf-8"?>
<sst xmlns="http://schemas.openxmlformats.org/spreadsheetml/2006/main" count="2501" uniqueCount="397">
  <si>
    <t xml:space="preserve">SUMÁR PRÍJMOV</t>
  </si>
  <si>
    <t xml:space="preserve">2016 S</t>
  </si>
  <si>
    <t xml:space="preserve">2017 S</t>
  </si>
  <si>
    <t xml:space="preserve">2018 R</t>
  </si>
  <si>
    <t xml:space="preserve">2018 S</t>
  </si>
  <si>
    <t xml:space="preserve">2019 R</t>
  </si>
  <si>
    <t xml:space="preserve">U1</t>
  </si>
  <si>
    <t xml:space="preserve">U2</t>
  </si>
  <si>
    <t xml:space="preserve">U3</t>
  </si>
  <si>
    <t xml:space="preserve">U4</t>
  </si>
  <si>
    <t xml:space="preserve">2019 U</t>
  </si>
  <si>
    <t xml:space="preserve">Č1</t>
  </si>
  <si>
    <t xml:space="preserve">P1</t>
  </si>
  <si>
    <t xml:space="preserve">Č2</t>
  </si>
  <si>
    <t xml:space="preserve">P2</t>
  </si>
  <si>
    <t xml:space="preserve">Č3</t>
  </si>
  <si>
    <t xml:space="preserve">P3</t>
  </si>
  <si>
    <t xml:space="preserve">Č4</t>
  </si>
  <si>
    <t xml:space="preserve">P4</t>
  </si>
  <si>
    <t xml:space="preserve">2020 R</t>
  </si>
  <si>
    <t xml:space="preserve">2021 R</t>
  </si>
  <si>
    <t xml:space="preserve">Zdroj krytia</t>
  </si>
  <si>
    <t xml:space="preserve">Dotácie</t>
  </si>
  <si>
    <t xml:space="preserve">Vlastné zdroje</t>
  </si>
  <si>
    <t xml:space="preserve">Iné zdroje</t>
  </si>
  <si>
    <t xml:space="preserve">Ostatné príjmy</t>
  </si>
  <si>
    <t xml:space="preserve">Bežné príjmy</t>
  </si>
  <si>
    <t xml:space="preserve">Kapitálové príjmy</t>
  </si>
  <si>
    <t xml:space="preserve">Úvery</t>
  </si>
  <si>
    <t xml:space="preserve">Finančné operácie</t>
  </si>
  <si>
    <t xml:space="preserve">Celkové príjmy</t>
  </si>
  <si>
    <t xml:space="preserve">DAŇOVÉ PRÍJMY</t>
  </si>
  <si>
    <t xml:space="preserve">Daňové príjmy - rozpis</t>
  </si>
  <si>
    <t xml:space="preserve">FK</t>
  </si>
  <si>
    <t xml:space="preserve">EK</t>
  </si>
  <si>
    <t xml:space="preserve">Názov</t>
  </si>
  <si>
    <t xml:space="preserve">PrD</t>
  </si>
  <si>
    <t xml:space="preserve">Výnos dane z príjmov</t>
  </si>
  <si>
    <t xml:space="preserve">Daň z pozemkov</t>
  </si>
  <si>
    <t xml:space="preserve">Daň zo stavieb</t>
  </si>
  <si>
    <t xml:space="preserve">Daň z bytov</t>
  </si>
  <si>
    <t xml:space="preserve">Daň za psa</t>
  </si>
  <si>
    <t xml:space="preserve">Daň za nevýherné hracie prístroje</t>
  </si>
  <si>
    <t xml:space="preserve">Daň za ubytovanie</t>
  </si>
  <si>
    <t xml:space="preserve">Daň za užívanie verejného priestranstva</t>
  </si>
  <si>
    <t xml:space="preserve">Daň za komunálne odpady a drobné stavebné odpady</t>
  </si>
  <si>
    <t xml:space="preserve">NEDAŇOVÉ PRÍJMY</t>
  </si>
  <si>
    <t xml:space="preserve">Štátne dotácie</t>
  </si>
  <si>
    <t xml:space="preserve">Nedaňové príjmy - rozpis</t>
  </si>
  <si>
    <t xml:space="preserve">PrN</t>
  </si>
  <si>
    <t xml:space="preserve">RO</t>
  </si>
  <si>
    <t xml:space="preserve">Príjmy ZŠ</t>
  </si>
  <si>
    <t xml:space="preserve">Príjmy z majetku</t>
  </si>
  <si>
    <t xml:space="preserve">Administratívne poplatky a iné platby</t>
  </si>
  <si>
    <t xml:space="preserve">Predaj majetku</t>
  </si>
  <si>
    <t xml:space="preserve">Úroky z vkladov</t>
  </si>
  <si>
    <t xml:space="preserve">Iné nedaňové príjmy</t>
  </si>
  <si>
    <t xml:space="preserve">V tom:</t>
  </si>
  <si>
    <t xml:space="preserve">Prenájom nehnuteľností</t>
  </si>
  <si>
    <t xml:space="preserve">Správne poplatky</t>
  </si>
  <si>
    <t xml:space="preserve">Licencie automaty</t>
  </si>
  <si>
    <t xml:space="preserve">Úrok z omeškania – kompostéry</t>
  </si>
  <si>
    <t xml:space="preserve">Vodné</t>
  </si>
  <si>
    <t xml:space="preserve">Opatrovateľská služba</t>
  </si>
  <si>
    <t xml:space="preserve">Vstupné na akcie</t>
  </si>
  <si>
    <t xml:space="preserve">Poplatky DOS</t>
  </si>
  <si>
    <t xml:space="preserve">Predaj dreva</t>
  </si>
  <si>
    <t xml:space="preserve">Hrobové miesta</t>
  </si>
  <si>
    <t xml:space="preserve">Cintorínske služby</t>
  </si>
  <si>
    <t xml:space="preserve">Príspevok rodičov MŠ</t>
  </si>
  <si>
    <t xml:space="preserve">Príspevok CVČ</t>
  </si>
  <si>
    <t xml:space="preserve">Vodovodné prípojky</t>
  </si>
  <si>
    <t xml:space="preserve">Dobropisy</t>
  </si>
  <si>
    <t xml:space="preserve">Stravné zamestnanci</t>
  </si>
  <si>
    <t xml:space="preserve">GRANTY A TRANSFERY</t>
  </si>
  <si>
    <t xml:space="preserve">Granty a transfery - rozpis</t>
  </si>
  <si>
    <t xml:space="preserve">ZŠ normatívne</t>
  </si>
  <si>
    <t xml:space="preserve">ZŠ žiaci zo SZP</t>
  </si>
  <si>
    <t xml:space="preserve">ZŠ asistent učiteľa</t>
  </si>
  <si>
    <t xml:space="preserve">ZŠ vzdelávacie poukazy</t>
  </si>
  <si>
    <t xml:space="preserve">ZŠ stravné ŠJ</t>
  </si>
  <si>
    <t xml:space="preserve">ZŠ školské potreby</t>
  </si>
  <si>
    <t xml:space="preserve">Iné ZŠ</t>
  </si>
  <si>
    <t xml:space="preserve">MŠ predškoláci</t>
  </si>
  <si>
    <t xml:space="preserve">CVČ vzdelávacie</t>
  </si>
  <si>
    <t xml:space="preserve">Prídavky na deti</t>
  </si>
  <si>
    <t xml:space="preserve">Voľby</t>
  </si>
  <si>
    <t xml:space="preserve">DOS</t>
  </si>
  <si>
    <t xml:space="preserve">Rozvoj športu</t>
  </si>
  <si>
    <t xml:space="preserve">Regionálny rozvoj ESF</t>
  </si>
  <si>
    <t xml:space="preserve">Kompostéry</t>
  </si>
  <si>
    <t xml:space="preserve">Zberný dvor</t>
  </si>
  <si>
    <t xml:space="preserve">Zateplenie škôlky</t>
  </si>
  <si>
    <t xml:space="preserve">Stavebný úrad</t>
  </si>
  <si>
    <t xml:space="preserve">Cestná doprava</t>
  </si>
  <si>
    <t xml:space="preserve">Životné prostredie</t>
  </si>
  <si>
    <t xml:space="preserve">Matrika</t>
  </si>
  <si>
    <t xml:space="preserve">Register obyvateľstva</t>
  </si>
  <si>
    <t xml:space="preserve">Sklad civilnej obrany</t>
  </si>
  <si>
    <t xml:space="preserve">Rozšírenie škôlky</t>
  </si>
  <si>
    <t xml:space="preserve">Zateplenie DOS</t>
  </si>
  <si>
    <t xml:space="preserve">Požiarna zbrojnica</t>
  </si>
  <si>
    <t xml:space="preserve">Tribúna na štadióne</t>
  </si>
  <si>
    <t xml:space="preserve">ZŠ kotolňa</t>
  </si>
  <si>
    <t xml:space="preserve">Erasmus (RO)</t>
  </si>
  <si>
    <t xml:space="preserve">Zdroj kytia</t>
  </si>
  <si>
    <t xml:space="preserve">Granty</t>
  </si>
  <si>
    <t xml:space="preserve">Granty (RO)</t>
  </si>
  <si>
    <t xml:space="preserve">PRÍJMOVÉ FINANČNÉ OPERÁCIE</t>
  </si>
  <si>
    <t xml:space="preserve">Nevyčerpané dotácie</t>
  </si>
  <si>
    <t xml:space="preserve">Zostatky</t>
  </si>
  <si>
    <t xml:space="preserve">Rezervný fond</t>
  </si>
  <si>
    <t xml:space="preserve">Zábezpeka – verejné obstarávanie</t>
  </si>
  <si>
    <t xml:space="preserve">Úver na…</t>
  </si>
  <si>
    <t xml:space="preserve">ROZDIEL PRÍJMOV A VÝDAJOV</t>
  </si>
  <si>
    <t xml:space="preserve">Celkom</t>
  </si>
  <si>
    <t xml:space="preserve">Bežný rozpočet</t>
  </si>
  <si>
    <t xml:space="preserve">Kapitálový rozpočet</t>
  </si>
  <si>
    <t xml:space="preserve">Spolu</t>
  </si>
  <si>
    <t xml:space="preserve">Spolu bez FO</t>
  </si>
  <si>
    <t xml:space="preserve">Pr</t>
  </si>
  <si>
    <t xml:space="preserve">Po</t>
  </si>
  <si>
    <t xml:space="preserve">Pv</t>
  </si>
  <si>
    <t xml:space="preserve">SUMÁR VÝDAVKOV</t>
  </si>
  <si>
    <t xml:space="preserve">Bežné výdavky</t>
  </si>
  <si>
    <t xml:space="preserve">Kapitálové výdavky</t>
  </si>
  <si>
    <t xml:space="preserve">Celkové výdavky</t>
  </si>
  <si>
    <t xml:space="preserve">PROGRAM 1 - SAMOSPRÁVA</t>
  </si>
  <si>
    <t xml:space="preserve">Podprogram 1.1 Obecný úrad</t>
  </si>
  <si>
    <t xml:space="preserve">Prvok 1.1.1 Vedenie obce</t>
  </si>
  <si>
    <t xml:space="preserve">01.1.1</t>
  </si>
  <si>
    <t xml:space="preserve">Mzdy</t>
  </si>
  <si>
    <t xml:space="preserve">Odvody</t>
  </si>
  <si>
    <t xml:space="preserve">Tovary a služby</t>
  </si>
  <si>
    <t xml:space="preserve">Transfery</t>
  </si>
  <si>
    <t xml:space="preserve">Prvok 1.1.2 Personál</t>
  </si>
  <si>
    <t xml:space="preserve">Štátna dotácia</t>
  </si>
  <si>
    <t xml:space="preserve">Prvok 1.1.3 Vnútorná kontrola</t>
  </si>
  <si>
    <t xml:space="preserve">01.1.2</t>
  </si>
  <si>
    <t xml:space="preserve">Prvok 1.1.4 Služby a kancelárske vybavenie</t>
  </si>
  <si>
    <t xml:space="preserve">1AC</t>
  </si>
  <si>
    <t xml:space="preserve">Bankové poplatky</t>
  </si>
  <si>
    <t xml:space="preserve">Právne služby</t>
  </si>
  <si>
    <t xml:space="preserve">Softvér (URBIS)</t>
  </si>
  <si>
    <t xml:space="preserve">Služby ESMAO</t>
  </si>
  <si>
    <t xml:space="preserve">Nábytok OcÚ</t>
  </si>
  <si>
    <t xml:space="preserve">Prvok 1.1.5 Prevádzka</t>
  </si>
  <si>
    <t xml:space="preserve">01.1.3</t>
  </si>
  <si>
    <t xml:space="preserve">01.1.4</t>
  </si>
  <si>
    <t xml:space="preserve">01.1.5</t>
  </si>
  <si>
    <t xml:space="preserve">Elektrina</t>
  </si>
  <si>
    <t xml:space="preserve">Plyn</t>
  </si>
  <si>
    <t xml:space="preserve">Pohonné hmoty</t>
  </si>
  <si>
    <t xml:space="preserve">Prvok 1.1.6 Informačný systém (web a rozhlas)</t>
  </si>
  <si>
    <t xml:space="preserve">08.3.0</t>
  </si>
  <si>
    <t xml:space="preserve">Prvok 1.1.7 Matrika a evidencia obyvateľstva</t>
  </si>
  <si>
    <t xml:space="preserve">01.3.3</t>
  </si>
  <si>
    <t xml:space="preserve">Podprogram 1.2 Spoločný obecný úrad</t>
  </si>
  <si>
    <t xml:space="preserve">09.1.1.1</t>
  </si>
  <si>
    <t xml:space="preserve">Mzdy MŠ Nesluša</t>
  </si>
  <si>
    <t xml:space="preserve">Školský metodik</t>
  </si>
  <si>
    <t xml:space="preserve">Podprogram 1.3 Správa a údržba majetku</t>
  </si>
  <si>
    <t xml:space="preserve">04.2.2</t>
  </si>
  <si>
    <t xml:space="preserve">Lesy</t>
  </si>
  <si>
    <t xml:space="preserve">06.1.0</t>
  </si>
  <si>
    <t xml:space="preserve">Byty</t>
  </si>
  <si>
    <t xml:space="preserve">Ťažba, výsadba</t>
  </si>
  <si>
    <t xml:space="preserve">Geomterické plány</t>
  </si>
  <si>
    <t xml:space="preserve">Revízie el. zariadení</t>
  </si>
  <si>
    <t xml:space="preserve">Podprogram 1.4 Voľby</t>
  </si>
  <si>
    <t xml:space="preserve">01.6.0</t>
  </si>
  <si>
    <t xml:space="preserve">PROGRAM 2 - ŠKOLSTVO</t>
  </si>
  <si>
    <t xml:space="preserve">Podprogram 2.1 Materská škola</t>
  </si>
  <si>
    <t xml:space="preserve">Zateplenie – externý manažment</t>
  </si>
  <si>
    <t xml:space="preserve">Podprogram 2.2 Základná škola</t>
  </si>
  <si>
    <t xml:space="preserve">2017 OS</t>
  </si>
  <si>
    <t xml:space="preserve">09.2.1.1</t>
  </si>
  <si>
    <t xml:space="preserve">Originálne kompetencie</t>
  </si>
  <si>
    <t xml:space="preserve">09.6.0.1</t>
  </si>
  <si>
    <t xml:space="preserve">Elektrina ŠJ</t>
  </si>
  <si>
    <t xml:space="preserve">Plyn ŠJ</t>
  </si>
  <si>
    <t xml:space="preserve">Podprogram 2.3 Centrum voľného času</t>
  </si>
  <si>
    <t xml:space="preserve">09.5.0</t>
  </si>
  <si>
    <t xml:space="preserve">PROGRAM 3 - VODA</t>
  </si>
  <si>
    <t xml:space="preserve">Podprogram 3.1 Verejný vodovod</t>
  </si>
  <si>
    <t xml:space="preserve">06.3.0</t>
  </si>
  <si>
    <t xml:space="preserve">Údržba vodovodu</t>
  </si>
  <si>
    <t xml:space="preserve">Vodomery</t>
  </si>
  <si>
    <t xml:space="preserve">Rozbor vody</t>
  </si>
  <si>
    <t xml:space="preserve">Prevádzkovanie vodovodu</t>
  </si>
  <si>
    <t xml:space="preserve">Odber podzemnej vody</t>
  </si>
  <si>
    <t xml:space="preserve">Monitoring potrubia</t>
  </si>
  <si>
    <t xml:space="preserve">Podprogram 3.2 Skupinové vodovody</t>
  </si>
  <si>
    <t xml:space="preserve">PROGRAM 4 - ODPADOVÉ HOSPODÁRSTVO A ŽIVOTNÉ PROSTREDIE</t>
  </si>
  <si>
    <t xml:space="preserve">Podprogram 4.1 Komunálny odpad</t>
  </si>
  <si>
    <t xml:space="preserve">05.1.0</t>
  </si>
  <si>
    <t xml:space="preserve">Podprogram 4.2 Separovaný zber</t>
  </si>
  <si>
    <t xml:space="preserve">Kompostéry do domácností</t>
  </si>
  <si>
    <t xml:space="preserve">Odvoz odpadu</t>
  </si>
  <si>
    <t xml:space="preserve">Podprogram 4.3 Zberný dvor</t>
  </si>
  <si>
    <t xml:space="preserve">Servis strojov</t>
  </si>
  <si>
    <t xml:space="preserve">Poistenie budovy a techniky</t>
  </si>
  <si>
    <t xml:space="preserve">Podprogram 4.4 Likvidácia skládok</t>
  </si>
  <si>
    <t xml:space="preserve">PROGRAM 5 - PROSTREDIE PRE ŽIVOT</t>
  </si>
  <si>
    <t xml:space="preserve">Podprogram 5.1 Bezpečnosť</t>
  </si>
  <si>
    <t xml:space="preserve">Prvok 5.1.1 Protipožiarna ochrana</t>
  </si>
  <si>
    <t xml:space="preserve">03.2.0</t>
  </si>
  <si>
    <t xml:space="preserve">Prvok 5.1.2 Civilná obrana</t>
  </si>
  <si>
    <t xml:space="preserve">02.2.0</t>
  </si>
  <si>
    <t xml:space="preserve">Odstránenie snehovej kalamity</t>
  </si>
  <si>
    <t xml:space="preserve">Prvok 5.1.3 Verejné osvetlenie</t>
  </si>
  <si>
    <t xml:space="preserve">06.4.0</t>
  </si>
  <si>
    <t xml:space="preserve">Dohoda údržbár</t>
  </si>
  <si>
    <t xml:space="preserve">LED svetlá v centre obce</t>
  </si>
  <si>
    <t xml:space="preserve">Prvok 5.1.4 Kamerový systém</t>
  </si>
  <si>
    <t xml:space="preserve">03.6.0</t>
  </si>
  <si>
    <t xml:space="preserve">Podprogram 5.2 Komunikácie a verejné priestranstvá</t>
  </si>
  <si>
    <t xml:space="preserve">Prvok 5.2.1 Miestne komunikácie</t>
  </si>
  <si>
    <t xml:space="preserve">04.5.1</t>
  </si>
  <si>
    <t xml:space="preserve">Zimná údržba</t>
  </si>
  <si>
    <t xml:space="preserve">Cesty a chodníky</t>
  </si>
  <si>
    <t xml:space="preserve">Kanály</t>
  </si>
  <si>
    <t xml:space="preserve">Prvok 5.2.2 Verejné priestranstvá</t>
  </si>
  <si>
    <t xml:space="preserve">06.2.0</t>
  </si>
  <si>
    <t xml:space="preserve">Prvok 5.2.3 Regionálny rozvoj</t>
  </si>
  <si>
    <t xml:space="preserve">Európsky sociálny fond</t>
  </si>
  <si>
    <t xml:space="preserve">PROGRAM 6 - ŠPORT, KULTÚRA A INÉ SPOLOČENSKÉ SLUŽBY</t>
  </si>
  <si>
    <t xml:space="preserve">Podprogram 6.1 Šport</t>
  </si>
  <si>
    <t xml:space="preserve">Prvok 6.1.1 Futbalový klub</t>
  </si>
  <si>
    <t xml:space="preserve">08.1.0</t>
  </si>
  <si>
    <t xml:space="preserve">131I</t>
  </si>
  <si>
    <t xml:space="preserve">Prvok 6.1.2 Ostatné športové kluby</t>
  </si>
  <si>
    <t xml:space="preserve">Šachový klub</t>
  </si>
  <si>
    <t xml:space="preserve">Stolný tenis</t>
  </si>
  <si>
    <t xml:space="preserve">Neslušskí vlci</t>
  </si>
  <si>
    <t xml:space="preserve">Podprogram 6.2 Kultúra</t>
  </si>
  <si>
    <t xml:space="preserve">Prvok 6.2.1 Kultúrny dom</t>
  </si>
  <si>
    <t xml:space="preserve">08.2.0</t>
  </si>
  <si>
    <t xml:space="preserve">Obnova stolov</t>
  </si>
  <si>
    <t xml:space="preserve">Stoličky</t>
  </si>
  <si>
    <t xml:space="preserve">Dohoda správca</t>
  </si>
  <si>
    <t xml:space="preserve">Prvok 6.2.2 Kultúrne akcie</t>
  </si>
  <si>
    <t xml:space="preserve">Chomút</t>
  </si>
  <si>
    <t xml:space="preserve">Rocknes</t>
  </si>
  <si>
    <t xml:space="preserve">Letné kino, vianočné trhy</t>
  </si>
  <si>
    <t xml:space="preserve">650. výročie obce/Dni obce</t>
  </si>
  <si>
    <t xml:space="preserve">Hody a iné podujatia</t>
  </si>
  <si>
    <t xml:space="preserve">Nerozdelené</t>
  </si>
  <si>
    <t xml:space="preserve">Prvok 6.2.3 Knižnica</t>
  </si>
  <si>
    <t xml:space="preserve">Podprogram 6.3 Iné služby</t>
  </si>
  <si>
    <t xml:space="preserve">Prvok 6.3.1 Pohrebná služby</t>
  </si>
  <si>
    <t xml:space="preserve">08.4.0</t>
  </si>
  <si>
    <t xml:space="preserve">Pohrebná služba Lisko/Játi</t>
  </si>
  <si>
    <t xml:space="preserve">Dohoda správca cintorína</t>
  </si>
  <si>
    <t xml:space="preserve">Prvok 6.3.2 Náboženské a spoločenské spolky a združenia</t>
  </si>
  <si>
    <t xml:space="preserve">SO SZTP a ZPCCH</t>
  </si>
  <si>
    <t xml:space="preserve">Červený kríž</t>
  </si>
  <si>
    <t xml:space="preserve">Priatelia Kysúc</t>
  </si>
  <si>
    <t xml:space="preserve">Jednota dôchodcov</t>
  </si>
  <si>
    <t xml:space="preserve">PROGRAM 7 - SOLIDARITA</t>
  </si>
  <si>
    <t xml:space="preserve">Podprogram 7.1 Staroba</t>
  </si>
  <si>
    <t xml:space="preserve">Prvok 7.1.1 Dom opatrovateľskej služby</t>
  </si>
  <si>
    <t xml:space="preserve">10.2.0</t>
  </si>
  <si>
    <t xml:space="preserve">Polohovacie postele</t>
  </si>
  <si>
    <t xml:space="preserve">Stravovanie obyvatelia</t>
  </si>
  <si>
    <t xml:space="preserve">Komunálny odpad</t>
  </si>
  <si>
    <t xml:space="preserve">Odstupné, náhrada mzdy</t>
  </si>
  <si>
    <t xml:space="preserve">Prvok 7.1.2 Starostlivosť o starých občanov</t>
  </si>
  <si>
    <t xml:space="preserve">Stravovanie</t>
  </si>
  <si>
    <t xml:space="preserve">Jubilanti, úcta k starším</t>
  </si>
  <si>
    <t xml:space="preserve">Denný stacionár</t>
  </si>
  <si>
    <t xml:space="preserve">Podprogram 7.2 Rodina a hmotná núdza</t>
  </si>
  <si>
    <t xml:space="preserve">10.4.0</t>
  </si>
  <si>
    <t xml:space="preserve">10.7.0</t>
  </si>
  <si>
    <t xml:space="preserve">PROGRAM 8 - INVESTÍCIE</t>
  </si>
  <si>
    <t xml:space="preserve">Podprogram 8.1 Samospráva</t>
  </si>
  <si>
    <t xml:space="preserve">01.1.1-710</t>
  </si>
  <si>
    <t xml:space="preserve">Rekonštrukcia obecného úradu</t>
  </si>
  <si>
    <t xml:space="preserve">- schodisko a vonkajší sokel</t>
  </si>
  <si>
    <t xml:space="preserve">- strecha</t>
  </si>
  <si>
    <t xml:space="preserve">- výmena plynového kotla</t>
  </si>
  <si>
    <t xml:space="preserve">- 2. nadzemné podlažie</t>
  </si>
  <si>
    <r>
      <rPr>
        <sz val="10"/>
        <color rgb="FF000000"/>
        <rFont val="Arial"/>
        <family val="2"/>
      </rPr>
      <t xml:space="preserve">- 1. nadzemné podlažie </t>
    </r>
    <r>
      <rPr>
        <b val="true"/>
        <sz val="10"/>
        <color rgb="FF000000"/>
        <rFont val="Arial"/>
        <family val="2"/>
      </rPr>
      <t xml:space="preserve">(</t>
    </r>
    <r>
      <rPr>
        <sz val="10"/>
        <color rgb="FF000000"/>
        <rFont val="Arial"/>
        <family val="2"/>
      </rPr>
      <t xml:space="preserve">kancelárie</t>
    </r>
    <r>
      <rPr>
        <b val="true"/>
        <sz val="10"/>
        <color rgb="FF000000"/>
        <rFont val="Arial"/>
        <family val="2"/>
      </rPr>
      <t xml:space="preserve">)</t>
    </r>
  </si>
  <si>
    <r>
      <rPr>
        <sz val="10"/>
        <color rgb="FF000000"/>
        <rFont val="Arial"/>
        <family val="2"/>
      </rPr>
      <t xml:space="preserve">- suterén </t>
    </r>
    <r>
      <rPr>
        <b val="true"/>
        <sz val="10"/>
        <color rgb="FF000000"/>
        <rFont val="Arial"/>
        <family val="2"/>
      </rPr>
      <t xml:space="preserve">(</t>
    </r>
    <r>
      <rPr>
        <sz val="10"/>
        <color rgb="FF000000"/>
        <rFont val="Arial"/>
        <family val="2"/>
      </rPr>
      <t xml:space="preserve">garáž/pivnica</t>
    </r>
    <r>
      <rPr>
        <b val="true"/>
        <sz val="10"/>
        <color rgb="FF000000"/>
        <rFont val="Arial"/>
        <family val="2"/>
      </rPr>
      <t xml:space="preserve">)</t>
    </r>
  </si>
  <si>
    <t xml:space="preserve">- garáž (budova)</t>
  </si>
  <si>
    <t xml:space="preserve">Kúpa rýpadla</t>
  </si>
  <si>
    <t xml:space="preserve">Nákup strojov – radlica</t>
  </si>
  <si>
    <t xml:space="preserve">Vyrozumievacie zariadenie do rozhlasu</t>
  </si>
  <si>
    <t xml:space="preserve">Kúpa pozemkov</t>
  </si>
  <si>
    <t xml:space="preserve">Podprogram 8.2 Školstvo</t>
  </si>
  <si>
    <t xml:space="preserve">09.1.1.1-710</t>
  </si>
  <si>
    <t xml:space="preserve">MŠ - zateplenie</t>
  </si>
  <si>
    <t xml:space="preserve">MŠ - rozšírenie kapacity</t>
  </si>
  <si>
    <t xml:space="preserve">ZŠ - átrium</t>
  </si>
  <si>
    <t xml:space="preserve">ZŠ - rekonštrukcia WC</t>
  </si>
  <si>
    <t xml:space="preserve">ZŠ – strecha a telocvičňa</t>
  </si>
  <si>
    <t xml:space="preserve">ZŠ – maľovanie, kanál telocvičňa, bezbariérový vstup</t>
  </si>
  <si>
    <t xml:space="preserve">ZŠ – projekty – kotolňa, kuchyňa, budova, vodozádržné opatrenia</t>
  </si>
  <si>
    <t xml:space="preserve">Podprogram 8.3 Voda</t>
  </si>
  <si>
    <t xml:space="preserve">06.3.0-710</t>
  </si>
  <si>
    <t xml:space="preserve">Projekt úpravovne vody – Parišovka, Dúbravy, Chovancovce</t>
  </si>
  <si>
    <t xml:space="preserve">Vodojem Chovancovce</t>
  </si>
  <si>
    <t xml:space="preserve">Rekonštrukcia Močariny</t>
  </si>
  <si>
    <t xml:space="preserve">Rekonštruckia vodojemov</t>
  </si>
  <si>
    <t xml:space="preserve">Projekt obecného vodovodu</t>
  </si>
  <si>
    <t xml:space="preserve">Podprogram 8.4 Odpadové hospodárstvo a životné prostredie</t>
  </si>
  <si>
    <t xml:space="preserve">05.1.0-710</t>
  </si>
  <si>
    <t xml:space="preserve">Zberný dvor – zabezpečovačka, nábytok</t>
  </si>
  <si>
    <t xml:space="preserve">Zberný dvor – zametacie zariadenie</t>
  </si>
  <si>
    <t xml:space="preserve">Pluh, reťaze, CO zváračka, kompresor 200 l, ponk a zverák, box s náradím, motorová píla</t>
  </si>
  <si>
    <t xml:space="preserve">Podprogram 8.5 Prostredie pre život</t>
  </si>
  <si>
    <t xml:space="preserve">04.5.1-710</t>
  </si>
  <si>
    <t xml:space="preserve">Asfaltovanie miestnych komunikácií</t>
  </si>
  <si>
    <t xml:space="preserve">Výstavba parkovacích miest</t>
  </si>
  <si>
    <t xml:space="preserve">06.2.0-710</t>
  </si>
  <si>
    <t xml:space="preserve">Projekt centra obce</t>
  </si>
  <si>
    <t xml:space="preserve">Rekonštrukcia centra obce</t>
  </si>
  <si>
    <t xml:space="preserve">Átrium v centre obce</t>
  </si>
  <si>
    <t xml:space="preserve">Detské ihrisko v centre</t>
  </si>
  <si>
    <t xml:space="preserve">Autobusové zastávky</t>
  </si>
  <si>
    <t xml:space="preserve">Regulácia potoka - projekt, obstarávanie</t>
  </si>
  <si>
    <t xml:space="preserve">Regulácia potoka - realizácia (dotácia)</t>
  </si>
  <si>
    <t xml:space="preserve">Regulácia potoka - realizácia (vlastné)</t>
  </si>
  <si>
    <t xml:space="preserve">06.4.0-710</t>
  </si>
  <si>
    <t xml:space="preserve">Verejné osvetlenie – projekt</t>
  </si>
  <si>
    <t xml:space="preserve">03.2.0-710</t>
  </si>
  <si>
    <t xml:space="preserve">Rekonštrukcia požiarnej zbrojnice</t>
  </si>
  <si>
    <t xml:space="preserve">03.6.0-710</t>
  </si>
  <si>
    <t xml:space="preserve">Kamerový systém</t>
  </si>
  <si>
    <t xml:space="preserve">Podprogram 8.6 Šport, kultúra a iné spoločenské služby</t>
  </si>
  <si>
    <t xml:space="preserve">08.1.0-710</t>
  </si>
  <si>
    <t xml:space="preserve">Projektová dokumentácia</t>
  </si>
  <si>
    <t xml:space="preserve">Vysporiadanie pozemkov (nezistení vlastníci)</t>
  </si>
  <si>
    <t xml:space="preserve">Vysporiadanie pozemkov (žijúci)</t>
  </si>
  <si>
    <t xml:space="preserve">Rekonštrukcia tribúny</t>
  </si>
  <si>
    <t xml:space="preserve">Oplotenie areálu cintorína</t>
  </si>
  <si>
    <t xml:space="preserve">Podprogram 8.7 Solidarita</t>
  </si>
  <si>
    <t xml:space="preserve">10.2.0-710</t>
  </si>
  <si>
    <t xml:space="preserve">DOS – výmena okien</t>
  </si>
  <si>
    <t xml:space="preserve">DOS – štúdia prestavby HŠ</t>
  </si>
  <si>
    <t xml:space="preserve">DOS – projekt rozšírenia</t>
  </si>
  <si>
    <t xml:space="preserve">DOS – plynofikácia</t>
  </si>
  <si>
    <t xml:space="preserve">Podprogram 8.8 Plánovanie</t>
  </si>
  <si>
    <t xml:space="preserve">04.4.3-710</t>
  </si>
  <si>
    <t xml:space="preserve">Územný plán</t>
  </si>
  <si>
    <t xml:space="preserve">Pasport miestnych komunikácií</t>
  </si>
  <si>
    <t xml:space="preserve">Minikomasácia Dúbravy</t>
  </si>
  <si>
    <t xml:space="preserve">PROGRAM 9 - VYROVNANIE DLHU</t>
  </si>
  <si>
    <t xml:space="preserve">Podprogram 9.1 Splácanie úverov</t>
  </si>
  <si>
    <t xml:space="preserve">Splácanie úrokov</t>
  </si>
  <si>
    <t xml:space="preserve">Splácanie istiny</t>
  </si>
  <si>
    <t xml:space="preserve">Iné výdavkové operácie</t>
  </si>
  <si>
    <t xml:space="preserve">#</t>
  </si>
  <si>
    <t xml:space="preserve">číslo štvrťroku</t>
  </si>
  <si>
    <t xml:space="preserve">Skutočnosť v roku 2016</t>
  </si>
  <si>
    <t xml:space="preserve">Skutočnosť v roku 2017</t>
  </si>
  <si>
    <t xml:space="preserve">Schválený rozpočet na rok 2018</t>
  </si>
  <si>
    <t xml:space="preserve">Skutočnosť v roku 2018</t>
  </si>
  <si>
    <t xml:space="preserve">Schválený rozpočet na rok 2019</t>
  </si>
  <si>
    <t xml:space="preserve">Upravený rozpočet na rok 2019</t>
  </si>
  <si>
    <t xml:space="preserve">Schválený rozpočet na rok 2020</t>
  </si>
  <si>
    <t xml:space="preserve">Schválený rozpočet na rok 2021</t>
  </si>
  <si>
    <t xml:space="preserve">CVČ</t>
  </si>
  <si>
    <t xml:space="preserve">centrum voľného času</t>
  </si>
  <si>
    <t xml:space="preserve">Č#</t>
  </si>
  <si>
    <t xml:space="preserve">čerpanie v kvartáli # v eurách</t>
  </si>
  <si>
    <t xml:space="preserve">DCOM</t>
  </si>
  <si>
    <t xml:space="preserve">Dátové centrum obcí a miest (e-gov)</t>
  </si>
  <si>
    <t xml:space="preserve">Dom opatrovateľskej služby</t>
  </si>
  <si>
    <t xml:space="preserve">ekonomická klasifikácia</t>
  </si>
  <si>
    <t xml:space="preserve">ESF</t>
  </si>
  <si>
    <t xml:space="preserve">funkčná klasifikácia</t>
  </si>
  <si>
    <t xml:space="preserve">FO</t>
  </si>
  <si>
    <t xml:space="preserve">finančné operácie</t>
  </si>
  <si>
    <t xml:space="preserve">HŠ</t>
  </si>
  <si>
    <t xml:space="preserve">bývalá horná škola</t>
  </si>
  <si>
    <t xml:space="preserve">KV</t>
  </si>
  <si>
    <t xml:space="preserve">kapitálové výdavky</t>
  </si>
  <si>
    <t xml:space="preserve">MŠ</t>
  </si>
  <si>
    <t xml:space="preserve">Materská škola Nesluša</t>
  </si>
  <si>
    <t xml:space="preserve">P#</t>
  </si>
  <si>
    <t xml:space="preserve">plnenie v kvartáli # v percentách</t>
  </si>
  <si>
    <t xml:space="preserve">program</t>
  </si>
  <si>
    <t xml:space="preserve">podprogram</t>
  </si>
  <si>
    <t xml:space="preserve">prvok</t>
  </si>
  <si>
    <t xml:space="preserve">účtované v účtovníctve rozpočtovej organizácie Základná škola Nesluša</t>
  </si>
  <si>
    <t xml:space="preserve">Spojená organizácia Slovenského zväzu telesne postihnutých a Zväzu postihnutých civilizačnými chorobami</t>
  </si>
  <si>
    <t xml:space="preserve">SZP</t>
  </si>
  <si>
    <t xml:space="preserve">sociálne znevýhodnené prostredie</t>
  </si>
  <si>
    <t xml:space="preserve">ŠJ</t>
  </si>
  <si>
    <t xml:space="preserve">školská jedáleň</t>
  </si>
  <si>
    <t xml:space="preserve">U#</t>
  </si>
  <si>
    <t xml:space="preserve">úpravy v kvartáli #</t>
  </si>
  <si>
    <t xml:space="preserve">URBIS</t>
  </si>
  <si>
    <t xml:space="preserve">informačný systém (účtovníctvo, administratíva, evidencie, dane...)</t>
  </si>
  <si>
    <t xml:space="preserve">ZŠ</t>
  </si>
  <si>
    <t xml:space="preserve">Základná škola Nesluša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</si>
</sst>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41B];[RED]\-#,##0.00\ [$€-41B]"/>
    <numFmt numFmtId="166" formatCode="0\ %"/>
    <numFmt numFmtId="167" formatCode="#,##0.00"/>
    <numFmt numFmtId="168" formatCode="d/m/yyyy"/>
    <numFmt numFmtId="169" formatCode="0.00\ %"/>
  </numFmts>
  <fonts count="13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0"/>
    </font>
    <font>
      <b val="true"/>
      <i val="true"/>
      <sz val="16"/>
      <color rgb="FF000000"/>
      <name val="Calibri"/>
      <family val="0"/>
    </font>
    <font>
      <sz val="11"/>
      <color rgb="FF000000"/>
      <name val="Arial"/>
      <family val="0"/>
    </font>
    <font>
      <sz val="10"/>
      <color rgb="FF000000"/>
      <name val="Arial"/>
      <family val="2"/>
    </font>
    <font>
      <b val="true"/>
      <sz val="10"/>
      <color rgb="FF000000"/>
      <name val="Arial"/>
      <family val="2"/>
    </font>
    <font>
      <i val="true"/>
      <sz val="10"/>
      <color rgb="FF000000"/>
      <name val="Arial"/>
      <family val="2"/>
    </font>
    <font>
      <b val="true"/>
      <i val="true"/>
      <sz val="10"/>
      <color rgb="FF000000"/>
      <name val="Arial"/>
      <family val="2"/>
    </font>
    <font>
      <b val="true"/>
      <sz val="9"/>
      <color rgb="FF000000"/>
      <name val="Segoe UI"/>
      <family val="0"/>
    </font>
    <font>
      <sz val="9"/>
      <color rgb="FF000000"/>
      <name val="Segoe UI"/>
      <family val="0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CCCCCC"/>
      </patternFill>
    </fill>
    <fill>
      <patternFill patternType="solid">
        <fgColor rgb="FFE2EFDA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ýsledok" xfId="20"/>
    <cellStyle name="Výsledok2" xfId="21"/>
    <cellStyle name="Nadpis" xfId="22"/>
    <cellStyle name="Nadpis1" xfId="23"/>
    <cellStyle name="Normálne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A9D0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150"/>
  <sheetViews>
    <sheetView showFormulas="false" showGridLines="true" showRowColHeaders="true" showZeros="true" rightToLeft="false" tabSelected="true" showOutlineSymbols="true" defaultGridColor="false" view="normal" topLeftCell="A1" colorId="22" zoomScale="100" zoomScaleNormal="100" zoomScalePageLayoutView="100" workbookViewId="0">
      <selection pane="topLeft" activeCell="A1" activeCellId="0" sqref="A1"/>
    </sheetView>
  </sheetViews>
  <sheetFormatPr defaultColWidth="10.16015625" defaultRowHeight="12.8" zeroHeight="false" outlineLevelRow="0" outlineLevelCol="0"/>
  <cols>
    <col collapsed="false" customWidth="true" hidden="false" outlineLevel="0" max="1" min="1" style="1" width="10.25"/>
    <col collapsed="false" customWidth="true" hidden="false" outlineLevel="0" max="2" min="2" style="1" width="7.63"/>
    <col collapsed="false" customWidth="true" hidden="false" outlineLevel="0" max="3" min="3" style="1" width="15.97"/>
    <col collapsed="false" customWidth="true" hidden="true" outlineLevel="0" max="7" min="4" style="1" width="9.91"/>
    <col collapsed="false" customWidth="true" hidden="false" outlineLevel="0" max="8" min="8" style="1" width="9.91"/>
    <col collapsed="false" customWidth="true" hidden="true" outlineLevel="0" max="12" min="9" style="1" width="9.68"/>
    <col collapsed="false" customWidth="true" hidden="false" outlineLevel="0" max="14" min="13" style="1" width="9.68"/>
    <col collapsed="false" customWidth="true" hidden="false" outlineLevel="0" max="15" min="15" style="1" width="4.82"/>
    <col collapsed="false" customWidth="true" hidden="false" outlineLevel="0" max="16" min="16" style="1" width="9.68"/>
    <col collapsed="false" customWidth="true" hidden="false" outlineLevel="0" max="17" min="17" style="1" width="4.82"/>
    <col collapsed="false" customWidth="true" hidden="false" outlineLevel="0" max="18" min="18" style="1" width="9.68"/>
    <col collapsed="false" customWidth="true" hidden="false" outlineLevel="0" max="19" min="19" style="1" width="4.82"/>
    <col collapsed="false" customWidth="true" hidden="false" outlineLevel="0" max="20" min="20" style="1" width="9.68"/>
    <col collapsed="false" customWidth="true" hidden="false" outlineLevel="0" max="21" min="21" style="1" width="4.82"/>
    <col collapsed="false" customWidth="true" hidden="true" outlineLevel="0" max="23" min="22" style="1" width="9.91"/>
    <col collapsed="false" customWidth="true" hidden="false" outlineLevel="0" max="64" min="24" style="1" width="7.63"/>
  </cols>
  <sheetData>
    <row r="1" customFormat="false" ht="12.8" hidden="false" customHeight="fals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customFormat="false" ht="12.8" hidden="false" customHeight="false" outlineLevel="0" collapsed="false">
      <c r="A2" s="4"/>
      <c r="B2" s="4"/>
      <c r="C2" s="4"/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6" t="s">
        <v>12</v>
      </c>
      <c r="P2" s="5" t="s">
        <v>13</v>
      </c>
      <c r="Q2" s="6" t="s">
        <v>14</v>
      </c>
      <c r="R2" s="5" t="s">
        <v>15</v>
      </c>
      <c r="S2" s="6" t="s">
        <v>16</v>
      </c>
      <c r="T2" s="5" t="s">
        <v>17</v>
      </c>
      <c r="U2" s="6" t="s">
        <v>18</v>
      </c>
      <c r="V2" s="5" t="s">
        <v>19</v>
      </c>
      <c r="W2" s="5" t="s">
        <v>20</v>
      </c>
    </row>
    <row r="3" customFormat="false" ht="12.8" hidden="false" customHeight="true" outlineLevel="0" collapsed="false">
      <c r="A3" s="7" t="s">
        <v>21</v>
      </c>
      <c r="B3" s="8" t="n">
        <v>111</v>
      </c>
      <c r="C3" s="8" t="s">
        <v>22</v>
      </c>
      <c r="D3" s="9" t="n">
        <f aca="false">D44+D83-D8</f>
        <v>564326.47</v>
      </c>
      <c r="E3" s="9" t="n">
        <f aca="false">E44+E83-E8</f>
        <v>611082.49</v>
      </c>
      <c r="F3" s="9" t="n">
        <f aca="false">F44+F83-F8</f>
        <v>650396</v>
      </c>
      <c r="G3" s="9" t="n">
        <f aca="false">G44+G83-G8</f>
        <v>1076576.26</v>
      </c>
      <c r="H3" s="9" t="n">
        <f aca="false">H44+H83-H8</f>
        <v>705410</v>
      </c>
      <c r="I3" s="9" t="n">
        <f aca="false">I44+I83-I8</f>
        <v>0</v>
      </c>
      <c r="J3" s="9" t="n">
        <f aca="false">J44+J83-J8</f>
        <v>-135557</v>
      </c>
      <c r="K3" s="9" t="n">
        <f aca="false">K44+K83-K8</f>
        <v>29112</v>
      </c>
      <c r="L3" s="9" t="n">
        <f aca="false">L44+L83-L8</f>
        <v>227</v>
      </c>
      <c r="M3" s="9" t="n">
        <f aca="false">M44+M83-M8</f>
        <v>599192</v>
      </c>
      <c r="N3" s="9" t="n">
        <f aca="false">N44+N83-N8</f>
        <v>161791.49</v>
      </c>
      <c r="O3" s="10" t="n">
        <f aca="false">N3/$M3</f>
        <v>0.270016105021429</v>
      </c>
      <c r="P3" s="9" t="n">
        <f aca="false">P44+P83-P8</f>
        <v>299838.72</v>
      </c>
      <c r="Q3" s="10" t="n">
        <f aca="false">P3/$M3</f>
        <v>0.500405078839504</v>
      </c>
      <c r="R3" s="9" t="n">
        <f aca="false">R44+R83-R8</f>
        <v>472847.78</v>
      </c>
      <c r="S3" s="10" t="n">
        <f aca="false">R3/$M3</f>
        <v>0.789142345024633</v>
      </c>
      <c r="T3" s="9" t="n">
        <f aca="false">T44+T83-T8</f>
        <v>618124.85</v>
      </c>
      <c r="U3" s="10" t="n">
        <f aca="false">T3/$M3</f>
        <v>1.03159730103206</v>
      </c>
      <c r="V3" s="9" t="n">
        <f aca="false">V44+V83-V8</f>
        <v>539096</v>
      </c>
      <c r="W3" s="9" t="n">
        <f aca="false">W44+W83-W8</f>
        <v>540596</v>
      </c>
    </row>
    <row r="4" customFormat="false" ht="12.8" hidden="false" customHeight="false" outlineLevel="0" collapsed="false">
      <c r="A4" s="7"/>
      <c r="B4" s="8" t="n">
        <v>41</v>
      </c>
      <c r="C4" s="8" t="s">
        <v>23</v>
      </c>
      <c r="D4" s="9" t="n">
        <f aca="false">D26+D45-D9</f>
        <v>1022076.97</v>
      </c>
      <c r="E4" s="9" t="n">
        <f aca="false">E26+E45-E9</f>
        <v>1081720.24</v>
      </c>
      <c r="F4" s="9" t="n">
        <f aca="false">F26+F45-F9</f>
        <v>1111613</v>
      </c>
      <c r="G4" s="9" t="n">
        <f aca="false">G26+G45-G9</f>
        <v>1161876.73</v>
      </c>
      <c r="H4" s="9" t="n">
        <f aca="false">H26+H45-H9</f>
        <v>1256311</v>
      </c>
      <c r="I4" s="9" t="n">
        <f aca="false">I26+I45-I9</f>
        <v>5000</v>
      </c>
      <c r="J4" s="9" t="n">
        <f aca="false">J26+J45-J9</f>
        <v>22050</v>
      </c>
      <c r="K4" s="9" t="n">
        <f aca="false">K26+K45-K9</f>
        <v>3635</v>
      </c>
      <c r="L4" s="9" t="n">
        <f aca="false">L26+L45-L9</f>
        <v>0</v>
      </c>
      <c r="M4" s="9" t="n">
        <f aca="false">M26+M45-M9</f>
        <v>1286996</v>
      </c>
      <c r="N4" s="9" t="n">
        <f aca="false">N26+N45-N9</f>
        <v>350742.28</v>
      </c>
      <c r="O4" s="10" t="n">
        <f aca="false">N4/$M4</f>
        <v>0.272527871104494</v>
      </c>
      <c r="P4" s="9" t="n">
        <f aca="false">P26+P45-P9</f>
        <v>653702.29</v>
      </c>
      <c r="Q4" s="10" t="n">
        <f aca="false">P4/$M4</f>
        <v>0.50792876590137</v>
      </c>
      <c r="R4" s="9" t="n">
        <f aca="false">R26+R45-R9</f>
        <v>980838.08</v>
      </c>
      <c r="S4" s="10" t="n">
        <f aca="false">R4/$M4</f>
        <v>0.762114318925622</v>
      </c>
      <c r="T4" s="9" t="n">
        <f aca="false">T26+T45-T9</f>
        <v>1320066.84</v>
      </c>
      <c r="U4" s="10" t="n">
        <f aca="false">T4/$M4</f>
        <v>1.02569614823978</v>
      </c>
      <c r="V4" s="9" t="n">
        <f aca="false">V26+V45-V9</f>
        <v>1238678</v>
      </c>
      <c r="W4" s="9" t="n">
        <f aca="false">W26+W45-W9</f>
        <v>1238678</v>
      </c>
    </row>
    <row r="5" customFormat="false" ht="12.8" hidden="false" customHeight="false" outlineLevel="0" collapsed="false">
      <c r="A5" s="7"/>
      <c r="B5" s="8" t="n">
        <v>71</v>
      </c>
      <c r="C5" s="8" t="s">
        <v>24</v>
      </c>
      <c r="D5" s="9" t="n">
        <f aca="false">D84</f>
        <v>700</v>
      </c>
      <c r="E5" s="9" t="n">
        <f aca="false">E84</f>
        <v>1400</v>
      </c>
      <c r="F5" s="9" t="n">
        <f aca="false">F84</f>
        <v>1400</v>
      </c>
      <c r="G5" s="9" t="n">
        <f aca="false">G84</f>
        <v>1400</v>
      </c>
      <c r="H5" s="9" t="n">
        <f aca="false">H84</f>
        <v>1400</v>
      </c>
      <c r="I5" s="9" t="n">
        <f aca="false">I84</f>
        <v>0</v>
      </c>
      <c r="J5" s="9" t="n">
        <f aca="false">J84</f>
        <v>0</v>
      </c>
      <c r="K5" s="9" t="n">
        <f aca="false">K84</f>
        <v>0</v>
      </c>
      <c r="L5" s="9" t="n">
        <f aca="false">L84</f>
        <v>0</v>
      </c>
      <c r="M5" s="9" t="n">
        <f aca="false">M84</f>
        <v>1400</v>
      </c>
      <c r="N5" s="9" t="n">
        <f aca="false">N84</f>
        <v>0</v>
      </c>
      <c r="O5" s="10" t="n">
        <f aca="false">N5/$M5</f>
        <v>0</v>
      </c>
      <c r="P5" s="9" t="n">
        <f aca="false">P84</f>
        <v>1400</v>
      </c>
      <c r="Q5" s="10" t="n">
        <f aca="false">P5/$M5</f>
        <v>1</v>
      </c>
      <c r="R5" s="9" t="n">
        <f aca="false">R84</f>
        <v>1400</v>
      </c>
      <c r="S5" s="10" t="n">
        <f aca="false">R5/$M5</f>
        <v>1</v>
      </c>
      <c r="T5" s="9" t="n">
        <f aca="false">T84</f>
        <v>1400</v>
      </c>
      <c r="U5" s="10" t="n">
        <f aca="false">T5/$M5</f>
        <v>1</v>
      </c>
      <c r="V5" s="9" t="n">
        <f aca="false">V84</f>
        <v>1400</v>
      </c>
      <c r="W5" s="9" t="n">
        <f aca="false">W84</f>
        <v>1400</v>
      </c>
    </row>
    <row r="6" customFormat="false" ht="12.8" hidden="false" customHeight="false" outlineLevel="0" collapsed="false">
      <c r="A6" s="7"/>
      <c r="B6" s="8" t="n">
        <v>72</v>
      </c>
      <c r="C6" s="8" t="s">
        <v>25</v>
      </c>
      <c r="D6" s="9" t="n">
        <f aca="false">D46+D85</f>
        <v>0</v>
      </c>
      <c r="E6" s="9" t="n">
        <f aca="false">E46+E85</f>
        <v>0</v>
      </c>
      <c r="F6" s="9" t="n">
        <f aca="false">F46+F85</f>
        <v>49270</v>
      </c>
      <c r="G6" s="9" t="n">
        <f aca="false">G46+G85</f>
        <v>57663.81</v>
      </c>
      <c r="H6" s="9" t="n">
        <f aca="false">H46+H85</f>
        <v>51550</v>
      </c>
      <c r="I6" s="9" t="n">
        <f aca="false">I46+I85</f>
        <v>0</v>
      </c>
      <c r="J6" s="9" t="n">
        <f aca="false">J46+J85</f>
        <v>0</v>
      </c>
      <c r="K6" s="9" t="n">
        <f aca="false">K46+K85</f>
        <v>2675</v>
      </c>
      <c r="L6" s="9" t="n">
        <f aca="false">L46+L85</f>
        <v>568</v>
      </c>
      <c r="M6" s="9" t="n">
        <f aca="false">M46+M85</f>
        <v>54793</v>
      </c>
      <c r="N6" s="9" t="n">
        <f aca="false">N46+N85</f>
        <v>15319.83</v>
      </c>
      <c r="O6" s="10" t="n">
        <f aca="false">N6/$M6</f>
        <v>0.279594656251711</v>
      </c>
      <c r="P6" s="9" t="n">
        <f aca="false">P46+P85</f>
        <v>29605.45</v>
      </c>
      <c r="Q6" s="10" t="n">
        <f aca="false">P6/$M6</f>
        <v>0.54031445622616</v>
      </c>
      <c r="R6" s="9" t="n">
        <f aca="false">R46+R85</f>
        <v>41543.71</v>
      </c>
      <c r="S6" s="10" t="n">
        <f aca="false">R6/$M6</f>
        <v>0.75819374737649</v>
      </c>
      <c r="T6" s="9" t="n">
        <f aca="false">T46+T85</f>
        <v>58656.99</v>
      </c>
      <c r="U6" s="10" t="n">
        <f aca="false">T6/$M6</f>
        <v>1.07051977442374</v>
      </c>
      <c r="V6" s="9" t="n">
        <f aca="false">V46+V85</f>
        <v>51550</v>
      </c>
      <c r="W6" s="9" t="n">
        <f aca="false">W46+W85</f>
        <v>51550</v>
      </c>
    </row>
    <row r="7" customFormat="false" ht="12.8" hidden="false" customHeight="false" outlineLevel="0" collapsed="false">
      <c r="A7" s="7"/>
      <c r="B7" s="8"/>
      <c r="C7" s="11" t="s">
        <v>26</v>
      </c>
      <c r="D7" s="12" t="n">
        <f aca="false">SUM(D3:D6)</f>
        <v>1587103.44</v>
      </c>
      <c r="E7" s="12" t="n">
        <f aca="false">SUM(E3:E6)</f>
        <v>1694202.73</v>
      </c>
      <c r="F7" s="12" t="n">
        <f aca="false">SUM(F3:F6)</f>
        <v>1812679</v>
      </c>
      <c r="G7" s="12" t="n">
        <f aca="false">SUM(G3:G6)</f>
        <v>2297516.8</v>
      </c>
      <c r="H7" s="12" t="n">
        <f aca="false">SUM(H3:H6)</f>
        <v>2014671</v>
      </c>
      <c r="I7" s="12" t="n">
        <f aca="false">SUM(I3:I6)</f>
        <v>5000</v>
      </c>
      <c r="J7" s="12" t="n">
        <f aca="false">SUM(J3:J6)</f>
        <v>-113507</v>
      </c>
      <c r="K7" s="12" t="n">
        <f aca="false">SUM(K3:K6)</f>
        <v>35422</v>
      </c>
      <c r="L7" s="12" t="n">
        <f aca="false">SUM(L3:L6)</f>
        <v>795</v>
      </c>
      <c r="M7" s="12" t="n">
        <f aca="false">SUM(M3:M6)</f>
        <v>1942381</v>
      </c>
      <c r="N7" s="12" t="n">
        <f aca="false">SUM(N3:N6)</f>
        <v>527853.6</v>
      </c>
      <c r="O7" s="13" t="n">
        <f aca="false">N7/$M7</f>
        <v>0.271755953131749</v>
      </c>
      <c r="P7" s="12" t="n">
        <f aca="false">SUM(P3:P6)</f>
        <v>984546.46</v>
      </c>
      <c r="Q7" s="13" t="n">
        <f aca="false">P7/$M7</f>
        <v>0.506876076320763</v>
      </c>
      <c r="R7" s="12" t="n">
        <f aca="false">SUM(R3:R6)</f>
        <v>1496629.57</v>
      </c>
      <c r="S7" s="13" t="n">
        <f aca="false">R7/$M7</f>
        <v>0.770512875692256</v>
      </c>
      <c r="T7" s="12" t="n">
        <f aca="false">SUM(T3:T6)</f>
        <v>1998248.68</v>
      </c>
      <c r="U7" s="13" t="n">
        <f aca="false">T7/$M7</f>
        <v>1.02876247245005</v>
      </c>
      <c r="V7" s="12" t="n">
        <f aca="false">SUM(V3:V6)</f>
        <v>1830724</v>
      </c>
      <c r="W7" s="12" t="n">
        <f aca="false">SUM(W3:W6)</f>
        <v>1832224</v>
      </c>
    </row>
    <row r="8" customFormat="false" ht="12.8" hidden="false" customHeight="false" outlineLevel="0" collapsed="false">
      <c r="A8" s="7"/>
      <c r="B8" s="8" t="n">
        <v>111</v>
      </c>
      <c r="C8" s="8" t="s">
        <v>22</v>
      </c>
      <c r="D8" s="9" t="n">
        <f aca="false">D121</f>
        <v>0</v>
      </c>
      <c r="E8" s="9" t="n">
        <f aca="false">E121</f>
        <v>0</v>
      </c>
      <c r="F8" s="9" t="n">
        <f aca="false">SUM(F113:F118)</f>
        <v>1576000</v>
      </c>
      <c r="G8" s="9" t="n">
        <f aca="false">G121</f>
        <v>5144</v>
      </c>
      <c r="H8" s="9" t="n">
        <f aca="false">SUM(H113:H120)</f>
        <v>995166</v>
      </c>
      <c r="I8" s="9" t="n">
        <f aca="false">SUM(I113:I120)</f>
        <v>0</v>
      </c>
      <c r="J8" s="9" t="n">
        <f aca="false">SUM(J113:J120)</f>
        <v>137658</v>
      </c>
      <c r="K8" s="9" t="n">
        <f aca="false">SUM(K113:K120)</f>
        <v>-27425</v>
      </c>
      <c r="L8" s="9" t="n">
        <f aca="false">SUM(L113:L120)</f>
        <v>0</v>
      </c>
      <c r="M8" s="9" t="n">
        <f aca="false">SUM(M113:M120)</f>
        <v>1105399</v>
      </c>
      <c r="N8" s="9" t="n">
        <f aca="false">SUM(N113:N120)</f>
        <v>0</v>
      </c>
      <c r="O8" s="10" t="n">
        <f aca="false">N8/$M8</f>
        <v>0</v>
      </c>
      <c r="P8" s="9" t="n">
        <f aca="false">SUM(P113:P120)</f>
        <v>137657.39</v>
      </c>
      <c r="Q8" s="10" t="n">
        <f aca="false">P8/$M8</f>
        <v>0.12453185682274</v>
      </c>
      <c r="R8" s="9" t="n">
        <f aca="false">SUM(R113:R120)</f>
        <v>969356.05</v>
      </c>
      <c r="S8" s="10" t="n">
        <f aca="false">R8/$M8</f>
        <v>0.87692864748385</v>
      </c>
      <c r="T8" s="9" t="n">
        <f aca="false">SUM(T113:T120)</f>
        <v>975398.05</v>
      </c>
      <c r="U8" s="10" t="n">
        <f aca="false">T8/$M8</f>
        <v>0.882394547127327</v>
      </c>
      <c r="V8" s="9" t="n">
        <f aca="false">V121</f>
        <v>0</v>
      </c>
      <c r="W8" s="9" t="n">
        <f aca="false">W121</f>
        <v>0</v>
      </c>
    </row>
    <row r="9" customFormat="false" ht="12.8" hidden="false" customHeight="false" outlineLevel="0" collapsed="false">
      <c r="A9" s="7"/>
      <c r="B9" s="8" t="n">
        <v>43</v>
      </c>
      <c r="C9" s="8" t="s">
        <v>23</v>
      </c>
      <c r="D9" s="9" t="n">
        <f aca="false">D55</f>
        <v>0</v>
      </c>
      <c r="E9" s="9" t="n">
        <f aca="false">E55</f>
        <v>0</v>
      </c>
      <c r="F9" s="9" t="n">
        <f aca="false">F55</f>
        <v>0</v>
      </c>
      <c r="G9" s="9" t="n">
        <f aca="false">G55</f>
        <v>0</v>
      </c>
      <c r="H9" s="9" t="n">
        <f aca="false">H55</f>
        <v>0</v>
      </c>
      <c r="I9" s="9" t="n">
        <f aca="false">I55</f>
        <v>0</v>
      </c>
      <c r="J9" s="9" t="n">
        <f aca="false">J55</f>
        <v>1</v>
      </c>
      <c r="K9" s="9" t="n">
        <f aca="false">K55</f>
        <v>0</v>
      </c>
      <c r="L9" s="9" t="n">
        <f aca="false">L55</f>
        <v>0</v>
      </c>
      <c r="M9" s="9" t="n">
        <f aca="false">M55</f>
        <v>1</v>
      </c>
      <c r="N9" s="9" t="n">
        <f aca="false">N55</f>
        <v>1</v>
      </c>
      <c r="O9" s="10" t="n">
        <f aca="false">N9/$M9</f>
        <v>1</v>
      </c>
      <c r="P9" s="9" t="n">
        <f aca="false">P55</f>
        <v>1</v>
      </c>
      <c r="Q9" s="10" t="n">
        <f aca="false">P9/$M9</f>
        <v>1</v>
      </c>
      <c r="R9" s="9" t="n">
        <f aca="false">R55</f>
        <v>1</v>
      </c>
      <c r="S9" s="10" t="n">
        <f aca="false">R9/$M9</f>
        <v>1</v>
      </c>
      <c r="T9" s="9" t="n">
        <f aca="false">T55</f>
        <v>1</v>
      </c>
      <c r="U9" s="10" t="n">
        <f aca="false">T9/$M9</f>
        <v>1</v>
      </c>
      <c r="V9" s="9" t="n">
        <f aca="false">V55</f>
        <v>0</v>
      </c>
      <c r="W9" s="9" t="n">
        <f aca="false">W55</f>
        <v>0</v>
      </c>
    </row>
    <row r="10" customFormat="false" ht="12.8" hidden="false" customHeight="false" outlineLevel="0" collapsed="false">
      <c r="A10" s="7"/>
      <c r="B10" s="8"/>
      <c r="C10" s="11" t="s">
        <v>27</v>
      </c>
      <c r="D10" s="12" t="n">
        <f aca="false">SUM(D8:D9)</f>
        <v>0</v>
      </c>
      <c r="E10" s="12" t="n">
        <f aca="false">SUM(E8:E9)</f>
        <v>0</v>
      </c>
      <c r="F10" s="12" t="n">
        <f aca="false">SUM(F8:F9)</f>
        <v>1576000</v>
      </c>
      <c r="G10" s="12" t="n">
        <f aca="false">SUM(G8:G9)</f>
        <v>5144</v>
      </c>
      <c r="H10" s="12" t="n">
        <f aca="false">SUM(H8:H9)</f>
        <v>995166</v>
      </c>
      <c r="I10" s="12" t="n">
        <f aca="false">SUM(I8:I9)</f>
        <v>0</v>
      </c>
      <c r="J10" s="12" t="n">
        <f aca="false">SUM(J8:J9)</f>
        <v>137659</v>
      </c>
      <c r="K10" s="12" t="n">
        <f aca="false">SUM(K8:K9)</f>
        <v>-27425</v>
      </c>
      <c r="L10" s="12" t="n">
        <f aca="false">SUM(L8:L9)</f>
        <v>0</v>
      </c>
      <c r="M10" s="12" t="n">
        <f aca="false">SUM(M8:M9)</f>
        <v>1105400</v>
      </c>
      <c r="N10" s="12" t="n">
        <f aca="false">SUM(N8:N9)</f>
        <v>1</v>
      </c>
      <c r="O10" s="13" t="n">
        <f aca="false">N10/$M10</f>
        <v>9.04649900488511E-007</v>
      </c>
      <c r="P10" s="12" t="n">
        <f aca="false">SUM(P8:P9)</f>
        <v>137658.39</v>
      </c>
      <c r="Q10" s="13" t="n">
        <f aca="false">P10/$M10</f>
        <v>0.124532648814909</v>
      </c>
      <c r="R10" s="12" t="n">
        <f aca="false">SUM(R8:R9)</f>
        <v>969357.05</v>
      </c>
      <c r="S10" s="13" t="n">
        <f aca="false">R10/$M10</f>
        <v>0.876928758820337</v>
      </c>
      <c r="T10" s="12" t="n">
        <f aca="false">SUM(T8:T9)</f>
        <v>975399.05</v>
      </c>
      <c r="U10" s="13" t="n">
        <f aca="false">T10/$M10</f>
        <v>0.882394653519088</v>
      </c>
      <c r="V10" s="12" t="n">
        <f aca="false">SUM(V8:V9)</f>
        <v>0</v>
      </c>
      <c r="W10" s="12" t="n">
        <f aca="false">SUM(W8:W9)</f>
        <v>0</v>
      </c>
    </row>
    <row r="11" customFormat="false" ht="12.8" hidden="false" customHeight="false" outlineLevel="0" collapsed="false">
      <c r="A11" s="7"/>
      <c r="B11" s="8" t="n">
        <v>131</v>
      </c>
      <c r="C11" s="8" t="s">
        <v>22</v>
      </c>
      <c r="D11" s="9" t="n">
        <f aca="false">D131</f>
        <v>3513.02</v>
      </c>
      <c r="E11" s="9" t="n">
        <f aca="false">E131</f>
        <v>1030.96</v>
      </c>
      <c r="F11" s="9" t="n">
        <f aca="false">F131</f>
        <v>116854</v>
      </c>
      <c r="G11" s="9" t="n">
        <f aca="false">G131</f>
        <v>116750.27</v>
      </c>
      <c r="H11" s="9" t="n">
        <f aca="false">H131</f>
        <v>3111</v>
      </c>
      <c r="I11" s="9" t="n">
        <f aca="false">I131</f>
        <v>0</v>
      </c>
      <c r="J11" s="9" t="n">
        <f aca="false">J131</f>
        <v>0</v>
      </c>
      <c r="K11" s="9" t="n">
        <f aca="false">K131</f>
        <v>27</v>
      </c>
      <c r="L11" s="9" t="n">
        <f aca="false">L131</f>
        <v>0</v>
      </c>
      <c r="M11" s="9" t="n">
        <f aca="false">M131</f>
        <v>3138</v>
      </c>
      <c r="N11" s="9" t="n">
        <f aca="false">N131</f>
        <v>0</v>
      </c>
      <c r="O11" s="10" t="n">
        <f aca="false">N11/$M11</f>
        <v>0</v>
      </c>
      <c r="P11" s="9" t="n">
        <f aca="false">P131</f>
        <v>3137.87</v>
      </c>
      <c r="Q11" s="10" t="n">
        <f aca="false">P11/$M11</f>
        <v>0.999958572339069</v>
      </c>
      <c r="R11" s="9" t="n">
        <f aca="false">R131</f>
        <v>3137.87</v>
      </c>
      <c r="S11" s="10" t="n">
        <f aca="false">R11/$M11</f>
        <v>0.999958572339069</v>
      </c>
      <c r="T11" s="9" t="n">
        <f aca="false">T131</f>
        <v>3137.87</v>
      </c>
      <c r="U11" s="10" t="n">
        <f aca="false">T11/$M11</f>
        <v>0.999958572339069</v>
      </c>
      <c r="V11" s="9" t="n">
        <f aca="false">V131</f>
        <v>0</v>
      </c>
      <c r="W11" s="9" t="n">
        <f aca="false">W131</f>
        <v>0</v>
      </c>
    </row>
    <row r="12" customFormat="false" ht="12.8" hidden="false" customHeight="false" outlineLevel="0" collapsed="false">
      <c r="A12" s="7"/>
      <c r="B12" s="8" t="n">
        <v>41</v>
      </c>
      <c r="C12" s="8" t="s">
        <v>23</v>
      </c>
      <c r="D12" s="9" t="n">
        <f aca="false">D132</f>
        <v>206590.62</v>
      </c>
      <c r="E12" s="9" t="n">
        <f aca="false">E132</f>
        <v>191209</v>
      </c>
      <c r="F12" s="9" t="n">
        <f aca="false">F132</f>
        <v>338753</v>
      </c>
      <c r="G12" s="9" t="n">
        <f aca="false">G132</f>
        <v>319003</v>
      </c>
      <c r="H12" s="9" t="n">
        <f aca="false">H132</f>
        <v>166088</v>
      </c>
      <c r="I12" s="9" t="n">
        <f aca="false">I132</f>
        <v>0</v>
      </c>
      <c r="J12" s="9" t="n">
        <f aca="false">J132</f>
        <v>0</v>
      </c>
      <c r="K12" s="9" t="n">
        <f aca="false">K132</f>
        <v>-727</v>
      </c>
      <c r="L12" s="9" t="n">
        <f aca="false">L132</f>
        <v>0</v>
      </c>
      <c r="M12" s="9" t="n">
        <f aca="false">M132</f>
        <v>165361</v>
      </c>
      <c r="N12" s="9" t="n">
        <f aca="false">N132</f>
        <v>0</v>
      </c>
      <c r="O12" s="10" t="n">
        <f aca="false">N12/$M12</f>
        <v>0</v>
      </c>
      <c r="P12" s="9" t="n">
        <f aca="false">P132</f>
        <v>165361.36</v>
      </c>
      <c r="Q12" s="10" t="n">
        <f aca="false">P12/$M12</f>
        <v>1.00000217705505</v>
      </c>
      <c r="R12" s="9" t="n">
        <f aca="false">R132</f>
        <v>165361.36</v>
      </c>
      <c r="S12" s="10" t="n">
        <f aca="false">R12/$M12</f>
        <v>1.00000217705505</v>
      </c>
      <c r="T12" s="9" t="n">
        <f aca="false">T132</f>
        <v>165361.36</v>
      </c>
      <c r="U12" s="10" t="n">
        <f aca="false">T12/$M12</f>
        <v>1.00000217705505</v>
      </c>
      <c r="V12" s="9" t="n">
        <f aca="false">V132</f>
        <v>0</v>
      </c>
      <c r="W12" s="9" t="n">
        <f aca="false">W132</f>
        <v>0</v>
      </c>
    </row>
    <row r="13" customFormat="false" ht="12.8" hidden="false" customHeight="false" outlineLevel="0" collapsed="false">
      <c r="A13" s="7"/>
      <c r="B13" s="8" t="n">
        <v>52</v>
      </c>
      <c r="C13" s="8" t="s">
        <v>28</v>
      </c>
      <c r="D13" s="9" t="n">
        <f aca="false">D133</f>
        <v>0</v>
      </c>
      <c r="E13" s="9" t="n">
        <f aca="false">E133</f>
        <v>0</v>
      </c>
      <c r="F13" s="9" t="n">
        <f aca="false">F133</f>
        <v>0</v>
      </c>
      <c r="G13" s="9" t="n">
        <f aca="false">G133</f>
        <v>0</v>
      </c>
      <c r="H13" s="9" t="n">
        <f aca="false">H133</f>
        <v>0</v>
      </c>
      <c r="I13" s="9" t="n">
        <f aca="false">I133</f>
        <v>0</v>
      </c>
      <c r="J13" s="9" t="n">
        <f aca="false">J133</f>
        <v>0</v>
      </c>
      <c r="K13" s="9" t="n">
        <f aca="false">K133</f>
        <v>0</v>
      </c>
      <c r="L13" s="9" t="n">
        <f aca="false">L133</f>
        <v>0</v>
      </c>
      <c r="M13" s="9" t="n">
        <f aca="false">M133</f>
        <v>0</v>
      </c>
      <c r="N13" s="9" t="n">
        <f aca="false">N133</f>
        <v>0</v>
      </c>
      <c r="O13" s="10" t="e">
        <f aca="false">N13/$M13</f>
        <v>#DIV/0!</v>
      </c>
      <c r="P13" s="9" t="n">
        <f aca="false">P133</f>
        <v>0</v>
      </c>
      <c r="Q13" s="10" t="e">
        <f aca="false">P13/$M13</f>
        <v>#DIV/0!</v>
      </c>
      <c r="R13" s="9" t="n">
        <f aca="false">R133</f>
        <v>0</v>
      </c>
      <c r="S13" s="10" t="e">
        <f aca="false">R13/$M13</f>
        <v>#DIV/0!</v>
      </c>
      <c r="T13" s="9" t="n">
        <f aca="false">T133</f>
        <v>0</v>
      </c>
      <c r="U13" s="10" t="e">
        <f aca="false">T13/$M13</f>
        <v>#DIV/0!</v>
      </c>
      <c r="V13" s="9" t="n">
        <f aca="false">V133</f>
        <v>0</v>
      </c>
      <c r="W13" s="9" t="n">
        <f aca="false">W133</f>
        <v>0</v>
      </c>
    </row>
    <row r="14" customFormat="false" ht="12.8" hidden="false" customHeight="false" outlineLevel="0" collapsed="false">
      <c r="A14" s="7"/>
      <c r="B14" s="8" t="n">
        <v>71</v>
      </c>
      <c r="C14" s="8" t="s">
        <v>24</v>
      </c>
      <c r="D14" s="9" t="n">
        <f aca="false">D134</f>
        <v>0</v>
      </c>
      <c r="E14" s="9" t="n">
        <f aca="false">E134</f>
        <v>16000</v>
      </c>
      <c r="F14" s="9" t="n">
        <f aca="false">F134</f>
        <v>16000</v>
      </c>
      <c r="G14" s="9" t="n">
        <f aca="false">G134</f>
        <v>91210.5</v>
      </c>
      <c r="H14" s="9" t="n">
        <f aca="false">H134</f>
        <v>4500</v>
      </c>
      <c r="I14" s="9" t="n">
        <f aca="false">I134</f>
        <v>0</v>
      </c>
      <c r="J14" s="9" t="n">
        <f aca="false">J134</f>
        <v>118</v>
      </c>
      <c r="K14" s="9" t="n">
        <f aca="false">K134</f>
        <v>700</v>
      </c>
      <c r="L14" s="9" t="n">
        <f aca="false">L134</f>
        <v>0</v>
      </c>
      <c r="M14" s="9" t="n">
        <f aca="false">M134</f>
        <v>5318</v>
      </c>
      <c r="N14" s="9" t="n">
        <f aca="false">N134</f>
        <v>117.83</v>
      </c>
      <c r="O14" s="10" t="n">
        <f aca="false">N14/$M14</f>
        <v>0.0221568258743889</v>
      </c>
      <c r="P14" s="9" t="n">
        <f aca="false">P134</f>
        <v>5317.83</v>
      </c>
      <c r="Q14" s="10" t="n">
        <f aca="false">P14/$M14</f>
        <v>0.999968033095148</v>
      </c>
      <c r="R14" s="9" t="n">
        <f aca="false">R134</f>
        <v>5317.83</v>
      </c>
      <c r="S14" s="10" t="n">
        <f aca="false">R14/$M14</f>
        <v>0.999968033095148</v>
      </c>
      <c r="T14" s="9" t="n">
        <f aca="false">T134</f>
        <v>5317.83</v>
      </c>
      <c r="U14" s="10" t="n">
        <f aca="false">T14/$M14</f>
        <v>0.999968033095148</v>
      </c>
      <c r="V14" s="9" t="n">
        <f aca="false">V134</f>
        <v>0</v>
      </c>
      <c r="W14" s="9" t="n">
        <f aca="false">W134</f>
        <v>0</v>
      </c>
    </row>
    <row r="15" customFormat="false" ht="12.8" hidden="false" customHeight="false" outlineLevel="0" collapsed="false">
      <c r="A15" s="7"/>
      <c r="B15" s="8" t="n">
        <v>72</v>
      </c>
      <c r="C15" s="8" t="s">
        <v>25</v>
      </c>
      <c r="D15" s="9" t="n">
        <f aca="false">D135</f>
        <v>0</v>
      </c>
      <c r="E15" s="9" t="n">
        <f aca="false">E135</f>
        <v>0</v>
      </c>
      <c r="F15" s="9" t="n">
        <f aca="false">F135</f>
        <v>0</v>
      </c>
      <c r="G15" s="9" t="n">
        <f aca="false">G135</f>
        <v>0</v>
      </c>
      <c r="H15" s="9" t="n">
        <f aca="false">H135</f>
        <v>0</v>
      </c>
      <c r="I15" s="9" t="n">
        <f aca="false">I135</f>
        <v>0</v>
      </c>
      <c r="J15" s="9" t="n">
        <f aca="false">J135</f>
        <v>0</v>
      </c>
      <c r="K15" s="9" t="n">
        <f aca="false">K135</f>
        <v>5429</v>
      </c>
      <c r="L15" s="9" t="n">
        <f aca="false">L135</f>
        <v>0</v>
      </c>
      <c r="M15" s="9" t="n">
        <f aca="false">M135</f>
        <v>5429</v>
      </c>
      <c r="N15" s="9" t="n">
        <f aca="false">N135</f>
        <v>5428.84</v>
      </c>
      <c r="O15" s="10" t="n">
        <f aca="false">N15/$M15</f>
        <v>0.999970528642475</v>
      </c>
      <c r="P15" s="9" t="n">
        <f aca="false">P135</f>
        <v>5428.84</v>
      </c>
      <c r="Q15" s="10" t="n">
        <f aca="false">P15/$M15</f>
        <v>0.999970528642475</v>
      </c>
      <c r="R15" s="9" t="n">
        <f aca="false">R135</f>
        <v>5428.84</v>
      </c>
      <c r="S15" s="10" t="n">
        <f aca="false">R15/$M15</f>
        <v>0.999970528642475</v>
      </c>
      <c r="T15" s="9" t="n">
        <f aca="false">T135</f>
        <v>5428.84</v>
      </c>
      <c r="U15" s="10" t="n">
        <f aca="false">T15/$M15</f>
        <v>0.999970528642475</v>
      </c>
      <c r="V15" s="9" t="n">
        <f aca="false">V135</f>
        <v>0</v>
      </c>
      <c r="W15" s="9" t="n">
        <f aca="false">W135</f>
        <v>0</v>
      </c>
    </row>
    <row r="16" customFormat="false" ht="12.8" hidden="false" customHeight="false" outlineLevel="0" collapsed="false">
      <c r="A16" s="7"/>
      <c r="B16" s="8"/>
      <c r="C16" s="11" t="s">
        <v>29</v>
      </c>
      <c r="D16" s="12" t="n">
        <f aca="false">SUM(D11:D15)</f>
        <v>210103.64</v>
      </c>
      <c r="E16" s="12" t="n">
        <f aca="false">SUM(E11:E15)</f>
        <v>208239.96</v>
      </c>
      <c r="F16" s="12" t="n">
        <f aca="false">SUM(F11:F15)</f>
        <v>471607</v>
      </c>
      <c r="G16" s="12" t="n">
        <f aca="false">SUM(G11:G15)</f>
        <v>526963.77</v>
      </c>
      <c r="H16" s="12" t="n">
        <f aca="false">SUM(H11:H15)</f>
        <v>173699</v>
      </c>
      <c r="I16" s="12" t="n">
        <f aca="false">SUM(I11:I15)</f>
        <v>0</v>
      </c>
      <c r="J16" s="12" t="n">
        <f aca="false">SUM(J11:J15)</f>
        <v>118</v>
      </c>
      <c r="K16" s="12" t="n">
        <f aca="false">SUM(K11:K15)</f>
        <v>5429</v>
      </c>
      <c r="L16" s="12" t="n">
        <f aca="false">SUM(L11:L15)</f>
        <v>0</v>
      </c>
      <c r="M16" s="12" t="n">
        <f aca="false">SUM(M11:M15)</f>
        <v>179246</v>
      </c>
      <c r="N16" s="12" t="n">
        <f aca="false">SUM(N11:N15)</f>
        <v>5546.67</v>
      </c>
      <c r="O16" s="13" t="n">
        <f aca="false">N16/$M16</f>
        <v>0.0309444562221751</v>
      </c>
      <c r="P16" s="12" t="n">
        <f aca="false">SUM(P11:P15)</f>
        <v>179245.9</v>
      </c>
      <c r="Q16" s="13" t="n">
        <f aca="false">P16/$M16</f>
        <v>0.999999442107495</v>
      </c>
      <c r="R16" s="12" t="n">
        <f aca="false">SUM(R11:R15)</f>
        <v>179245.9</v>
      </c>
      <c r="S16" s="13" t="n">
        <f aca="false">R16/$M16</f>
        <v>0.999999442107495</v>
      </c>
      <c r="T16" s="12" t="n">
        <f aca="false">SUM(T11:T15)</f>
        <v>179245.9</v>
      </c>
      <c r="U16" s="13" t="n">
        <f aca="false">T16/$M16</f>
        <v>0.999999442107495</v>
      </c>
      <c r="V16" s="12" t="n">
        <f aca="false">SUM(V11:V15)</f>
        <v>0</v>
      </c>
      <c r="W16" s="12" t="n">
        <f aca="false">SUM(W11:W15)</f>
        <v>0</v>
      </c>
    </row>
    <row r="17" customFormat="false" ht="12.8" hidden="false" customHeight="false" outlineLevel="0" collapsed="false">
      <c r="A17" s="7"/>
      <c r="B17" s="8" t="n">
        <v>111</v>
      </c>
      <c r="C17" s="8" t="s">
        <v>22</v>
      </c>
      <c r="D17" s="9" t="n">
        <f aca="false">D3+D8+D11</f>
        <v>567839.49</v>
      </c>
      <c r="E17" s="9" t="n">
        <f aca="false">E3+E8+E11</f>
        <v>612113.45</v>
      </c>
      <c r="F17" s="9" t="n">
        <f aca="false">F3+F8+F11</f>
        <v>2343250</v>
      </c>
      <c r="G17" s="9" t="n">
        <f aca="false">G3+G8+G11</f>
        <v>1198470.53</v>
      </c>
      <c r="H17" s="9" t="n">
        <f aca="false">H3+H8+H11</f>
        <v>1703687</v>
      </c>
      <c r="I17" s="9" t="n">
        <f aca="false">I3+I8+I11</f>
        <v>0</v>
      </c>
      <c r="J17" s="9" t="n">
        <f aca="false">J3+J8+J11</f>
        <v>2101</v>
      </c>
      <c r="K17" s="9" t="n">
        <f aca="false">K3+K8+K11</f>
        <v>1714</v>
      </c>
      <c r="L17" s="9" t="n">
        <f aca="false">L3+L8+L11</f>
        <v>227</v>
      </c>
      <c r="M17" s="9" t="n">
        <f aca="false">M3+M8+M11</f>
        <v>1707729</v>
      </c>
      <c r="N17" s="9" t="n">
        <f aca="false">N3+N8+N11</f>
        <v>161791.49</v>
      </c>
      <c r="O17" s="10" t="n">
        <f aca="false">N17/$M17</f>
        <v>0.094740728769026</v>
      </c>
      <c r="P17" s="9" t="n">
        <f aca="false">P3+P8+P11</f>
        <v>440633.98</v>
      </c>
      <c r="Q17" s="10" t="n">
        <f aca="false">P17/$M17</f>
        <v>0.258023363191701</v>
      </c>
      <c r="R17" s="9" t="n">
        <f aca="false">R3+R8+R11</f>
        <v>1445341.7</v>
      </c>
      <c r="S17" s="10" t="n">
        <f aca="false">R17/$M17</f>
        <v>0.846353080611736</v>
      </c>
      <c r="T17" s="9" t="n">
        <f aca="false">T3+T8+T11</f>
        <v>1596660.77</v>
      </c>
      <c r="U17" s="10" t="n">
        <f aca="false">T17/$M17</f>
        <v>0.934961442945573</v>
      </c>
      <c r="V17" s="9" t="n">
        <f aca="false">V3+V8+V11</f>
        <v>539096</v>
      </c>
      <c r="W17" s="9" t="n">
        <f aca="false">W3+W8+W11</f>
        <v>540596</v>
      </c>
    </row>
    <row r="18" customFormat="false" ht="12.8" hidden="false" customHeight="false" outlineLevel="0" collapsed="false">
      <c r="A18" s="7"/>
      <c r="B18" s="8" t="n">
        <v>41</v>
      </c>
      <c r="C18" s="8" t="s">
        <v>23</v>
      </c>
      <c r="D18" s="9" t="n">
        <f aca="false">D4+D9+D12</f>
        <v>1228667.59</v>
      </c>
      <c r="E18" s="9" t="n">
        <f aca="false">E4+E9+E12</f>
        <v>1272929.24</v>
      </c>
      <c r="F18" s="9" t="n">
        <f aca="false">F4+F9+F12</f>
        <v>1450366</v>
      </c>
      <c r="G18" s="9" t="n">
        <f aca="false">G4+G9+G12</f>
        <v>1480879.73</v>
      </c>
      <c r="H18" s="9" t="n">
        <f aca="false">H4+H9+H12</f>
        <v>1422399</v>
      </c>
      <c r="I18" s="9" t="n">
        <f aca="false">I4+I9+I12</f>
        <v>5000</v>
      </c>
      <c r="J18" s="9" t="n">
        <f aca="false">J4+J9+J12</f>
        <v>22051</v>
      </c>
      <c r="K18" s="9" t="n">
        <f aca="false">K4+K9+K12</f>
        <v>2908</v>
      </c>
      <c r="L18" s="9" t="n">
        <f aca="false">L4+L9+L12</f>
        <v>0</v>
      </c>
      <c r="M18" s="9" t="n">
        <f aca="false">M4+M9+M12</f>
        <v>1452358</v>
      </c>
      <c r="N18" s="9" t="n">
        <f aca="false">N4+N9+N12</f>
        <v>350743.28</v>
      </c>
      <c r="O18" s="10" t="n">
        <f aca="false">N18/$M18</f>
        <v>0.24149918959375</v>
      </c>
      <c r="P18" s="9" t="n">
        <f aca="false">P4+P9+P12</f>
        <v>819064.65</v>
      </c>
      <c r="Q18" s="10" t="n">
        <f aca="false">P18/$M18</f>
        <v>0.563955064798073</v>
      </c>
      <c r="R18" s="9" t="n">
        <f aca="false">R4+R9+R12</f>
        <v>1146200.44</v>
      </c>
      <c r="S18" s="10" t="n">
        <f aca="false">R18/$M18</f>
        <v>0.789199660138891</v>
      </c>
      <c r="T18" s="9" t="n">
        <f aca="false">T4+T9+T12</f>
        <v>1485429.2</v>
      </c>
      <c r="U18" s="10" t="n">
        <f aca="false">T18/$M18</f>
        <v>1.02277069427786</v>
      </c>
      <c r="V18" s="9" t="n">
        <f aca="false">V4+V9+V12</f>
        <v>1238678</v>
      </c>
      <c r="W18" s="9" t="n">
        <f aca="false">W4+W9+W12</f>
        <v>1238678</v>
      </c>
    </row>
    <row r="19" customFormat="false" ht="12.8" hidden="false" customHeight="false" outlineLevel="0" collapsed="false">
      <c r="A19" s="7"/>
      <c r="B19" s="8" t="n">
        <v>52</v>
      </c>
      <c r="C19" s="8" t="s">
        <v>28</v>
      </c>
      <c r="D19" s="9" t="n">
        <f aca="false">D13</f>
        <v>0</v>
      </c>
      <c r="E19" s="9" t="n">
        <f aca="false">E13</f>
        <v>0</v>
      </c>
      <c r="F19" s="9" t="n">
        <f aca="false">F13</f>
        <v>0</v>
      </c>
      <c r="G19" s="9" t="n">
        <f aca="false">G13</f>
        <v>0</v>
      </c>
      <c r="H19" s="9" t="n">
        <f aca="false">H13</f>
        <v>0</v>
      </c>
      <c r="I19" s="9" t="n">
        <f aca="false">I13</f>
        <v>0</v>
      </c>
      <c r="J19" s="9" t="n">
        <f aca="false">J13</f>
        <v>0</v>
      </c>
      <c r="K19" s="9" t="n">
        <f aca="false">K13</f>
        <v>0</v>
      </c>
      <c r="L19" s="9" t="n">
        <f aca="false">L13</f>
        <v>0</v>
      </c>
      <c r="M19" s="9" t="n">
        <f aca="false">M13</f>
        <v>0</v>
      </c>
      <c r="N19" s="9" t="n">
        <f aca="false">N13</f>
        <v>0</v>
      </c>
      <c r="O19" s="10" t="e">
        <f aca="false">N19/$M19</f>
        <v>#DIV/0!</v>
      </c>
      <c r="P19" s="9" t="n">
        <f aca="false">P13</f>
        <v>0</v>
      </c>
      <c r="Q19" s="10" t="e">
        <f aca="false">P19/$M19</f>
        <v>#DIV/0!</v>
      </c>
      <c r="R19" s="9" t="n">
        <f aca="false">R13</f>
        <v>0</v>
      </c>
      <c r="S19" s="10" t="e">
        <f aca="false">R19/$M19</f>
        <v>#DIV/0!</v>
      </c>
      <c r="T19" s="9" t="n">
        <f aca="false">T13</f>
        <v>0</v>
      </c>
      <c r="U19" s="10" t="e">
        <f aca="false">T19/$M19</f>
        <v>#DIV/0!</v>
      </c>
      <c r="V19" s="9" t="n">
        <f aca="false">V13</f>
        <v>0</v>
      </c>
      <c r="W19" s="9" t="n">
        <f aca="false">W13</f>
        <v>0</v>
      </c>
    </row>
    <row r="20" customFormat="false" ht="12.8" hidden="false" customHeight="false" outlineLevel="0" collapsed="false">
      <c r="A20" s="7"/>
      <c r="B20" s="8" t="n">
        <v>71</v>
      </c>
      <c r="C20" s="8" t="s">
        <v>24</v>
      </c>
      <c r="D20" s="9" t="n">
        <f aca="false">D5+D14</f>
        <v>700</v>
      </c>
      <c r="E20" s="9" t="n">
        <f aca="false">E5+E14</f>
        <v>17400</v>
      </c>
      <c r="F20" s="9" t="n">
        <f aca="false">F5+F14</f>
        <v>17400</v>
      </c>
      <c r="G20" s="9" t="n">
        <f aca="false">G5+G14</f>
        <v>92610.5</v>
      </c>
      <c r="H20" s="9" t="n">
        <f aca="false">H5+H14</f>
        <v>5900</v>
      </c>
      <c r="I20" s="9" t="n">
        <f aca="false">I5+I14</f>
        <v>0</v>
      </c>
      <c r="J20" s="9" t="n">
        <f aca="false">J5+J14</f>
        <v>118</v>
      </c>
      <c r="K20" s="9" t="n">
        <f aca="false">K5+K14</f>
        <v>700</v>
      </c>
      <c r="L20" s="9" t="n">
        <f aca="false">L5+L14</f>
        <v>0</v>
      </c>
      <c r="M20" s="9" t="n">
        <f aca="false">M5+M14</f>
        <v>6718</v>
      </c>
      <c r="N20" s="9" t="n">
        <f aca="false">N5+N14</f>
        <v>117.83</v>
      </c>
      <c r="O20" s="10" t="n">
        <f aca="false">N20/$M20</f>
        <v>0.017539446263769</v>
      </c>
      <c r="P20" s="9" t="n">
        <f aca="false">P5+P14</f>
        <v>6717.83</v>
      </c>
      <c r="Q20" s="10" t="n">
        <f aca="false">P20/$M20</f>
        <v>0.999974694849658</v>
      </c>
      <c r="R20" s="9" t="n">
        <f aca="false">R5+R14</f>
        <v>6717.83</v>
      </c>
      <c r="S20" s="10" t="n">
        <f aca="false">R20/$M20</f>
        <v>0.999974694849658</v>
      </c>
      <c r="T20" s="9" t="n">
        <f aca="false">T5+T14</f>
        <v>6717.83</v>
      </c>
      <c r="U20" s="10" t="n">
        <f aca="false">T20/$M20</f>
        <v>0.999974694849658</v>
      </c>
      <c r="V20" s="9" t="n">
        <f aca="false">V5+V14</f>
        <v>1400</v>
      </c>
      <c r="W20" s="9" t="n">
        <f aca="false">W5+W14</f>
        <v>1400</v>
      </c>
    </row>
    <row r="21" customFormat="false" ht="12.8" hidden="false" customHeight="false" outlineLevel="0" collapsed="false">
      <c r="A21" s="7"/>
      <c r="B21" s="8" t="n">
        <v>72</v>
      </c>
      <c r="C21" s="8" t="s">
        <v>25</v>
      </c>
      <c r="D21" s="9" t="n">
        <f aca="false">D6+D15</f>
        <v>0</v>
      </c>
      <c r="E21" s="9" t="n">
        <f aca="false">E6+E15</f>
        <v>0</v>
      </c>
      <c r="F21" s="9" t="n">
        <f aca="false">F6+F15</f>
        <v>49270</v>
      </c>
      <c r="G21" s="9" t="n">
        <f aca="false">G6+G15</f>
        <v>57663.81</v>
      </c>
      <c r="H21" s="9" t="n">
        <f aca="false">H6+H15</f>
        <v>51550</v>
      </c>
      <c r="I21" s="9" t="n">
        <f aca="false">I6+I15</f>
        <v>0</v>
      </c>
      <c r="J21" s="9" t="n">
        <f aca="false">J6+J15</f>
        <v>0</v>
      </c>
      <c r="K21" s="9" t="n">
        <f aca="false">K6+K15</f>
        <v>8104</v>
      </c>
      <c r="L21" s="9" t="n">
        <f aca="false">L6+L15</f>
        <v>568</v>
      </c>
      <c r="M21" s="9" t="n">
        <f aca="false">M6+M15</f>
        <v>60222</v>
      </c>
      <c r="N21" s="9" t="n">
        <f aca="false">N6+N15</f>
        <v>20748.67</v>
      </c>
      <c r="O21" s="10" t="n">
        <f aca="false">N21/$M21</f>
        <v>0.34453638205307</v>
      </c>
      <c r="P21" s="9" t="n">
        <f aca="false">P6+P15</f>
        <v>35034.29</v>
      </c>
      <c r="Q21" s="10" t="n">
        <f aca="false">P21/$M21</f>
        <v>0.581752349639666</v>
      </c>
      <c r="R21" s="9" t="n">
        <f aca="false">R6+R15</f>
        <v>46972.55</v>
      </c>
      <c r="S21" s="10" t="n">
        <f aca="false">R21/$M21</f>
        <v>0.779989870811331</v>
      </c>
      <c r="T21" s="9" t="n">
        <f aca="false">T6+T15</f>
        <v>64085.83</v>
      </c>
      <c r="U21" s="10" t="n">
        <f aca="false">T21/$M21</f>
        <v>1.06415977549733</v>
      </c>
      <c r="V21" s="9" t="n">
        <f aca="false">V6+V15</f>
        <v>51550</v>
      </c>
      <c r="W21" s="9" t="n">
        <f aca="false">W6+W15</f>
        <v>51550</v>
      </c>
    </row>
    <row r="22" customFormat="false" ht="12.8" hidden="false" customHeight="false" outlineLevel="0" collapsed="false">
      <c r="A22" s="14"/>
      <c r="B22" s="15"/>
      <c r="C22" s="11" t="s">
        <v>30</v>
      </c>
      <c r="D22" s="12" t="n">
        <f aca="false">SUM(D17:D21)</f>
        <v>1797207.08</v>
      </c>
      <c r="E22" s="12" t="n">
        <f aca="false">SUM(E17:E21)</f>
        <v>1902442.69</v>
      </c>
      <c r="F22" s="12" t="n">
        <f aca="false">SUM(F17:F21)</f>
        <v>3860286</v>
      </c>
      <c r="G22" s="12" t="n">
        <f aca="false">SUM(G17:G21)</f>
        <v>2829624.57</v>
      </c>
      <c r="H22" s="12" t="n">
        <f aca="false">SUM(H17:H21)</f>
        <v>3183536</v>
      </c>
      <c r="I22" s="12" t="n">
        <f aca="false">SUM(I17:I21)</f>
        <v>5000</v>
      </c>
      <c r="J22" s="12" t="n">
        <f aca="false">SUM(J17:J21)</f>
        <v>24270</v>
      </c>
      <c r="K22" s="12" t="n">
        <f aca="false">SUM(K17:K21)</f>
        <v>13426</v>
      </c>
      <c r="L22" s="12" t="n">
        <f aca="false">SUM(L17:L21)</f>
        <v>795</v>
      </c>
      <c r="M22" s="12" t="n">
        <f aca="false">SUM(M17:M21)</f>
        <v>3227027</v>
      </c>
      <c r="N22" s="12" t="n">
        <f aca="false">SUM(N17:N21)</f>
        <v>533401.27</v>
      </c>
      <c r="O22" s="13" t="n">
        <f aca="false">N22/$M22</f>
        <v>0.165291852221875</v>
      </c>
      <c r="P22" s="12" t="n">
        <f aca="false">SUM(P17:P21)</f>
        <v>1301450.75</v>
      </c>
      <c r="Q22" s="13" t="n">
        <f aca="false">P22/$M22</f>
        <v>0.403297136962288</v>
      </c>
      <c r="R22" s="12" t="n">
        <f aca="false">SUM(R17:R21)</f>
        <v>2645232.52</v>
      </c>
      <c r="S22" s="13" t="n">
        <f aca="false">R22/$M22</f>
        <v>0.819711926798257</v>
      </c>
      <c r="T22" s="12" t="n">
        <f aca="false">SUM(T17:T21)</f>
        <v>3152893.63</v>
      </c>
      <c r="U22" s="13" t="n">
        <f aca="false">T22/$M22</f>
        <v>0.977027347462541</v>
      </c>
      <c r="V22" s="12" t="n">
        <f aca="false">SUM(V17:V21)</f>
        <v>1830724</v>
      </c>
      <c r="W22" s="12" t="n">
        <f aca="false">SUM(W17:W21)</f>
        <v>1832224</v>
      </c>
    </row>
    <row r="24" customFormat="false" ht="12.8" hidden="false" customHeight="false" outlineLevel="0" collapsed="false">
      <c r="A24" s="16" t="s">
        <v>31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customFormat="false" ht="12.8" hidden="false" customHeight="false" outlineLevel="0" collapsed="false">
      <c r="A25" s="4"/>
      <c r="B25" s="4"/>
      <c r="C25" s="4"/>
      <c r="D25" s="5" t="s">
        <v>1</v>
      </c>
      <c r="E25" s="5" t="s">
        <v>2</v>
      </c>
      <c r="F25" s="5" t="s">
        <v>3</v>
      </c>
      <c r="G25" s="5" t="s">
        <v>4</v>
      </c>
      <c r="H25" s="5" t="s">
        <v>5</v>
      </c>
      <c r="I25" s="5" t="s">
        <v>6</v>
      </c>
      <c r="J25" s="5" t="s">
        <v>7</v>
      </c>
      <c r="K25" s="5" t="s">
        <v>8</v>
      </c>
      <c r="L25" s="5" t="s">
        <v>9</v>
      </c>
      <c r="M25" s="5" t="s">
        <v>10</v>
      </c>
      <c r="N25" s="5" t="s">
        <v>11</v>
      </c>
      <c r="O25" s="5" t="s">
        <v>12</v>
      </c>
      <c r="P25" s="5" t="s">
        <v>13</v>
      </c>
      <c r="Q25" s="5" t="s">
        <v>14</v>
      </c>
      <c r="R25" s="5" t="s">
        <v>15</v>
      </c>
      <c r="S25" s="5" t="s">
        <v>16</v>
      </c>
      <c r="T25" s="5" t="s">
        <v>17</v>
      </c>
      <c r="U25" s="5" t="s">
        <v>18</v>
      </c>
      <c r="V25" s="5" t="s">
        <v>19</v>
      </c>
      <c r="W25" s="5" t="s">
        <v>20</v>
      </c>
    </row>
    <row r="26" customFormat="false" ht="12.8" hidden="false" customHeight="false" outlineLevel="0" collapsed="false">
      <c r="A26" s="17" t="s">
        <v>21</v>
      </c>
      <c r="B26" s="18" t="n">
        <v>41</v>
      </c>
      <c r="C26" s="18" t="s">
        <v>23</v>
      </c>
      <c r="D26" s="19" t="n">
        <f aca="false">D40</f>
        <v>917795.05</v>
      </c>
      <c r="E26" s="19" t="n">
        <f aca="false">E40</f>
        <v>985502.29</v>
      </c>
      <c r="F26" s="19" t="n">
        <f aca="false">F40</f>
        <v>1027213</v>
      </c>
      <c r="G26" s="19" t="n">
        <f aca="false">G40</f>
        <v>1058767.42</v>
      </c>
      <c r="H26" s="19" t="n">
        <f aca="false">H40</f>
        <v>1170323</v>
      </c>
      <c r="I26" s="19" t="n">
        <f aca="false">I40</f>
        <v>0</v>
      </c>
      <c r="J26" s="19" t="n">
        <f aca="false">J40</f>
        <v>0</v>
      </c>
      <c r="K26" s="19" t="n">
        <f aca="false">K40</f>
        <v>0</v>
      </c>
      <c r="L26" s="19" t="n">
        <f aca="false">L40</f>
        <v>0</v>
      </c>
      <c r="M26" s="19" t="n">
        <f aca="false">M40</f>
        <v>1170323</v>
      </c>
      <c r="N26" s="19" t="n">
        <f aca="false">N40</f>
        <v>326498.51</v>
      </c>
      <c r="O26" s="20" t="n">
        <f aca="false">N26/$M26</f>
        <v>0.278981537575524</v>
      </c>
      <c r="P26" s="19" t="n">
        <f aca="false">P40</f>
        <v>596075.37</v>
      </c>
      <c r="Q26" s="20" t="n">
        <f aca="false">P26/$M26</f>
        <v>0.50932551953606</v>
      </c>
      <c r="R26" s="19" t="n">
        <f aca="false">R40</f>
        <v>900431.9</v>
      </c>
      <c r="S26" s="20" t="n">
        <f aca="false">R26/$M26</f>
        <v>0.769387510969194</v>
      </c>
      <c r="T26" s="19" t="n">
        <f aca="false">T40</f>
        <v>1197839.08</v>
      </c>
      <c r="U26" s="20" t="n">
        <f aca="false">T26/$M26</f>
        <v>1.02351152630513</v>
      </c>
      <c r="V26" s="19" t="n">
        <f aca="false">V40</f>
        <v>1161823</v>
      </c>
      <c r="W26" s="19" t="n">
        <f aca="false">W40</f>
        <v>1161823</v>
      </c>
    </row>
    <row r="27" customFormat="false" ht="12.8" hidden="false" customHeight="false" outlineLevel="0" collapsed="false">
      <c r="A27" s="14"/>
      <c r="B27" s="15"/>
      <c r="C27" s="21" t="s">
        <v>30</v>
      </c>
      <c r="D27" s="22" t="n">
        <f aca="false">SUM(D26:D26)</f>
        <v>917795.05</v>
      </c>
      <c r="E27" s="22" t="n">
        <f aca="false">SUM(E26:E26)</f>
        <v>985502.29</v>
      </c>
      <c r="F27" s="22" t="n">
        <f aca="false">SUM(F26:F26)</f>
        <v>1027213</v>
      </c>
      <c r="G27" s="22" t="n">
        <f aca="false">SUM(G26:G26)</f>
        <v>1058767.42</v>
      </c>
      <c r="H27" s="22" t="n">
        <f aca="false">SUM(H26:H26)</f>
        <v>1170323</v>
      </c>
      <c r="I27" s="22" t="n">
        <f aca="false">SUM(I26:I26)</f>
        <v>0</v>
      </c>
      <c r="J27" s="22" t="n">
        <f aca="false">SUM(J26:J26)</f>
        <v>0</v>
      </c>
      <c r="K27" s="22" t="n">
        <f aca="false">SUM(K26:K26)</f>
        <v>0</v>
      </c>
      <c r="L27" s="22" t="n">
        <f aca="false">SUM(L26:L26)</f>
        <v>0</v>
      </c>
      <c r="M27" s="22" t="n">
        <f aca="false">SUM(M26:M26)</f>
        <v>1170323</v>
      </c>
      <c r="N27" s="22" t="n">
        <f aca="false">SUM(N26:N26)</f>
        <v>326498.51</v>
      </c>
      <c r="O27" s="23" t="n">
        <f aca="false">N27/$M27</f>
        <v>0.278981537575524</v>
      </c>
      <c r="P27" s="22" t="n">
        <f aca="false">SUM(P26:P26)</f>
        <v>596075.37</v>
      </c>
      <c r="Q27" s="23" t="n">
        <f aca="false">P27/$M27</f>
        <v>0.50932551953606</v>
      </c>
      <c r="R27" s="22" t="n">
        <f aca="false">SUM(R26:R26)</f>
        <v>900431.9</v>
      </c>
      <c r="S27" s="23" t="n">
        <f aca="false">R27/$M27</f>
        <v>0.769387510969194</v>
      </c>
      <c r="T27" s="22" t="n">
        <f aca="false">SUM(T26:T26)</f>
        <v>1197839.08</v>
      </c>
      <c r="U27" s="23" t="n">
        <f aca="false">T27/$M27</f>
        <v>1.02351152630513</v>
      </c>
      <c r="V27" s="22" t="n">
        <f aca="false">SUM(V26:V26)</f>
        <v>1161823</v>
      </c>
      <c r="W27" s="22" t="n">
        <f aca="false">SUM(W26:W26)</f>
        <v>1161823</v>
      </c>
    </row>
    <row r="29" customFormat="false" ht="12.8" hidden="false" customHeight="false" outlineLevel="0" collapsed="false">
      <c r="A29" s="24" t="s">
        <v>32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customFormat="false" ht="12.8" hidden="false" customHeight="false" outlineLevel="0" collapsed="false">
      <c r="A30" s="5" t="s">
        <v>33</v>
      </c>
      <c r="B30" s="5" t="s">
        <v>34</v>
      </c>
      <c r="C30" s="5" t="s">
        <v>35</v>
      </c>
      <c r="D30" s="5" t="s">
        <v>1</v>
      </c>
      <c r="E30" s="5" t="s">
        <v>2</v>
      </c>
      <c r="F30" s="5" t="s">
        <v>3</v>
      </c>
      <c r="G30" s="5" t="s">
        <v>4</v>
      </c>
      <c r="H30" s="5" t="s">
        <v>5</v>
      </c>
      <c r="I30" s="5" t="s">
        <v>6</v>
      </c>
      <c r="J30" s="5" t="s">
        <v>7</v>
      </c>
      <c r="K30" s="5" t="s">
        <v>8</v>
      </c>
      <c r="L30" s="5" t="s">
        <v>9</v>
      </c>
      <c r="M30" s="5" t="s">
        <v>10</v>
      </c>
      <c r="N30" s="5" t="s">
        <v>11</v>
      </c>
      <c r="O30" s="5" t="s">
        <v>12</v>
      </c>
      <c r="P30" s="5" t="s">
        <v>13</v>
      </c>
      <c r="Q30" s="5" t="s">
        <v>14</v>
      </c>
      <c r="R30" s="5" t="s">
        <v>15</v>
      </c>
      <c r="S30" s="5" t="s">
        <v>16</v>
      </c>
      <c r="T30" s="5" t="s">
        <v>17</v>
      </c>
      <c r="U30" s="5" t="s">
        <v>18</v>
      </c>
      <c r="V30" s="5" t="s">
        <v>19</v>
      </c>
      <c r="W30" s="5" t="s">
        <v>20</v>
      </c>
    </row>
    <row r="31" customFormat="false" ht="12.8" hidden="false" customHeight="false" outlineLevel="0" collapsed="false">
      <c r="A31" s="25" t="s">
        <v>36</v>
      </c>
      <c r="B31" s="8" t="n">
        <v>111003</v>
      </c>
      <c r="C31" s="8" t="s">
        <v>37</v>
      </c>
      <c r="D31" s="9" t="n">
        <v>832585.1</v>
      </c>
      <c r="E31" s="9" t="n">
        <v>895976.98</v>
      </c>
      <c r="F31" s="9" t="n">
        <v>937258</v>
      </c>
      <c r="G31" s="9" t="n">
        <v>975606.76</v>
      </c>
      <c r="H31" s="9" t="n">
        <v>1071743</v>
      </c>
      <c r="I31" s="9"/>
      <c r="J31" s="9"/>
      <c r="K31" s="9"/>
      <c r="L31" s="9"/>
      <c r="M31" s="9" t="n">
        <f aca="false">SUM(H31:L31)</f>
        <v>1071743</v>
      </c>
      <c r="N31" s="9" t="n">
        <v>308543.86</v>
      </c>
      <c r="O31" s="10" t="n">
        <f aca="false">N31/$M31</f>
        <v>0.287889783278267</v>
      </c>
      <c r="P31" s="9" t="n">
        <v>539797.86</v>
      </c>
      <c r="Q31" s="10" t="n">
        <f aca="false">P31/$M31</f>
        <v>0.50366352754345</v>
      </c>
      <c r="R31" s="9" t="n">
        <v>820407.86</v>
      </c>
      <c r="S31" s="10" t="n">
        <f aca="false">R31/$M31</f>
        <v>0.765489357056682</v>
      </c>
      <c r="T31" s="9" t="n">
        <v>1090114.86</v>
      </c>
      <c r="U31" s="10" t="n">
        <f aca="false">T31/$M31</f>
        <v>1.01714203871637</v>
      </c>
      <c r="V31" s="9" t="n">
        <f aca="false">H31</f>
        <v>1071743</v>
      </c>
      <c r="W31" s="9" t="n">
        <f aca="false">V31</f>
        <v>1071743</v>
      </c>
    </row>
    <row r="32" customFormat="false" ht="12.8" hidden="false" customHeight="false" outlineLevel="0" collapsed="false">
      <c r="A32" s="25"/>
      <c r="B32" s="8" t="n">
        <v>121001</v>
      </c>
      <c r="C32" s="8" t="s">
        <v>38</v>
      </c>
      <c r="D32" s="9" t="n">
        <v>18996.12</v>
      </c>
      <c r="E32" s="9" t="n">
        <v>16997.08</v>
      </c>
      <c r="F32" s="9" t="n">
        <v>17000</v>
      </c>
      <c r="G32" s="9" t="n">
        <v>7935.49</v>
      </c>
      <c r="H32" s="9" t="n">
        <v>24900</v>
      </c>
      <c r="I32" s="9"/>
      <c r="J32" s="9"/>
      <c r="K32" s="9"/>
      <c r="L32" s="9"/>
      <c r="M32" s="9" t="n">
        <f aca="false">SUM(H32:L32)</f>
        <v>24900</v>
      </c>
      <c r="N32" s="9" t="n">
        <v>8275.77</v>
      </c>
      <c r="O32" s="10" t="n">
        <f aca="false">N32/$M32</f>
        <v>0.332360240963855</v>
      </c>
      <c r="P32" s="9" t="n">
        <v>14146.69</v>
      </c>
      <c r="Q32" s="10" t="n">
        <f aca="false">P32/$M32</f>
        <v>0.56814016064257</v>
      </c>
      <c r="R32" s="9" t="n">
        <v>16154.39</v>
      </c>
      <c r="S32" s="10" t="n">
        <f aca="false">R32/$M32</f>
        <v>0.648770682730924</v>
      </c>
      <c r="T32" s="9" t="n">
        <v>26123.33</v>
      </c>
      <c r="U32" s="10" t="n">
        <f aca="false">T32/$M32</f>
        <v>1.0491297188755</v>
      </c>
      <c r="V32" s="9" t="n">
        <v>16400</v>
      </c>
      <c r="W32" s="9" t="n">
        <f aca="false">V32</f>
        <v>16400</v>
      </c>
    </row>
    <row r="33" customFormat="false" ht="12.8" hidden="false" customHeight="false" outlineLevel="0" collapsed="false">
      <c r="A33" s="25"/>
      <c r="B33" s="8" t="n">
        <v>121002</v>
      </c>
      <c r="C33" s="8" t="s">
        <v>39</v>
      </c>
      <c r="D33" s="9" t="n">
        <v>20327.07</v>
      </c>
      <c r="E33" s="9" t="n">
        <v>20377.67</v>
      </c>
      <c r="F33" s="9" t="n">
        <v>20500</v>
      </c>
      <c r="G33" s="9" t="n">
        <v>20883.13</v>
      </c>
      <c r="H33" s="9" t="n">
        <v>20500</v>
      </c>
      <c r="I33" s="9"/>
      <c r="J33" s="9"/>
      <c r="K33" s="9"/>
      <c r="L33" s="9"/>
      <c r="M33" s="9" t="n">
        <f aca="false">SUM(H33:L33)</f>
        <v>20500</v>
      </c>
      <c r="N33" s="9" t="n">
        <v>3225.16</v>
      </c>
      <c r="O33" s="10" t="n">
        <f aca="false">N33/$M33</f>
        <v>0.15732487804878</v>
      </c>
      <c r="P33" s="9" t="n">
        <v>12034.55</v>
      </c>
      <c r="Q33" s="10" t="n">
        <f aca="false">P33/$M33</f>
        <v>0.587051219512195</v>
      </c>
      <c r="R33" s="9" t="n">
        <v>18371.82</v>
      </c>
      <c r="S33" s="10" t="n">
        <f aca="false">R33/$M33</f>
        <v>0.896186341463415</v>
      </c>
      <c r="T33" s="9" t="n">
        <v>23137.6</v>
      </c>
      <c r="U33" s="10" t="n">
        <f aca="false">T33/$M33</f>
        <v>1.12866341463415</v>
      </c>
      <c r="V33" s="9" t="n">
        <f aca="false">H33</f>
        <v>20500</v>
      </c>
      <c r="W33" s="9" t="n">
        <f aca="false">V33</f>
        <v>20500</v>
      </c>
    </row>
    <row r="34" customFormat="false" ht="12.8" hidden="false" customHeight="false" outlineLevel="0" collapsed="false">
      <c r="A34" s="25"/>
      <c r="B34" s="8" t="n">
        <v>121003</v>
      </c>
      <c r="C34" s="8" t="s">
        <v>40</v>
      </c>
      <c r="D34" s="9" t="n">
        <v>0</v>
      </c>
      <c r="E34" s="9" t="n">
        <v>94.98</v>
      </c>
      <c r="F34" s="9" t="n">
        <v>125</v>
      </c>
      <c r="G34" s="9" t="n">
        <v>140.65</v>
      </c>
      <c r="H34" s="9" t="n">
        <v>140</v>
      </c>
      <c r="I34" s="9"/>
      <c r="J34" s="9"/>
      <c r="K34" s="9"/>
      <c r="L34" s="9"/>
      <c r="M34" s="9" t="n">
        <f aca="false">SUM(H34:L34)</f>
        <v>140</v>
      </c>
      <c r="N34" s="9" t="n">
        <v>21.75</v>
      </c>
      <c r="O34" s="10" t="n">
        <f aca="false">N34/$M34</f>
        <v>0.155357142857143</v>
      </c>
      <c r="P34" s="9" t="n">
        <v>64.71</v>
      </c>
      <c r="Q34" s="10" t="n">
        <f aca="false">P34/$M34</f>
        <v>0.462214285714286</v>
      </c>
      <c r="R34" s="9" t="n">
        <v>84.1</v>
      </c>
      <c r="S34" s="10" t="n">
        <f aca="false">R34/$M34</f>
        <v>0.600714285714286</v>
      </c>
      <c r="T34" s="9" t="n">
        <v>94.9</v>
      </c>
      <c r="U34" s="10" t="n">
        <f aca="false">T34/$M34</f>
        <v>0.677857142857143</v>
      </c>
      <c r="V34" s="9" t="n">
        <f aca="false">H34</f>
        <v>140</v>
      </c>
      <c r="W34" s="9" t="n">
        <f aca="false">V34</f>
        <v>140</v>
      </c>
    </row>
    <row r="35" customFormat="false" ht="12.8" hidden="false" customHeight="false" outlineLevel="0" collapsed="false">
      <c r="A35" s="25"/>
      <c r="B35" s="8" t="n">
        <v>133001</v>
      </c>
      <c r="C35" s="8" t="s">
        <v>41</v>
      </c>
      <c r="D35" s="9" t="n">
        <v>2221.35</v>
      </c>
      <c r="E35" s="9" t="n">
        <v>2375.51</v>
      </c>
      <c r="F35" s="9" t="n">
        <v>2400</v>
      </c>
      <c r="G35" s="9" t="n">
        <v>2601.41</v>
      </c>
      <c r="H35" s="9" t="n">
        <v>2600</v>
      </c>
      <c r="I35" s="9"/>
      <c r="J35" s="9"/>
      <c r="K35" s="9"/>
      <c r="L35" s="9"/>
      <c r="M35" s="9" t="n">
        <f aca="false">SUM(H35:L35)</f>
        <v>2600</v>
      </c>
      <c r="N35" s="9" t="n">
        <v>348.5</v>
      </c>
      <c r="O35" s="10" t="n">
        <f aca="false">N35/$M35</f>
        <v>0.134038461538462</v>
      </c>
      <c r="P35" s="9" t="n">
        <v>1358.13</v>
      </c>
      <c r="Q35" s="10" t="n">
        <f aca="false">P35/$M35</f>
        <v>0.522357692307692</v>
      </c>
      <c r="R35" s="9" t="n">
        <v>2137.13</v>
      </c>
      <c r="S35" s="10" t="n">
        <f aca="false">R35/$M35</f>
        <v>0.821973076923077</v>
      </c>
      <c r="T35" s="9" t="n">
        <v>2423.13</v>
      </c>
      <c r="U35" s="10" t="n">
        <f aca="false">T35/$M35</f>
        <v>0.931973076923077</v>
      </c>
      <c r="V35" s="9" t="n">
        <f aca="false">H35</f>
        <v>2600</v>
      </c>
      <c r="W35" s="9" t="n">
        <f aca="false">V35</f>
        <v>2600</v>
      </c>
    </row>
    <row r="36" customFormat="false" ht="12.8" hidden="false" customHeight="false" outlineLevel="0" collapsed="false">
      <c r="A36" s="25"/>
      <c r="B36" s="8" t="n">
        <v>133003</v>
      </c>
      <c r="C36" s="8" t="s">
        <v>42</v>
      </c>
      <c r="D36" s="9" t="n">
        <v>30</v>
      </c>
      <c r="E36" s="9" t="n">
        <v>0</v>
      </c>
      <c r="F36" s="9" t="n">
        <v>30</v>
      </c>
      <c r="G36" s="9" t="n">
        <v>0</v>
      </c>
      <c r="H36" s="9" t="n">
        <v>30</v>
      </c>
      <c r="I36" s="9"/>
      <c r="J36" s="9"/>
      <c r="K36" s="9"/>
      <c r="L36" s="9"/>
      <c r="M36" s="9" t="n">
        <f aca="false">SUM(H36:L36)</f>
        <v>30</v>
      </c>
      <c r="N36" s="9" t="n">
        <v>0</v>
      </c>
      <c r="O36" s="10" t="n">
        <f aca="false">N36/$M36</f>
        <v>0</v>
      </c>
      <c r="P36" s="9" t="n">
        <v>0</v>
      </c>
      <c r="Q36" s="10" t="n">
        <f aca="false">P36/$M36</f>
        <v>0</v>
      </c>
      <c r="R36" s="9" t="n">
        <v>0</v>
      </c>
      <c r="S36" s="10" t="n">
        <f aca="false">R36/$M36</f>
        <v>0</v>
      </c>
      <c r="T36" s="9" t="n">
        <v>0</v>
      </c>
      <c r="U36" s="10" t="n">
        <f aca="false">T36/$M36</f>
        <v>0</v>
      </c>
      <c r="V36" s="9" t="n">
        <f aca="false">H36</f>
        <v>30</v>
      </c>
      <c r="W36" s="9" t="n">
        <f aca="false">V36</f>
        <v>30</v>
      </c>
    </row>
    <row r="37" customFormat="false" ht="12.8" hidden="false" customHeight="false" outlineLevel="0" collapsed="false">
      <c r="A37" s="25"/>
      <c r="B37" s="8" t="n">
        <v>133006</v>
      </c>
      <c r="C37" s="8" t="s">
        <v>43</v>
      </c>
      <c r="D37" s="9" t="n">
        <v>219</v>
      </c>
      <c r="E37" s="9" t="n">
        <v>376.8</v>
      </c>
      <c r="F37" s="9" t="n">
        <v>400</v>
      </c>
      <c r="G37" s="9" t="n">
        <v>614.4</v>
      </c>
      <c r="H37" s="9" t="n">
        <v>610</v>
      </c>
      <c r="I37" s="9"/>
      <c r="J37" s="9"/>
      <c r="K37" s="9"/>
      <c r="L37" s="9"/>
      <c r="M37" s="9" t="n">
        <f aca="false">SUM(H37:L37)</f>
        <v>610</v>
      </c>
      <c r="N37" s="9" t="n">
        <v>136.5</v>
      </c>
      <c r="O37" s="10" t="n">
        <f aca="false">N37/$M37</f>
        <v>0.223770491803279</v>
      </c>
      <c r="P37" s="9" t="n">
        <v>192.6</v>
      </c>
      <c r="Q37" s="10" t="n">
        <f aca="false">P37/$M37</f>
        <v>0.315737704918033</v>
      </c>
      <c r="R37" s="9" t="n">
        <v>299.7</v>
      </c>
      <c r="S37" s="10" t="n">
        <f aca="false">R37/$M37</f>
        <v>0.491311475409836</v>
      </c>
      <c r="T37" s="9" t="n">
        <v>400.2</v>
      </c>
      <c r="U37" s="10" t="n">
        <f aca="false">T37/$M37</f>
        <v>0.656065573770492</v>
      </c>
      <c r="V37" s="9" t="n">
        <f aca="false">H37</f>
        <v>610</v>
      </c>
      <c r="W37" s="9" t="n">
        <f aca="false">V37</f>
        <v>610</v>
      </c>
    </row>
    <row r="38" customFormat="false" ht="12.8" hidden="false" customHeight="false" outlineLevel="0" collapsed="false">
      <c r="A38" s="25"/>
      <c r="B38" s="8" t="n">
        <v>133012</v>
      </c>
      <c r="C38" s="8" t="s">
        <v>44</v>
      </c>
      <c r="D38" s="9" t="n">
        <v>2108.78</v>
      </c>
      <c r="E38" s="9" t="n">
        <v>2952.22</v>
      </c>
      <c r="F38" s="9" t="n">
        <v>3000</v>
      </c>
      <c r="G38" s="9" t="n">
        <v>2014.43</v>
      </c>
      <c r="H38" s="9" t="n">
        <v>2000</v>
      </c>
      <c r="I38" s="9"/>
      <c r="J38" s="9"/>
      <c r="K38" s="9"/>
      <c r="L38" s="9"/>
      <c r="M38" s="9" t="n">
        <f aca="false">SUM(H38:L38)</f>
        <v>2000</v>
      </c>
      <c r="N38" s="9" t="n">
        <v>130.01</v>
      </c>
      <c r="O38" s="10" t="n">
        <f aca="false">N38/$M38</f>
        <v>0.065005</v>
      </c>
      <c r="P38" s="9" t="n">
        <v>1642.45</v>
      </c>
      <c r="Q38" s="10" t="n">
        <f aca="false">P38/$M38</f>
        <v>0.821225</v>
      </c>
      <c r="R38" s="9" t="n">
        <v>1925.43</v>
      </c>
      <c r="S38" s="10" t="n">
        <f aca="false">R38/$M38</f>
        <v>0.962715</v>
      </c>
      <c r="T38" s="9" t="n">
        <v>2091.67</v>
      </c>
      <c r="U38" s="10" t="n">
        <f aca="false">T38/$M38</f>
        <v>1.045835</v>
      </c>
      <c r="V38" s="9" t="n">
        <f aca="false">H38</f>
        <v>2000</v>
      </c>
      <c r="W38" s="9" t="n">
        <f aca="false">V38</f>
        <v>2000</v>
      </c>
    </row>
    <row r="39" customFormat="false" ht="12.8" hidden="false" customHeight="false" outlineLevel="0" collapsed="false">
      <c r="A39" s="25"/>
      <c r="B39" s="8" t="n">
        <v>133013</v>
      </c>
      <c r="C39" s="8" t="s">
        <v>45</v>
      </c>
      <c r="D39" s="9" t="n">
        <v>41307.63</v>
      </c>
      <c r="E39" s="9" t="n">
        <v>46351.05</v>
      </c>
      <c r="F39" s="9" t="n">
        <v>46500</v>
      </c>
      <c r="G39" s="9" t="n">
        <v>48971.15</v>
      </c>
      <c r="H39" s="9" t="n">
        <v>47800</v>
      </c>
      <c r="I39" s="9"/>
      <c r="J39" s="9"/>
      <c r="K39" s="9"/>
      <c r="L39" s="9"/>
      <c r="M39" s="9" t="n">
        <f aca="false">SUM(H39:L39)</f>
        <v>47800</v>
      </c>
      <c r="N39" s="9" t="n">
        <v>5816.96</v>
      </c>
      <c r="O39" s="10" t="n">
        <f aca="false">N39/$M39</f>
        <v>0.121693723849372</v>
      </c>
      <c r="P39" s="9" t="n">
        <v>26838.38</v>
      </c>
      <c r="Q39" s="10" t="n">
        <f aca="false">P39/$M39</f>
        <v>0.561472384937238</v>
      </c>
      <c r="R39" s="9" t="n">
        <v>41051.47</v>
      </c>
      <c r="S39" s="10" t="n">
        <f aca="false">R39/$M39</f>
        <v>0.858817364016736</v>
      </c>
      <c r="T39" s="9" t="n">
        <f aca="false">53186.97+266.42</f>
        <v>53453.39</v>
      </c>
      <c r="U39" s="10" t="n">
        <f aca="false">T39/$M39</f>
        <v>1.11827175732218</v>
      </c>
      <c r="V39" s="9" t="n">
        <f aca="false">H39</f>
        <v>47800</v>
      </c>
      <c r="W39" s="9" t="n">
        <f aca="false">V39</f>
        <v>47800</v>
      </c>
    </row>
    <row r="40" customFormat="false" ht="12.8" hidden="false" customHeight="false" outlineLevel="0" collapsed="false">
      <c r="A40" s="11" t="s">
        <v>21</v>
      </c>
      <c r="B40" s="11" t="n">
        <v>41</v>
      </c>
      <c r="C40" s="11" t="s">
        <v>23</v>
      </c>
      <c r="D40" s="12" t="n">
        <f aca="false">SUM(D31:D39)</f>
        <v>917795.05</v>
      </c>
      <c r="E40" s="12" t="n">
        <f aca="false">SUM(E31:E39)</f>
        <v>985502.29</v>
      </c>
      <c r="F40" s="12" t="n">
        <f aca="false">SUM(F31:F39)</f>
        <v>1027213</v>
      </c>
      <c r="G40" s="12" t="n">
        <f aca="false">SUM(G31:G39)</f>
        <v>1058767.42</v>
      </c>
      <c r="H40" s="12" t="n">
        <f aca="false">SUM(H31:H39)</f>
        <v>1170323</v>
      </c>
      <c r="I40" s="12" t="n">
        <f aca="false">SUM(I31:I39)</f>
        <v>0</v>
      </c>
      <c r="J40" s="12" t="n">
        <f aca="false">SUM(J31:J39)</f>
        <v>0</v>
      </c>
      <c r="K40" s="12" t="n">
        <f aca="false">SUM(K31:K39)</f>
        <v>0</v>
      </c>
      <c r="L40" s="12" t="n">
        <f aca="false">SUM(L31:L39)</f>
        <v>0</v>
      </c>
      <c r="M40" s="12" t="n">
        <f aca="false">SUM(M31:M39)</f>
        <v>1170323</v>
      </c>
      <c r="N40" s="12" t="n">
        <f aca="false">SUM(N31:N39)</f>
        <v>326498.51</v>
      </c>
      <c r="O40" s="10" t="n">
        <f aca="false">N40/$M40</f>
        <v>0.278981537575524</v>
      </c>
      <c r="P40" s="12" t="n">
        <f aca="false">SUM(P31:P39)</f>
        <v>596075.37</v>
      </c>
      <c r="Q40" s="10" t="n">
        <f aca="false">P40/$M40</f>
        <v>0.50932551953606</v>
      </c>
      <c r="R40" s="12" t="n">
        <f aca="false">SUM(R31:R39)</f>
        <v>900431.9</v>
      </c>
      <c r="S40" s="10" t="n">
        <f aca="false">R40/$M40</f>
        <v>0.769387510969194</v>
      </c>
      <c r="T40" s="12" t="n">
        <f aca="false">SUM(T31:T39)</f>
        <v>1197839.08</v>
      </c>
      <c r="U40" s="10" t="n">
        <f aca="false">T40/$M40</f>
        <v>1.02351152630513</v>
      </c>
      <c r="V40" s="12" t="n">
        <f aca="false">SUM(V31:V39)</f>
        <v>1161823</v>
      </c>
      <c r="W40" s="12" t="n">
        <f aca="false">SUM(W31:W39)</f>
        <v>1161823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2" customFormat="false" ht="12.8" hidden="false" customHeight="false" outlineLevel="0" collapsed="false">
      <c r="A42" s="16" t="s">
        <v>46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customFormat="false" ht="12.8" hidden="false" customHeight="false" outlineLevel="0" collapsed="false">
      <c r="A43" s="4"/>
      <c r="B43" s="4"/>
      <c r="C43" s="4"/>
      <c r="D43" s="5" t="s">
        <v>1</v>
      </c>
      <c r="E43" s="5" t="s">
        <v>2</v>
      </c>
      <c r="F43" s="5" t="s">
        <v>3</v>
      </c>
      <c r="G43" s="5" t="s">
        <v>4</v>
      </c>
      <c r="H43" s="5" t="s">
        <v>5</v>
      </c>
      <c r="I43" s="5" t="s">
        <v>6</v>
      </c>
      <c r="J43" s="5" t="s">
        <v>7</v>
      </c>
      <c r="K43" s="5" t="s">
        <v>8</v>
      </c>
      <c r="L43" s="5" t="s">
        <v>9</v>
      </c>
      <c r="M43" s="5" t="s">
        <v>10</v>
      </c>
      <c r="N43" s="5" t="s">
        <v>11</v>
      </c>
      <c r="O43" s="5" t="s">
        <v>12</v>
      </c>
      <c r="P43" s="5" t="s">
        <v>13</v>
      </c>
      <c r="Q43" s="5" t="s">
        <v>14</v>
      </c>
      <c r="R43" s="5" t="s">
        <v>15</v>
      </c>
      <c r="S43" s="5" t="s">
        <v>16</v>
      </c>
      <c r="T43" s="5" t="s">
        <v>17</v>
      </c>
      <c r="U43" s="5" t="s">
        <v>18</v>
      </c>
      <c r="V43" s="5" t="s">
        <v>19</v>
      </c>
      <c r="W43" s="5" t="s">
        <v>20</v>
      </c>
    </row>
    <row r="44" customFormat="false" ht="12.8" hidden="false" customHeight="false" outlineLevel="0" collapsed="false">
      <c r="A44" s="17" t="s">
        <v>21</v>
      </c>
      <c r="B44" s="18" t="n">
        <v>111</v>
      </c>
      <c r="C44" s="18" t="s">
        <v>47</v>
      </c>
      <c r="D44" s="19" t="n">
        <f aca="false">D52</f>
        <v>0</v>
      </c>
      <c r="E44" s="19" t="n">
        <f aca="false">E52</f>
        <v>0</v>
      </c>
      <c r="F44" s="19" t="n">
        <f aca="false">F52</f>
        <v>0</v>
      </c>
      <c r="G44" s="19" t="n">
        <f aca="false">G52</f>
        <v>574.64</v>
      </c>
      <c r="H44" s="19" t="n">
        <f aca="false">H52</f>
        <v>0</v>
      </c>
      <c r="I44" s="19" t="n">
        <f aca="false">I52</f>
        <v>0</v>
      </c>
      <c r="J44" s="19" t="n">
        <f aca="false">J52</f>
        <v>0</v>
      </c>
      <c r="K44" s="19" t="n">
        <f aca="false">K52</f>
        <v>0</v>
      </c>
      <c r="L44" s="19" t="n">
        <f aca="false">L52</f>
        <v>0</v>
      </c>
      <c r="M44" s="19" t="n">
        <f aca="false">M52</f>
        <v>0</v>
      </c>
      <c r="N44" s="19" t="n">
        <f aca="false">N52</f>
        <v>0</v>
      </c>
      <c r="O44" s="20" t="e">
        <f aca="false">N44/$M44</f>
        <v>#DIV/0!</v>
      </c>
      <c r="P44" s="19" t="n">
        <f aca="false">P52</f>
        <v>0</v>
      </c>
      <c r="Q44" s="20" t="e">
        <f aca="false">P44/$M44</f>
        <v>#DIV/0!</v>
      </c>
      <c r="R44" s="19" t="n">
        <f aca="false">R52</f>
        <v>0</v>
      </c>
      <c r="S44" s="20" t="e">
        <f aca="false">R44/$M44</f>
        <v>#DIV/0!</v>
      </c>
      <c r="T44" s="19" t="n">
        <f aca="false">T52</f>
        <v>0</v>
      </c>
      <c r="U44" s="20" t="e">
        <f aca="false">T44/$M44</f>
        <v>#DIV/0!</v>
      </c>
      <c r="V44" s="19" t="n">
        <f aca="false">V52</f>
        <v>0</v>
      </c>
      <c r="W44" s="19" t="n">
        <f aca="false">W52</f>
        <v>0</v>
      </c>
    </row>
    <row r="45" customFormat="false" ht="12.8" hidden="false" customHeight="false" outlineLevel="0" collapsed="false">
      <c r="A45" s="17" t="s">
        <v>21</v>
      </c>
      <c r="B45" s="18" t="n">
        <v>41</v>
      </c>
      <c r="C45" s="18" t="s">
        <v>23</v>
      </c>
      <c r="D45" s="19" t="n">
        <f aca="false">D59</f>
        <v>104281.92</v>
      </c>
      <c r="E45" s="19" t="n">
        <f aca="false">E59</f>
        <v>96217.95</v>
      </c>
      <c r="F45" s="19" t="n">
        <f aca="false">F59</f>
        <v>84400</v>
      </c>
      <c r="G45" s="19" t="n">
        <f aca="false">G59</f>
        <v>103109.31</v>
      </c>
      <c r="H45" s="19" t="n">
        <f aca="false">H59</f>
        <v>85988</v>
      </c>
      <c r="I45" s="19" t="n">
        <f aca="false">I59</f>
        <v>5000</v>
      </c>
      <c r="J45" s="19" t="n">
        <f aca="false">J59</f>
        <v>22051</v>
      </c>
      <c r="K45" s="19" t="n">
        <f aca="false">K59</f>
        <v>3635</v>
      </c>
      <c r="L45" s="19" t="n">
        <f aca="false">L59</f>
        <v>0</v>
      </c>
      <c r="M45" s="19" t="n">
        <f aca="false">M59</f>
        <v>116674</v>
      </c>
      <c r="N45" s="19" t="n">
        <f aca="false">N59</f>
        <v>24244.77</v>
      </c>
      <c r="O45" s="20" t="n">
        <f aca="false">N45/$M45</f>
        <v>0.207799252618407</v>
      </c>
      <c r="P45" s="19" t="n">
        <f aca="false">P59</f>
        <v>57627.92</v>
      </c>
      <c r="Q45" s="20" t="n">
        <f aca="false">P45/$M45</f>
        <v>0.493922553439498</v>
      </c>
      <c r="R45" s="19" t="n">
        <f aca="false">R59</f>
        <v>80407.18</v>
      </c>
      <c r="S45" s="20" t="n">
        <f aca="false">R45/$M45</f>
        <v>0.689161081303461</v>
      </c>
      <c r="T45" s="19" t="n">
        <f aca="false">T59</f>
        <v>122228.76</v>
      </c>
      <c r="U45" s="20" t="n">
        <f aca="false">T45/$M45</f>
        <v>1.04760923599088</v>
      </c>
      <c r="V45" s="19" t="n">
        <f aca="false">V59</f>
        <v>76855</v>
      </c>
      <c r="W45" s="19" t="n">
        <f aca="false">W59</f>
        <v>76855</v>
      </c>
    </row>
    <row r="46" customFormat="false" ht="12.8" hidden="false" customHeight="false" outlineLevel="0" collapsed="false">
      <c r="A46" s="17"/>
      <c r="B46" s="18" t="n">
        <v>72</v>
      </c>
      <c r="C46" s="18" t="s">
        <v>25</v>
      </c>
      <c r="D46" s="19" t="n">
        <f aca="false">D62</f>
        <v>0</v>
      </c>
      <c r="E46" s="19" t="n">
        <f aca="false">E62</f>
        <v>0</v>
      </c>
      <c r="F46" s="19" t="n">
        <f aca="false">F62</f>
        <v>48370</v>
      </c>
      <c r="G46" s="19" t="n">
        <f aca="false">G62</f>
        <v>51128.59</v>
      </c>
      <c r="H46" s="19" t="n">
        <f aca="false">H62</f>
        <v>48400</v>
      </c>
      <c r="I46" s="19" t="n">
        <f aca="false">I62</f>
        <v>0</v>
      </c>
      <c r="J46" s="19" t="n">
        <f aca="false">J62</f>
        <v>0</v>
      </c>
      <c r="K46" s="19" t="n">
        <f aca="false">K62</f>
        <v>2725</v>
      </c>
      <c r="L46" s="19" t="n">
        <f aca="false">L62</f>
        <v>532</v>
      </c>
      <c r="M46" s="19" t="n">
        <f aca="false">M62</f>
        <v>51657</v>
      </c>
      <c r="N46" s="19" t="n">
        <f aca="false">N62</f>
        <v>15221.94</v>
      </c>
      <c r="O46" s="20" t="n">
        <f aca="false">N46/$M46</f>
        <v>0.294673325977118</v>
      </c>
      <c r="P46" s="19" t="n">
        <f aca="false">P62</f>
        <v>29408.9</v>
      </c>
      <c r="Q46" s="20" t="n">
        <f aca="false">P46/$M46</f>
        <v>0.569311032386705</v>
      </c>
      <c r="R46" s="19" t="n">
        <f aca="false">R62</f>
        <v>40347.16</v>
      </c>
      <c r="S46" s="20" t="n">
        <f aca="false">R46/$M46</f>
        <v>0.781058907795652</v>
      </c>
      <c r="T46" s="19" t="n">
        <f aca="false">T62</f>
        <v>52949.59</v>
      </c>
      <c r="U46" s="20" t="n">
        <f aca="false">T46/$M46</f>
        <v>1.02502255260662</v>
      </c>
      <c r="V46" s="19" t="n">
        <f aca="false">V62</f>
        <v>48400</v>
      </c>
      <c r="W46" s="19" t="n">
        <f aca="false">W62</f>
        <v>48400</v>
      </c>
    </row>
    <row r="47" customFormat="false" ht="12.8" hidden="false" customHeight="false" outlineLevel="0" collapsed="false">
      <c r="A47" s="14"/>
      <c r="B47" s="15"/>
      <c r="C47" s="21" t="s">
        <v>30</v>
      </c>
      <c r="D47" s="22" t="n">
        <f aca="false">SUM(D45:D46)</f>
        <v>104281.92</v>
      </c>
      <c r="E47" s="22" t="n">
        <f aca="false">SUM(E45:E46)</f>
        <v>96217.95</v>
      </c>
      <c r="F47" s="22" t="n">
        <f aca="false">SUM(F45:F46)</f>
        <v>132770</v>
      </c>
      <c r="G47" s="22" t="n">
        <f aca="false">SUM(G45:G46)</f>
        <v>154237.9</v>
      </c>
      <c r="H47" s="22" t="n">
        <f aca="false">SUM(H45:H46)</f>
        <v>134388</v>
      </c>
      <c r="I47" s="22" t="n">
        <f aca="false">SUM(I45:I46)</f>
        <v>5000</v>
      </c>
      <c r="J47" s="22" t="n">
        <f aca="false">SUM(J45:J46)</f>
        <v>22051</v>
      </c>
      <c r="K47" s="22" t="n">
        <f aca="false">SUM(K45:K46)</f>
        <v>6360</v>
      </c>
      <c r="L47" s="22" t="n">
        <f aca="false">SUM(L45:L46)</f>
        <v>532</v>
      </c>
      <c r="M47" s="22" t="n">
        <f aca="false">SUM(M45:M46)</f>
        <v>168331</v>
      </c>
      <c r="N47" s="22" t="n">
        <f aca="false">SUM(N45:N46)</f>
        <v>39466.71</v>
      </c>
      <c r="O47" s="23" t="n">
        <f aca="false">N47/$M47</f>
        <v>0.234458952896377</v>
      </c>
      <c r="P47" s="22" t="n">
        <f aca="false">SUM(P45:P46)</f>
        <v>87036.82</v>
      </c>
      <c r="Q47" s="23" t="n">
        <f aca="false">P47/$M47</f>
        <v>0.517057582976398</v>
      </c>
      <c r="R47" s="22" t="n">
        <f aca="false">SUM(R45:R46)</f>
        <v>120754.34</v>
      </c>
      <c r="S47" s="23" t="n">
        <f aca="false">R47/$M47</f>
        <v>0.717362458489524</v>
      </c>
      <c r="T47" s="22" t="n">
        <f aca="false">SUM(T45:T46)</f>
        <v>175178.35</v>
      </c>
      <c r="U47" s="23" t="n">
        <f aca="false">T47/$M47</f>
        <v>1.04067789058462</v>
      </c>
      <c r="V47" s="22" t="n">
        <f aca="false">SUM(V45:V46)</f>
        <v>125255</v>
      </c>
      <c r="W47" s="22" t="n">
        <f aca="false">SUM(W45:W46)</f>
        <v>125255</v>
      </c>
    </row>
    <row r="49" customFormat="false" ht="12.8" hidden="false" customHeight="false" outlineLevel="0" collapsed="false">
      <c r="A49" s="24" t="s">
        <v>48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customFormat="false" ht="12.8" hidden="false" customHeight="false" outlineLevel="0" collapsed="false">
      <c r="A50" s="5" t="s">
        <v>33</v>
      </c>
      <c r="B50" s="5" t="s">
        <v>34</v>
      </c>
      <c r="C50" s="5" t="s">
        <v>35</v>
      </c>
      <c r="D50" s="5" t="s">
        <v>1</v>
      </c>
      <c r="E50" s="5" t="s">
        <v>2</v>
      </c>
      <c r="F50" s="5" t="s">
        <v>3</v>
      </c>
      <c r="G50" s="5" t="s">
        <v>4</v>
      </c>
      <c r="H50" s="5" t="s">
        <v>5</v>
      </c>
      <c r="I50" s="5" t="s">
        <v>6</v>
      </c>
      <c r="J50" s="5" t="s">
        <v>7</v>
      </c>
      <c r="K50" s="5" t="s">
        <v>8</v>
      </c>
      <c r="L50" s="5" t="s">
        <v>9</v>
      </c>
      <c r="M50" s="5" t="s">
        <v>10</v>
      </c>
      <c r="N50" s="5" t="s">
        <v>11</v>
      </c>
      <c r="O50" s="5" t="s">
        <v>12</v>
      </c>
      <c r="P50" s="5" t="s">
        <v>13</v>
      </c>
      <c r="Q50" s="5" t="s">
        <v>14</v>
      </c>
      <c r="R50" s="5" t="s">
        <v>15</v>
      </c>
      <c r="S50" s="5" t="s">
        <v>16</v>
      </c>
      <c r="T50" s="5" t="s">
        <v>17</v>
      </c>
      <c r="U50" s="5" t="s">
        <v>18</v>
      </c>
      <c r="V50" s="5" t="s">
        <v>19</v>
      </c>
      <c r="W50" s="5" t="s">
        <v>20</v>
      </c>
    </row>
    <row r="51" customFormat="false" ht="12.8" hidden="false" customHeight="false" outlineLevel="0" collapsed="false">
      <c r="A51" s="27" t="s">
        <v>49</v>
      </c>
      <c r="B51" s="8" t="s">
        <v>50</v>
      </c>
      <c r="C51" s="8" t="s">
        <v>51</v>
      </c>
      <c r="D51" s="28" t="n">
        <v>0</v>
      </c>
      <c r="E51" s="28" t="n">
        <v>0</v>
      </c>
      <c r="F51" s="28" t="n">
        <v>0</v>
      </c>
      <c r="G51" s="28" t="n">
        <v>574.64</v>
      </c>
      <c r="H51" s="28" t="n">
        <v>0</v>
      </c>
      <c r="I51" s="28"/>
      <c r="J51" s="28"/>
      <c r="K51" s="28"/>
      <c r="L51" s="28"/>
      <c r="M51" s="28" t="n">
        <f aca="false">SUM(H51:L51)</f>
        <v>0</v>
      </c>
      <c r="N51" s="28" t="n">
        <v>0</v>
      </c>
      <c r="O51" s="10" t="e">
        <f aca="false">N51/$M51</f>
        <v>#DIV/0!</v>
      </c>
      <c r="P51" s="28" t="n">
        <v>0</v>
      </c>
      <c r="Q51" s="10" t="e">
        <f aca="false">P51/$M51</f>
        <v>#DIV/0!</v>
      </c>
      <c r="R51" s="28" t="n">
        <v>0</v>
      </c>
      <c r="S51" s="10" t="e">
        <f aca="false">R51/$M51</f>
        <v>#DIV/0!</v>
      </c>
      <c r="T51" s="28" t="n">
        <v>0</v>
      </c>
      <c r="U51" s="10" t="e">
        <f aca="false">T51/$M51</f>
        <v>#DIV/0!</v>
      </c>
      <c r="V51" s="9" t="n">
        <f aca="false">H51</f>
        <v>0</v>
      </c>
      <c r="W51" s="9" t="n">
        <f aca="false">V51</f>
        <v>0</v>
      </c>
    </row>
    <row r="52" customFormat="false" ht="12.8" hidden="false" customHeight="false" outlineLevel="0" collapsed="false">
      <c r="A52" s="29" t="s">
        <v>21</v>
      </c>
      <c r="B52" s="29" t="n">
        <v>111</v>
      </c>
      <c r="C52" s="29" t="s">
        <v>47</v>
      </c>
      <c r="D52" s="30" t="n">
        <f aca="false">SUM(D51)</f>
        <v>0</v>
      </c>
      <c r="E52" s="30" t="n">
        <f aca="false">SUM(E51)</f>
        <v>0</v>
      </c>
      <c r="F52" s="30" t="n">
        <f aca="false">SUM(F51)</f>
        <v>0</v>
      </c>
      <c r="G52" s="30" t="n">
        <f aca="false">SUM(G51)</f>
        <v>574.64</v>
      </c>
      <c r="H52" s="30" t="n">
        <f aca="false">SUM(H51)</f>
        <v>0</v>
      </c>
      <c r="I52" s="30" t="n">
        <f aca="false">SUM(I51)</f>
        <v>0</v>
      </c>
      <c r="J52" s="30" t="n">
        <f aca="false">SUM(J51)</f>
        <v>0</v>
      </c>
      <c r="K52" s="30" t="n">
        <f aca="false">SUM(K51)</f>
        <v>0</v>
      </c>
      <c r="L52" s="30" t="n">
        <f aca="false">SUM(L51)</f>
        <v>0</v>
      </c>
      <c r="M52" s="30" t="n">
        <f aca="false">SUM(M51)</f>
        <v>0</v>
      </c>
      <c r="N52" s="30" t="n">
        <f aca="false">SUM(N51)</f>
        <v>0</v>
      </c>
      <c r="O52" s="10" t="e">
        <f aca="false">N52/$M52</f>
        <v>#DIV/0!</v>
      </c>
      <c r="P52" s="30" t="n">
        <f aca="false">SUM(P51)</f>
        <v>0</v>
      </c>
      <c r="Q52" s="10" t="e">
        <f aca="false">P52/$M52</f>
        <v>#DIV/0!</v>
      </c>
      <c r="R52" s="30" t="n">
        <f aca="false">SUM(R51)</f>
        <v>0</v>
      </c>
      <c r="S52" s="10" t="e">
        <f aca="false">R52/$M52</f>
        <v>#DIV/0!</v>
      </c>
      <c r="T52" s="30" t="n">
        <f aca="false">SUM(T51)</f>
        <v>0</v>
      </c>
      <c r="U52" s="10" t="e">
        <f aca="false">T52/$M52</f>
        <v>#DIV/0!</v>
      </c>
      <c r="V52" s="30" t="n">
        <f aca="false">SUM(V51)</f>
        <v>0</v>
      </c>
      <c r="W52" s="30" t="n">
        <f aca="false">SUM(W51)</f>
        <v>0</v>
      </c>
    </row>
    <row r="53" customFormat="false" ht="12.8" hidden="false" customHeight="false" outlineLevel="0" collapsed="false">
      <c r="A53" s="31" t="s">
        <v>49</v>
      </c>
      <c r="B53" s="8" t="n">
        <v>210</v>
      </c>
      <c r="C53" s="8" t="s">
        <v>52</v>
      </c>
      <c r="D53" s="9" t="n">
        <v>6940.41</v>
      </c>
      <c r="E53" s="9" t="n">
        <v>6450.89</v>
      </c>
      <c r="F53" s="9" t="n">
        <v>6500</v>
      </c>
      <c r="G53" s="9" t="n">
        <v>4424.67</v>
      </c>
      <c r="H53" s="9" t="n">
        <v>4400</v>
      </c>
      <c r="I53" s="9"/>
      <c r="J53" s="9" t="n">
        <v>115</v>
      </c>
      <c r="K53" s="9"/>
      <c r="L53" s="9"/>
      <c r="M53" s="9" t="n">
        <f aca="false">SUM(H53:L53)</f>
        <v>4515</v>
      </c>
      <c r="N53" s="9" t="n">
        <v>690.45</v>
      </c>
      <c r="O53" s="10" t="n">
        <f aca="false">N53/$M53</f>
        <v>0.152923588039867</v>
      </c>
      <c r="P53" s="9" t="n">
        <v>2780</v>
      </c>
      <c r="Q53" s="10" t="n">
        <f aca="false">P53/$M53</f>
        <v>0.615725359911406</v>
      </c>
      <c r="R53" s="9" t="n">
        <v>3626</v>
      </c>
      <c r="S53" s="10" t="n">
        <f aca="false">R53/$M53</f>
        <v>0.803100775193798</v>
      </c>
      <c r="T53" s="9" t="n">
        <v>3657.2</v>
      </c>
      <c r="U53" s="10" t="n">
        <f aca="false">T53/$M53</f>
        <v>0.810011074197121</v>
      </c>
      <c r="V53" s="9" t="n">
        <f aca="false">H53</f>
        <v>4400</v>
      </c>
      <c r="W53" s="9" t="n">
        <f aca="false">V53</f>
        <v>4400</v>
      </c>
    </row>
    <row r="54" customFormat="false" ht="12.8" hidden="false" customHeight="false" outlineLevel="0" collapsed="false">
      <c r="A54" s="31"/>
      <c r="B54" s="8" t="n">
        <v>220</v>
      </c>
      <c r="C54" s="8" t="s">
        <v>53</v>
      </c>
      <c r="D54" s="9" t="n">
        <v>65784.01</v>
      </c>
      <c r="E54" s="9" t="n">
        <v>61587.09</v>
      </c>
      <c r="F54" s="9" t="n">
        <v>68000</v>
      </c>
      <c r="G54" s="9" t="n">
        <v>83794.12</v>
      </c>
      <c r="H54" s="9" t="n">
        <v>63555</v>
      </c>
      <c r="I54" s="9" t="n">
        <v>5000</v>
      </c>
      <c r="J54" s="9" t="n">
        <f aca="false">6173+14665</f>
        <v>20838</v>
      </c>
      <c r="K54" s="9" t="n">
        <f aca="false">2000+4800</f>
        <v>6800</v>
      </c>
      <c r="L54" s="9"/>
      <c r="M54" s="9" t="n">
        <f aca="false">SUM(H54:L54)</f>
        <v>96193</v>
      </c>
      <c r="N54" s="9" t="n">
        <v>17797.18</v>
      </c>
      <c r="O54" s="10" t="n">
        <f aca="false">N54/$M54</f>
        <v>0.185015333756095</v>
      </c>
      <c r="P54" s="9" t="n">
        <v>46620.09</v>
      </c>
      <c r="Q54" s="10" t="n">
        <f aca="false">P54/$M54</f>
        <v>0.484651585874232</v>
      </c>
      <c r="R54" s="9" t="n">
        <v>65342.3</v>
      </c>
      <c r="S54" s="10" t="n">
        <f aca="false">R54/$M54</f>
        <v>0.679283315833793</v>
      </c>
      <c r="T54" s="9" t="n">
        <v>101306.3</v>
      </c>
      <c r="U54" s="10" t="n">
        <f aca="false">T54/$M54</f>
        <v>1.0531566746021</v>
      </c>
      <c r="V54" s="9" t="n">
        <f aca="false">H54-6000</f>
        <v>57555</v>
      </c>
      <c r="W54" s="9" t="n">
        <f aca="false">V54</f>
        <v>57555</v>
      </c>
    </row>
    <row r="55" customFormat="false" ht="12.8" hidden="false" customHeight="false" outlineLevel="0" collapsed="false">
      <c r="A55" s="31"/>
      <c r="B55" s="8" t="n">
        <v>230</v>
      </c>
      <c r="C55" s="8" t="s">
        <v>54</v>
      </c>
      <c r="D55" s="9" t="n">
        <v>0</v>
      </c>
      <c r="E55" s="9" t="n">
        <v>0</v>
      </c>
      <c r="F55" s="9" t="n">
        <v>0</v>
      </c>
      <c r="G55" s="9" t="n">
        <v>0</v>
      </c>
      <c r="H55" s="9" t="n">
        <v>0</v>
      </c>
      <c r="I55" s="9"/>
      <c r="J55" s="9" t="n">
        <v>1</v>
      </c>
      <c r="K55" s="9"/>
      <c r="L55" s="9"/>
      <c r="M55" s="9" t="n">
        <f aca="false">SUM(H55:L55)</f>
        <v>1</v>
      </c>
      <c r="N55" s="9" t="n">
        <v>1</v>
      </c>
      <c r="O55" s="10" t="n">
        <f aca="false">N55/$M55</f>
        <v>1</v>
      </c>
      <c r="P55" s="9" t="n">
        <v>1</v>
      </c>
      <c r="Q55" s="10" t="n">
        <f aca="false">P55/$M55</f>
        <v>1</v>
      </c>
      <c r="R55" s="9" t="n">
        <v>1</v>
      </c>
      <c r="S55" s="10" t="n">
        <f aca="false">R55/$M55</f>
        <v>1</v>
      </c>
      <c r="T55" s="9" t="n">
        <v>1</v>
      </c>
      <c r="U55" s="10" t="n">
        <f aca="false">T55/$M55</f>
        <v>1</v>
      </c>
      <c r="V55" s="9" t="n">
        <f aca="false">H55</f>
        <v>0</v>
      </c>
      <c r="W55" s="9" t="n">
        <f aca="false">V55</f>
        <v>0</v>
      </c>
    </row>
    <row r="56" customFormat="false" ht="12.8" hidden="false" customHeight="false" outlineLevel="0" collapsed="false">
      <c r="A56" s="31"/>
      <c r="B56" s="8" t="n">
        <v>240</v>
      </c>
      <c r="C56" s="8" t="s">
        <v>55</v>
      </c>
      <c r="D56" s="9" t="n">
        <v>701.63</v>
      </c>
      <c r="E56" s="9" t="n">
        <v>1084.76</v>
      </c>
      <c r="F56" s="9" t="n">
        <v>1100</v>
      </c>
      <c r="G56" s="9" t="n">
        <v>1088.77</v>
      </c>
      <c r="H56" s="9" t="n">
        <v>1100</v>
      </c>
      <c r="I56" s="9"/>
      <c r="J56" s="9"/>
      <c r="K56" s="9"/>
      <c r="L56" s="9"/>
      <c r="M56" s="9" t="n">
        <f aca="false">SUM(H56:L56)</f>
        <v>1100</v>
      </c>
      <c r="N56" s="9" t="n">
        <v>103.97</v>
      </c>
      <c r="O56" s="10" t="n">
        <f aca="false">N56/$M56</f>
        <v>0.0945181818181818</v>
      </c>
      <c r="P56" s="9" t="n">
        <v>320.64</v>
      </c>
      <c r="Q56" s="10" t="n">
        <f aca="false">P56/$M56</f>
        <v>0.291490909090909</v>
      </c>
      <c r="R56" s="9" t="n">
        <v>539.07</v>
      </c>
      <c r="S56" s="10" t="n">
        <f aca="false">R56/$M56</f>
        <v>0.490063636363636</v>
      </c>
      <c r="T56" s="9" t="n">
        <v>687</v>
      </c>
      <c r="U56" s="10" t="n">
        <f aca="false">T56/$M56</f>
        <v>0.624545454545455</v>
      </c>
      <c r="V56" s="9" t="n">
        <f aca="false">H56</f>
        <v>1100</v>
      </c>
      <c r="W56" s="9" t="n">
        <f aca="false">V56</f>
        <v>1100</v>
      </c>
    </row>
    <row r="57" customFormat="false" ht="12.8" hidden="false" customHeight="false" outlineLevel="0" collapsed="false">
      <c r="A57" s="31"/>
      <c r="B57" s="8" t="n">
        <v>290</v>
      </c>
      <c r="C57" s="8" t="s">
        <v>56</v>
      </c>
      <c r="D57" s="9" t="n">
        <v>19155.16</v>
      </c>
      <c r="E57" s="9" t="n">
        <v>17507.57</v>
      </c>
      <c r="F57" s="9" t="n">
        <v>8800</v>
      </c>
      <c r="G57" s="9" t="n">
        <v>13774.56</v>
      </c>
      <c r="H57" s="9" t="n">
        <f aca="false">13800+3133</f>
        <v>16933</v>
      </c>
      <c r="I57" s="9"/>
      <c r="J57" s="9" t="n">
        <v>1097</v>
      </c>
      <c r="K57" s="9" t="n">
        <v>-3165</v>
      </c>
      <c r="L57" s="9"/>
      <c r="M57" s="9" t="n">
        <f aca="false">SUM(H57:L57)</f>
        <v>14865</v>
      </c>
      <c r="N57" s="9" t="n">
        <v>5652.17</v>
      </c>
      <c r="O57" s="10" t="n">
        <f aca="false">N57/$M57</f>
        <v>0.380233434241507</v>
      </c>
      <c r="P57" s="9" t="n">
        <v>7906.19</v>
      </c>
      <c r="Q57" s="10" t="n">
        <f aca="false">P57/$M57</f>
        <v>0.531866128489741</v>
      </c>
      <c r="R57" s="9" t="n">
        <v>10898.81</v>
      </c>
      <c r="S57" s="10" t="n">
        <f aca="false">R57/$M57</f>
        <v>0.733186007399933</v>
      </c>
      <c r="T57" s="9" t="n">
        <v>16538.86</v>
      </c>
      <c r="U57" s="10" t="n">
        <f aca="false">T57/$M57</f>
        <v>1.11260410359906</v>
      </c>
      <c r="V57" s="9" t="n">
        <f aca="false">H57-3133</f>
        <v>13800</v>
      </c>
      <c r="W57" s="9" t="n">
        <f aca="false">V57</f>
        <v>13800</v>
      </c>
    </row>
    <row r="58" customFormat="false" ht="12.8" hidden="false" customHeight="false" outlineLevel="0" collapsed="false">
      <c r="A58" s="31"/>
      <c r="B58" s="8" t="s">
        <v>50</v>
      </c>
      <c r="C58" s="8" t="s">
        <v>51</v>
      </c>
      <c r="D58" s="28" t="n">
        <v>11700.71</v>
      </c>
      <c r="E58" s="28" t="n">
        <v>9587.64</v>
      </c>
      <c r="F58" s="28" t="n">
        <v>0</v>
      </c>
      <c r="G58" s="28" t="n">
        <v>27.19</v>
      </c>
      <c r="H58" s="28" t="n">
        <v>0</v>
      </c>
      <c r="I58" s="28"/>
      <c r="J58" s="28"/>
      <c r="K58" s="28"/>
      <c r="L58" s="28"/>
      <c r="M58" s="28" t="n">
        <f aca="false">SUM(H58:L58)</f>
        <v>0</v>
      </c>
      <c r="N58" s="28" t="n">
        <v>0</v>
      </c>
      <c r="O58" s="10" t="e">
        <f aca="false">N58/$M58</f>
        <v>#DIV/0!</v>
      </c>
      <c r="P58" s="28" t="n">
        <v>0</v>
      </c>
      <c r="Q58" s="10" t="e">
        <f aca="false">P58/$M58</f>
        <v>#DIV/0!</v>
      </c>
      <c r="R58" s="28" t="n">
        <v>0</v>
      </c>
      <c r="S58" s="10" t="e">
        <f aca="false">R58/$M58</f>
        <v>#DIV/0!</v>
      </c>
      <c r="T58" s="28" t="n">
        <v>38.4</v>
      </c>
      <c r="U58" s="10" t="e">
        <f aca="false">T58/$M58</f>
        <v>#DIV/0!</v>
      </c>
      <c r="V58" s="9" t="n">
        <f aca="false">H58</f>
        <v>0</v>
      </c>
      <c r="W58" s="9" t="n">
        <f aca="false">V58</f>
        <v>0</v>
      </c>
    </row>
    <row r="59" customFormat="false" ht="12.8" hidden="false" customHeight="false" outlineLevel="0" collapsed="false">
      <c r="A59" s="29" t="s">
        <v>21</v>
      </c>
      <c r="B59" s="29" t="n">
        <v>41</v>
      </c>
      <c r="C59" s="29" t="s">
        <v>23</v>
      </c>
      <c r="D59" s="30" t="n">
        <f aca="false">SUM(D53:D58)</f>
        <v>104281.92</v>
      </c>
      <c r="E59" s="30" t="n">
        <f aca="false">SUM(E53:E58)</f>
        <v>96217.95</v>
      </c>
      <c r="F59" s="30" t="n">
        <f aca="false">SUM(F53:F58)</f>
        <v>84400</v>
      </c>
      <c r="G59" s="30" t="n">
        <f aca="false">SUM(G53:G58)</f>
        <v>103109.31</v>
      </c>
      <c r="H59" s="30" t="n">
        <f aca="false">SUM(H53:H58)</f>
        <v>85988</v>
      </c>
      <c r="I59" s="30" t="n">
        <f aca="false">SUM(I53:I58)</f>
        <v>5000</v>
      </c>
      <c r="J59" s="30" t="n">
        <f aca="false">SUM(J53:J58)</f>
        <v>22051</v>
      </c>
      <c r="K59" s="30" t="n">
        <f aca="false">SUM(K53:K58)</f>
        <v>3635</v>
      </c>
      <c r="L59" s="30" t="n">
        <f aca="false">SUM(L53:L58)</f>
        <v>0</v>
      </c>
      <c r="M59" s="30" t="n">
        <f aca="false">SUM(M53:M58)</f>
        <v>116674</v>
      </c>
      <c r="N59" s="30" t="n">
        <f aca="false">SUM(N53:N58)</f>
        <v>24244.77</v>
      </c>
      <c r="O59" s="10" t="n">
        <f aca="false">N59/$M59</f>
        <v>0.207799252618407</v>
      </c>
      <c r="P59" s="30" t="n">
        <f aca="false">SUM(P53:P58)</f>
        <v>57627.92</v>
      </c>
      <c r="Q59" s="10" t="n">
        <f aca="false">P59/$M59</f>
        <v>0.493922553439498</v>
      </c>
      <c r="R59" s="30" t="n">
        <f aca="false">SUM(R53:R58)</f>
        <v>80407.18</v>
      </c>
      <c r="S59" s="10" t="n">
        <f aca="false">R59/$M59</f>
        <v>0.689161081303461</v>
      </c>
      <c r="T59" s="30" t="n">
        <f aca="false">SUM(T53:T58)</f>
        <v>122228.76</v>
      </c>
      <c r="U59" s="10" t="n">
        <f aca="false">T59/$M59</f>
        <v>1.04760923599088</v>
      </c>
      <c r="V59" s="30" t="n">
        <f aca="false">SUM(V53:V58)</f>
        <v>76855</v>
      </c>
      <c r="W59" s="30" t="n">
        <f aca="false">SUM(W53:W58)</f>
        <v>76855</v>
      </c>
    </row>
    <row r="60" customFormat="false" ht="12.8" hidden="false" customHeight="false" outlineLevel="0" collapsed="false">
      <c r="A60" s="25" t="s">
        <v>49</v>
      </c>
      <c r="B60" s="8" t="n">
        <v>290</v>
      </c>
      <c r="C60" s="8" t="s">
        <v>56</v>
      </c>
      <c r="D60" s="9" t="n">
        <v>0</v>
      </c>
      <c r="E60" s="9" t="n">
        <v>0</v>
      </c>
      <c r="F60" s="9" t="n">
        <v>2870</v>
      </c>
      <c r="G60" s="9" t="n">
        <v>3348.12</v>
      </c>
      <c r="H60" s="9" t="n">
        <v>3400</v>
      </c>
      <c r="I60" s="9"/>
      <c r="J60" s="9"/>
      <c r="K60" s="9"/>
      <c r="L60" s="9" t="n">
        <v>532</v>
      </c>
      <c r="M60" s="9" t="n">
        <f aca="false">SUM(H60:L60)</f>
        <v>3932</v>
      </c>
      <c r="N60" s="9" t="n">
        <v>882.29</v>
      </c>
      <c r="O60" s="10" t="n">
        <f aca="false">N60/$M60</f>
        <v>0.224387080366226</v>
      </c>
      <c r="P60" s="9" t="n">
        <v>1927.32</v>
      </c>
      <c r="Q60" s="10" t="n">
        <f aca="false">P60/$M60</f>
        <v>0.490162767039674</v>
      </c>
      <c r="R60" s="9" t="n">
        <v>2791.21</v>
      </c>
      <c r="S60" s="10" t="n">
        <f aca="false">R60/$M60</f>
        <v>0.709870295015259</v>
      </c>
      <c r="T60" s="9" t="n">
        <v>3931.55</v>
      </c>
      <c r="U60" s="10" t="n">
        <f aca="false">T60/$M60</f>
        <v>0.999885554425229</v>
      </c>
      <c r="V60" s="9" t="n">
        <f aca="false">H60</f>
        <v>3400</v>
      </c>
      <c r="W60" s="9" t="n">
        <f aca="false">V60</f>
        <v>3400</v>
      </c>
    </row>
    <row r="61" customFormat="false" ht="12.8" hidden="false" customHeight="false" outlineLevel="0" collapsed="false">
      <c r="A61" s="25"/>
      <c r="B61" s="8" t="s">
        <v>50</v>
      </c>
      <c r="C61" s="8" t="s">
        <v>51</v>
      </c>
      <c r="D61" s="9" t="n">
        <v>0</v>
      </c>
      <c r="E61" s="9" t="n">
        <v>0</v>
      </c>
      <c r="F61" s="9" t="n">
        <v>45500</v>
      </c>
      <c r="G61" s="28" t="n">
        <v>47780.47</v>
      </c>
      <c r="H61" s="9" t="n">
        <v>45000</v>
      </c>
      <c r="I61" s="9"/>
      <c r="J61" s="9"/>
      <c r="K61" s="9" t="n">
        <f aca="false">7104-750+1800-5429</f>
        <v>2725</v>
      </c>
      <c r="L61" s="9"/>
      <c r="M61" s="9" t="n">
        <f aca="false">SUM(H61:L61)</f>
        <v>47725</v>
      </c>
      <c r="N61" s="9" t="n">
        <f aca="false">14412-72.35</f>
        <v>14339.65</v>
      </c>
      <c r="O61" s="10" t="n">
        <f aca="false">N61/$M61</f>
        <v>0.300464117338921</v>
      </c>
      <c r="P61" s="9" t="n">
        <f aca="false">27626.85-145.27</f>
        <v>27481.58</v>
      </c>
      <c r="Q61" s="10" t="n">
        <f aca="false">P61/$M61</f>
        <v>0.575831953902567</v>
      </c>
      <c r="R61" s="9" t="n">
        <f aca="false">38987.22-1286-145.27</f>
        <v>37555.95</v>
      </c>
      <c r="S61" s="10" t="n">
        <f aca="false">R61/$M61</f>
        <v>0.786924044002095</v>
      </c>
      <c r="T61" s="9" t="n">
        <f aca="false">49018.04</f>
        <v>49018.04</v>
      </c>
      <c r="U61" s="10" t="n">
        <f aca="false">T61/$M61</f>
        <v>1.02709355683604</v>
      </c>
      <c r="V61" s="9" t="n">
        <f aca="false">H61</f>
        <v>45000</v>
      </c>
      <c r="W61" s="9" t="n">
        <f aca="false">V61</f>
        <v>45000</v>
      </c>
    </row>
    <row r="62" customFormat="false" ht="12.8" hidden="false" customHeight="false" outlineLevel="0" collapsed="false">
      <c r="A62" s="29" t="s">
        <v>21</v>
      </c>
      <c r="B62" s="29" t="n">
        <v>72</v>
      </c>
      <c r="C62" s="29" t="s">
        <v>25</v>
      </c>
      <c r="D62" s="30" t="n">
        <f aca="false">SUM(D60:D61)</f>
        <v>0</v>
      </c>
      <c r="E62" s="30" t="n">
        <f aca="false">SUM(E60:E61)</f>
        <v>0</v>
      </c>
      <c r="F62" s="30" t="n">
        <f aca="false">SUM(F60:F61)</f>
        <v>48370</v>
      </c>
      <c r="G62" s="30" t="n">
        <f aca="false">SUM(G60:G61)</f>
        <v>51128.59</v>
      </c>
      <c r="H62" s="30" t="n">
        <f aca="false">SUM(H60:H61)</f>
        <v>48400</v>
      </c>
      <c r="I62" s="30" t="n">
        <f aca="false">SUM(I60:I61)</f>
        <v>0</v>
      </c>
      <c r="J62" s="30" t="n">
        <f aca="false">SUM(J60:J61)</f>
        <v>0</v>
      </c>
      <c r="K62" s="30" t="n">
        <f aca="false">SUM(K60:K61)</f>
        <v>2725</v>
      </c>
      <c r="L62" s="30" t="n">
        <f aca="false">SUM(L60:L61)</f>
        <v>532</v>
      </c>
      <c r="M62" s="30" t="n">
        <f aca="false">SUM(M60:M61)</f>
        <v>51657</v>
      </c>
      <c r="N62" s="30" t="n">
        <f aca="false">SUM(N60:N61)</f>
        <v>15221.94</v>
      </c>
      <c r="O62" s="10" t="n">
        <f aca="false">N62/$M62</f>
        <v>0.294673325977118</v>
      </c>
      <c r="P62" s="30" t="n">
        <f aca="false">SUM(P60:P61)</f>
        <v>29408.9</v>
      </c>
      <c r="Q62" s="10" t="n">
        <f aca="false">P62/$M62</f>
        <v>0.569311032386705</v>
      </c>
      <c r="R62" s="30" t="n">
        <f aca="false">SUM(R60:R61)</f>
        <v>40347.16</v>
      </c>
      <c r="S62" s="10" t="n">
        <f aca="false">R62/$M62</f>
        <v>0.781058907795652</v>
      </c>
      <c r="T62" s="30" t="n">
        <f aca="false">SUM(T60:T61)</f>
        <v>52949.59</v>
      </c>
      <c r="U62" s="10" t="n">
        <f aca="false">T62/$M62</f>
        <v>1.02502255260662</v>
      </c>
      <c r="V62" s="30" t="n">
        <f aca="false">SUM(V60:V61)</f>
        <v>48400</v>
      </c>
      <c r="W62" s="30" t="n">
        <f aca="false">SUM(W60:W61)</f>
        <v>48400</v>
      </c>
    </row>
    <row r="64" customFormat="false" ht="12.8" hidden="false" customHeight="false" outlineLevel="0" collapsed="false">
      <c r="B64" s="32" t="s">
        <v>57</v>
      </c>
      <c r="C64" s="14" t="s">
        <v>58</v>
      </c>
      <c r="D64" s="33" t="n">
        <v>6576.64</v>
      </c>
      <c r="E64" s="33" t="n">
        <v>5860.78</v>
      </c>
      <c r="F64" s="33" t="n">
        <v>5900</v>
      </c>
      <c r="G64" s="33" t="n">
        <v>4092.33</v>
      </c>
      <c r="H64" s="33" t="n">
        <v>4400</v>
      </c>
      <c r="I64" s="33"/>
      <c r="J64" s="33" t="n">
        <v>115</v>
      </c>
      <c r="K64" s="33"/>
      <c r="L64" s="33"/>
      <c r="M64" s="33" t="n">
        <f aca="false">SUM(H64:L64)</f>
        <v>4515</v>
      </c>
      <c r="N64" s="33" t="n">
        <v>277.83</v>
      </c>
      <c r="O64" s="34" t="n">
        <f aca="false">N64/$M64</f>
        <v>0.0615348837209302</v>
      </c>
      <c r="P64" s="33" t="n">
        <v>2265.49</v>
      </c>
      <c r="Q64" s="34" t="n">
        <f aca="false">P64/$M64</f>
        <v>0.501769656699889</v>
      </c>
      <c r="R64" s="33" t="n">
        <v>3626</v>
      </c>
      <c r="S64" s="34" t="n">
        <f aca="false">R64/$M64</f>
        <v>0.803100775193798</v>
      </c>
      <c r="T64" s="33" t="n">
        <v>3657.2</v>
      </c>
      <c r="U64" s="35" t="n">
        <f aca="false">T64/$M64</f>
        <v>0.810011074197121</v>
      </c>
      <c r="V64" s="33" t="n">
        <f aca="false">H64</f>
        <v>4400</v>
      </c>
      <c r="W64" s="36" t="n">
        <f aca="false">V64</f>
        <v>4400</v>
      </c>
    </row>
    <row r="65" customFormat="false" ht="12.8" hidden="false" customHeight="false" outlineLevel="0" collapsed="false">
      <c r="B65" s="37"/>
      <c r="C65" s="38" t="s">
        <v>59</v>
      </c>
      <c r="D65" s="39" t="n">
        <v>8783.3</v>
      </c>
      <c r="E65" s="39" t="n">
        <v>7219.5</v>
      </c>
      <c r="F65" s="39" t="n">
        <v>7200</v>
      </c>
      <c r="G65" s="39" t="n">
        <v>7541</v>
      </c>
      <c r="H65" s="39" t="n">
        <v>7500</v>
      </c>
      <c r="I65" s="39"/>
      <c r="J65" s="39"/>
      <c r="K65" s="39"/>
      <c r="L65" s="39"/>
      <c r="M65" s="39" t="n">
        <f aca="false">SUM(H65:L65)</f>
        <v>7500</v>
      </c>
      <c r="N65" s="39" t="n">
        <v>1746</v>
      </c>
      <c r="O65" s="40" t="n">
        <f aca="false">N65/$M65</f>
        <v>0.2328</v>
      </c>
      <c r="P65" s="39" t="n">
        <v>3992.58</v>
      </c>
      <c r="Q65" s="40" t="n">
        <f aca="false">P65/$M65</f>
        <v>0.532344</v>
      </c>
      <c r="R65" s="39" t="n">
        <v>6359.58</v>
      </c>
      <c r="S65" s="40" t="n">
        <f aca="false">R65/$M65</f>
        <v>0.847944</v>
      </c>
      <c r="T65" s="39" t="n">
        <v>8286.58</v>
      </c>
      <c r="U65" s="41" t="n">
        <f aca="false">T65/$M65</f>
        <v>1.10487733333333</v>
      </c>
      <c r="V65" s="39" t="n">
        <f aca="false">H65</f>
        <v>7500</v>
      </c>
      <c r="W65" s="42" t="n">
        <f aca="false">V65</f>
        <v>7500</v>
      </c>
    </row>
    <row r="66" customFormat="false" ht="12.8" hidden="false" customHeight="false" outlineLevel="0" collapsed="false">
      <c r="B66" s="37"/>
      <c r="C66" s="38" t="s">
        <v>60</v>
      </c>
      <c r="D66" s="39" t="n">
        <v>3200</v>
      </c>
      <c r="E66" s="39" t="n">
        <v>3212</v>
      </c>
      <c r="F66" s="39" t="n">
        <v>3200</v>
      </c>
      <c r="G66" s="39" t="n">
        <v>0</v>
      </c>
      <c r="H66" s="39" t="n">
        <v>0</v>
      </c>
      <c r="I66" s="39"/>
      <c r="J66" s="39"/>
      <c r="K66" s="39"/>
      <c r="L66" s="39"/>
      <c r="M66" s="39" t="n">
        <f aca="false">SUM(H66:L66)</f>
        <v>0</v>
      </c>
      <c r="N66" s="39" t="n">
        <v>0</v>
      </c>
      <c r="O66" s="40" t="e">
        <f aca="false">N66/$M66</f>
        <v>#DIV/0!</v>
      </c>
      <c r="P66" s="39" t="n">
        <v>0</v>
      </c>
      <c r="Q66" s="40" t="e">
        <f aca="false">P66/$M66</f>
        <v>#DIV/0!</v>
      </c>
      <c r="R66" s="39" t="n">
        <v>0</v>
      </c>
      <c r="S66" s="40" t="e">
        <f aca="false">R66/$M66</f>
        <v>#DIV/0!</v>
      </c>
      <c r="T66" s="39" t="n">
        <v>0</v>
      </c>
      <c r="U66" s="41" t="e">
        <f aca="false">T66/$M66</f>
        <v>#DIV/0!</v>
      </c>
      <c r="V66" s="39" t="n">
        <f aca="false">H66</f>
        <v>0</v>
      </c>
      <c r="W66" s="42" t="n">
        <f aca="false">V66</f>
        <v>0</v>
      </c>
    </row>
    <row r="67" customFormat="false" ht="12.8" hidden="false" customHeight="false" outlineLevel="0" collapsed="false">
      <c r="B67" s="37"/>
      <c r="C67" s="38" t="s">
        <v>61</v>
      </c>
      <c r="D67" s="39"/>
      <c r="E67" s="39"/>
      <c r="F67" s="39"/>
      <c r="G67" s="39"/>
      <c r="H67" s="39" t="n">
        <v>0</v>
      </c>
      <c r="I67" s="39" t="n">
        <v>2000</v>
      </c>
      <c r="J67" s="39" t="n">
        <v>4665</v>
      </c>
      <c r="K67" s="39"/>
      <c r="L67" s="39"/>
      <c r="M67" s="39" t="n">
        <f aca="false">SUM(H67:L67)</f>
        <v>6665</v>
      </c>
      <c r="N67" s="39" t="n">
        <v>0</v>
      </c>
      <c r="O67" s="40" t="n">
        <f aca="false">N67/$M67</f>
        <v>0</v>
      </c>
      <c r="P67" s="39" t="n">
        <v>6665.4</v>
      </c>
      <c r="Q67" s="40" t="n">
        <f aca="false">P67/$M67</f>
        <v>1.00006001500375</v>
      </c>
      <c r="R67" s="39" t="n">
        <v>6665.4</v>
      </c>
      <c r="S67" s="40" t="n">
        <f aca="false">R67/$M67</f>
        <v>1.00006001500375</v>
      </c>
      <c r="T67" s="39" t="n">
        <v>6665.4</v>
      </c>
      <c r="U67" s="41" t="n">
        <f aca="false">T67/$M67</f>
        <v>1.00006001500375</v>
      </c>
      <c r="V67" s="39"/>
      <c r="W67" s="42"/>
    </row>
    <row r="68" customFormat="false" ht="12.8" hidden="false" customHeight="false" outlineLevel="0" collapsed="false">
      <c r="B68" s="37"/>
      <c r="C68" s="38" t="s">
        <v>62</v>
      </c>
      <c r="D68" s="39" t="n">
        <v>17460.64</v>
      </c>
      <c r="E68" s="39" t="n">
        <v>21368.48</v>
      </c>
      <c r="F68" s="39" t="n">
        <v>21500</v>
      </c>
      <c r="G68" s="39" t="n">
        <v>27465.81</v>
      </c>
      <c r="H68" s="39" t="n">
        <v>27000</v>
      </c>
      <c r="I68" s="39"/>
      <c r="J68" s="39"/>
      <c r="K68" s="39"/>
      <c r="L68" s="39"/>
      <c r="M68" s="39" t="n">
        <f aca="false">SUM(H68:L68)</f>
        <v>27000</v>
      </c>
      <c r="N68" s="39" t="n">
        <v>3954.84</v>
      </c>
      <c r="O68" s="40" t="n">
        <f aca="false">N68/$M68</f>
        <v>0.146475555555556</v>
      </c>
      <c r="P68" s="39" t="n">
        <v>5807.56</v>
      </c>
      <c r="Q68" s="40" t="n">
        <f aca="false">P68/$M68</f>
        <v>0.215094814814815</v>
      </c>
      <c r="R68" s="39" t="n">
        <v>6918.12</v>
      </c>
      <c r="S68" s="40" t="n">
        <f aca="false">R68/$M68</f>
        <v>0.256226666666667</v>
      </c>
      <c r="T68" s="39" t="n">
        <v>23556.21</v>
      </c>
      <c r="U68" s="41" t="n">
        <f aca="false">T68/$M68</f>
        <v>0.872452222222222</v>
      </c>
      <c r="V68" s="39" t="n">
        <v>21000</v>
      </c>
      <c r="W68" s="42" t="n">
        <f aca="false">V68</f>
        <v>21000</v>
      </c>
    </row>
    <row r="69" customFormat="false" ht="12.8" hidden="false" customHeight="false" outlineLevel="0" collapsed="false">
      <c r="B69" s="37"/>
      <c r="C69" s="38" t="s">
        <v>63</v>
      </c>
      <c r="D69" s="39" t="n">
        <v>503.8</v>
      </c>
      <c r="E69" s="39" t="n">
        <v>86.9</v>
      </c>
      <c r="F69" s="39" t="n">
        <v>100</v>
      </c>
      <c r="G69" s="39" t="n">
        <v>0</v>
      </c>
      <c r="H69" s="39" t="n">
        <v>0</v>
      </c>
      <c r="I69" s="39"/>
      <c r="J69" s="39" t="n">
        <v>400</v>
      </c>
      <c r="K69" s="39" t="n">
        <v>-133</v>
      </c>
      <c r="L69" s="39"/>
      <c r="M69" s="39" t="n">
        <f aca="false">SUM(H69:L69)</f>
        <v>267</v>
      </c>
      <c r="N69" s="39" t="n">
        <v>0</v>
      </c>
      <c r="O69" s="40" t="n">
        <f aca="false">N69/$M69</f>
        <v>0</v>
      </c>
      <c r="P69" s="39" t="n">
        <v>96.8</v>
      </c>
      <c r="Q69" s="40" t="n">
        <f aca="false">P69/$M69</f>
        <v>0.362546816479401</v>
      </c>
      <c r="R69" s="39" t="n">
        <v>96.8</v>
      </c>
      <c r="S69" s="40" t="n">
        <f aca="false">R69/$M69</f>
        <v>0.362546816479401</v>
      </c>
      <c r="T69" s="39" t="n">
        <v>96.8</v>
      </c>
      <c r="U69" s="41" t="n">
        <f aca="false">T69/$M69</f>
        <v>0.362546816479401</v>
      </c>
      <c r="V69" s="39" t="n">
        <f aca="false">H69</f>
        <v>0</v>
      </c>
      <c r="W69" s="42" t="n">
        <f aca="false">V69</f>
        <v>0</v>
      </c>
    </row>
    <row r="70" customFormat="false" ht="12.8" hidden="false" customHeight="false" outlineLevel="0" collapsed="false">
      <c r="B70" s="37"/>
      <c r="C70" s="38" t="s">
        <v>64</v>
      </c>
      <c r="D70" s="39" t="n">
        <v>1269</v>
      </c>
      <c r="E70" s="39" t="n">
        <v>480</v>
      </c>
      <c r="F70" s="39" t="n">
        <v>500</v>
      </c>
      <c r="G70" s="39" t="n">
        <v>0</v>
      </c>
      <c r="H70" s="39" t="n">
        <v>0</v>
      </c>
      <c r="I70" s="39"/>
      <c r="J70" s="39"/>
      <c r="K70" s="39"/>
      <c r="L70" s="39"/>
      <c r="M70" s="39" t="n">
        <f aca="false">SUM(H70:L70)</f>
        <v>0</v>
      </c>
      <c r="N70" s="39" t="n">
        <v>0</v>
      </c>
      <c r="O70" s="40" t="e">
        <f aca="false">N70/$M70</f>
        <v>#DIV/0!</v>
      </c>
      <c r="P70" s="39" t="n">
        <v>0</v>
      </c>
      <c r="Q70" s="40" t="e">
        <f aca="false">P70/$M70</f>
        <v>#DIV/0!</v>
      </c>
      <c r="R70" s="39" t="n">
        <v>0</v>
      </c>
      <c r="S70" s="40" t="e">
        <f aca="false">R70/$M70</f>
        <v>#DIV/0!</v>
      </c>
      <c r="T70" s="39" t="n">
        <v>0</v>
      </c>
      <c r="U70" s="41" t="e">
        <f aca="false">T70/$M70</f>
        <v>#DIV/0!</v>
      </c>
      <c r="V70" s="39" t="n">
        <f aca="false">H70</f>
        <v>0</v>
      </c>
      <c r="W70" s="42" t="n">
        <f aca="false">V70</f>
        <v>0</v>
      </c>
    </row>
    <row r="71" customFormat="false" ht="12.8" hidden="false" customHeight="false" outlineLevel="0" collapsed="false">
      <c r="B71" s="37"/>
      <c r="C71" s="38" t="s">
        <v>65</v>
      </c>
      <c r="D71" s="43" t="n">
        <v>19749.61</v>
      </c>
      <c r="E71" s="43" t="n">
        <v>20131.04</v>
      </c>
      <c r="F71" s="43" t="n">
        <v>20100</v>
      </c>
      <c r="G71" s="43" t="n">
        <v>18265.32</v>
      </c>
      <c r="H71" s="43" t="n">
        <v>18300</v>
      </c>
      <c r="I71" s="43" t="n">
        <v>2000</v>
      </c>
      <c r="J71" s="43" t="n">
        <v>9000</v>
      </c>
      <c r="K71" s="43" t="n">
        <v>2000</v>
      </c>
      <c r="L71" s="43"/>
      <c r="M71" s="43" t="n">
        <f aca="false">SUM(H71:L71)</f>
        <v>31300</v>
      </c>
      <c r="N71" s="43" t="n">
        <v>6345.38</v>
      </c>
      <c r="O71" s="40" t="n">
        <f aca="false">N71/$M71</f>
        <v>0.202727795527157</v>
      </c>
      <c r="P71" s="43" t="n">
        <v>14291.82</v>
      </c>
      <c r="Q71" s="40" t="n">
        <f aca="false">P71/$M71</f>
        <v>0.456607667731629</v>
      </c>
      <c r="R71" s="43" t="n">
        <v>23001.15</v>
      </c>
      <c r="S71" s="40" t="n">
        <f aca="false">R71/$M71</f>
        <v>0.734861022364217</v>
      </c>
      <c r="T71" s="43" t="n">
        <v>31962.73</v>
      </c>
      <c r="U71" s="41" t="n">
        <f aca="false">T71/$M71</f>
        <v>1.02117348242812</v>
      </c>
      <c r="V71" s="39" t="n">
        <f aca="false">H71</f>
        <v>18300</v>
      </c>
      <c r="W71" s="42" t="n">
        <f aca="false">V71</f>
        <v>18300</v>
      </c>
    </row>
    <row r="72" customFormat="false" ht="12.8" hidden="false" customHeight="false" outlineLevel="0" collapsed="false">
      <c r="B72" s="37"/>
      <c r="C72" s="38" t="s">
        <v>66</v>
      </c>
      <c r="D72" s="43" t="n">
        <v>5280</v>
      </c>
      <c r="E72" s="43" t="n">
        <v>0</v>
      </c>
      <c r="F72" s="43" t="n">
        <v>6000</v>
      </c>
      <c r="G72" s="43" t="n">
        <v>19051.03</v>
      </c>
      <c r="H72" s="43" t="n">
        <v>0</v>
      </c>
      <c r="I72" s="43"/>
      <c r="J72" s="43"/>
      <c r="K72" s="43"/>
      <c r="L72" s="43"/>
      <c r="M72" s="43" t="n">
        <f aca="false">SUM(H72:L72)</f>
        <v>0</v>
      </c>
      <c r="N72" s="43" t="n">
        <v>0</v>
      </c>
      <c r="O72" s="40" t="e">
        <f aca="false">N72/$M72</f>
        <v>#DIV/0!</v>
      </c>
      <c r="P72" s="43" t="n">
        <v>0</v>
      </c>
      <c r="Q72" s="40" t="e">
        <f aca="false">P72/$M72</f>
        <v>#DIV/0!</v>
      </c>
      <c r="R72" s="43" t="n">
        <v>0</v>
      </c>
      <c r="S72" s="40" t="e">
        <f aca="false">R72/$M72</f>
        <v>#DIV/0!</v>
      </c>
      <c r="T72" s="43" t="n">
        <v>0</v>
      </c>
      <c r="U72" s="41" t="e">
        <f aca="false">T72/$M72</f>
        <v>#DIV/0!</v>
      </c>
      <c r="V72" s="39" t="n">
        <v>0</v>
      </c>
      <c r="W72" s="42" t="n">
        <f aca="false">V72</f>
        <v>0</v>
      </c>
    </row>
    <row r="73" customFormat="false" ht="12.8" hidden="false" customHeight="false" outlineLevel="0" collapsed="false">
      <c r="B73" s="37"/>
      <c r="C73" s="38" t="s">
        <v>67</v>
      </c>
      <c r="D73" s="43"/>
      <c r="E73" s="43"/>
      <c r="F73" s="43"/>
      <c r="G73" s="43"/>
      <c r="H73" s="43" t="n">
        <v>0</v>
      </c>
      <c r="I73" s="43" t="n">
        <v>1000</v>
      </c>
      <c r="J73" s="43" t="n">
        <v>6463</v>
      </c>
      <c r="K73" s="43" t="n">
        <v>3900</v>
      </c>
      <c r="L73" s="43"/>
      <c r="M73" s="43" t="n">
        <f aca="false">SUM(H73:L73)</f>
        <v>11363</v>
      </c>
      <c r="N73" s="43" t="n">
        <v>2742.47</v>
      </c>
      <c r="O73" s="40" t="n">
        <f aca="false">N73/$M73</f>
        <v>0.241350875649036</v>
      </c>
      <c r="P73" s="43" t="n">
        <v>7862.47</v>
      </c>
      <c r="Q73" s="40" t="n">
        <f aca="false">P73/$M73</f>
        <v>0.691936108422072</v>
      </c>
      <c r="R73" s="43" t="n">
        <v>11367.47</v>
      </c>
      <c r="S73" s="40" t="n">
        <f aca="false">R73/$M73</f>
        <v>1.00039338202939</v>
      </c>
      <c r="T73" s="43" t="n">
        <v>15828.47</v>
      </c>
      <c r="U73" s="41" t="n">
        <f aca="false">T73/$M73</f>
        <v>1.39298336706856</v>
      </c>
      <c r="V73" s="39"/>
      <c r="W73" s="42"/>
    </row>
    <row r="74" customFormat="false" ht="12.8" hidden="false" customHeight="false" outlineLevel="0" collapsed="false">
      <c r="B74" s="37"/>
      <c r="C74" s="38" t="s">
        <v>68</v>
      </c>
      <c r="D74" s="43"/>
      <c r="E74" s="43"/>
      <c r="F74" s="43"/>
      <c r="G74" s="43"/>
      <c r="H74" s="43" t="n">
        <v>0</v>
      </c>
      <c r="I74" s="43"/>
      <c r="J74" s="43"/>
      <c r="K74" s="43"/>
      <c r="L74" s="43"/>
      <c r="M74" s="43" t="n">
        <f aca="false">SUM(H74:L74)</f>
        <v>0</v>
      </c>
      <c r="N74" s="43" t="n">
        <v>0</v>
      </c>
      <c r="O74" s="40" t="e">
        <f aca="false">N74/$M74</f>
        <v>#DIV/0!</v>
      </c>
      <c r="P74" s="43" t="n">
        <v>235</v>
      </c>
      <c r="Q74" s="40" t="e">
        <f aca="false">P74/$M74</f>
        <v>#DIV/0!</v>
      </c>
      <c r="R74" s="43" t="n">
        <v>673</v>
      </c>
      <c r="S74" s="40" t="e">
        <f aca="false">R74/$M74</f>
        <v>#DIV/0!</v>
      </c>
      <c r="T74" s="43" t="n">
        <v>164</v>
      </c>
      <c r="U74" s="41" t="e">
        <f aca="false">T74/$M74</f>
        <v>#DIV/0!</v>
      </c>
      <c r="V74" s="39"/>
      <c r="W74" s="42"/>
    </row>
    <row r="75" customFormat="false" ht="12.8" hidden="false" customHeight="false" outlineLevel="0" collapsed="false">
      <c r="B75" s="37"/>
      <c r="C75" s="38" t="s">
        <v>69</v>
      </c>
      <c r="D75" s="43" t="n">
        <v>3339</v>
      </c>
      <c r="E75" s="43" t="n">
        <v>3424</v>
      </c>
      <c r="F75" s="43" t="n">
        <v>3500</v>
      </c>
      <c r="G75" s="43" t="n">
        <v>3249</v>
      </c>
      <c r="H75" s="43" t="n">
        <v>3900</v>
      </c>
      <c r="I75" s="43"/>
      <c r="J75" s="43"/>
      <c r="K75" s="43"/>
      <c r="L75" s="43"/>
      <c r="M75" s="43" t="n">
        <f aca="false">SUM(H75:L75)</f>
        <v>3900</v>
      </c>
      <c r="N75" s="43" t="n">
        <v>1030</v>
      </c>
      <c r="O75" s="40" t="n">
        <f aca="false">N75/$M75</f>
        <v>0.264102564102564</v>
      </c>
      <c r="P75" s="43" t="n">
        <v>2475</v>
      </c>
      <c r="Q75" s="40" t="n">
        <f aca="false">P75/$M75</f>
        <v>0.634615384615385</v>
      </c>
      <c r="R75" s="43" t="n">
        <v>4013</v>
      </c>
      <c r="S75" s="40" t="n">
        <f aca="false">R75/$M75</f>
        <v>1.02897435897436</v>
      </c>
      <c r="T75" s="43" t="n">
        <v>5720</v>
      </c>
      <c r="U75" s="41" t="n">
        <f aca="false">T75/$M75</f>
        <v>1.46666666666667</v>
      </c>
      <c r="V75" s="39" t="n">
        <f aca="false">H75</f>
        <v>3900</v>
      </c>
      <c r="W75" s="42" t="n">
        <f aca="false">V75</f>
        <v>3900</v>
      </c>
    </row>
    <row r="76" customFormat="false" ht="12.8" hidden="false" customHeight="false" outlineLevel="0" collapsed="false">
      <c r="B76" s="37"/>
      <c r="C76" s="38" t="s">
        <v>70</v>
      </c>
      <c r="D76" s="43" t="n">
        <v>391</v>
      </c>
      <c r="E76" s="43" t="n">
        <v>927</v>
      </c>
      <c r="F76" s="43" t="n">
        <v>900</v>
      </c>
      <c r="G76" s="43" t="n">
        <v>536</v>
      </c>
      <c r="H76" s="43" t="n">
        <v>550</v>
      </c>
      <c r="I76" s="43"/>
      <c r="J76" s="43"/>
      <c r="K76" s="43"/>
      <c r="L76" s="43"/>
      <c r="M76" s="43" t="n">
        <f aca="false">SUM(H76:L76)</f>
        <v>550</v>
      </c>
      <c r="N76" s="43" t="n">
        <v>0</v>
      </c>
      <c r="O76" s="40" t="n">
        <f aca="false">N76/$M76</f>
        <v>0</v>
      </c>
      <c r="P76" s="43" t="n">
        <v>328</v>
      </c>
      <c r="Q76" s="40" t="n">
        <f aca="false">P76/$M76</f>
        <v>0.596363636363636</v>
      </c>
      <c r="R76" s="43" t="n">
        <v>328</v>
      </c>
      <c r="S76" s="40" t="n">
        <f aca="false">R76/$M76</f>
        <v>0.596363636363636</v>
      </c>
      <c r="T76" s="43" t="n">
        <v>662</v>
      </c>
      <c r="U76" s="41" t="n">
        <f aca="false">T76/$M76</f>
        <v>1.20363636363636</v>
      </c>
      <c r="V76" s="39" t="n">
        <f aca="false">H76</f>
        <v>550</v>
      </c>
      <c r="W76" s="42" t="n">
        <f aca="false">V76</f>
        <v>550</v>
      </c>
    </row>
    <row r="77" customFormat="false" ht="12.8" hidden="false" customHeight="false" outlineLevel="0" collapsed="false">
      <c r="B77" s="37"/>
      <c r="C77" s="38" t="s">
        <v>71</v>
      </c>
      <c r="D77" s="43" t="n">
        <v>0</v>
      </c>
      <c r="E77" s="43" t="n">
        <v>480</v>
      </c>
      <c r="F77" s="43" t="n">
        <v>500</v>
      </c>
      <c r="G77" s="43" t="n">
        <v>360</v>
      </c>
      <c r="H77" s="43" t="n">
        <v>500</v>
      </c>
      <c r="I77" s="43"/>
      <c r="J77" s="43"/>
      <c r="K77" s="43"/>
      <c r="L77" s="43"/>
      <c r="M77" s="43" t="n">
        <f aca="false">SUM(H77:L77)</f>
        <v>500</v>
      </c>
      <c r="N77" s="43" t="n">
        <v>0</v>
      </c>
      <c r="O77" s="40" t="n">
        <f aca="false">N77/$M77</f>
        <v>0</v>
      </c>
      <c r="P77" s="43" t="n">
        <v>120</v>
      </c>
      <c r="Q77" s="40" t="n">
        <f aca="false">P77/$M77</f>
        <v>0.24</v>
      </c>
      <c r="R77" s="43" t="n">
        <v>600</v>
      </c>
      <c r="S77" s="40" t="n">
        <f aca="false">R77/$M77</f>
        <v>1.2</v>
      </c>
      <c r="T77" s="43" t="n">
        <v>600</v>
      </c>
      <c r="U77" s="41" t="n">
        <f aca="false">T77/$M77</f>
        <v>1.2</v>
      </c>
      <c r="V77" s="39" t="n">
        <f aca="false">H77</f>
        <v>500</v>
      </c>
      <c r="W77" s="42" t="n">
        <f aca="false">V77</f>
        <v>500</v>
      </c>
    </row>
    <row r="78" customFormat="false" ht="12.8" hidden="false" customHeight="false" outlineLevel="0" collapsed="false">
      <c r="B78" s="37"/>
      <c r="C78" s="38" t="s">
        <v>72</v>
      </c>
      <c r="D78" s="39" t="n">
        <v>5768.62</v>
      </c>
      <c r="E78" s="39" t="n">
        <v>3518.98</v>
      </c>
      <c r="F78" s="39" t="n">
        <v>0</v>
      </c>
      <c r="G78" s="39" t="n">
        <v>2110.32</v>
      </c>
      <c r="H78" s="39" t="n">
        <v>3133</v>
      </c>
      <c r="I78" s="39"/>
      <c r="J78" s="39" t="n">
        <f aca="false">881+216</f>
        <v>1097</v>
      </c>
      <c r="K78" s="39" t="n">
        <f aca="false">433+16</f>
        <v>449</v>
      </c>
      <c r="L78" s="39"/>
      <c r="M78" s="39" t="n">
        <f aca="false">SUM(H78:L78)</f>
        <v>4679</v>
      </c>
      <c r="N78" s="39" t="n">
        <v>3988.07</v>
      </c>
      <c r="O78" s="40" t="n">
        <f aca="false">N78/$M78</f>
        <v>0.852333832015388</v>
      </c>
      <c r="P78" s="39" t="n">
        <v>4229.38</v>
      </c>
      <c r="Q78" s="40" t="n">
        <f aca="false">P78/$M78</f>
        <v>0.903906817696089</v>
      </c>
      <c r="R78" s="39" t="n">
        <v>5218.37</v>
      </c>
      <c r="S78" s="40" t="n">
        <f aca="false">R78/$M78</f>
        <v>1.11527463133148</v>
      </c>
      <c r="T78" s="39" t="n">
        <v>5363.85</v>
      </c>
      <c r="U78" s="41" t="n">
        <f aca="false">T78/$M78</f>
        <v>1.14636674503099</v>
      </c>
      <c r="V78" s="39" t="n">
        <v>0</v>
      </c>
      <c r="W78" s="42" t="n">
        <f aca="false">V78</f>
        <v>0</v>
      </c>
    </row>
    <row r="79" customFormat="false" ht="12.8" hidden="false" customHeight="false" outlineLevel="0" collapsed="false">
      <c r="B79" s="44"/>
      <c r="C79" s="45" t="s">
        <v>73</v>
      </c>
      <c r="D79" s="46" t="n">
        <v>9251.82</v>
      </c>
      <c r="E79" s="46" t="n">
        <v>8367.37</v>
      </c>
      <c r="F79" s="46" t="n">
        <v>8600</v>
      </c>
      <c r="G79" s="46" t="n">
        <v>9519.4</v>
      </c>
      <c r="H79" s="46" t="n">
        <v>9500</v>
      </c>
      <c r="I79" s="46"/>
      <c r="J79" s="46"/>
      <c r="K79" s="46"/>
      <c r="L79" s="46"/>
      <c r="M79" s="46" t="n">
        <f aca="false">SUM(H79:L79)</f>
        <v>9500</v>
      </c>
      <c r="N79" s="46" t="n">
        <v>1585.1</v>
      </c>
      <c r="O79" s="47" t="n">
        <f aca="false">N79/$M79</f>
        <v>0.166852631578947</v>
      </c>
      <c r="P79" s="46" t="n">
        <v>3503.5</v>
      </c>
      <c r="Q79" s="47" t="n">
        <f aca="false">P79/$M79</f>
        <v>0.36878947368421</v>
      </c>
      <c r="R79" s="46" t="n">
        <v>5188.7</v>
      </c>
      <c r="S79" s="47" t="n">
        <f aca="false">R79/$M79</f>
        <v>0.546178947368421</v>
      </c>
      <c r="T79" s="46" t="n">
        <v>10619.08</v>
      </c>
      <c r="U79" s="48" t="n">
        <f aca="false">T79/$M79</f>
        <v>1.11779789473684</v>
      </c>
      <c r="V79" s="46" t="n">
        <f aca="false">H79</f>
        <v>9500</v>
      </c>
      <c r="W79" s="49" t="n">
        <f aca="false">V79</f>
        <v>9500</v>
      </c>
    </row>
    <row r="81" customFormat="false" ht="12.8" hidden="false" customHeight="false" outlineLevel="0" collapsed="false">
      <c r="A81" s="16" t="s">
        <v>74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customFormat="false" ht="12.8" hidden="false" customHeight="false" outlineLevel="0" collapsed="false">
      <c r="A82" s="4"/>
      <c r="B82" s="4"/>
      <c r="C82" s="4"/>
      <c r="D82" s="5" t="s">
        <v>1</v>
      </c>
      <c r="E82" s="5" t="s">
        <v>2</v>
      </c>
      <c r="F82" s="5" t="s">
        <v>3</v>
      </c>
      <c r="G82" s="5" t="s">
        <v>4</v>
      </c>
      <c r="H82" s="5" t="s">
        <v>5</v>
      </c>
      <c r="I82" s="5" t="s">
        <v>6</v>
      </c>
      <c r="J82" s="5" t="s">
        <v>7</v>
      </c>
      <c r="K82" s="5" t="s">
        <v>8</v>
      </c>
      <c r="L82" s="5" t="s">
        <v>9</v>
      </c>
      <c r="M82" s="5" t="s">
        <v>10</v>
      </c>
      <c r="N82" s="5" t="s">
        <v>11</v>
      </c>
      <c r="O82" s="5" t="s">
        <v>12</v>
      </c>
      <c r="P82" s="5" t="s">
        <v>13</v>
      </c>
      <c r="Q82" s="5" t="s">
        <v>14</v>
      </c>
      <c r="R82" s="5" t="s">
        <v>15</v>
      </c>
      <c r="S82" s="5" t="s">
        <v>16</v>
      </c>
      <c r="T82" s="5" t="s">
        <v>17</v>
      </c>
      <c r="U82" s="5" t="s">
        <v>18</v>
      </c>
      <c r="V82" s="5" t="s">
        <v>19</v>
      </c>
      <c r="W82" s="5" t="s">
        <v>20</v>
      </c>
    </row>
    <row r="83" customFormat="false" ht="12.8" hidden="false" customHeight="false" outlineLevel="0" collapsed="false">
      <c r="A83" s="17" t="s">
        <v>21</v>
      </c>
      <c r="B83" s="18" t="n">
        <v>111</v>
      </c>
      <c r="C83" s="18" t="s">
        <v>22</v>
      </c>
      <c r="D83" s="19" t="n">
        <f aca="false">D122</f>
        <v>564326.47</v>
      </c>
      <c r="E83" s="50" t="n">
        <f aca="false">E122</f>
        <v>611082.49</v>
      </c>
      <c r="F83" s="50" t="n">
        <f aca="false">F122</f>
        <v>2226396</v>
      </c>
      <c r="G83" s="50" t="n">
        <f aca="false">G122</f>
        <v>1081145.62</v>
      </c>
      <c r="H83" s="50" t="n">
        <f aca="false">H122</f>
        <v>1700576</v>
      </c>
      <c r="I83" s="50" t="n">
        <f aca="false">I122</f>
        <v>0</v>
      </c>
      <c r="J83" s="50" t="n">
        <f aca="false">J122</f>
        <v>2101</v>
      </c>
      <c r="K83" s="50" t="n">
        <f aca="false">K122</f>
        <v>1687</v>
      </c>
      <c r="L83" s="50" t="n">
        <f aca="false">L122</f>
        <v>227</v>
      </c>
      <c r="M83" s="50" t="n">
        <f aca="false">M122</f>
        <v>1704591</v>
      </c>
      <c r="N83" s="50" t="n">
        <f aca="false">N122</f>
        <v>161791.49</v>
      </c>
      <c r="O83" s="20" t="n">
        <f aca="false">N83/$M83</f>
        <v>0.0949151380008459</v>
      </c>
      <c r="P83" s="50" t="n">
        <f aca="false">P122</f>
        <v>437496.11</v>
      </c>
      <c r="Q83" s="20" t="n">
        <f aca="false">P83/$M83</f>
        <v>0.256657526644221</v>
      </c>
      <c r="R83" s="50" t="n">
        <f aca="false">R122</f>
        <v>1442203.83</v>
      </c>
      <c r="S83" s="20" t="n">
        <f aca="false">R83/$M83</f>
        <v>0.846070306601408</v>
      </c>
      <c r="T83" s="50" t="n">
        <f aca="false">T122</f>
        <v>1593522.9</v>
      </c>
      <c r="U83" s="20" t="n">
        <f aca="false">T83/$M83</f>
        <v>0.934841789027397</v>
      </c>
      <c r="V83" s="50" t="n">
        <f aca="false">V122</f>
        <v>539096</v>
      </c>
      <c r="W83" s="50" t="n">
        <f aca="false">W122</f>
        <v>540596</v>
      </c>
    </row>
    <row r="84" customFormat="false" ht="12.8" hidden="false" customHeight="false" outlineLevel="0" collapsed="false">
      <c r="A84" s="17" t="s">
        <v>21</v>
      </c>
      <c r="B84" s="18" t="n">
        <v>71</v>
      </c>
      <c r="C84" s="18" t="s">
        <v>24</v>
      </c>
      <c r="D84" s="19" t="n">
        <f aca="false">D124</f>
        <v>700</v>
      </c>
      <c r="E84" s="19" t="n">
        <f aca="false">E124</f>
        <v>1400</v>
      </c>
      <c r="F84" s="19" t="n">
        <f aca="false">F124</f>
        <v>1400</v>
      </c>
      <c r="G84" s="19" t="n">
        <f aca="false">G124</f>
        <v>1400</v>
      </c>
      <c r="H84" s="19" t="n">
        <f aca="false">H124</f>
        <v>1400</v>
      </c>
      <c r="I84" s="19" t="n">
        <f aca="false">I124</f>
        <v>0</v>
      </c>
      <c r="J84" s="19" t="n">
        <f aca="false">J124</f>
        <v>0</v>
      </c>
      <c r="K84" s="19" t="n">
        <f aca="false">K124</f>
        <v>0</v>
      </c>
      <c r="L84" s="19" t="n">
        <f aca="false">L124</f>
        <v>0</v>
      </c>
      <c r="M84" s="19" t="n">
        <f aca="false">M124</f>
        <v>1400</v>
      </c>
      <c r="N84" s="19" t="n">
        <f aca="false">N124</f>
        <v>0</v>
      </c>
      <c r="O84" s="20" t="n">
        <f aca="false">N84/$M84</f>
        <v>0</v>
      </c>
      <c r="P84" s="19" t="n">
        <f aca="false">P124</f>
        <v>1400</v>
      </c>
      <c r="Q84" s="20" t="n">
        <f aca="false">P84/$M84</f>
        <v>1</v>
      </c>
      <c r="R84" s="19" t="n">
        <f aca="false">R124</f>
        <v>1400</v>
      </c>
      <c r="S84" s="20" t="n">
        <f aca="false">R84/$M84</f>
        <v>1</v>
      </c>
      <c r="T84" s="19" t="n">
        <f aca="false">T124</f>
        <v>1400</v>
      </c>
      <c r="U84" s="20" t="n">
        <f aca="false">T84/$M84</f>
        <v>1</v>
      </c>
      <c r="V84" s="19" t="n">
        <f aca="false">V124</f>
        <v>1400</v>
      </c>
      <c r="W84" s="19" t="n">
        <f aca="false">W124</f>
        <v>1400</v>
      </c>
    </row>
    <row r="85" customFormat="false" ht="12.8" hidden="false" customHeight="false" outlineLevel="0" collapsed="false">
      <c r="A85" s="17" t="s">
        <v>21</v>
      </c>
      <c r="B85" s="18" t="n">
        <v>72</v>
      </c>
      <c r="C85" s="18" t="s">
        <v>25</v>
      </c>
      <c r="D85" s="19" t="n">
        <f aca="false">D127</f>
        <v>0</v>
      </c>
      <c r="E85" s="19" t="n">
        <f aca="false">E127</f>
        <v>0</v>
      </c>
      <c r="F85" s="19" t="n">
        <f aca="false">F127</f>
        <v>900</v>
      </c>
      <c r="G85" s="19" t="n">
        <f aca="false">G127</f>
        <v>6535.22</v>
      </c>
      <c r="H85" s="19" t="n">
        <f aca="false">H127</f>
        <v>3150</v>
      </c>
      <c r="I85" s="19" t="n">
        <f aca="false">I127</f>
        <v>0</v>
      </c>
      <c r="J85" s="19" t="n">
        <f aca="false">J127</f>
        <v>0</v>
      </c>
      <c r="K85" s="19" t="n">
        <f aca="false">K127</f>
        <v>-50</v>
      </c>
      <c r="L85" s="19" t="n">
        <f aca="false">L127</f>
        <v>36</v>
      </c>
      <c r="M85" s="19" t="n">
        <f aca="false">M127</f>
        <v>3136</v>
      </c>
      <c r="N85" s="19" t="n">
        <f aca="false">N127</f>
        <v>97.89</v>
      </c>
      <c r="O85" s="20" t="n">
        <f aca="false">N85/$M85</f>
        <v>0.0312149234693878</v>
      </c>
      <c r="P85" s="19" t="n">
        <f aca="false">P127</f>
        <v>196.55</v>
      </c>
      <c r="Q85" s="20" t="n">
        <f aca="false">P85/$M85</f>
        <v>0.0626753826530612</v>
      </c>
      <c r="R85" s="19" t="n">
        <f aca="false">R127</f>
        <v>1196.55</v>
      </c>
      <c r="S85" s="20" t="n">
        <f aca="false">R85/$M85</f>
        <v>0.381552933673469</v>
      </c>
      <c r="T85" s="19" t="n">
        <f aca="false">T127</f>
        <v>5707.4</v>
      </c>
      <c r="U85" s="20" t="n">
        <f aca="false">T85/$M85</f>
        <v>1.81996173469388</v>
      </c>
      <c r="V85" s="19" t="n">
        <f aca="false">V127</f>
        <v>3150</v>
      </c>
      <c r="W85" s="19" t="n">
        <f aca="false">W127</f>
        <v>3150</v>
      </c>
    </row>
    <row r="86" customFormat="false" ht="12.8" hidden="false" customHeight="false" outlineLevel="0" collapsed="false">
      <c r="A86" s="14"/>
      <c r="B86" s="15"/>
      <c r="C86" s="21" t="s">
        <v>30</v>
      </c>
      <c r="D86" s="22" t="n">
        <f aca="false">SUM(D83:D85)</f>
        <v>565026.47</v>
      </c>
      <c r="E86" s="22" t="n">
        <f aca="false">SUM(E83:E85)</f>
        <v>612482.49</v>
      </c>
      <c r="F86" s="22" t="n">
        <f aca="false">SUM(F83:F85)</f>
        <v>2228696</v>
      </c>
      <c r="G86" s="22" t="n">
        <f aca="false">SUM(G83:G85)</f>
        <v>1089080.84</v>
      </c>
      <c r="H86" s="22" t="n">
        <f aca="false">SUM(H83:H85)</f>
        <v>1705126</v>
      </c>
      <c r="I86" s="22" t="n">
        <f aca="false">SUM(I83:I85)</f>
        <v>0</v>
      </c>
      <c r="J86" s="22" t="n">
        <f aca="false">SUM(J83:J85)</f>
        <v>2101</v>
      </c>
      <c r="K86" s="22" t="n">
        <f aca="false">SUM(K83:K85)</f>
        <v>1637</v>
      </c>
      <c r="L86" s="22" t="n">
        <f aca="false">SUM(L83:L85)</f>
        <v>263</v>
      </c>
      <c r="M86" s="22" t="n">
        <f aca="false">SUM(M83:M85)</f>
        <v>1709127</v>
      </c>
      <c r="N86" s="22" t="n">
        <f aca="false">SUM(N83:N85)</f>
        <v>161889.38</v>
      </c>
      <c r="O86" s="23" t="n">
        <f aca="false">N86/$M86</f>
        <v>0.0947205093594566</v>
      </c>
      <c r="P86" s="22" t="n">
        <f aca="false">SUM(P83:P85)</f>
        <v>439092.66</v>
      </c>
      <c r="Q86" s="23" t="n">
        <f aca="false">P86/$M86</f>
        <v>0.256910492900762</v>
      </c>
      <c r="R86" s="22" t="n">
        <f aca="false">SUM(R83:R85)</f>
        <v>1444800.38</v>
      </c>
      <c r="S86" s="23" t="n">
        <f aca="false">R86/$M86</f>
        <v>0.845344073319303</v>
      </c>
      <c r="T86" s="22" t="n">
        <f aca="false">SUM(T83:T85)</f>
        <v>1600630.3</v>
      </c>
      <c r="U86" s="23" t="n">
        <f aca="false">T86/$M86</f>
        <v>0.936519228822668</v>
      </c>
      <c r="V86" s="22" t="n">
        <f aca="false">SUM(V83:V85)</f>
        <v>543646</v>
      </c>
      <c r="W86" s="22" t="n">
        <f aca="false">SUM(W83:W85)</f>
        <v>545146</v>
      </c>
    </row>
    <row r="88" customFormat="false" ht="12.8" hidden="false" customHeight="false" outlineLevel="0" collapsed="false">
      <c r="A88" s="51" t="s">
        <v>75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</row>
    <row r="89" customFormat="false" ht="12.8" hidden="false" customHeight="false" outlineLevel="0" collapsed="false">
      <c r="A89" s="5" t="s">
        <v>33</v>
      </c>
      <c r="B89" s="5" t="s">
        <v>34</v>
      </c>
      <c r="C89" s="5" t="s">
        <v>35</v>
      </c>
      <c r="D89" s="5" t="s">
        <v>1</v>
      </c>
      <c r="E89" s="5" t="s">
        <v>2</v>
      </c>
      <c r="F89" s="5" t="s">
        <v>3</v>
      </c>
      <c r="G89" s="5" t="s">
        <v>4</v>
      </c>
      <c r="H89" s="5" t="s">
        <v>5</v>
      </c>
      <c r="I89" s="5" t="s">
        <v>6</v>
      </c>
      <c r="J89" s="5" t="s">
        <v>7</v>
      </c>
      <c r="K89" s="5" t="s">
        <v>8</v>
      </c>
      <c r="L89" s="5" t="s">
        <v>9</v>
      </c>
      <c r="M89" s="5" t="s">
        <v>10</v>
      </c>
      <c r="N89" s="5" t="s">
        <v>11</v>
      </c>
      <c r="O89" s="5" t="s">
        <v>12</v>
      </c>
      <c r="P89" s="5" t="s">
        <v>13</v>
      </c>
      <c r="Q89" s="5" t="s">
        <v>14</v>
      </c>
      <c r="R89" s="5" t="s">
        <v>15</v>
      </c>
      <c r="S89" s="5" t="s">
        <v>16</v>
      </c>
      <c r="T89" s="5" t="s">
        <v>17</v>
      </c>
      <c r="U89" s="5" t="s">
        <v>18</v>
      </c>
      <c r="V89" s="5" t="s">
        <v>19</v>
      </c>
      <c r="W89" s="5" t="s">
        <v>20</v>
      </c>
    </row>
    <row r="90" customFormat="false" ht="12.8" hidden="false" customHeight="false" outlineLevel="0" collapsed="false">
      <c r="A90" s="52" t="s">
        <v>49</v>
      </c>
      <c r="B90" s="8" t="n">
        <v>312001</v>
      </c>
      <c r="C90" s="8" t="s">
        <v>76</v>
      </c>
      <c r="D90" s="53" t="n">
        <v>391633</v>
      </c>
      <c r="E90" s="53" t="n">
        <v>405813</v>
      </c>
      <c r="F90" s="53" t="n">
        <v>422516</v>
      </c>
      <c r="G90" s="53" t="n">
        <v>421262</v>
      </c>
      <c r="H90" s="54" t="n">
        <v>451919</v>
      </c>
      <c r="I90" s="54"/>
      <c r="J90" s="54"/>
      <c r="K90" s="54" t="n">
        <v>17546</v>
      </c>
      <c r="L90" s="54"/>
      <c r="M90" s="54" t="n">
        <f aca="false">SUM(H90:L90)</f>
        <v>469465</v>
      </c>
      <c r="N90" s="54" t="n">
        <v>112980</v>
      </c>
      <c r="O90" s="10" t="n">
        <f aca="false">N90/$M90</f>
        <v>0.240656917981106</v>
      </c>
      <c r="P90" s="54" t="n">
        <v>225960</v>
      </c>
      <c r="Q90" s="10" t="n">
        <f aca="false">P90/$M90</f>
        <v>0.481313835962212</v>
      </c>
      <c r="R90" s="54" t="n">
        <v>348940</v>
      </c>
      <c r="S90" s="10" t="n">
        <f aca="false">R90/$M90</f>
        <v>0.743271596391637</v>
      </c>
      <c r="T90" s="54" t="n">
        <v>465138</v>
      </c>
      <c r="U90" s="10" t="n">
        <f aca="false">T90/$M90</f>
        <v>0.990783125472612</v>
      </c>
      <c r="V90" s="53" t="n">
        <f aca="false">H90</f>
        <v>451919</v>
      </c>
      <c r="W90" s="53" t="n">
        <f aca="false">V90</f>
        <v>451919</v>
      </c>
    </row>
    <row r="91" customFormat="false" ht="12.8" hidden="false" customHeight="false" outlineLevel="0" collapsed="false">
      <c r="A91" s="52"/>
      <c r="B91" s="8" t="n">
        <v>312001</v>
      </c>
      <c r="C91" s="8" t="s">
        <v>77</v>
      </c>
      <c r="D91" s="53" t="n">
        <v>1889</v>
      </c>
      <c r="E91" s="53" t="n">
        <v>1127</v>
      </c>
      <c r="F91" s="53" t="n">
        <v>1150</v>
      </c>
      <c r="G91" s="53" t="n">
        <v>1900</v>
      </c>
      <c r="H91" s="54" t="n">
        <v>1800</v>
      </c>
      <c r="I91" s="54"/>
      <c r="J91" s="54"/>
      <c r="K91" s="54"/>
      <c r="L91" s="54"/>
      <c r="M91" s="54" t="n">
        <f aca="false">SUM(H91:L91)</f>
        <v>1800</v>
      </c>
      <c r="N91" s="54" t="n">
        <v>1200</v>
      </c>
      <c r="O91" s="10" t="n">
        <f aca="false">N91/$M91</f>
        <v>0.666666666666667</v>
      </c>
      <c r="P91" s="54" t="n">
        <v>1200</v>
      </c>
      <c r="Q91" s="10" t="n">
        <f aca="false">P91/$M91</f>
        <v>0.666666666666667</v>
      </c>
      <c r="R91" s="54" t="n">
        <v>1200</v>
      </c>
      <c r="S91" s="10" t="n">
        <f aca="false">R91/$M91</f>
        <v>0.666666666666667</v>
      </c>
      <c r="T91" s="54" t="n">
        <v>1800</v>
      </c>
      <c r="U91" s="10" t="n">
        <f aca="false">T91/$M91</f>
        <v>1</v>
      </c>
      <c r="V91" s="53" t="n">
        <f aca="false">H91</f>
        <v>1800</v>
      </c>
      <c r="W91" s="53" t="n">
        <f aca="false">V91</f>
        <v>1800</v>
      </c>
    </row>
    <row r="92" customFormat="false" ht="12.8" hidden="false" customHeight="false" outlineLevel="0" collapsed="false">
      <c r="A92" s="52"/>
      <c r="B92" s="8" t="n">
        <v>312001</v>
      </c>
      <c r="C92" s="8" t="s">
        <v>78</v>
      </c>
      <c r="D92" s="53" t="n">
        <v>4346</v>
      </c>
      <c r="E92" s="53" t="n">
        <v>4612</v>
      </c>
      <c r="F92" s="53" t="n">
        <v>4800</v>
      </c>
      <c r="G92" s="53" t="n">
        <v>5040</v>
      </c>
      <c r="H92" s="54" t="n">
        <v>5544</v>
      </c>
      <c r="I92" s="54"/>
      <c r="J92" s="54"/>
      <c r="K92" s="54"/>
      <c r="L92" s="54"/>
      <c r="M92" s="54" t="n">
        <f aca="false">SUM(H92:L92)</f>
        <v>5544</v>
      </c>
      <c r="N92" s="54" t="n">
        <v>1848</v>
      </c>
      <c r="O92" s="10" t="n">
        <f aca="false">N92/$M92</f>
        <v>0.333333333333333</v>
      </c>
      <c r="P92" s="54" t="n">
        <v>3696</v>
      </c>
      <c r="Q92" s="10" t="n">
        <f aca="false">P92/$M92</f>
        <v>0.666666666666667</v>
      </c>
      <c r="R92" s="54" t="n">
        <v>9610</v>
      </c>
      <c r="S92" s="10" t="n">
        <f aca="false">R92/$M92</f>
        <v>1.73340548340548</v>
      </c>
      <c r="T92" s="54" t="n">
        <v>9610</v>
      </c>
      <c r="U92" s="10" t="n">
        <f aca="false">T92/$M92</f>
        <v>1.73340548340548</v>
      </c>
      <c r="V92" s="53" t="n">
        <f aca="false">H92</f>
        <v>5544</v>
      </c>
      <c r="W92" s="53" t="n">
        <f aca="false">V92</f>
        <v>5544</v>
      </c>
    </row>
    <row r="93" customFormat="false" ht="12.8" hidden="false" customHeight="false" outlineLevel="0" collapsed="false">
      <c r="A93" s="52"/>
      <c r="B93" s="8" t="n">
        <v>312001</v>
      </c>
      <c r="C93" s="8" t="s">
        <v>79</v>
      </c>
      <c r="D93" s="53" t="n">
        <v>5803</v>
      </c>
      <c r="E93" s="53" t="n">
        <v>5913</v>
      </c>
      <c r="F93" s="53" t="n">
        <v>5856</v>
      </c>
      <c r="G93" s="53" t="n">
        <v>5818</v>
      </c>
      <c r="H93" s="54" t="n">
        <v>6482</v>
      </c>
      <c r="I93" s="54"/>
      <c r="J93" s="54"/>
      <c r="K93" s="54"/>
      <c r="L93" s="54"/>
      <c r="M93" s="54" t="n">
        <f aca="false">SUM(H93:L93)</f>
        <v>6482</v>
      </c>
      <c r="N93" s="54" t="n">
        <v>3456</v>
      </c>
      <c r="O93" s="10" t="n">
        <f aca="false">N93/$M93</f>
        <v>0.533168775069423</v>
      </c>
      <c r="P93" s="54" t="n">
        <v>3456</v>
      </c>
      <c r="Q93" s="10" t="n">
        <f aca="false">P93/$M93</f>
        <v>0.533168775069423</v>
      </c>
      <c r="R93" s="54" t="n">
        <v>3456</v>
      </c>
      <c r="S93" s="10" t="n">
        <f aca="false">R93/$M93</f>
        <v>0.533168775069423</v>
      </c>
      <c r="T93" s="54" t="n">
        <v>5875</v>
      </c>
      <c r="U93" s="10" t="n">
        <f aca="false">T93/$M93</f>
        <v>0.906356062943536</v>
      </c>
      <c r="V93" s="53" t="n">
        <f aca="false">H93</f>
        <v>6482</v>
      </c>
      <c r="W93" s="53" t="n">
        <f aca="false">V93</f>
        <v>6482</v>
      </c>
    </row>
    <row r="94" customFormat="false" ht="12.8" hidden="false" customHeight="false" outlineLevel="0" collapsed="false">
      <c r="A94" s="52"/>
      <c r="B94" s="8" t="n">
        <v>312001</v>
      </c>
      <c r="C94" s="8" t="s">
        <v>80</v>
      </c>
      <c r="D94" s="53" t="n">
        <v>3312</v>
      </c>
      <c r="E94" s="53" t="n">
        <v>3115</v>
      </c>
      <c r="F94" s="53" t="n">
        <v>3100</v>
      </c>
      <c r="G94" s="53" t="n">
        <v>2372</v>
      </c>
      <c r="H94" s="54" t="n">
        <v>7786</v>
      </c>
      <c r="I94" s="54"/>
      <c r="J94" s="54"/>
      <c r="K94" s="54"/>
      <c r="L94" s="54"/>
      <c r="M94" s="54" t="n">
        <f aca="false">SUM(H94:L94)</f>
        <v>7786</v>
      </c>
      <c r="N94" s="54" t="n">
        <v>7785.6</v>
      </c>
      <c r="O94" s="10" t="n">
        <f aca="false">N94/$M94</f>
        <v>0.999948625738505</v>
      </c>
      <c r="P94" s="54" t="n">
        <v>7785.6</v>
      </c>
      <c r="Q94" s="10" t="n">
        <f aca="false">P94/$M94</f>
        <v>0.999948625738505</v>
      </c>
      <c r="R94" s="54" t="n">
        <v>31550.4</v>
      </c>
      <c r="S94" s="10" t="n">
        <f aca="false">R94/$M94</f>
        <v>4.05219624967891</v>
      </c>
      <c r="T94" s="54" t="n">
        <v>31550.4</v>
      </c>
      <c r="U94" s="10" t="n">
        <f aca="false">T94/$M94</f>
        <v>4.05219624967891</v>
      </c>
      <c r="V94" s="53" t="n">
        <f aca="false">H94</f>
        <v>7786</v>
      </c>
      <c r="W94" s="53" t="n">
        <f aca="false">V94</f>
        <v>7786</v>
      </c>
    </row>
    <row r="95" customFormat="false" ht="12.8" hidden="false" customHeight="false" outlineLevel="0" collapsed="false">
      <c r="A95" s="52"/>
      <c r="B95" s="8" t="n">
        <v>312001</v>
      </c>
      <c r="C95" s="8" t="s">
        <v>81</v>
      </c>
      <c r="D95" s="53" t="n">
        <v>564.4</v>
      </c>
      <c r="E95" s="53" t="n">
        <v>431.6</v>
      </c>
      <c r="F95" s="53" t="n">
        <v>430</v>
      </c>
      <c r="G95" s="53" t="n">
        <v>398.4</v>
      </c>
      <c r="H95" s="54" t="n">
        <v>400</v>
      </c>
      <c r="I95" s="54"/>
      <c r="J95" s="54"/>
      <c r="K95" s="54"/>
      <c r="L95" s="54"/>
      <c r="M95" s="54" t="n">
        <f aca="false">SUM(H95:L95)</f>
        <v>400</v>
      </c>
      <c r="N95" s="54" t="n">
        <v>215.8</v>
      </c>
      <c r="O95" s="10" t="n">
        <f aca="false">N95/$M95</f>
        <v>0.5395</v>
      </c>
      <c r="P95" s="54" t="n">
        <v>215.8</v>
      </c>
      <c r="Q95" s="10" t="n">
        <f aca="false">P95/$M95</f>
        <v>0.5395</v>
      </c>
      <c r="R95" s="54" t="n">
        <v>464.8</v>
      </c>
      <c r="S95" s="10" t="n">
        <f aca="false">R95/$M95</f>
        <v>1.162</v>
      </c>
      <c r="T95" s="54" t="n">
        <v>464.8</v>
      </c>
      <c r="U95" s="10" t="n">
        <f aca="false">T95/$M95</f>
        <v>1.162</v>
      </c>
      <c r="V95" s="53" t="n">
        <f aca="false">H95</f>
        <v>400</v>
      </c>
      <c r="W95" s="53" t="n">
        <f aca="false">V95</f>
        <v>400</v>
      </c>
    </row>
    <row r="96" customFormat="false" ht="12.8" hidden="false" customHeight="false" outlineLevel="0" collapsed="false">
      <c r="A96" s="52"/>
      <c r="B96" s="8" t="n">
        <v>312001</v>
      </c>
      <c r="C96" s="8" t="s">
        <v>82</v>
      </c>
      <c r="D96" s="53" t="n">
        <v>11732</v>
      </c>
      <c r="E96" s="53" t="n">
        <v>9826</v>
      </c>
      <c r="F96" s="53" t="n">
        <v>7674</v>
      </c>
      <c r="G96" s="53" t="n">
        <v>7609</v>
      </c>
      <c r="H96" s="54" t="n">
        <f aca="false">12336-H95</f>
        <v>11936</v>
      </c>
      <c r="I96" s="54"/>
      <c r="J96" s="54"/>
      <c r="K96" s="54" t="n">
        <v>3027</v>
      </c>
      <c r="L96" s="54"/>
      <c r="M96" s="54" t="n">
        <f aca="false">SUM(H96:L96)</f>
        <v>14963</v>
      </c>
      <c r="N96" s="54" t="n">
        <v>7500</v>
      </c>
      <c r="O96" s="10" t="n">
        <f aca="false">N96/$M96</f>
        <v>0.50123638307826</v>
      </c>
      <c r="P96" s="54" t="n">
        <v>9820</v>
      </c>
      <c r="Q96" s="10" t="n">
        <f aca="false">P96/$M96</f>
        <v>0.656285504243801</v>
      </c>
      <c r="R96" s="54" t="n">
        <v>10838</v>
      </c>
      <c r="S96" s="10" t="n">
        <f aca="false">R96/$M96</f>
        <v>0.724319989306957</v>
      </c>
      <c r="T96" s="54" t="n">
        <v>10838</v>
      </c>
      <c r="U96" s="10" t="n">
        <f aca="false">T96/$M96</f>
        <v>0.724319989306957</v>
      </c>
      <c r="V96" s="53" t="n">
        <f aca="false">H96</f>
        <v>11936</v>
      </c>
      <c r="W96" s="53" t="n">
        <f aca="false">V96</f>
        <v>11936</v>
      </c>
    </row>
    <row r="97" customFormat="false" ht="12.8" hidden="false" customHeight="false" outlineLevel="0" collapsed="false">
      <c r="A97" s="52"/>
      <c r="B97" s="8" t="n">
        <v>312001</v>
      </c>
      <c r="C97" s="8" t="s">
        <v>83</v>
      </c>
      <c r="D97" s="53" t="n">
        <v>4774</v>
      </c>
      <c r="E97" s="53" t="n">
        <v>4296</v>
      </c>
      <c r="F97" s="53" t="n">
        <v>4300</v>
      </c>
      <c r="G97" s="53" t="n">
        <v>4798</v>
      </c>
      <c r="H97" s="54" t="n">
        <v>4300</v>
      </c>
      <c r="I97" s="54"/>
      <c r="J97" s="54"/>
      <c r="K97" s="54"/>
      <c r="L97" s="54" t="n">
        <v>224</v>
      </c>
      <c r="M97" s="54" t="n">
        <f aca="false">SUM(H97:L97)</f>
        <v>4524</v>
      </c>
      <c r="N97" s="54" t="n">
        <v>3257</v>
      </c>
      <c r="O97" s="10" t="n">
        <f aca="false">N97/$M97</f>
        <v>0.719938107869142</v>
      </c>
      <c r="P97" s="54" t="n">
        <v>3257</v>
      </c>
      <c r="Q97" s="10" t="n">
        <f aca="false">P97/$M97</f>
        <v>0.719938107869142</v>
      </c>
      <c r="R97" s="54" t="n">
        <v>3257</v>
      </c>
      <c r="S97" s="10" t="n">
        <f aca="false">R97/$M97</f>
        <v>0.719938107869142</v>
      </c>
      <c r="T97" s="54" t="n">
        <v>4524</v>
      </c>
      <c r="U97" s="10" t="n">
        <f aca="false">T97/$M97</f>
        <v>1</v>
      </c>
      <c r="V97" s="53" t="n">
        <f aca="false">H97</f>
        <v>4300</v>
      </c>
      <c r="W97" s="53" t="n">
        <f aca="false">V97</f>
        <v>4300</v>
      </c>
    </row>
    <row r="98" customFormat="false" ht="12.8" hidden="false" customHeight="false" outlineLevel="0" collapsed="false">
      <c r="A98" s="52"/>
      <c r="B98" s="8" t="n">
        <v>312001</v>
      </c>
      <c r="C98" s="8" t="s">
        <v>84</v>
      </c>
      <c r="D98" s="53" t="n">
        <v>781</v>
      </c>
      <c r="E98" s="53" t="n">
        <v>889</v>
      </c>
      <c r="F98" s="53" t="n">
        <v>890</v>
      </c>
      <c r="G98" s="53" t="n">
        <v>966</v>
      </c>
      <c r="H98" s="54" t="n">
        <v>970</v>
      </c>
      <c r="I98" s="54"/>
      <c r="J98" s="54"/>
      <c r="K98" s="54"/>
      <c r="L98" s="54" t="n">
        <v>3</v>
      </c>
      <c r="M98" s="54" t="n">
        <f aca="false">SUM(H98:L98)</f>
        <v>973</v>
      </c>
      <c r="N98" s="54" t="n">
        <v>614</v>
      </c>
      <c r="O98" s="10" t="n">
        <f aca="false">N98/$M98</f>
        <v>0.63103802672148</v>
      </c>
      <c r="P98" s="54" t="n">
        <v>614</v>
      </c>
      <c r="Q98" s="10" t="n">
        <f aca="false">P98/$M98</f>
        <v>0.63103802672148</v>
      </c>
      <c r="R98" s="54" t="n">
        <v>614</v>
      </c>
      <c r="S98" s="10" t="n">
        <f aca="false">R98/$M98</f>
        <v>0.63103802672148</v>
      </c>
      <c r="T98" s="54" t="n">
        <v>973</v>
      </c>
      <c r="U98" s="10" t="n">
        <f aca="false">T98/$M98</f>
        <v>1</v>
      </c>
      <c r="V98" s="53" t="n">
        <f aca="false">H98</f>
        <v>970</v>
      </c>
      <c r="W98" s="53" t="n">
        <f aca="false">V98</f>
        <v>970</v>
      </c>
    </row>
    <row r="99" customFormat="false" ht="12.8" hidden="false" customHeight="false" outlineLevel="0" collapsed="false">
      <c r="A99" s="52"/>
      <c r="B99" s="8" t="n">
        <v>312001</v>
      </c>
      <c r="C99" s="8" t="s">
        <v>85</v>
      </c>
      <c r="D99" s="53" t="n">
        <v>540.96</v>
      </c>
      <c r="E99" s="53" t="n">
        <v>1058.4</v>
      </c>
      <c r="F99" s="53" t="n">
        <v>1060</v>
      </c>
      <c r="G99" s="53" t="n">
        <v>1065.12</v>
      </c>
      <c r="H99" s="54" t="n">
        <v>1060</v>
      </c>
      <c r="I99" s="54"/>
      <c r="J99" s="54"/>
      <c r="K99" s="54"/>
      <c r="L99" s="54"/>
      <c r="M99" s="54" t="n">
        <f aca="false">SUM(H99:L99)</f>
        <v>1060</v>
      </c>
      <c r="N99" s="54" t="n">
        <v>240.76</v>
      </c>
      <c r="O99" s="10" t="n">
        <f aca="false">N99/$M99</f>
        <v>0.227132075471698</v>
      </c>
      <c r="P99" s="54" t="n">
        <v>532.84</v>
      </c>
      <c r="Q99" s="10" t="n">
        <f aca="false">P99/$M99</f>
        <v>0.502679245283019</v>
      </c>
      <c r="R99" s="54" t="n">
        <v>824.92</v>
      </c>
      <c r="S99" s="10" t="n">
        <f aca="false">R99/$M99</f>
        <v>0.77822641509434</v>
      </c>
      <c r="T99" s="54" t="n">
        <v>1165.68</v>
      </c>
      <c r="U99" s="10" t="n">
        <f aca="false">T99/$M99</f>
        <v>1.09969811320755</v>
      </c>
      <c r="V99" s="53" t="n">
        <f aca="false">H99</f>
        <v>1060</v>
      </c>
      <c r="W99" s="53" t="n">
        <f aca="false">V99</f>
        <v>1060</v>
      </c>
    </row>
    <row r="100" customFormat="false" ht="12.8" hidden="false" customHeight="false" outlineLevel="0" collapsed="false">
      <c r="A100" s="52"/>
      <c r="B100" s="8" t="n">
        <v>312001</v>
      </c>
      <c r="C100" s="8" t="s">
        <v>86</v>
      </c>
      <c r="D100" s="53" t="n">
        <v>1803.52</v>
      </c>
      <c r="E100" s="53" t="n">
        <v>1328.8</v>
      </c>
      <c r="F100" s="53" t="n">
        <v>1500</v>
      </c>
      <c r="G100" s="53" t="n">
        <v>1545.58</v>
      </c>
      <c r="H100" s="54" t="n">
        <v>3000</v>
      </c>
      <c r="I100" s="54"/>
      <c r="J100" s="54" t="n">
        <v>1446</v>
      </c>
      <c r="K100" s="54"/>
      <c r="L100" s="54"/>
      <c r="M100" s="54" t="n">
        <f aca="false">SUM(H100:L100)</f>
        <v>4446</v>
      </c>
      <c r="N100" s="54" t="n">
        <v>2713.72</v>
      </c>
      <c r="O100" s="10" t="n">
        <f aca="false">N100/$M100</f>
        <v>0.610373369320738</v>
      </c>
      <c r="P100" s="54" t="n">
        <v>4446.04</v>
      </c>
      <c r="Q100" s="10" t="n">
        <f aca="false">P100/$M100</f>
        <v>1.0000089968511</v>
      </c>
      <c r="R100" s="54" t="n">
        <v>4446.04</v>
      </c>
      <c r="S100" s="10" t="n">
        <f aca="false">R100/$M100</f>
        <v>1.0000089968511</v>
      </c>
      <c r="T100" s="54" t="n">
        <v>4446.04</v>
      </c>
      <c r="U100" s="10" t="n">
        <f aca="false">T100/$M100</f>
        <v>1.0000089968511</v>
      </c>
      <c r="V100" s="54" t="n">
        <v>1500</v>
      </c>
      <c r="W100" s="54" t="n">
        <v>3000</v>
      </c>
    </row>
    <row r="101" customFormat="false" ht="12.8" hidden="false" customHeight="false" outlineLevel="0" collapsed="false">
      <c r="A101" s="52"/>
      <c r="B101" s="8" t="n">
        <v>312001</v>
      </c>
      <c r="C101" s="8" t="s">
        <v>87</v>
      </c>
      <c r="D101" s="53" t="n">
        <v>38400</v>
      </c>
      <c r="E101" s="53" t="n">
        <v>38400</v>
      </c>
      <c r="F101" s="53" t="n">
        <v>32000</v>
      </c>
      <c r="G101" s="53" t="n">
        <v>32364</v>
      </c>
      <c r="H101" s="54" t="n">
        <v>35712</v>
      </c>
      <c r="I101" s="54"/>
      <c r="J101" s="54"/>
      <c r="K101" s="54"/>
      <c r="L101" s="54"/>
      <c r="M101" s="54" t="n">
        <f aca="false">SUM(H101:L101)</f>
        <v>35712</v>
      </c>
      <c r="N101" s="54" t="n">
        <v>8928</v>
      </c>
      <c r="O101" s="10" t="n">
        <f aca="false">N101/$M101</f>
        <v>0.25</v>
      </c>
      <c r="P101" s="54" t="n">
        <v>17856</v>
      </c>
      <c r="Q101" s="10" t="n">
        <f aca="false">P101/$M101</f>
        <v>0.5</v>
      </c>
      <c r="R101" s="54" t="n">
        <v>26784</v>
      </c>
      <c r="S101" s="10" t="n">
        <f aca="false">R101/$M101</f>
        <v>0.75</v>
      </c>
      <c r="T101" s="54" t="n">
        <v>35712</v>
      </c>
      <c r="U101" s="10" t="n">
        <f aca="false">T101/$M101</f>
        <v>1</v>
      </c>
      <c r="V101" s="53" t="n">
        <f aca="false">H101</f>
        <v>35712</v>
      </c>
      <c r="W101" s="53" t="n">
        <f aca="false">V101</f>
        <v>35712</v>
      </c>
    </row>
    <row r="102" customFormat="false" ht="12.8" hidden="false" customHeight="false" outlineLevel="0" collapsed="false">
      <c r="A102" s="52"/>
      <c r="B102" s="8" t="n">
        <v>312001</v>
      </c>
      <c r="C102" s="8" t="s">
        <v>88</v>
      </c>
      <c r="D102" s="53"/>
      <c r="E102" s="53"/>
      <c r="F102" s="53"/>
      <c r="G102" s="53" t="n">
        <v>1625</v>
      </c>
      <c r="H102" s="54" t="n">
        <v>0</v>
      </c>
      <c r="I102" s="54"/>
      <c r="J102" s="54"/>
      <c r="K102" s="54"/>
      <c r="L102" s="54"/>
      <c r="M102" s="54" t="n">
        <f aca="false">SUM(H102:L102)</f>
        <v>0</v>
      </c>
      <c r="N102" s="54" t="n">
        <v>0</v>
      </c>
      <c r="O102" s="10" t="e">
        <f aca="false">N102/$M102</f>
        <v>#DIV/0!</v>
      </c>
      <c r="P102" s="54" t="n">
        <v>0</v>
      </c>
      <c r="Q102" s="10" t="e">
        <f aca="false">P102/$M102</f>
        <v>#DIV/0!</v>
      </c>
      <c r="R102" s="54" t="n">
        <v>0</v>
      </c>
      <c r="S102" s="10" t="e">
        <f aca="false">R102/$M102</f>
        <v>#DIV/0!</v>
      </c>
      <c r="T102" s="54" t="n">
        <v>0</v>
      </c>
      <c r="U102" s="10" t="e">
        <f aca="false">T102/$M102</f>
        <v>#DIV/0!</v>
      </c>
      <c r="V102" s="53"/>
      <c r="W102" s="53"/>
    </row>
    <row r="103" customFormat="false" ht="12.8" hidden="false" customHeight="false" outlineLevel="0" collapsed="false">
      <c r="A103" s="52"/>
      <c r="B103" s="8" t="n">
        <v>312001</v>
      </c>
      <c r="C103" s="8" t="s">
        <v>89</v>
      </c>
      <c r="D103" s="53" t="n">
        <f aca="false">5851+34154+0.35</f>
        <v>40005.35</v>
      </c>
      <c r="E103" s="53" t="n">
        <v>12279.12</v>
      </c>
      <c r="F103" s="53" t="n">
        <v>18486</v>
      </c>
      <c r="G103" s="53" t="n">
        <v>17055.14</v>
      </c>
      <c r="H103" s="54" t="n">
        <f aca="false">výdaje!K364</f>
        <v>25870</v>
      </c>
      <c r="I103" s="54"/>
      <c r="J103" s="54"/>
      <c r="K103" s="54"/>
      <c r="L103" s="54"/>
      <c r="M103" s="54" t="n">
        <f aca="false">SUM(H103:L103)</f>
        <v>25870</v>
      </c>
      <c r="N103" s="54" t="n">
        <v>5212.38</v>
      </c>
      <c r="O103" s="10" t="n">
        <f aca="false">N103/$M103</f>
        <v>0.201483571704677</v>
      </c>
      <c r="P103" s="54" t="n">
        <v>10867.31</v>
      </c>
      <c r="Q103" s="10" t="n">
        <f aca="false">P103/$M103</f>
        <v>0.420073830691921</v>
      </c>
      <c r="R103" s="54" t="n">
        <f aca="false">13897.96+2452.57</f>
        <v>16350.53</v>
      </c>
      <c r="S103" s="10" t="n">
        <f aca="false">R103/$M103</f>
        <v>0.632026671820642</v>
      </c>
      <c r="T103" s="54" t="n">
        <f aca="false">18382.74+3244.01</f>
        <v>21626.75</v>
      </c>
      <c r="U103" s="10" t="n">
        <f aca="false">T103/$M103</f>
        <v>0.835977966756861</v>
      </c>
      <c r="V103" s="54" t="n">
        <f aca="false">výdaje!Y364</f>
        <v>0</v>
      </c>
      <c r="W103" s="53" t="n">
        <f aca="false">V103</f>
        <v>0</v>
      </c>
    </row>
    <row r="104" customFormat="false" ht="12.8" hidden="false" customHeight="false" outlineLevel="0" collapsed="false">
      <c r="A104" s="52"/>
      <c r="B104" s="8" t="n">
        <v>312001</v>
      </c>
      <c r="C104" s="8" t="s">
        <v>90</v>
      </c>
      <c r="D104" s="53"/>
      <c r="E104" s="53"/>
      <c r="F104" s="53" t="n">
        <v>137658</v>
      </c>
      <c r="G104" s="53" t="n">
        <v>0</v>
      </c>
      <c r="H104" s="54" t="n">
        <v>137658</v>
      </c>
      <c r="I104" s="54"/>
      <c r="J104" s="54" t="n">
        <v>-137658</v>
      </c>
      <c r="K104" s="54"/>
      <c r="L104" s="54"/>
      <c r="M104" s="54" t="n">
        <f aca="false">SUM(H104:L104)</f>
        <v>0</v>
      </c>
      <c r="N104" s="54" t="n">
        <v>0</v>
      </c>
      <c r="O104" s="10" t="e">
        <f aca="false">N104/$M104</f>
        <v>#DIV/0!</v>
      </c>
      <c r="P104" s="54" t="n">
        <v>0</v>
      </c>
      <c r="Q104" s="10" t="e">
        <f aca="false">P104/$M104</f>
        <v>#DIV/0!</v>
      </c>
      <c r="R104" s="54" t="n">
        <v>0</v>
      </c>
      <c r="S104" s="10" t="e">
        <f aca="false">R104/$M104</f>
        <v>#DIV/0!</v>
      </c>
      <c r="T104" s="54" t="n">
        <f aca="false">2217.45+260.88</f>
        <v>2478.33</v>
      </c>
      <c r="U104" s="10" t="e">
        <f aca="false">T104/$M104</f>
        <v>#DIV/0!</v>
      </c>
      <c r="V104" s="53"/>
      <c r="W104" s="53"/>
    </row>
    <row r="105" customFormat="false" ht="12.8" hidden="false" customHeight="false" outlineLevel="0" collapsed="false">
      <c r="A105" s="52"/>
      <c r="B105" s="8" t="n">
        <v>312001</v>
      </c>
      <c r="C105" s="8" t="s">
        <v>91</v>
      </c>
      <c r="D105" s="53"/>
      <c r="E105" s="53"/>
      <c r="F105" s="53"/>
      <c r="G105" s="53"/>
      <c r="H105" s="54"/>
      <c r="I105" s="54"/>
      <c r="J105" s="54"/>
      <c r="K105" s="54" t="n">
        <v>3094</v>
      </c>
      <c r="L105" s="54"/>
      <c r="M105" s="54" t="n">
        <f aca="false">SUM(H105:L105)</f>
        <v>3094</v>
      </c>
      <c r="N105" s="54" t="n">
        <v>0</v>
      </c>
      <c r="O105" s="10" t="n">
        <f aca="false">N105/$M105</f>
        <v>0</v>
      </c>
      <c r="P105" s="54" t="n">
        <v>0</v>
      </c>
      <c r="Q105" s="10" t="n">
        <f aca="false">P105/$M105</f>
        <v>0</v>
      </c>
      <c r="R105" s="54" t="n">
        <f aca="false">2768.28+325.68</f>
        <v>3093.96</v>
      </c>
      <c r="S105" s="10" t="n">
        <f aca="false">R105/$M105</f>
        <v>0.999987071751778</v>
      </c>
      <c r="T105" s="54" t="n">
        <f aca="false">2768.28+325.68</f>
        <v>3093.96</v>
      </c>
      <c r="U105" s="10" t="n">
        <f aca="false">T105/$M105</f>
        <v>0.999987071751778</v>
      </c>
      <c r="V105" s="53"/>
      <c r="W105" s="53"/>
    </row>
    <row r="106" customFormat="false" ht="12.8" hidden="false" customHeight="false" outlineLevel="0" collapsed="false">
      <c r="A106" s="52"/>
      <c r="B106" s="8" t="n">
        <v>312001</v>
      </c>
      <c r="C106" s="8" t="s">
        <v>92</v>
      </c>
      <c r="D106" s="53"/>
      <c r="E106" s="53"/>
      <c r="F106" s="53"/>
      <c r="G106" s="53"/>
      <c r="H106" s="54"/>
      <c r="I106" s="54"/>
      <c r="J106" s="54"/>
      <c r="K106" s="54" t="n">
        <v>5445</v>
      </c>
      <c r="L106" s="54"/>
      <c r="M106" s="54" t="n">
        <f aca="false">SUM(H106:L106)</f>
        <v>5445</v>
      </c>
      <c r="N106" s="54" t="n">
        <v>0</v>
      </c>
      <c r="O106" s="10" t="n">
        <f aca="false">N106/$M106</f>
        <v>0</v>
      </c>
      <c r="P106" s="54" t="n">
        <v>0</v>
      </c>
      <c r="Q106" s="10" t="n">
        <f aca="false">P106/$M106</f>
        <v>0</v>
      </c>
      <c r="R106" s="54" t="n">
        <v>0</v>
      </c>
      <c r="S106" s="10" t="n">
        <f aca="false">R106/$M106</f>
        <v>0</v>
      </c>
      <c r="T106" s="54" t="n">
        <f aca="false">3024.4+355.81</f>
        <v>3380.21</v>
      </c>
      <c r="U106" s="10" t="n">
        <f aca="false">T106/$M106</f>
        <v>0.620791551882461</v>
      </c>
      <c r="V106" s="53"/>
      <c r="W106" s="53"/>
    </row>
    <row r="107" customFormat="false" ht="12.8" hidden="false" customHeight="false" outlineLevel="0" collapsed="false">
      <c r="A107" s="52"/>
      <c r="B107" s="8" t="n">
        <v>312012</v>
      </c>
      <c r="C107" s="8" t="s">
        <v>93</v>
      </c>
      <c r="D107" s="53" t="n">
        <v>2935.08</v>
      </c>
      <c r="E107" s="53" t="n">
        <v>2935.08</v>
      </c>
      <c r="F107" s="53" t="n">
        <v>2935</v>
      </c>
      <c r="G107" s="53" t="n">
        <v>3477.63</v>
      </c>
      <c r="H107" s="54" t="n">
        <v>3500</v>
      </c>
      <c r="I107" s="54"/>
      <c r="J107" s="54"/>
      <c r="K107" s="54"/>
      <c r="L107" s="54"/>
      <c r="M107" s="54" t="n">
        <f aca="false">SUM(H107:L107)</f>
        <v>3500</v>
      </c>
      <c r="N107" s="54" t="n">
        <v>0</v>
      </c>
      <c r="O107" s="10" t="n">
        <f aca="false">N107/$M107</f>
        <v>0</v>
      </c>
      <c r="P107" s="54" t="n">
        <v>3499.83</v>
      </c>
      <c r="Q107" s="10" t="n">
        <f aca="false">P107/$M107</f>
        <v>0.999951428571429</v>
      </c>
      <c r="R107" s="54" t="n">
        <v>3499.83</v>
      </c>
      <c r="S107" s="10" t="n">
        <f aca="false">R107/$M107</f>
        <v>0.999951428571429</v>
      </c>
      <c r="T107" s="54" t="n">
        <v>4117.82</v>
      </c>
      <c r="U107" s="10" t="n">
        <f aca="false">T107/$M107</f>
        <v>1.17652</v>
      </c>
      <c r="V107" s="53" t="n">
        <f aca="false">H107</f>
        <v>3500</v>
      </c>
      <c r="W107" s="53" t="n">
        <f aca="false">V107</f>
        <v>3500</v>
      </c>
    </row>
    <row r="108" customFormat="false" ht="12.8" hidden="false" customHeight="false" outlineLevel="0" collapsed="false">
      <c r="A108" s="52"/>
      <c r="B108" s="8" t="n">
        <v>312012</v>
      </c>
      <c r="C108" s="8" t="s">
        <v>94</v>
      </c>
      <c r="D108" s="53" t="n">
        <v>136.34</v>
      </c>
      <c r="E108" s="53" t="n">
        <v>136.34</v>
      </c>
      <c r="F108" s="53" t="n">
        <v>136</v>
      </c>
      <c r="G108" s="53" t="n">
        <v>135.35</v>
      </c>
      <c r="H108" s="54" t="n">
        <v>136</v>
      </c>
      <c r="I108" s="54"/>
      <c r="J108" s="54"/>
      <c r="K108" s="54"/>
      <c r="L108" s="54"/>
      <c r="M108" s="54" t="n">
        <f aca="false">SUM(H108:L108)</f>
        <v>136</v>
      </c>
      <c r="N108" s="54" t="n">
        <v>0</v>
      </c>
      <c r="O108" s="10" t="n">
        <f aca="false">N108/$M108</f>
        <v>0</v>
      </c>
      <c r="P108" s="54" t="n">
        <v>136.21</v>
      </c>
      <c r="Q108" s="10" t="n">
        <f aca="false">P108/$M108</f>
        <v>1.00154411764706</v>
      </c>
      <c r="R108" s="54" t="n">
        <v>136.21</v>
      </c>
      <c r="S108" s="10" t="n">
        <f aca="false">R108/$M108</f>
        <v>1.00154411764706</v>
      </c>
      <c r="T108" s="54" t="n">
        <v>136.21</v>
      </c>
      <c r="U108" s="10" t="n">
        <f aca="false">T108/$M108</f>
        <v>1.00154411764706</v>
      </c>
      <c r="V108" s="53" t="n">
        <f aca="false">H108</f>
        <v>136</v>
      </c>
      <c r="W108" s="53" t="n">
        <f aca="false">V108</f>
        <v>136</v>
      </c>
    </row>
    <row r="109" customFormat="false" ht="12.8" hidden="false" customHeight="false" outlineLevel="0" collapsed="false">
      <c r="A109" s="52"/>
      <c r="B109" s="8" t="n">
        <v>312012</v>
      </c>
      <c r="C109" s="8" t="s">
        <v>95</v>
      </c>
      <c r="D109" s="53" t="n">
        <v>295.2</v>
      </c>
      <c r="E109" s="53" t="n">
        <v>294.93</v>
      </c>
      <c r="F109" s="53" t="n">
        <v>295</v>
      </c>
      <c r="G109" s="53" t="n">
        <v>294.12</v>
      </c>
      <c r="H109" s="54" t="n">
        <v>295</v>
      </c>
      <c r="I109" s="54"/>
      <c r="J109" s="54"/>
      <c r="K109" s="54"/>
      <c r="L109" s="54"/>
      <c r="M109" s="54" t="n">
        <f aca="false">SUM(H109:L109)</f>
        <v>295</v>
      </c>
      <c r="N109" s="54" t="n">
        <v>294.74</v>
      </c>
      <c r="O109" s="10" t="n">
        <f aca="false">N109/$M109</f>
        <v>0.999118644067797</v>
      </c>
      <c r="P109" s="54" t="n">
        <v>294.74</v>
      </c>
      <c r="Q109" s="10" t="n">
        <f aca="false">P109/$M109</f>
        <v>0.999118644067797</v>
      </c>
      <c r="R109" s="54" t="n">
        <v>294.74</v>
      </c>
      <c r="S109" s="10" t="n">
        <f aca="false">R109/$M109</f>
        <v>0.999118644067797</v>
      </c>
      <c r="T109" s="54" t="n">
        <v>294.74</v>
      </c>
      <c r="U109" s="10" t="n">
        <f aca="false">T109/$M109</f>
        <v>0.999118644067797</v>
      </c>
      <c r="V109" s="53" t="n">
        <f aca="false">H109</f>
        <v>295</v>
      </c>
      <c r="W109" s="53" t="n">
        <f aca="false">V109</f>
        <v>295</v>
      </c>
    </row>
    <row r="110" customFormat="false" ht="12.8" hidden="false" customHeight="false" outlineLevel="0" collapsed="false">
      <c r="A110" s="52"/>
      <c r="B110" s="8" t="n">
        <v>312012</v>
      </c>
      <c r="C110" s="8" t="s">
        <v>96</v>
      </c>
      <c r="D110" s="53" t="n">
        <v>4103.17</v>
      </c>
      <c r="E110" s="53" t="n">
        <v>4204.14</v>
      </c>
      <c r="F110" s="53" t="n">
        <v>4200</v>
      </c>
      <c r="G110" s="53" t="n">
        <v>4466.45</v>
      </c>
      <c r="H110" s="54" t="n">
        <v>4465</v>
      </c>
      <c r="I110" s="54"/>
      <c r="J110" s="54" t="n">
        <v>655</v>
      </c>
      <c r="K110" s="54"/>
      <c r="L110" s="54"/>
      <c r="M110" s="54" t="n">
        <f aca="false">SUM(H110:L110)</f>
        <v>5120</v>
      </c>
      <c r="N110" s="54" t="n">
        <v>4464.6</v>
      </c>
      <c r="O110" s="10" t="n">
        <f aca="false">N110/$M110</f>
        <v>0.8719921875</v>
      </c>
      <c r="P110" s="54" t="n">
        <v>5120.46</v>
      </c>
      <c r="Q110" s="10" t="n">
        <f aca="false">P110/$M110</f>
        <v>1.00008984375</v>
      </c>
      <c r="R110" s="54" t="n">
        <v>5120.46</v>
      </c>
      <c r="S110" s="10" t="n">
        <f aca="false">R110/$M110</f>
        <v>1.00008984375</v>
      </c>
      <c r="T110" s="54" t="n">
        <v>5120.46</v>
      </c>
      <c r="U110" s="10" t="n">
        <f aca="false">T110/$M110</f>
        <v>1.00008984375</v>
      </c>
      <c r="V110" s="53" t="n">
        <f aca="false">H110</f>
        <v>4465</v>
      </c>
      <c r="W110" s="53" t="n">
        <f aca="false">V110</f>
        <v>4465</v>
      </c>
    </row>
    <row r="111" customFormat="false" ht="12.8" hidden="false" customHeight="false" outlineLevel="0" collapsed="false">
      <c r="A111" s="52"/>
      <c r="B111" s="8" t="n">
        <v>312012</v>
      </c>
      <c r="C111" s="8" t="s">
        <v>97</v>
      </c>
      <c r="D111" s="53" t="n">
        <v>1061.68</v>
      </c>
      <c r="E111" s="53" t="n">
        <v>1213.08</v>
      </c>
      <c r="F111" s="53" t="n">
        <v>1200</v>
      </c>
      <c r="G111" s="53" t="n">
        <v>1074.29</v>
      </c>
      <c r="H111" s="54" t="n">
        <v>1081</v>
      </c>
      <c r="I111" s="54"/>
      <c r="J111" s="54"/>
      <c r="K111" s="54"/>
      <c r="L111" s="54"/>
      <c r="M111" s="54" t="n">
        <f aca="false">SUM(H111:L111)</f>
        <v>1081</v>
      </c>
      <c r="N111" s="54" t="n">
        <v>1080.89</v>
      </c>
      <c r="O111" s="10" t="n">
        <f aca="false">N111/$M111</f>
        <v>0.999898242368178</v>
      </c>
      <c r="P111" s="54" t="n">
        <v>1080.89</v>
      </c>
      <c r="Q111" s="10" t="n">
        <f aca="false">P111/$M111</f>
        <v>0.999898242368178</v>
      </c>
      <c r="R111" s="54" t="n">
        <v>1080.89</v>
      </c>
      <c r="S111" s="10" t="n">
        <f aca="false">R111/$M111</f>
        <v>0.999898242368178</v>
      </c>
      <c r="T111" s="54" t="n">
        <v>1080.89</v>
      </c>
      <c r="U111" s="10" t="n">
        <f aca="false">T111/$M111</f>
        <v>0.999898242368178</v>
      </c>
      <c r="V111" s="53" t="n">
        <f aca="false">H111</f>
        <v>1081</v>
      </c>
      <c r="W111" s="53" t="n">
        <f aca="false">V111</f>
        <v>1081</v>
      </c>
    </row>
    <row r="112" customFormat="false" ht="12.8" hidden="false" customHeight="false" outlineLevel="0" collapsed="false">
      <c r="A112" s="52"/>
      <c r="B112" s="8" t="n">
        <v>312012</v>
      </c>
      <c r="C112" s="8" t="s">
        <v>98</v>
      </c>
      <c r="D112" s="53" t="n">
        <v>210.77</v>
      </c>
      <c r="E112" s="53" t="n">
        <v>210</v>
      </c>
      <c r="F112" s="53" t="n">
        <v>210</v>
      </c>
      <c r="G112" s="53" t="n">
        <v>231.76</v>
      </c>
      <c r="H112" s="54" t="n">
        <v>210</v>
      </c>
      <c r="I112" s="54"/>
      <c r="J112" s="54"/>
      <c r="K112" s="54"/>
      <c r="L112" s="54"/>
      <c r="M112" s="54" t="n">
        <f aca="false">SUM(H112:L112)</f>
        <v>210</v>
      </c>
      <c r="N112" s="54" t="n">
        <v>0</v>
      </c>
      <c r="O112" s="10" t="n">
        <f aca="false">N112/$M112</f>
        <v>0</v>
      </c>
      <c r="P112" s="54" t="n">
        <v>0</v>
      </c>
      <c r="Q112" s="10" t="n">
        <f aca="false">P112/$M112</f>
        <v>0</v>
      </c>
      <c r="R112" s="54" t="n">
        <v>0</v>
      </c>
      <c r="S112" s="10" t="n">
        <f aca="false">R112/$M112</f>
        <v>0</v>
      </c>
      <c r="T112" s="54" t="n">
        <v>3412.56</v>
      </c>
      <c r="U112" s="10" t="n">
        <f aca="false">T112/$M112</f>
        <v>16.2502857142857</v>
      </c>
      <c r="V112" s="53" t="n">
        <f aca="false">H112</f>
        <v>210</v>
      </c>
      <c r="W112" s="53" t="n">
        <f aca="false">V112</f>
        <v>210</v>
      </c>
    </row>
    <row r="113" customFormat="false" ht="12.8" hidden="false" customHeight="false" outlineLevel="0" collapsed="false">
      <c r="A113" s="52"/>
      <c r="B113" s="8" t="n">
        <v>322001</v>
      </c>
      <c r="C113" s="8" t="s">
        <v>91</v>
      </c>
      <c r="D113" s="53"/>
      <c r="E113" s="53"/>
      <c r="F113" s="53" t="n">
        <v>888000</v>
      </c>
      <c r="G113" s="53" t="n">
        <v>282834</v>
      </c>
      <c r="H113" s="54" t="n">
        <f aca="false">888000-G113</f>
        <v>605166</v>
      </c>
      <c r="I113" s="54"/>
      <c r="J113" s="54"/>
      <c r="K113" s="54" t="n">
        <v>-106377</v>
      </c>
      <c r="L113" s="54"/>
      <c r="M113" s="54" t="n">
        <f aca="false">SUM(H113:L113)</f>
        <v>498789</v>
      </c>
      <c r="N113" s="54" t="n">
        <v>0</v>
      </c>
      <c r="O113" s="10" t="n">
        <f aca="false">N113/$M113</f>
        <v>0</v>
      </c>
      <c r="P113" s="54" t="n">
        <v>0</v>
      </c>
      <c r="Q113" s="10" t="n">
        <f aca="false">P113/$M113</f>
        <v>0</v>
      </c>
      <c r="R113" s="54" t="n">
        <f aca="false">446284.76+52504.09</f>
        <v>498788.85</v>
      </c>
      <c r="S113" s="10" t="n">
        <f aca="false">R113/$M113</f>
        <v>0.999999699271636</v>
      </c>
      <c r="T113" s="54" t="n">
        <f aca="false">446284.76+52504.09</f>
        <v>498788.85</v>
      </c>
      <c r="U113" s="10" t="n">
        <f aca="false">T113/$M113</f>
        <v>0.999999699271636</v>
      </c>
      <c r="V113" s="53"/>
      <c r="W113" s="53"/>
    </row>
    <row r="114" customFormat="false" ht="12.8" hidden="false" customHeight="false" outlineLevel="0" collapsed="false">
      <c r="A114" s="52"/>
      <c r="B114" s="8" t="n">
        <v>322001</v>
      </c>
      <c r="C114" s="8" t="s">
        <v>92</v>
      </c>
      <c r="D114" s="53"/>
      <c r="E114" s="53"/>
      <c r="F114" s="53" t="n">
        <v>390000</v>
      </c>
      <c r="G114" s="53" t="n">
        <v>0</v>
      </c>
      <c r="H114" s="54" t="n">
        <v>390000</v>
      </c>
      <c r="I114" s="54"/>
      <c r="J114" s="54"/>
      <c r="K114" s="54" t="n">
        <v>-51048</v>
      </c>
      <c r="L114" s="54"/>
      <c r="M114" s="54" t="n">
        <f aca="false">SUM(H114:L114)</f>
        <v>338952</v>
      </c>
      <c r="N114" s="54" t="n">
        <v>0</v>
      </c>
      <c r="O114" s="10" t="n">
        <f aca="false">N114/$M114</f>
        <v>0</v>
      </c>
      <c r="P114" s="54" t="n">
        <v>0</v>
      </c>
      <c r="Q114" s="10" t="n">
        <f aca="false">P114/$M114</f>
        <v>0</v>
      </c>
      <c r="R114" s="54" t="n">
        <f aca="false">297866.67+35043.14</f>
        <v>332909.81</v>
      </c>
      <c r="S114" s="10" t="n">
        <f aca="false">R114/$M114</f>
        <v>0.982173906629847</v>
      </c>
      <c r="T114" s="54" t="n">
        <f aca="false">303272.67+35679.14</f>
        <v>338951.81</v>
      </c>
      <c r="U114" s="10" t="n">
        <f aca="false">T114/$M114</f>
        <v>0.999999439448653</v>
      </c>
      <c r="V114" s="53"/>
      <c r="W114" s="53"/>
    </row>
    <row r="115" customFormat="false" ht="12.8" hidden="false" customHeight="false" outlineLevel="0" collapsed="false">
      <c r="A115" s="52"/>
      <c r="B115" s="8" t="n">
        <v>322001</v>
      </c>
      <c r="C115" s="8" t="s">
        <v>99</v>
      </c>
      <c r="D115" s="53"/>
      <c r="E115" s="53"/>
      <c r="F115" s="53" t="n">
        <v>258000</v>
      </c>
      <c r="G115" s="53" t="n">
        <v>249669.78</v>
      </c>
      <c r="H115" s="54"/>
      <c r="I115" s="54"/>
      <c r="J115" s="54"/>
      <c r="K115" s="54"/>
      <c r="L115" s="54"/>
      <c r="M115" s="54" t="n">
        <f aca="false">SUM(H115:L115)</f>
        <v>0</v>
      </c>
      <c r="N115" s="54" t="n">
        <v>0</v>
      </c>
      <c r="O115" s="10" t="e">
        <f aca="false">N115/$M115</f>
        <v>#DIV/0!</v>
      </c>
      <c r="P115" s="54" t="n">
        <v>0</v>
      </c>
      <c r="Q115" s="10" t="e">
        <f aca="false">P115/$M115</f>
        <v>#DIV/0!</v>
      </c>
      <c r="R115" s="54" t="n">
        <v>0</v>
      </c>
      <c r="S115" s="10" t="e">
        <f aca="false">R115/$M115</f>
        <v>#DIV/0!</v>
      </c>
      <c r="T115" s="54" t="n">
        <v>0</v>
      </c>
      <c r="U115" s="10" t="e">
        <f aca="false">T115/$M115</f>
        <v>#DIV/0!</v>
      </c>
      <c r="V115" s="54"/>
      <c r="W115" s="53"/>
    </row>
    <row r="116" customFormat="false" ht="12.8" hidden="false" customHeight="false" outlineLevel="0" collapsed="false">
      <c r="A116" s="52"/>
      <c r="B116" s="8" t="n">
        <v>322001</v>
      </c>
      <c r="C116" s="8" t="s">
        <v>100</v>
      </c>
      <c r="D116" s="53"/>
      <c r="E116" s="53"/>
      <c r="F116" s="53"/>
      <c r="G116" s="53"/>
      <c r="H116" s="54"/>
      <c r="I116" s="54"/>
      <c r="J116" s="54"/>
      <c r="K116" s="54"/>
      <c r="L116" s="54"/>
      <c r="M116" s="54" t="n">
        <f aca="false">SUM(H116:L116)</f>
        <v>0</v>
      </c>
      <c r="N116" s="54" t="n">
        <v>0</v>
      </c>
      <c r="O116" s="10" t="e">
        <f aca="false">N116/$M116</f>
        <v>#DIV/0!</v>
      </c>
      <c r="P116" s="54" t="n">
        <v>0</v>
      </c>
      <c r="Q116" s="10" t="e">
        <f aca="false">P116/$M116</f>
        <v>#DIV/0!</v>
      </c>
      <c r="R116" s="54" t="n">
        <v>0</v>
      </c>
      <c r="S116" s="10" t="e">
        <f aca="false">R116/$M116</f>
        <v>#DIV/0!</v>
      </c>
      <c r="T116" s="54" t="n">
        <v>0</v>
      </c>
      <c r="U116" s="10" t="e">
        <f aca="false">T116/$M116</f>
        <v>#DIV/0!</v>
      </c>
      <c r="V116" s="53"/>
      <c r="W116" s="53"/>
    </row>
    <row r="117" customFormat="false" ht="12.8" hidden="false" customHeight="false" outlineLevel="0" collapsed="false">
      <c r="A117" s="52"/>
      <c r="B117" s="8" t="n">
        <v>322001</v>
      </c>
      <c r="C117" s="8" t="s">
        <v>101</v>
      </c>
      <c r="D117" s="53"/>
      <c r="E117" s="53"/>
      <c r="F117" s="53" t="n">
        <v>30000</v>
      </c>
      <c r="G117" s="53" t="n">
        <v>30000</v>
      </c>
      <c r="H117" s="54"/>
      <c r="I117" s="54"/>
      <c r="J117" s="54"/>
      <c r="K117" s="54"/>
      <c r="L117" s="54"/>
      <c r="M117" s="54" t="n">
        <f aca="false">SUM(H117:L117)</f>
        <v>0</v>
      </c>
      <c r="N117" s="54" t="n">
        <v>0</v>
      </c>
      <c r="O117" s="10" t="e">
        <f aca="false">N117/$M117</f>
        <v>#DIV/0!</v>
      </c>
      <c r="P117" s="54" t="n">
        <v>0</v>
      </c>
      <c r="Q117" s="10" t="e">
        <f aca="false">P117/$M117</f>
        <v>#DIV/0!</v>
      </c>
      <c r="R117" s="54" t="n">
        <v>0</v>
      </c>
      <c r="S117" s="10" t="e">
        <f aca="false">R117/$M117</f>
        <v>#DIV/0!</v>
      </c>
      <c r="T117" s="54" t="n">
        <v>0</v>
      </c>
      <c r="U117" s="10" t="e">
        <f aca="false">T117/$M117</f>
        <v>#DIV/0!</v>
      </c>
      <c r="V117" s="53"/>
      <c r="W117" s="53"/>
    </row>
    <row r="118" customFormat="false" ht="12.8" hidden="false" customHeight="false" outlineLevel="0" collapsed="false">
      <c r="A118" s="52"/>
      <c r="B118" s="8" t="n">
        <v>322001</v>
      </c>
      <c r="C118" s="8" t="s">
        <v>102</v>
      </c>
      <c r="D118" s="53"/>
      <c r="E118" s="53"/>
      <c r="F118" s="53" t="n">
        <v>10000</v>
      </c>
      <c r="G118" s="53" t="n">
        <v>0</v>
      </c>
      <c r="H118" s="54"/>
      <c r="I118" s="54"/>
      <c r="J118" s="54"/>
      <c r="K118" s="54"/>
      <c r="L118" s="54"/>
      <c r="M118" s="54" t="n">
        <f aca="false">SUM(H118:L118)</f>
        <v>0</v>
      </c>
      <c r="N118" s="54" t="n">
        <v>0</v>
      </c>
      <c r="O118" s="10" t="e">
        <f aca="false">N118/$M118</f>
        <v>#DIV/0!</v>
      </c>
      <c r="P118" s="54" t="n">
        <v>0</v>
      </c>
      <c r="Q118" s="10" t="e">
        <f aca="false">P118/$M118</f>
        <v>#DIV/0!</v>
      </c>
      <c r="R118" s="54" t="n">
        <v>0</v>
      </c>
      <c r="S118" s="10" t="e">
        <f aca="false">R118/$M118</f>
        <v>#DIV/0!</v>
      </c>
      <c r="T118" s="54" t="n">
        <v>0</v>
      </c>
      <c r="U118" s="10" t="e">
        <f aca="false">T118/$M118</f>
        <v>#DIV/0!</v>
      </c>
      <c r="V118" s="53"/>
      <c r="W118" s="53"/>
    </row>
    <row r="119" customFormat="false" ht="12.8" hidden="false" customHeight="false" outlineLevel="0" collapsed="false">
      <c r="A119" s="52"/>
      <c r="B119" s="8" t="n">
        <v>322001</v>
      </c>
      <c r="C119" s="8" t="s">
        <v>103</v>
      </c>
      <c r="D119" s="53" t="n">
        <v>50000</v>
      </c>
      <c r="E119" s="53" t="n">
        <v>113000</v>
      </c>
      <c r="F119" s="53"/>
      <c r="G119" s="53"/>
      <c r="H119" s="53"/>
      <c r="I119" s="53"/>
      <c r="J119" s="53"/>
      <c r="K119" s="53" t="n">
        <v>130000</v>
      </c>
      <c r="L119" s="53"/>
      <c r="M119" s="53" t="n">
        <f aca="false">SUM(H119:L119)</f>
        <v>130000</v>
      </c>
      <c r="N119" s="53" t="n">
        <v>0</v>
      </c>
      <c r="O119" s="10" t="n">
        <f aca="false">N119/$M119</f>
        <v>0</v>
      </c>
      <c r="P119" s="53" t="n">
        <v>0</v>
      </c>
      <c r="Q119" s="10" t="n">
        <f aca="false">P119/$M119</f>
        <v>0</v>
      </c>
      <c r="R119" s="53" t="n">
        <v>0</v>
      </c>
      <c r="S119" s="10" t="n">
        <f aca="false">R119/$M119</f>
        <v>0</v>
      </c>
      <c r="T119" s="53" t="n">
        <v>0</v>
      </c>
      <c r="U119" s="10" t="n">
        <f aca="false">T119/$M119</f>
        <v>0</v>
      </c>
      <c r="V119" s="53"/>
      <c r="W119" s="53"/>
    </row>
    <row r="120" customFormat="false" ht="12.8" hidden="false" customHeight="false" outlineLevel="0" collapsed="false">
      <c r="A120" s="52"/>
      <c r="B120" s="8" t="n">
        <v>322001</v>
      </c>
      <c r="C120" s="8" t="s">
        <v>90</v>
      </c>
      <c r="D120" s="53"/>
      <c r="E120" s="53"/>
      <c r="F120" s="53"/>
      <c r="G120" s="53"/>
      <c r="H120" s="53" t="n">
        <v>0</v>
      </c>
      <c r="I120" s="53"/>
      <c r="J120" s="53" t="n">
        <v>137658</v>
      </c>
      <c r="K120" s="53"/>
      <c r="L120" s="53"/>
      <c r="M120" s="53" t="n">
        <f aca="false">SUM(H120:L120)</f>
        <v>137658</v>
      </c>
      <c r="N120" s="53" t="n">
        <v>0</v>
      </c>
      <c r="O120" s="10" t="n">
        <f aca="false">N120/$M120</f>
        <v>0</v>
      </c>
      <c r="P120" s="53" t="n">
        <v>137657.39</v>
      </c>
      <c r="Q120" s="10" t="n">
        <f aca="false">P120/$M120</f>
        <v>0.999995568728298</v>
      </c>
      <c r="R120" s="53" t="n">
        <f aca="false">123167.14+14490.25</f>
        <v>137657.39</v>
      </c>
      <c r="S120" s="10" t="n">
        <f aca="false">R120/$M120</f>
        <v>0.999995568728298</v>
      </c>
      <c r="T120" s="53" t="n">
        <f aca="false">123167.14+14490.25</f>
        <v>137657.39</v>
      </c>
      <c r="U120" s="10" t="n">
        <f aca="false">T120/$M120</f>
        <v>0.999995568728298</v>
      </c>
      <c r="V120" s="53"/>
      <c r="W120" s="53"/>
    </row>
    <row r="121" customFormat="false" ht="12.8" hidden="false" customHeight="false" outlineLevel="0" collapsed="false">
      <c r="A121" s="52"/>
      <c r="B121" s="8" t="n">
        <v>331001</v>
      </c>
      <c r="C121" s="8" t="s">
        <v>104</v>
      </c>
      <c r="D121" s="53"/>
      <c r="E121" s="53"/>
      <c r="F121" s="53"/>
      <c r="G121" s="53" t="n">
        <v>5144</v>
      </c>
      <c r="H121" s="53" t="n">
        <v>1286</v>
      </c>
      <c r="I121" s="53"/>
      <c r="J121" s="53"/>
      <c r="K121" s="53"/>
      <c r="L121" s="53"/>
      <c r="M121" s="53" t="n">
        <f aca="false">SUM(H121:L121)</f>
        <v>1286</v>
      </c>
      <c r="N121" s="53" t="n">
        <v>0</v>
      </c>
      <c r="O121" s="10" t="n">
        <f aca="false">N121/$M121</f>
        <v>0</v>
      </c>
      <c r="P121" s="53" t="n">
        <v>0</v>
      </c>
      <c r="Q121" s="10" t="n">
        <f aca="false">P121/$M121</f>
        <v>0</v>
      </c>
      <c r="R121" s="53" t="n">
        <v>1286</v>
      </c>
      <c r="S121" s="10" t="n">
        <f aca="false">R121/$M121</f>
        <v>1</v>
      </c>
      <c r="T121" s="53" t="n">
        <v>1286</v>
      </c>
      <c r="U121" s="10" t="n">
        <f aca="false">T121/$M121</f>
        <v>1</v>
      </c>
      <c r="V121" s="53" t="n">
        <v>0</v>
      </c>
      <c r="W121" s="53" t="n">
        <f aca="false">V121</f>
        <v>0</v>
      </c>
    </row>
    <row r="122" customFormat="false" ht="12.8" hidden="false" customHeight="false" outlineLevel="0" collapsed="false">
      <c r="A122" s="55" t="s">
        <v>105</v>
      </c>
      <c r="B122" s="11" t="n">
        <v>111</v>
      </c>
      <c r="C122" s="11" t="s">
        <v>22</v>
      </c>
      <c r="D122" s="12" t="n">
        <f aca="false">SUM(D90:D121)</f>
        <v>564326.47</v>
      </c>
      <c r="E122" s="12" t="n">
        <f aca="false">SUM(E90:E121)</f>
        <v>611082.49</v>
      </c>
      <c r="F122" s="12" t="n">
        <f aca="false">SUM(F90:F121)</f>
        <v>2226396</v>
      </c>
      <c r="G122" s="12" t="n">
        <f aca="false">SUM(G90:G121)</f>
        <v>1081145.62</v>
      </c>
      <c r="H122" s="12" t="n">
        <f aca="false">SUM(H90:H121)</f>
        <v>1700576</v>
      </c>
      <c r="I122" s="12" t="n">
        <f aca="false">SUM(I90:I121)</f>
        <v>0</v>
      </c>
      <c r="J122" s="12" t="n">
        <f aca="false">SUM(J90:J121)</f>
        <v>2101</v>
      </c>
      <c r="K122" s="12" t="n">
        <f aca="false">SUM(K90:K121)</f>
        <v>1687</v>
      </c>
      <c r="L122" s="12" t="n">
        <f aca="false">SUM(L90:L121)</f>
        <v>227</v>
      </c>
      <c r="M122" s="12" t="n">
        <f aca="false">SUM(M90:M121)</f>
        <v>1704591</v>
      </c>
      <c r="N122" s="12" t="n">
        <f aca="false">SUM(N90:N121)</f>
        <v>161791.49</v>
      </c>
      <c r="O122" s="13" t="n">
        <f aca="false">N122/$M122</f>
        <v>0.0949151380008459</v>
      </c>
      <c r="P122" s="12" t="n">
        <f aca="false">SUM(P90:P121)</f>
        <v>437496.11</v>
      </c>
      <c r="Q122" s="13" t="n">
        <f aca="false">P122/$M122</f>
        <v>0.256657526644221</v>
      </c>
      <c r="R122" s="12" t="n">
        <f aca="false">SUM(R90:R121)</f>
        <v>1442203.83</v>
      </c>
      <c r="S122" s="13" t="n">
        <f aca="false">R122/$M122</f>
        <v>0.846070306601408</v>
      </c>
      <c r="T122" s="12" t="n">
        <f aca="false">SUM(T90:T121)</f>
        <v>1593522.9</v>
      </c>
      <c r="U122" s="13" t="n">
        <f aca="false">T122/$M122</f>
        <v>0.934841789027397</v>
      </c>
      <c r="V122" s="12" t="n">
        <f aca="false">SUM(V90:V121)</f>
        <v>539096</v>
      </c>
      <c r="W122" s="12" t="n">
        <f aca="false">SUM(W90:W121)</f>
        <v>540596</v>
      </c>
    </row>
    <row r="123" customFormat="false" ht="12.8" hidden="false" customHeight="false" outlineLevel="0" collapsed="false">
      <c r="A123" s="56" t="s">
        <v>49</v>
      </c>
      <c r="B123" s="8" t="n">
        <v>311</v>
      </c>
      <c r="C123" s="8" t="s">
        <v>106</v>
      </c>
      <c r="D123" s="9" t="n">
        <v>700</v>
      </c>
      <c r="E123" s="53" t="n">
        <v>1400</v>
      </c>
      <c r="F123" s="53" t="n">
        <v>1400</v>
      </c>
      <c r="G123" s="53" t="n">
        <v>1400</v>
      </c>
      <c r="H123" s="54" t="n">
        <v>1400</v>
      </c>
      <c r="I123" s="54"/>
      <c r="J123" s="54"/>
      <c r="K123" s="54"/>
      <c r="L123" s="54"/>
      <c r="M123" s="54" t="n">
        <f aca="false">SUM(H123:L123)</f>
        <v>1400</v>
      </c>
      <c r="N123" s="54" t="n">
        <v>0</v>
      </c>
      <c r="O123" s="10" t="n">
        <f aca="false">N123/$M123</f>
        <v>0</v>
      </c>
      <c r="P123" s="54" t="n">
        <v>1400</v>
      </c>
      <c r="Q123" s="10" t="n">
        <f aca="false">P123/$M123</f>
        <v>1</v>
      </c>
      <c r="R123" s="54" t="n">
        <v>1400</v>
      </c>
      <c r="S123" s="10" t="n">
        <f aca="false">R123/$M123</f>
        <v>1</v>
      </c>
      <c r="T123" s="54" t="n">
        <v>1400</v>
      </c>
      <c r="U123" s="10" t="n">
        <f aca="false">T123/$M123</f>
        <v>1</v>
      </c>
      <c r="V123" s="53" t="n">
        <f aca="false">H123</f>
        <v>1400</v>
      </c>
      <c r="W123" s="53" t="n">
        <f aca="false">V123</f>
        <v>1400</v>
      </c>
    </row>
    <row r="124" customFormat="false" ht="12.8" hidden="false" customHeight="false" outlineLevel="0" collapsed="false">
      <c r="A124" s="55" t="s">
        <v>105</v>
      </c>
      <c r="B124" s="11" t="n">
        <v>71</v>
      </c>
      <c r="C124" s="11" t="s">
        <v>24</v>
      </c>
      <c r="D124" s="12" t="n">
        <f aca="false">SUM(D123:D123)</f>
        <v>700</v>
      </c>
      <c r="E124" s="12" t="n">
        <f aca="false">SUM(E123:E123)</f>
        <v>1400</v>
      </c>
      <c r="F124" s="12" t="n">
        <f aca="false">SUM(F123:F123)</f>
        <v>1400</v>
      </c>
      <c r="G124" s="12" t="n">
        <f aca="false">SUM(G123:G123)</f>
        <v>1400</v>
      </c>
      <c r="H124" s="12" t="n">
        <f aca="false">SUM(H123:H123)</f>
        <v>1400</v>
      </c>
      <c r="I124" s="12" t="n">
        <f aca="false">SUM(I123:I123)</f>
        <v>0</v>
      </c>
      <c r="J124" s="12" t="n">
        <f aca="false">SUM(J123:J123)</f>
        <v>0</v>
      </c>
      <c r="K124" s="12" t="n">
        <f aca="false">SUM(K123:K123)</f>
        <v>0</v>
      </c>
      <c r="L124" s="12" t="n">
        <f aca="false">SUM(L123:L123)</f>
        <v>0</v>
      </c>
      <c r="M124" s="12" t="n">
        <f aca="false">SUM(M123:M123)</f>
        <v>1400</v>
      </c>
      <c r="N124" s="12" t="n">
        <f aca="false">SUM(N123:N123)</f>
        <v>0</v>
      </c>
      <c r="O124" s="13" t="n">
        <f aca="false">N124/$M124</f>
        <v>0</v>
      </c>
      <c r="P124" s="12" t="n">
        <f aca="false">SUM(P123:P123)</f>
        <v>1400</v>
      </c>
      <c r="Q124" s="13" t="n">
        <f aca="false">P124/$M124</f>
        <v>1</v>
      </c>
      <c r="R124" s="12" t="n">
        <f aca="false">SUM(R123:R123)</f>
        <v>1400</v>
      </c>
      <c r="S124" s="13" t="n">
        <f aca="false">R124/$M124</f>
        <v>1</v>
      </c>
      <c r="T124" s="12" t="n">
        <f aca="false">SUM(T123:T123)</f>
        <v>1400</v>
      </c>
      <c r="U124" s="13" t="n">
        <f aca="false">T124/$M124</f>
        <v>1</v>
      </c>
      <c r="V124" s="12" t="n">
        <f aca="false">SUM(V123:V123)</f>
        <v>1400</v>
      </c>
      <c r="W124" s="12" t="n">
        <f aca="false">SUM(W123:W123)</f>
        <v>1400</v>
      </c>
    </row>
    <row r="125" customFormat="false" ht="12.8" hidden="false" customHeight="false" outlineLevel="0" collapsed="false">
      <c r="A125" s="31" t="s">
        <v>49</v>
      </c>
      <c r="B125" s="8" t="n">
        <v>311</v>
      </c>
      <c r="C125" s="8" t="s">
        <v>106</v>
      </c>
      <c r="D125" s="9" t="n">
        <v>0</v>
      </c>
      <c r="E125" s="53"/>
      <c r="F125" s="53" t="n">
        <v>900</v>
      </c>
      <c r="G125" s="53" t="n">
        <v>652.21</v>
      </c>
      <c r="H125" s="54" t="n">
        <v>650</v>
      </c>
      <c r="I125" s="54"/>
      <c r="J125" s="54"/>
      <c r="K125" s="54" t="n">
        <v>1000</v>
      </c>
      <c r="L125" s="54" t="n">
        <v>36</v>
      </c>
      <c r="M125" s="54" t="n">
        <f aca="false">SUM(H125:L125)</f>
        <v>1686</v>
      </c>
      <c r="N125" s="54" t="n">
        <v>25.54</v>
      </c>
      <c r="O125" s="10" t="n">
        <f aca="false">N125/$M125</f>
        <v>0.0151482799525504</v>
      </c>
      <c r="P125" s="54" t="n">
        <v>51.28</v>
      </c>
      <c r="Q125" s="10" t="n">
        <f aca="false">P125/$M125</f>
        <v>0.0304151838671412</v>
      </c>
      <c r="R125" s="54" t="n">
        <v>1051.28</v>
      </c>
      <c r="S125" s="10" t="n">
        <f aca="false">R125/$M125</f>
        <v>0.623534994068802</v>
      </c>
      <c r="T125" s="54" t="n">
        <v>1797.91</v>
      </c>
      <c r="U125" s="10" t="n">
        <f aca="false">T125/$M125</f>
        <v>1.06637603795967</v>
      </c>
      <c r="V125" s="53" t="n">
        <f aca="false">H125</f>
        <v>650</v>
      </c>
      <c r="W125" s="53" t="n">
        <f aca="false">V125</f>
        <v>650</v>
      </c>
    </row>
    <row r="126" customFormat="false" ht="12.8" hidden="false" customHeight="false" outlineLevel="0" collapsed="false">
      <c r="A126" s="31"/>
      <c r="B126" s="8" t="n">
        <v>311</v>
      </c>
      <c r="C126" s="8" t="s">
        <v>107</v>
      </c>
      <c r="D126" s="9"/>
      <c r="E126" s="53"/>
      <c r="F126" s="53"/>
      <c r="G126" s="53" t="n">
        <v>5883.01</v>
      </c>
      <c r="H126" s="54" t="n">
        <v>2500</v>
      </c>
      <c r="I126" s="54"/>
      <c r="J126" s="54"/>
      <c r="K126" s="54" t="n">
        <f aca="false">750-1800</f>
        <v>-1050</v>
      </c>
      <c r="L126" s="54"/>
      <c r="M126" s="54" t="n">
        <f aca="false">SUM(H126:L126)</f>
        <v>1450</v>
      </c>
      <c r="N126" s="54" t="n">
        <v>72.35</v>
      </c>
      <c r="O126" s="10" t="n">
        <f aca="false">N126/$M126</f>
        <v>0.0498965517241379</v>
      </c>
      <c r="P126" s="54" t="n">
        <v>145.27</v>
      </c>
      <c r="Q126" s="10" t="n">
        <f aca="false">P126/$M126</f>
        <v>0.100186206896552</v>
      </c>
      <c r="R126" s="54" t="n">
        <v>145.27</v>
      </c>
      <c r="S126" s="10" t="n">
        <f aca="false">R126/$M126</f>
        <v>0.100186206896552</v>
      </c>
      <c r="T126" s="54" t="n">
        <v>3909.49</v>
      </c>
      <c r="U126" s="10" t="n">
        <f aca="false">T126/$M126</f>
        <v>2.6962</v>
      </c>
      <c r="V126" s="53" t="n">
        <f aca="false">H126</f>
        <v>2500</v>
      </c>
      <c r="W126" s="53" t="n">
        <f aca="false">V126</f>
        <v>2500</v>
      </c>
    </row>
    <row r="127" customFormat="false" ht="12.8" hidden="false" customHeight="false" outlineLevel="0" collapsed="false">
      <c r="A127" s="55" t="s">
        <v>105</v>
      </c>
      <c r="B127" s="11" t="n">
        <v>72</v>
      </c>
      <c r="C127" s="11" t="s">
        <v>25</v>
      </c>
      <c r="D127" s="12" t="n">
        <f aca="false">SUM(D125:D126)</f>
        <v>0</v>
      </c>
      <c r="E127" s="12" t="n">
        <f aca="false">SUM(E125:E126)</f>
        <v>0</v>
      </c>
      <c r="F127" s="12" t="n">
        <f aca="false">SUM(F125:F126)</f>
        <v>900</v>
      </c>
      <c r="G127" s="12" t="n">
        <f aca="false">SUM(G125:G126)</f>
        <v>6535.22</v>
      </c>
      <c r="H127" s="12" t="n">
        <f aca="false">SUM(H125:H126)</f>
        <v>3150</v>
      </c>
      <c r="I127" s="12" t="n">
        <f aca="false">SUM(I125:I126)</f>
        <v>0</v>
      </c>
      <c r="J127" s="12" t="n">
        <f aca="false">SUM(J125:J126)</f>
        <v>0</v>
      </c>
      <c r="K127" s="12" t="n">
        <f aca="false">SUM(K125:K126)</f>
        <v>-50</v>
      </c>
      <c r="L127" s="12" t="n">
        <f aca="false">SUM(L125:L126)</f>
        <v>36</v>
      </c>
      <c r="M127" s="12" t="n">
        <f aca="false">SUM(M125:M126)</f>
        <v>3136</v>
      </c>
      <c r="N127" s="12" t="n">
        <f aca="false">SUM(N125:N126)</f>
        <v>97.89</v>
      </c>
      <c r="O127" s="13" t="n">
        <f aca="false">N127/$M127</f>
        <v>0.0312149234693878</v>
      </c>
      <c r="P127" s="12" t="n">
        <f aca="false">SUM(P125:P126)</f>
        <v>196.55</v>
      </c>
      <c r="Q127" s="13" t="n">
        <f aca="false">P127/$M127</f>
        <v>0.0626753826530612</v>
      </c>
      <c r="R127" s="12" t="n">
        <f aca="false">SUM(R125:R126)</f>
        <v>1196.55</v>
      </c>
      <c r="S127" s="13" t="n">
        <f aca="false">R127/$M127</f>
        <v>0.381552933673469</v>
      </c>
      <c r="T127" s="12" t="n">
        <f aca="false">SUM(T125:T126)</f>
        <v>5707.4</v>
      </c>
      <c r="U127" s="13" t="n">
        <f aca="false">T127/$M127</f>
        <v>1.81996173469388</v>
      </c>
      <c r="V127" s="12" t="n">
        <f aca="false">SUM(V125:V126)</f>
        <v>3150</v>
      </c>
      <c r="W127" s="12" t="n">
        <f aca="false">SUM(W125:W126)</f>
        <v>3150</v>
      </c>
    </row>
    <row r="129" customFormat="false" ht="12.8" hidden="false" customHeight="false" outlineLevel="0" collapsed="false">
      <c r="A129" s="16" t="s">
        <v>108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customFormat="false" ht="12.8" hidden="false" customHeight="false" outlineLevel="0" collapsed="false">
      <c r="A130" s="4"/>
      <c r="B130" s="4"/>
      <c r="C130" s="4"/>
      <c r="D130" s="5" t="s">
        <v>1</v>
      </c>
      <c r="E130" s="5" t="s">
        <v>2</v>
      </c>
      <c r="F130" s="5" t="s">
        <v>3</v>
      </c>
      <c r="G130" s="5" t="s">
        <v>4</v>
      </c>
      <c r="H130" s="5" t="s">
        <v>5</v>
      </c>
      <c r="I130" s="5" t="s">
        <v>6</v>
      </c>
      <c r="J130" s="5" t="s">
        <v>7</v>
      </c>
      <c r="K130" s="5" t="s">
        <v>8</v>
      </c>
      <c r="L130" s="5" t="s">
        <v>9</v>
      </c>
      <c r="M130" s="5" t="s">
        <v>10</v>
      </c>
      <c r="N130" s="5" t="s">
        <v>11</v>
      </c>
      <c r="O130" s="5" t="s">
        <v>12</v>
      </c>
      <c r="P130" s="5" t="s">
        <v>13</v>
      </c>
      <c r="Q130" s="5" t="s">
        <v>14</v>
      </c>
      <c r="R130" s="5" t="s">
        <v>15</v>
      </c>
      <c r="S130" s="5" t="s">
        <v>16</v>
      </c>
      <c r="T130" s="5" t="s">
        <v>17</v>
      </c>
      <c r="U130" s="5" t="s">
        <v>18</v>
      </c>
      <c r="V130" s="5" t="s">
        <v>19</v>
      </c>
      <c r="W130" s="5" t="s">
        <v>20</v>
      </c>
    </row>
    <row r="131" customFormat="false" ht="12.8" hidden="false" customHeight="false" outlineLevel="0" collapsed="false">
      <c r="A131" s="17" t="s">
        <v>21</v>
      </c>
      <c r="B131" s="18" t="n">
        <v>131</v>
      </c>
      <c r="C131" s="18" t="s">
        <v>47</v>
      </c>
      <c r="D131" s="19" t="n">
        <f aca="false">D138</f>
        <v>3513.02</v>
      </c>
      <c r="E131" s="19" t="n">
        <f aca="false">E138</f>
        <v>1030.96</v>
      </c>
      <c r="F131" s="19" t="n">
        <f aca="false">F138</f>
        <v>116854</v>
      </c>
      <c r="G131" s="19" t="n">
        <f aca="false">G138</f>
        <v>116750.27</v>
      </c>
      <c r="H131" s="19" t="n">
        <f aca="false">H138</f>
        <v>3111</v>
      </c>
      <c r="I131" s="19" t="n">
        <f aca="false">I138</f>
        <v>0</v>
      </c>
      <c r="J131" s="19" t="n">
        <f aca="false">J138</f>
        <v>0</v>
      </c>
      <c r="K131" s="19" t="n">
        <f aca="false">K138</f>
        <v>27</v>
      </c>
      <c r="L131" s="19" t="n">
        <f aca="false">L138</f>
        <v>0</v>
      </c>
      <c r="M131" s="19" t="n">
        <f aca="false">M138</f>
        <v>3138</v>
      </c>
      <c r="N131" s="19" t="n">
        <f aca="false">N138</f>
        <v>0</v>
      </c>
      <c r="O131" s="20" t="n">
        <f aca="false">N131/$M131</f>
        <v>0</v>
      </c>
      <c r="P131" s="19" t="n">
        <f aca="false">P138</f>
        <v>3137.87</v>
      </c>
      <c r="Q131" s="20" t="n">
        <f aca="false">P131/$M131</f>
        <v>0.999958572339069</v>
      </c>
      <c r="R131" s="19" t="n">
        <f aca="false">R138</f>
        <v>3137.87</v>
      </c>
      <c r="S131" s="20" t="n">
        <f aca="false">R131/$M131</f>
        <v>0.999958572339069</v>
      </c>
      <c r="T131" s="19" t="n">
        <f aca="false">T138</f>
        <v>3137.87</v>
      </c>
      <c r="U131" s="20" t="n">
        <f aca="false">T131/$M131</f>
        <v>0.999958572339069</v>
      </c>
      <c r="V131" s="19" t="n">
        <f aca="false">V138</f>
        <v>0</v>
      </c>
      <c r="W131" s="19" t="n">
        <f aca="false">W138</f>
        <v>0</v>
      </c>
    </row>
    <row r="132" customFormat="false" ht="12.8" hidden="false" customHeight="false" outlineLevel="0" collapsed="false">
      <c r="A132" s="17"/>
      <c r="B132" s="18" t="n">
        <v>41</v>
      </c>
      <c r="C132" s="18" t="s">
        <v>23</v>
      </c>
      <c r="D132" s="19" t="n">
        <f aca="false">D139+D140</f>
        <v>206590.62</v>
      </c>
      <c r="E132" s="19" t="n">
        <f aca="false">E139+E140</f>
        <v>191209</v>
      </c>
      <c r="F132" s="19" t="n">
        <f aca="false">F139+F140</f>
        <v>338753</v>
      </c>
      <c r="G132" s="19" t="n">
        <f aca="false">G139+G140-16000</f>
        <v>319003</v>
      </c>
      <c r="H132" s="19" t="n">
        <f aca="false">H139+H140</f>
        <v>166088</v>
      </c>
      <c r="I132" s="19" t="n">
        <f aca="false">I139+I140</f>
        <v>0</v>
      </c>
      <c r="J132" s="19" t="n">
        <f aca="false">J139+J140</f>
        <v>0</v>
      </c>
      <c r="K132" s="19" t="n">
        <f aca="false">K139+K140-K135</f>
        <v>-727</v>
      </c>
      <c r="L132" s="19" t="n">
        <f aca="false">L139+L140-L135</f>
        <v>0</v>
      </c>
      <c r="M132" s="19" t="n">
        <f aca="false">M139+M140-M135</f>
        <v>165361</v>
      </c>
      <c r="N132" s="19" t="n">
        <f aca="false">N139+N140-N135</f>
        <v>0</v>
      </c>
      <c r="O132" s="20" t="n">
        <f aca="false">N132/$M132</f>
        <v>0</v>
      </c>
      <c r="P132" s="19" t="n">
        <f aca="false">P139+P140-P135</f>
        <v>165361.36</v>
      </c>
      <c r="Q132" s="20" t="n">
        <f aca="false">P132/$M132</f>
        <v>1.00000217705505</v>
      </c>
      <c r="R132" s="19" t="n">
        <f aca="false">R139+R140-R135</f>
        <v>165361.36</v>
      </c>
      <c r="S132" s="20" t="n">
        <f aca="false">R132/$M132</f>
        <v>1.00000217705505</v>
      </c>
      <c r="T132" s="19" t="n">
        <f aca="false">T139+T140-T135</f>
        <v>165361.36</v>
      </c>
      <c r="U132" s="20" t="n">
        <f aca="false">T132/$M132</f>
        <v>1.00000217705505</v>
      </c>
      <c r="V132" s="19" t="n">
        <f aca="false">V139+V140</f>
        <v>0</v>
      </c>
      <c r="W132" s="19" t="n">
        <f aca="false">W139+W140</f>
        <v>0</v>
      </c>
    </row>
    <row r="133" customFormat="false" ht="12.8" hidden="false" customHeight="false" outlineLevel="0" collapsed="false">
      <c r="A133" s="17"/>
      <c r="B133" s="18" t="n">
        <v>52</v>
      </c>
      <c r="C133" s="18" t="s">
        <v>28</v>
      </c>
      <c r="D133" s="19" t="n">
        <v>0</v>
      </c>
      <c r="E133" s="19" t="n">
        <v>0</v>
      </c>
      <c r="F133" s="19" t="n">
        <f aca="false">F142</f>
        <v>0</v>
      </c>
      <c r="G133" s="19" t="n">
        <f aca="false">G142</f>
        <v>0</v>
      </c>
      <c r="H133" s="19" t="n">
        <f aca="false">H142</f>
        <v>0</v>
      </c>
      <c r="I133" s="19" t="n">
        <f aca="false">I142</f>
        <v>0</v>
      </c>
      <c r="J133" s="19" t="n">
        <f aca="false">J142</f>
        <v>0</v>
      </c>
      <c r="K133" s="19" t="n">
        <f aca="false">K142</f>
        <v>0</v>
      </c>
      <c r="L133" s="19" t="n">
        <f aca="false">L142</f>
        <v>0</v>
      </c>
      <c r="M133" s="19" t="n">
        <f aca="false">M142</f>
        <v>0</v>
      </c>
      <c r="N133" s="19" t="n">
        <f aca="false">N142</f>
        <v>0</v>
      </c>
      <c r="O133" s="20" t="e">
        <f aca="false">N133/$M133</f>
        <v>#DIV/0!</v>
      </c>
      <c r="P133" s="19" t="n">
        <f aca="false">P142</f>
        <v>0</v>
      </c>
      <c r="Q133" s="20" t="e">
        <f aca="false">P133/$M133</f>
        <v>#DIV/0!</v>
      </c>
      <c r="R133" s="19" t="n">
        <f aca="false">R142</f>
        <v>0</v>
      </c>
      <c r="S133" s="20" t="e">
        <f aca="false">R133/$M133</f>
        <v>#DIV/0!</v>
      </c>
      <c r="T133" s="19" t="n">
        <f aca="false">T142</f>
        <v>0</v>
      </c>
      <c r="U133" s="20" t="e">
        <f aca="false">T133/$M133</f>
        <v>#DIV/0!</v>
      </c>
      <c r="V133" s="19" t="n">
        <f aca="false">V142</f>
        <v>0</v>
      </c>
      <c r="W133" s="19" t="n">
        <f aca="false">W142</f>
        <v>0</v>
      </c>
    </row>
    <row r="134" customFormat="false" ht="12.8" hidden="false" customHeight="false" outlineLevel="0" collapsed="false">
      <c r="A134" s="17"/>
      <c r="B134" s="18" t="n">
        <v>71</v>
      </c>
      <c r="C134" s="18" t="s">
        <v>24</v>
      </c>
      <c r="D134" s="19" t="n">
        <f aca="false">D141</f>
        <v>0</v>
      </c>
      <c r="E134" s="19" t="n">
        <f aca="false">E141</f>
        <v>16000</v>
      </c>
      <c r="F134" s="19" t="n">
        <f aca="false">F141</f>
        <v>16000</v>
      </c>
      <c r="G134" s="19" t="n">
        <f aca="false">G141+16000</f>
        <v>91210.5</v>
      </c>
      <c r="H134" s="19" t="n">
        <f aca="false">H141</f>
        <v>4500</v>
      </c>
      <c r="I134" s="19" t="n">
        <f aca="false">I141</f>
        <v>0</v>
      </c>
      <c r="J134" s="19" t="n">
        <f aca="false">J141</f>
        <v>118</v>
      </c>
      <c r="K134" s="19" t="n">
        <f aca="false">K141</f>
        <v>700</v>
      </c>
      <c r="L134" s="19" t="n">
        <f aca="false">L141</f>
        <v>0</v>
      </c>
      <c r="M134" s="19" t="n">
        <f aca="false">M141</f>
        <v>5318</v>
      </c>
      <c r="N134" s="19" t="n">
        <f aca="false">N141</f>
        <v>117.83</v>
      </c>
      <c r="O134" s="20" t="n">
        <f aca="false">N134/$M134</f>
        <v>0.0221568258743889</v>
      </c>
      <c r="P134" s="19" t="n">
        <f aca="false">P141</f>
        <v>5317.83</v>
      </c>
      <c r="Q134" s="20" t="n">
        <f aca="false">P134/$M134</f>
        <v>0.999968033095148</v>
      </c>
      <c r="R134" s="19" t="n">
        <f aca="false">R141</f>
        <v>5317.83</v>
      </c>
      <c r="S134" s="20" t="n">
        <f aca="false">R134/$M134</f>
        <v>0.999968033095148</v>
      </c>
      <c r="T134" s="19" t="n">
        <f aca="false">T141</f>
        <v>5317.83</v>
      </c>
      <c r="U134" s="20" t="n">
        <f aca="false">T134/$M134</f>
        <v>0.999968033095148</v>
      </c>
      <c r="V134" s="19" t="n">
        <f aca="false">V141</f>
        <v>0</v>
      </c>
      <c r="W134" s="19" t="n">
        <f aca="false">W141</f>
        <v>0</v>
      </c>
    </row>
    <row r="135" customFormat="false" ht="12.8" hidden="false" customHeight="false" outlineLevel="0" collapsed="false">
      <c r="A135" s="17"/>
      <c r="B135" s="18" t="n">
        <v>72</v>
      </c>
      <c r="C135" s="18" t="s">
        <v>25</v>
      </c>
      <c r="D135" s="19" t="n">
        <v>0</v>
      </c>
      <c r="E135" s="19" t="n">
        <v>0</v>
      </c>
      <c r="F135" s="19" t="n">
        <v>0</v>
      </c>
      <c r="G135" s="19" t="n">
        <v>0</v>
      </c>
      <c r="H135" s="19" t="n">
        <v>0</v>
      </c>
      <c r="I135" s="19" t="n">
        <v>0</v>
      </c>
      <c r="J135" s="19" t="n">
        <v>0</v>
      </c>
      <c r="K135" s="19" t="n">
        <v>5429</v>
      </c>
      <c r="L135" s="19" t="n">
        <v>0</v>
      </c>
      <c r="M135" s="19" t="n">
        <f aca="false">H135+K135</f>
        <v>5429</v>
      </c>
      <c r="N135" s="19" t="n">
        <v>5428.84</v>
      </c>
      <c r="O135" s="20" t="n">
        <f aca="false">N135/$M135</f>
        <v>0.999970528642475</v>
      </c>
      <c r="P135" s="19" t="n">
        <v>5428.84</v>
      </c>
      <c r="Q135" s="20" t="n">
        <f aca="false">P135/$M135</f>
        <v>0.999970528642475</v>
      </c>
      <c r="R135" s="19" t="n">
        <v>5428.84</v>
      </c>
      <c r="S135" s="20" t="n">
        <f aca="false">R135/$M135</f>
        <v>0.999970528642475</v>
      </c>
      <c r="T135" s="19" t="n">
        <v>5428.84</v>
      </c>
      <c r="U135" s="20" t="n">
        <f aca="false">T135/$M135</f>
        <v>0.999970528642475</v>
      </c>
      <c r="V135" s="19" t="n">
        <v>0</v>
      </c>
      <c r="W135" s="19" t="n">
        <v>0</v>
      </c>
    </row>
    <row r="136" customFormat="false" ht="12.8" hidden="false" customHeight="false" outlineLevel="0" collapsed="false">
      <c r="A136" s="14"/>
      <c r="B136" s="15"/>
      <c r="C136" s="21" t="s">
        <v>30</v>
      </c>
      <c r="D136" s="22" t="n">
        <f aca="false">SUM(D131:D135)</f>
        <v>210103.64</v>
      </c>
      <c r="E136" s="22" t="n">
        <f aca="false">SUM(E131:E135)</f>
        <v>208239.96</v>
      </c>
      <c r="F136" s="22" t="n">
        <f aca="false">SUM(F131:F135)</f>
        <v>471607</v>
      </c>
      <c r="G136" s="22" t="n">
        <f aca="false">SUM(G131:G135)</f>
        <v>526963.77</v>
      </c>
      <c r="H136" s="22" t="n">
        <f aca="false">SUM(H131:H135)</f>
        <v>173699</v>
      </c>
      <c r="I136" s="22" t="n">
        <f aca="false">SUM(I131:I135)</f>
        <v>0</v>
      </c>
      <c r="J136" s="22" t="n">
        <f aca="false">SUM(J131:J135)</f>
        <v>118</v>
      </c>
      <c r="K136" s="22" t="n">
        <f aca="false">SUM(K131:K135)</f>
        <v>5429</v>
      </c>
      <c r="L136" s="22" t="n">
        <f aca="false">SUM(L131:L135)</f>
        <v>0</v>
      </c>
      <c r="M136" s="22" t="n">
        <f aca="false">SUM(M131:M135)</f>
        <v>179246</v>
      </c>
      <c r="N136" s="22" t="n">
        <f aca="false">SUM(N131:N135)</f>
        <v>5546.67</v>
      </c>
      <c r="O136" s="23" t="n">
        <f aca="false">N136/$M136</f>
        <v>0.0309444562221751</v>
      </c>
      <c r="P136" s="22" t="n">
        <f aca="false">SUM(P131:P135)</f>
        <v>179245.9</v>
      </c>
      <c r="Q136" s="23" t="n">
        <f aca="false">P136/$M136</f>
        <v>0.999999442107495</v>
      </c>
      <c r="R136" s="22" t="n">
        <f aca="false">SUM(R131:R135)</f>
        <v>179245.9</v>
      </c>
      <c r="S136" s="23" t="n">
        <f aca="false">R136/$M136</f>
        <v>0.999999442107495</v>
      </c>
      <c r="T136" s="22" t="n">
        <f aca="false">SUM(T131:T135)</f>
        <v>179245.9</v>
      </c>
      <c r="U136" s="23" t="n">
        <f aca="false">T136/$M136</f>
        <v>0.999999442107495</v>
      </c>
      <c r="V136" s="22" t="n">
        <f aca="false">SUM(V131:V135)</f>
        <v>0</v>
      </c>
      <c r="W136" s="22" t="n">
        <f aca="false">SUM(W131:W135)</f>
        <v>0</v>
      </c>
    </row>
    <row r="138" customFormat="false" ht="12.8" hidden="false" customHeight="false" outlineLevel="0" collapsed="false">
      <c r="B138" s="32" t="s">
        <v>57</v>
      </c>
      <c r="C138" s="14" t="s">
        <v>109</v>
      </c>
      <c r="D138" s="33" t="n">
        <v>3513.02</v>
      </c>
      <c r="E138" s="33" t="n">
        <v>1030.96</v>
      </c>
      <c r="F138" s="33" t="n">
        <f aca="false">ROUND(2813.98+103.69+936.29+113000,0)</f>
        <v>116854</v>
      </c>
      <c r="G138" s="33" t="n">
        <v>116750.27</v>
      </c>
      <c r="H138" s="33" t="n">
        <f aca="false">ROUND(G102+16.61+1469.26,0)</f>
        <v>3111</v>
      </c>
      <c r="I138" s="33"/>
      <c r="J138" s="33"/>
      <c r="K138" s="33" t="n">
        <v>27</v>
      </c>
      <c r="L138" s="33"/>
      <c r="M138" s="33" t="n">
        <f aca="false">SUM(H138:L138)</f>
        <v>3138</v>
      </c>
      <c r="N138" s="33"/>
      <c r="O138" s="34" t="n">
        <f aca="false">N138/$M138</f>
        <v>0</v>
      </c>
      <c r="P138" s="33" t="n">
        <v>3137.87</v>
      </c>
      <c r="Q138" s="34" t="n">
        <f aca="false">P138/$M138</f>
        <v>0.999958572339069</v>
      </c>
      <c r="R138" s="33" t="n">
        <v>3137.87</v>
      </c>
      <c r="S138" s="34" t="n">
        <f aca="false">R138/$M138</f>
        <v>0.999958572339069</v>
      </c>
      <c r="T138" s="33" t="n">
        <v>3137.87</v>
      </c>
      <c r="U138" s="35" t="n">
        <f aca="false">T138/$M138</f>
        <v>0.999958572339069</v>
      </c>
      <c r="V138" s="33"/>
      <c r="W138" s="36"/>
    </row>
    <row r="139" customFormat="false" ht="12.8" hidden="false" customHeight="false" outlineLevel="0" collapsed="false">
      <c r="B139" s="37"/>
      <c r="C139" s="1" t="s">
        <v>110</v>
      </c>
      <c r="D139" s="39" t="n">
        <v>199703.57</v>
      </c>
      <c r="E139" s="39" t="n">
        <v>58819</v>
      </c>
      <c r="F139" s="39" t="n">
        <f aca="false">ROUND(1456.72+352949.46+347.09,0)-F141-F140</f>
        <v>19922</v>
      </c>
      <c r="G139" s="39" t="n">
        <v>148582.56</v>
      </c>
      <c r="H139" s="39" t="n">
        <f aca="false">ROUND(137682.92+495.91+1.5+31836+3682.9,0)-H138-H140-H141</f>
        <v>166088</v>
      </c>
      <c r="I139" s="39"/>
      <c r="J139" s="39"/>
      <c r="K139" s="39" t="n">
        <f aca="false">-727+5429</f>
        <v>4702</v>
      </c>
      <c r="L139" s="39"/>
      <c r="M139" s="39" t="n">
        <f aca="false">SUM(H139:L139)</f>
        <v>170790</v>
      </c>
      <c r="N139" s="39" t="n">
        <v>5428.84</v>
      </c>
      <c r="O139" s="40" t="n">
        <f aca="false">N139/$M139</f>
        <v>0.0317866385619767</v>
      </c>
      <c r="P139" s="39" t="n">
        <f aca="false">165361.36+5428.84</f>
        <v>170790.2</v>
      </c>
      <c r="Q139" s="40" t="n">
        <f aca="false">P139/$M139</f>
        <v>1.00000117102875</v>
      </c>
      <c r="R139" s="39" t="n">
        <f aca="false">165361.36+5428.84</f>
        <v>170790.2</v>
      </c>
      <c r="S139" s="40" t="n">
        <f aca="false">R139/$M139</f>
        <v>1.00000117102875</v>
      </c>
      <c r="T139" s="39" t="n">
        <f aca="false">165361.36+5428.84</f>
        <v>170790.2</v>
      </c>
      <c r="U139" s="41" t="n">
        <f aca="false">T139/$M139</f>
        <v>1.00000117102875</v>
      </c>
      <c r="V139" s="39"/>
      <c r="W139" s="42"/>
    </row>
    <row r="140" customFormat="false" ht="12.8" hidden="false" customHeight="false" outlineLevel="0" collapsed="false">
      <c r="B140" s="37"/>
      <c r="C140" s="38" t="s">
        <v>111</v>
      </c>
      <c r="D140" s="39" t="n">
        <v>6887.05</v>
      </c>
      <c r="E140" s="39" t="n">
        <v>132390</v>
      </c>
      <c r="F140" s="39" t="n">
        <v>318831</v>
      </c>
      <c r="G140" s="43" t="n">
        <v>186420.44</v>
      </c>
      <c r="H140" s="39"/>
      <c r="I140" s="39"/>
      <c r="J140" s="39"/>
      <c r="K140" s="39"/>
      <c r="L140" s="39"/>
      <c r="M140" s="39" t="n">
        <f aca="false">SUM(H140:L140)</f>
        <v>0</v>
      </c>
      <c r="N140" s="39"/>
      <c r="O140" s="40" t="e">
        <f aca="false">N140/$M140</f>
        <v>#DIV/0!</v>
      </c>
      <c r="P140" s="39"/>
      <c r="Q140" s="40" t="e">
        <f aca="false">P140/$M140</f>
        <v>#DIV/0!</v>
      </c>
      <c r="R140" s="39"/>
      <c r="S140" s="40" t="e">
        <f aca="false">R140/$M140</f>
        <v>#DIV/0!</v>
      </c>
      <c r="T140" s="39"/>
      <c r="U140" s="41" t="e">
        <f aca="false">T140/$M140</f>
        <v>#DIV/0!</v>
      </c>
      <c r="V140" s="39"/>
      <c r="W140" s="42"/>
    </row>
    <row r="141" customFormat="false" ht="12.8" hidden="false" customHeight="false" outlineLevel="0" collapsed="false">
      <c r="B141" s="37"/>
      <c r="C141" s="38" t="s">
        <v>112</v>
      </c>
      <c r="D141" s="39"/>
      <c r="E141" s="39" t="n">
        <v>16000</v>
      </c>
      <c r="F141" s="39" t="n">
        <v>16000</v>
      </c>
      <c r="G141" s="43" t="n">
        <v>75210.5</v>
      </c>
      <c r="H141" s="39" t="n">
        <v>4500</v>
      </c>
      <c r="I141" s="39"/>
      <c r="J141" s="39" t="n">
        <v>118</v>
      </c>
      <c r="K141" s="39" t="n">
        <v>700</v>
      </c>
      <c r="L141" s="39"/>
      <c r="M141" s="39" t="n">
        <f aca="false">SUM(H141:L141)</f>
        <v>5318</v>
      </c>
      <c r="N141" s="39" t="n">
        <v>117.83</v>
      </c>
      <c r="O141" s="40" t="n">
        <f aca="false">N141/$M141</f>
        <v>0.0221568258743889</v>
      </c>
      <c r="P141" s="39" t="n">
        <v>5317.83</v>
      </c>
      <c r="Q141" s="40" t="n">
        <f aca="false">P141/$M141</f>
        <v>0.999968033095148</v>
      </c>
      <c r="R141" s="39" t="n">
        <v>5317.83</v>
      </c>
      <c r="S141" s="40" t="n">
        <f aca="false">R141/$M141</f>
        <v>0.999968033095148</v>
      </c>
      <c r="T141" s="39" t="n">
        <v>5317.83</v>
      </c>
      <c r="U141" s="41" t="n">
        <f aca="false">T141/$M141</f>
        <v>0.999968033095148</v>
      </c>
      <c r="V141" s="39"/>
      <c r="W141" s="42"/>
    </row>
    <row r="142" customFormat="false" ht="12.8" hidden="false" customHeight="false" outlineLevel="0" collapsed="false">
      <c r="B142" s="44"/>
      <c r="C142" s="57" t="s">
        <v>113</v>
      </c>
      <c r="D142" s="46"/>
      <c r="E142" s="46"/>
      <c r="F142" s="46"/>
      <c r="G142" s="46"/>
      <c r="H142" s="46"/>
      <c r="I142" s="46"/>
      <c r="J142" s="46"/>
      <c r="K142" s="46"/>
      <c r="L142" s="46"/>
      <c r="M142" s="46" t="n">
        <f aca="false">SUM(H142:L142)</f>
        <v>0</v>
      </c>
      <c r="N142" s="46"/>
      <c r="O142" s="47" t="e">
        <f aca="false">N142/$M142</f>
        <v>#DIV/0!</v>
      </c>
      <c r="P142" s="46"/>
      <c r="Q142" s="47" t="e">
        <f aca="false">P142/$M142</f>
        <v>#DIV/0!</v>
      </c>
      <c r="R142" s="46"/>
      <c r="S142" s="47" t="e">
        <f aca="false">R142/$M142</f>
        <v>#DIV/0!</v>
      </c>
      <c r="T142" s="46"/>
      <c r="U142" s="48" t="e">
        <f aca="false">T142/$M142</f>
        <v>#DIV/0!</v>
      </c>
      <c r="V142" s="46"/>
      <c r="W142" s="49"/>
    </row>
    <row r="144" customFormat="false" ht="12.8" hidden="false" customHeight="false" outlineLevel="0" collapsed="false">
      <c r="A144" s="16" t="s">
        <v>114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</row>
    <row r="145" customFormat="false" ht="12.8" hidden="false" customHeight="false" outlineLevel="0" collapsed="false">
      <c r="A145" s="4"/>
      <c r="B145" s="4"/>
      <c r="C145" s="4"/>
      <c r="D145" s="5" t="s">
        <v>1</v>
      </c>
      <c r="E145" s="5" t="s">
        <v>2</v>
      </c>
      <c r="F145" s="5" t="s">
        <v>3</v>
      </c>
      <c r="G145" s="5" t="s">
        <v>4</v>
      </c>
      <c r="H145" s="5" t="s">
        <v>5</v>
      </c>
      <c r="I145" s="5" t="s">
        <v>6</v>
      </c>
      <c r="J145" s="5" t="s">
        <v>7</v>
      </c>
      <c r="K145" s="5" t="s">
        <v>8</v>
      </c>
      <c r="L145" s="5" t="s">
        <v>9</v>
      </c>
      <c r="M145" s="5" t="s">
        <v>10</v>
      </c>
      <c r="N145" s="5" t="s">
        <v>11</v>
      </c>
      <c r="O145" s="5" t="s">
        <v>12</v>
      </c>
      <c r="P145" s="5" t="s">
        <v>13</v>
      </c>
      <c r="Q145" s="5" t="s">
        <v>14</v>
      </c>
      <c r="R145" s="5" t="s">
        <v>15</v>
      </c>
      <c r="S145" s="5" t="s">
        <v>16</v>
      </c>
      <c r="T145" s="5" t="s">
        <v>17</v>
      </c>
      <c r="U145" s="5" t="s">
        <v>18</v>
      </c>
      <c r="V145" s="5" t="s">
        <v>19</v>
      </c>
      <c r="W145" s="5" t="s">
        <v>20</v>
      </c>
    </row>
    <row r="146" customFormat="false" ht="12.8" hidden="false" customHeight="false" outlineLevel="0" collapsed="false">
      <c r="A146" s="58" t="s">
        <v>115</v>
      </c>
      <c r="B146" s="59"/>
      <c r="C146" s="60" t="s">
        <v>116</v>
      </c>
      <c r="D146" s="61" t="n">
        <f aca="false">D7-výdaje!G7</f>
        <v>375591.64</v>
      </c>
      <c r="E146" s="61" t="n">
        <f aca="false">E7-výdaje!H7</f>
        <v>467944.02</v>
      </c>
      <c r="F146" s="61" t="n">
        <f aca="false">F7-výdaje!I7</f>
        <v>341393</v>
      </c>
      <c r="G146" s="61" t="n">
        <f aca="false">G7-výdaje!J7</f>
        <v>926988.523</v>
      </c>
      <c r="H146" s="61" t="n">
        <f aca="false">H7-výdaje!K7</f>
        <v>348080</v>
      </c>
      <c r="I146" s="61" t="n">
        <f aca="false">I7-výdaje!L7</f>
        <v>2</v>
      </c>
      <c r="J146" s="61" t="n">
        <f aca="false">J7-výdaje!M7</f>
        <v>12126</v>
      </c>
      <c r="K146" s="61" t="n">
        <f aca="false">K7-výdaje!N7</f>
        <v>-16564</v>
      </c>
      <c r="L146" s="61" t="n">
        <f aca="false">L7-výdaje!O7</f>
        <v>0</v>
      </c>
      <c r="M146" s="61" t="n">
        <f aca="false">M7-výdaje!P7</f>
        <v>343644</v>
      </c>
      <c r="N146" s="61" t="n">
        <f aca="false">N7-výdaje!Q7</f>
        <v>214221.5</v>
      </c>
      <c r="O146" s="10" t="n">
        <f aca="false">N146/$M146</f>
        <v>0.623382046536532</v>
      </c>
      <c r="P146" s="61" t="n">
        <f aca="false">P7-výdaje!S7</f>
        <v>291059.99</v>
      </c>
      <c r="Q146" s="10" t="n">
        <f aca="false">P146/$M146</f>
        <v>0.846981149096158</v>
      </c>
      <c r="R146" s="61" t="n">
        <f aca="false">R7-výdaje!U7</f>
        <v>436398.05</v>
      </c>
      <c r="S146" s="10" t="n">
        <f aca="false">R146/$M146</f>
        <v>1.26991319505069</v>
      </c>
      <c r="T146" s="61" t="n">
        <f aca="false">T7-výdaje!W7</f>
        <v>479002.32</v>
      </c>
      <c r="U146" s="10" t="n">
        <f aca="false">T146/$M146</f>
        <v>1.39389111987988</v>
      </c>
      <c r="V146" s="61" t="n">
        <f aca="false">V7-výdaje!Y7</f>
        <v>279420</v>
      </c>
      <c r="W146" s="61" t="n">
        <f aca="false">W7-výdaje!Z7</f>
        <v>236995</v>
      </c>
    </row>
    <row r="147" customFormat="false" ht="12.8" hidden="false" customHeight="false" outlineLevel="0" collapsed="false">
      <c r="A147" s="58"/>
      <c r="B147" s="59"/>
      <c r="C147" s="60" t="s">
        <v>117</v>
      </c>
      <c r="D147" s="61" t="n">
        <f aca="false">D10-výdaje!G11</f>
        <v>-329817.53</v>
      </c>
      <c r="E147" s="61" t="n">
        <f aca="false">E10-výdaje!H11</f>
        <v>-275897.18</v>
      </c>
      <c r="F147" s="61" t="n">
        <f aca="false">F10-výdaje!I11</f>
        <v>-800000</v>
      </c>
      <c r="G147" s="61" t="n">
        <f aca="false">G10-výdaje!J11</f>
        <v>-1211380.73</v>
      </c>
      <c r="H147" s="61" t="n">
        <f aca="false">H10-výdaje!K11</f>
        <v>-362550</v>
      </c>
      <c r="I147" s="61" t="n">
        <f aca="false">I10-výdaje!L11</f>
        <v>-2</v>
      </c>
      <c r="J147" s="61" t="n">
        <f aca="false">J10-výdaje!M11</f>
        <v>-109075</v>
      </c>
      <c r="K147" s="61" t="n">
        <f aca="false">K10-výdaje!N11</f>
        <v>15802</v>
      </c>
      <c r="L147" s="61" t="n">
        <f aca="false">L10-výdaje!O11</f>
        <v>0</v>
      </c>
      <c r="M147" s="61" t="n">
        <f aca="false">M10-výdaje!P11</f>
        <v>-455825</v>
      </c>
      <c r="N147" s="61" t="n">
        <f aca="false">N10-výdaje!Q11</f>
        <v>-12834.19</v>
      </c>
      <c r="O147" s="10" t="n">
        <f aca="false">N147/$M147</f>
        <v>0.028155958975484</v>
      </c>
      <c r="P147" s="61" t="n">
        <f aca="false">P10-výdaje!S11</f>
        <v>-26974.67</v>
      </c>
      <c r="Q147" s="10" t="n">
        <f aca="false">P147/$M147</f>
        <v>0.059177688806011</v>
      </c>
      <c r="R147" s="61" t="n">
        <f aca="false">R10-výdaje!U11</f>
        <v>-191213.39</v>
      </c>
      <c r="S147" s="10" t="n">
        <f aca="false">R147/$M147</f>
        <v>0.419488597597762</v>
      </c>
      <c r="T147" s="61" t="n">
        <f aca="false">T10-výdaje!W11</f>
        <v>-260831.63</v>
      </c>
      <c r="U147" s="10" t="n">
        <f aca="false">T147/$M147</f>
        <v>0.572218790105852</v>
      </c>
      <c r="V147" s="61" t="n">
        <f aca="false">V10-výdaje!Y11</f>
        <v>-279420</v>
      </c>
      <c r="W147" s="61" t="n">
        <f aca="false">W10-výdaje!Z11</f>
        <v>-236995</v>
      </c>
    </row>
    <row r="148" customFormat="false" ht="12.8" hidden="false" customHeight="false" outlineLevel="0" collapsed="false">
      <c r="A148" s="58"/>
      <c r="B148" s="59"/>
      <c r="C148" s="60" t="s">
        <v>29</v>
      </c>
      <c r="D148" s="61" t="n">
        <f aca="false">D16-výdaje!G14</f>
        <v>205884.71</v>
      </c>
      <c r="E148" s="61" t="n">
        <f aca="false">E16-výdaje!H14</f>
        <v>208239.96</v>
      </c>
      <c r="F148" s="61" t="n">
        <f aca="false">F16-výdaje!I14</f>
        <v>455607</v>
      </c>
      <c r="G148" s="61" t="n">
        <f aca="false">G16-výdaje!J14</f>
        <v>456953.27</v>
      </c>
      <c r="H148" s="61" t="n">
        <f aca="false">H16-výdaje!K14</f>
        <v>169199</v>
      </c>
      <c r="I148" s="61" t="n">
        <f aca="false">I16-výdaje!L14</f>
        <v>0</v>
      </c>
      <c r="J148" s="61" t="n">
        <f aca="false">J16-výdaje!M14</f>
        <v>118</v>
      </c>
      <c r="K148" s="61" t="n">
        <f aca="false">K16-výdaje!N14</f>
        <v>5429</v>
      </c>
      <c r="L148" s="61" t="n">
        <f aca="false">L16-výdaje!O14</f>
        <v>0</v>
      </c>
      <c r="M148" s="61" t="n">
        <f aca="false">M16-výdaje!P14</f>
        <v>174746</v>
      </c>
      <c r="N148" s="61" t="n">
        <f aca="false">N16-výdaje!Q14</f>
        <v>4046.67</v>
      </c>
      <c r="O148" s="10" t="n">
        <f aca="false">N148/$M148</f>
        <v>0.0231574399414007</v>
      </c>
      <c r="P148" s="61" t="n">
        <f aca="false">P16-výdaje!S14</f>
        <v>177745.9</v>
      </c>
      <c r="Q148" s="10" t="n">
        <f aca="false">P148/$M148</f>
        <v>1.01716720268275</v>
      </c>
      <c r="R148" s="61" t="n">
        <f aca="false">R16-výdaje!U14</f>
        <v>177745.9</v>
      </c>
      <c r="S148" s="10" t="n">
        <f aca="false">R148/$M148</f>
        <v>1.01716720268275</v>
      </c>
      <c r="T148" s="61" t="n">
        <f aca="false">T16-výdaje!W14</f>
        <v>177628.07</v>
      </c>
      <c r="U148" s="10" t="n">
        <f aca="false">T148/$M148</f>
        <v>1.01649290970895</v>
      </c>
      <c r="V148" s="61" t="n">
        <f aca="false">V16-výdaje!Y14</f>
        <v>0</v>
      </c>
      <c r="W148" s="61" t="n">
        <f aca="false">W16-výdaje!Z14</f>
        <v>0</v>
      </c>
    </row>
    <row r="149" customFormat="false" ht="12.8" hidden="false" customHeight="false" outlineLevel="0" collapsed="false">
      <c r="A149" s="58"/>
      <c r="B149" s="62"/>
      <c r="C149" s="63" t="s">
        <v>118</v>
      </c>
      <c r="D149" s="64" t="n">
        <f aca="false">D22-výdaje!G20</f>
        <v>251658.82</v>
      </c>
      <c r="E149" s="64" t="n">
        <f aca="false">E22-výdaje!H20</f>
        <v>400286.8</v>
      </c>
      <c r="F149" s="64" t="n">
        <f aca="false">F22-výdaje!I20</f>
        <v>-3000</v>
      </c>
      <c r="G149" s="64" t="n">
        <f aca="false">G22-výdaje!J20</f>
        <v>172561.063</v>
      </c>
      <c r="H149" s="64" t="n">
        <f aca="false">H22-výdaje!K20</f>
        <v>154729</v>
      </c>
      <c r="I149" s="64" t="n">
        <f aca="false">I22-výdaje!L20</f>
        <v>0</v>
      </c>
      <c r="J149" s="64" t="n">
        <f aca="false">J22-výdaje!M20</f>
        <v>-96831</v>
      </c>
      <c r="K149" s="64" t="n">
        <f aca="false">K22-výdaje!N20</f>
        <v>4667</v>
      </c>
      <c r="L149" s="64" t="n">
        <f aca="false">L22-výdaje!O20</f>
        <v>0</v>
      </c>
      <c r="M149" s="64" t="n">
        <f aca="false">SUM(H149:L149)</f>
        <v>62565</v>
      </c>
      <c r="N149" s="64" t="n">
        <f aca="false">N22-výdaje!Q20</f>
        <v>205433.98</v>
      </c>
      <c r="O149" s="65" t="n">
        <f aca="false">N149/$M149</f>
        <v>3.28352881003756</v>
      </c>
      <c r="P149" s="64" t="n">
        <f aca="false">P22-výdaje!S20</f>
        <v>441831.22</v>
      </c>
      <c r="Q149" s="65" t="n">
        <f aca="false">P149/$M149</f>
        <v>7.06195508670982</v>
      </c>
      <c r="R149" s="64" t="n">
        <f aca="false">R22-výdaje!U20</f>
        <v>422930.56</v>
      </c>
      <c r="S149" s="65" t="n">
        <f aca="false">R149/$M149</f>
        <v>6.75985870694478</v>
      </c>
      <c r="T149" s="64" t="n">
        <f aca="false">T22-výdaje!W20</f>
        <v>395798.76</v>
      </c>
      <c r="U149" s="65" t="n">
        <f aca="false">T149/$M149</f>
        <v>6.32620091105251</v>
      </c>
      <c r="V149" s="64" t="n">
        <f aca="false">V22-výdaje!Y20</f>
        <v>0</v>
      </c>
      <c r="W149" s="64" t="n">
        <f aca="false">W22-výdaje!Z20</f>
        <v>0</v>
      </c>
    </row>
    <row r="150" customFormat="false" ht="12.8" hidden="false" customHeight="false" outlineLevel="0" collapsed="false">
      <c r="A150" s="58"/>
      <c r="B150" s="62"/>
      <c r="C150" s="62" t="s">
        <v>119</v>
      </c>
      <c r="D150" s="66" t="n">
        <f aca="false">D146+D147</f>
        <v>45774.1099999999</v>
      </c>
      <c r="E150" s="66" t="n">
        <f aca="false">E146+E147</f>
        <v>192046.84</v>
      </c>
      <c r="F150" s="66" t="n">
        <f aca="false">F146+F147</f>
        <v>-458607</v>
      </c>
      <c r="G150" s="66" t="n">
        <f aca="false">G146+G147</f>
        <v>-284392.207</v>
      </c>
      <c r="H150" s="66" t="n">
        <f aca="false">H146+H147</f>
        <v>-14470</v>
      </c>
      <c r="I150" s="66" t="n">
        <f aca="false">I146+I147</f>
        <v>0</v>
      </c>
      <c r="J150" s="66" t="n">
        <f aca="false">J146+J147</f>
        <v>-96949</v>
      </c>
      <c r="K150" s="66" t="n">
        <f aca="false">K146+K147</f>
        <v>-762</v>
      </c>
      <c r="L150" s="66" t="n">
        <f aca="false">L146+L147</f>
        <v>0</v>
      </c>
      <c r="M150" s="66" t="n">
        <f aca="false">M146+M147</f>
        <v>-112181</v>
      </c>
      <c r="N150" s="66" t="n">
        <f aca="false">N146+N147</f>
        <v>201387.31</v>
      </c>
      <c r="O150" s="10" t="n">
        <f aca="false">N150/$M150</f>
        <v>-1.79519981101969</v>
      </c>
      <c r="P150" s="66" t="n">
        <f aca="false">P146+P147</f>
        <v>264085.32</v>
      </c>
      <c r="Q150" s="10" t="n">
        <f aca="false">P150/$M150</f>
        <v>-2.35410024870522</v>
      </c>
      <c r="R150" s="66" t="n">
        <f aca="false">R146+R147</f>
        <v>245184.66</v>
      </c>
      <c r="S150" s="10" t="n">
        <f aca="false">R150/$M150</f>
        <v>-2.18561663739849</v>
      </c>
      <c r="T150" s="66" t="n">
        <f aca="false">T146+T147</f>
        <v>218170.69</v>
      </c>
      <c r="U150" s="10" t="n">
        <f aca="false">T150/$M150</f>
        <v>-1.94480963799574</v>
      </c>
      <c r="V150" s="66" t="n">
        <f aca="false">V146+V147</f>
        <v>0</v>
      </c>
      <c r="W150" s="66" t="n">
        <f aca="false">W146+W147</f>
        <v>0</v>
      </c>
    </row>
  </sheetData>
  <mergeCells count="10">
    <mergeCell ref="A3:A21"/>
    <mergeCell ref="A31:A39"/>
    <mergeCell ref="A44:A46"/>
    <mergeCell ref="A53:A58"/>
    <mergeCell ref="A60:A61"/>
    <mergeCell ref="A83:A85"/>
    <mergeCell ref="A90:A121"/>
    <mergeCell ref="A125:A126"/>
    <mergeCell ref="A131:A135"/>
    <mergeCell ref="A146:A150"/>
  </mergeCells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&amp;L&amp;"Arial,Bežné"&amp;10Čerpanie a plnenie rozpočtu 2019&amp;C&amp;"Arial,Bežné"&amp;10Obec Nesluša&amp;R&amp;"Arial,Bežné"&amp;10Stav k 31. 12. 2019</oddHeader>
    <oddFooter>&amp;L&amp;"Arial,Bežné"&amp;10Schválený UOZ_I-26/2019&amp;R&amp;"Arial,Bežné"&amp;10Posledná úprava: starostka, 02. 12. 2019</oddFooter>
  </headerFooter>
  <rowBreaks count="4" manualBreakCount="4">
    <brk id="23" man="true" max="16383" min="0"/>
    <brk id="41" man="true" max="16383" min="0"/>
    <brk id="80" man="true" max="16383" min="0"/>
    <brk id="12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663"/>
  <sheetViews>
    <sheetView showFormulas="false" showGridLines="true" showRowColHeaders="true" showZeros="true" rightToLeft="false" tabSelected="false" showOutlineSymbols="true" defaultGridColor="false" view="normal" topLeftCell="A1" colorId="22" zoomScale="100" zoomScaleNormal="100" zoomScalePageLayoutView="100" workbookViewId="0">
      <selection pane="topLeft" activeCell="D1" activeCellId="0" sqref="D1"/>
    </sheetView>
  </sheetViews>
  <sheetFormatPr defaultColWidth="10.16015625" defaultRowHeight="12.8" zeroHeight="false" outlineLevelRow="0" outlineLevelCol="0"/>
  <cols>
    <col collapsed="false" customWidth="true" hidden="true" outlineLevel="0" max="1" min="1" style="1" width="2.38"/>
    <col collapsed="false" customWidth="true" hidden="true" outlineLevel="0" max="2" min="2" style="1" width="2.74"/>
    <col collapsed="false" customWidth="true" hidden="true" outlineLevel="0" max="3" min="3" style="1" width="2.62"/>
    <col collapsed="false" customWidth="true" hidden="false" outlineLevel="0" max="4" min="4" style="1" width="10.25"/>
    <col collapsed="false" customWidth="true" hidden="false" outlineLevel="0" max="5" min="5" style="1" width="7.63"/>
    <col collapsed="false" customWidth="true" hidden="false" outlineLevel="0" max="6" min="6" style="1" width="15.97"/>
    <col collapsed="false" customWidth="true" hidden="true" outlineLevel="0" max="10" min="7" style="1" width="9.91"/>
    <col collapsed="false" customWidth="true" hidden="false" outlineLevel="0" max="11" min="11" style="1" width="9.91"/>
    <col collapsed="false" customWidth="true" hidden="true" outlineLevel="0" max="15" min="12" style="1" width="9.68"/>
    <col collapsed="false" customWidth="true" hidden="false" outlineLevel="0" max="17" min="16" style="1" width="9.68"/>
    <col collapsed="false" customWidth="true" hidden="false" outlineLevel="0" max="18" min="18" style="1" width="4.82"/>
    <col collapsed="false" customWidth="true" hidden="false" outlineLevel="0" max="19" min="19" style="1" width="9.68"/>
    <col collapsed="false" customWidth="true" hidden="false" outlineLevel="0" max="20" min="20" style="1" width="4.82"/>
    <col collapsed="false" customWidth="true" hidden="false" outlineLevel="0" max="21" min="21" style="1" width="9.68"/>
    <col collapsed="false" customWidth="true" hidden="false" outlineLevel="0" max="22" min="22" style="1" width="4.82"/>
    <col collapsed="false" customWidth="true" hidden="false" outlineLevel="0" max="23" min="23" style="1" width="9.68"/>
    <col collapsed="false" customWidth="true" hidden="false" outlineLevel="0" max="24" min="24" style="1" width="4.82"/>
    <col collapsed="false" customWidth="true" hidden="true" outlineLevel="0" max="26" min="25" style="1" width="9.91"/>
    <col collapsed="false" customWidth="true" hidden="false" outlineLevel="0" max="64" min="27" style="1" width="7.63"/>
  </cols>
  <sheetData>
    <row r="1" customFormat="false" ht="12.8" hidden="false" customHeight="false" outlineLevel="0" collapsed="false">
      <c r="A1" s="1" t="s">
        <v>120</v>
      </c>
      <c r="B1" s="1" t="s">
        <v>121</v>
      </c>
      <c r="C1" s="1" t="s">
        <v>122</v>
      </c>
      <c r="D1" s="2" t="s">
        <v>123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2.8" hidden="false" customHeight="false" outlineLevel="0" collapsed="false">
      <c r="D2" s="4"/>
      <c r="E2" s="4"/>
      <c r="F2" s="4"/>
      <c r="G2" s="5" t="s">
        <v>1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5" t="s">
        <v>10</v>
      </c>
      <c r="Q2" s="5" t="s">
        <v>11</v>
      </c>
      <c r="R2" s="6" t="s">
        <v>12</v>
      </c>
      <c r="S2" s="5" t="s">
        <v>13</v>
      </c>
      <c r="T2" s="6" t="s">
        <v>14</v>
      </c>
      <c r="U2" s="5" t="s">
        <v>15</v>
      </c>
      <c r="V2" s="6" t="s">
        <v>16</v>
      </c>
      <c r="W2" s="5" t="s">
        <v>17</v>
      </c>
      <c r="X2" s="6" t="s">
        <v>18</v>
      </c>
      <c r="Y2" s="5" t="s">
        <v>19</v>
      </c>
      <c r="Z2" s="5" t="s">
        <v>20</v>
      </c>
    </row>
    <row r="3" customFormat="false" ht="12.8" hidden="false" customHeight="true" outlineLevel="0" collapsed="false">
      <c r="D3" s="67" t="s">
        <v>21</v>
      </c>
      <c r="E3" s="8" t="n">
        <v>111</v>
      </c>
      <c r="F3" s="8" t="s">
        <v>22</v>
      </c>
      <c r="G3" s="9" t="n">
        <f aca="false">G24+G151+G240+G287+G376+G472</f>
        <v>513860.57</v>
      </c>
      <c r="H3" s="9" t="n">
        <f aca="false">H24+H151+H240+H287+H376+H472</f>
        <v>487164.73</v>
      </c>
      <c r="I3" s="9" t="n">
        <f aca="false">I24+I151+I240+I287+I376+I472</f>
        <v>654276</v>
      </c>
      <c r="J3" s="9" t="n">
        <f aca="false">J24+J151+J240+J287+J376+J472</f>
        <v>520218.89</v>
      </c>
      <c r="K3" s="9" t="n">
        <f aca="false">K24+K151+K240+K287+K376+K472</f>
        <v>701585</v>
      </c>
      <c r="L3" s="9" t="n">
        <f aca="false">L24+L151+L240+L287+L376+L472</f>
        <v>0</v>
      </c>
      <c r="M3" s="9" t="n">
        <f aca="false">M24+M151+M240+M287+M376+M472</f>
        <v>-135557</v>
      </c>
      <c r="N3" s="9" t="n">
        <f aca="false">N24+N151+N240+N287+N376+N472</f>
        <v>34427</v>
      </c>
      <c r="O3" s="9" t="n">
        <f aca="false">O24+O151+O240+O287+O376+O472</f>
        <v>1046</v>
      </c>
      <c r="P3" s="9" t="n">
        <f aca="false">P24+P151+P240+P287+P376+P472</f>
        <v>601501</v>
      </c>
      <c r="Q3" s="9" t="n">
        <f aca="false">Q24+Q151+Q240+Q287+Q376+Q472</f>
        <v>113309.08</v>
      </c>
      <c r="R3" s="10" t="n">
        <f aca="false">Q3/$P3</f>
        <v>0.188377209680449</v>
      </c>
      <c r="S3" s="9" t="n">
        <f aca="false">S24+S151+S240+S287+S376+S472</f>
        <v>267298.16</v>
      </c>
      <c r="T3" s="10" t="n">
        <f aca="false">S3/$P3</f>
        <v>0.444385229617241</v>
      </c>
      <c r="U3" s="9" t="n">
        <f aca="false">U24+U151+U240+U287+U376+U472</f>
        <v>405665.19</v>
      </c>
      <c r="V3" s="10" t="n">
        <f aca="false">U3/$P3</f>
        <v>0.674421472283504</v>
      </c>
      <c r="W3" s="9" t="n">
        <f aca="false">W24+W151+W240+W287+W376+W472</f>
        <v>612456.1</v>
      </c>
      <c r="X3" s="10" t="n">
        <f aca="false">W3/$P3</f>
        <v>1.01821293730185</v>
      </c>
      <c r="Y3" s="9" t="n">
        <f aca="false">Y24+Y151+Y240+Y287+Y376+Y472</f>
        <v>576489</v>
      </c>
      <c r="Z3" s="9" t="n">
        <f aca="false">Z24+Z151+Z240+Z287+Z376+Z472</f>
        <v>577989</v>
      </c>
    </row>
    <row r="4" customFormat="false" ht="12.8" hidden="false" customHeight="false" outlineLevel="0" collapsed="false">
      <c r="D4" s="67"/>
      <c r="E4" s="8" t="n">
        <v>41</v>
      </c>
      <c r="F4" s="8" t="s">
        <v>23</v>
      </c>
      <c r="G4" s="9" t="n">
        <f aca="false">G25+G152+G209+G241+G288+G377+G473+G658</f>
        <v>696951.23</v>
      </c>
      <c r="H4" s="9" t="n">
        <f aca="false">H25+H152+H209+H241+H288+H377+H473+H658</f>
        <v>737693.98</v>
      </c>
      <c r="I4" s="9" t="n">
        <f aca="false">I25+I152+I209+I241+I288+I377+I473+I658</f>
        <v>766340</v>
      </c>
      <c r="J4" s="9" t="n">
        <f aca="false">J25+J152+J209+J241+J288+J377+J473+J658</f>
        <v>791780.727</v>
      </c>
      <c r="K4" s="9" t="n">
        <f aca="false">K25+K152+K209+K241+K288+K377+K473+K658</f>
        <v>912216</v>
      </c>
      <c r="L4" s="9" t="n">
        <f aca="false">L25+L152+L209+L241+L288+L377+L473+L658</f>
        <v>4998</v>
      </c>
      <c r="M4" s="9" t="n">
        <f aca="false">M25+M152+M209+M241+M288+M377+M473+M658</f>
        <v>9924</v>
      </c>
      <c r="N4" s="9" t="n">
        <f aca="false">N25+N152+N209+N241+N288+N377+N473+N658</f>
        <v>9455</v>
      </c>
      <c r="O4" s="9" t="n">
        <f aca="false">O25+O152+O209+O241+O288+O377+O473+O658</f>
        <v>-819</v>
      </c>
      <c r="P4" s="9" t="n">
        <f aca="false">P25+P152+P209+P241+P288+P377+P473+P658</f>
        <v>935774</v>
      </c>
      <c r="Q4" s="9" t="n">
        <f aca="false">Q25+Q152+Q209+Q241+Q288+Q377+Q473+Q658</f>
        <v>191671.14</v>
      </c>
      <c r="R4" s="10" t="n">
        <f aca="false">Q4/$P4</f>
        <v>0.20482631490082</v>
      </c>
      <c r="S4" s="9" t="n">
        <f aca="false">S25+S152+S209+S241+S288+S377+S473+S658</f>
        <v>403636.36</v>
      </c>
      <c r="T4" s="10" t="n">
        <f aca="false">S4/$P4</f>
        <v>0.431339575581284</v>
      </c>
      <c r="U4" s="9" t="n">
        <f aca="false">U25+U152+U209+U241+U288+U377+U473+U658</f>
        <v>622389.18</v>
      </c>
      <c r="V4" s="10" t="n">
        <f aca="false">U4/$P4</f>
        <v>0.665106297033258</v>
      </c>
      <c r="W4" s="9" t="n">
        <f aca="false">W25+W152+W209+W241+W288+W377+W473+W658</f>
        <v>856712.92</v>
      </c>
      <c r="X4" s="10" t="n">
        <f aca="false">W4/$P4</f>
        <v>0.915512634460885</v>
      </c>
      <c r="Y4" s="9" t="n">
        <f aca="false">Y25+Y152+Y209+Y241+Y288+Y377+Y473+Y658</f>
        <v>922325</v>
      </c>
      <c r="Z4" s="9" t="n">
        <f aca="false">Z25+Z152+Z209+Z241+Z288+Z377+Z473+Z658</f>
        <v>964750</v>
      </c>
    </row>
    <row r="5" customFormat="false" ht="12.8" hidden="false" customHeight="false" outlineLevel="0" collapsed="false">
      <c r="D5" s="67"/>
      <c r="E5" s="8" t="n">
        <v>71</v>
      </c>
      <c r="F5" s="8" t="s">
        <v>24</v>
      </c>
      <c r="G5" s="9" t="n">
        <f aca="false">G289</f>
        <v>700</v>
      </c>
      <c r="H5" s="9" t="n">
        <f aca="false">H289</f>
        <v>1400</v>
      </c>
      <c r="I5" s="9" t="n">
        <f aca="false">I289</f>
        <v>1400</v>
      </c>
      <c r="J5" s="9" t="n">
        <f aca="false">J289</f>
        <v>1400</v>
      </c>
      <c r="K5" s="9" t="n">
        <f aca="false">K289</f>
        <v>1400</v>
      </c>
      <c r="L5" s="9" t="n">
        <f aca="false">L289</f>
        <v>0</v>
      </c>
      <c r="M5" s="9" t="n">
        <f aca="false">M289</f>
        <v>0</v>
      </c>
      <c r="N5" s="9" t="n">
        <f aca="false">N289</f>
        <v>0</v>
      </c>
      <c r="O5" s="9" t="n">
        <f aca="false">O289</f>
        <v>0</v>
      </c>
      <c r="P5" s="9" t="n">
        <f aca="false">P289</f>
        <v>1400</v>
      </c>
      <c r="Q5" s="9" t="n">
        <f aca="false">Q289</f>
        <v>0</v>
      </c>
      <c r="R5" s="10" t="n">
        <f aca="false">Q5/$P5</f>
        <v>0</v>
      </c>
      <c r="S5" s="9" t="n">
        <f aca="false">S289</f>
        <v>250</v>
      </c>
      <c r="T5" s="10" t="n">
        <f aca="false">S5/$P5</f>
        <v>0.178571428571429</v>
      </c>
      <c r="U5" s="9" t="n">
        <f aca="false">U289</f>
        <v>1400</v>
      </c>
      <c r="V5" s="10" t="n">
        <f aca="false">U5/$P5</f>
        <v>1</v>
      </c>
      <c r="W5" s="9" t="n">
        <f aca="false">W289</f>
        <v>1400</v>
      </c>
      <c r="X5" s="10" t="n">
        <f aca="false">W5/$P5</f>
        <v>1</v>
      </c>
      <c r="Y5" s="9" t="n">
        <f aca="false">Y289</f>
        <v>1400</v>
      </c>
      <c r="Z5" s="9" t="n">
        <f aca="false">Z289</f>
        <v>1400</v>
      </c>
    </row>
    <row r="6" customFormat="false" ht="12.8" hidden="false" customHeight="false" outlineLevel="0" collapsed="false">
      <c r="D6" s="67"/>
      <c r="E6" s="8" t="n">
        <v>72</v>
      </c>
      <c r="F6" s="8" t="s">
        <v>25</v>
      </c>
      <c r="G6" s="9" t="n">
        <f aca="false">G26+G153+G210+G242+G290+G474</f>
        <v>0</v>
      </c>
      <c r="H6" s="9" t="n">
        <f aca="false">H26+H153+H210+H242+H290+H474</f>
        <v>0</v>
      </c>
      <c r="I6" s="9" t="n">
        <f aca="false">I26+I153+I210+I242+I290+I474</f>
        <v>49270</v>
      </c>
      <c r="J6" s="9" t="n">
        <f aca="false">J26+J153+J210+J242+J290+J474</f>
        <v>57128.66</v>
      </c>
      <c r="K6" s="9" t="n">
        <f aca="false">K26+K153+K210+K242+K290+K474</f>
        <v>51390</v>
      </c>
      <c r="L6" s="9" t="n">
        <f aca="false">L26+L153+L210+L242+L290+L474</f>
        <v>0</v>
      </c>
      <c r="M6" s="9" t="n">
        <f aca="false">M26+M153+M210+M242+M290+M474</f>
        <v>0</v>
      </c>
      <c r="N6" s="9" t="n">
        <f aca="false">N26+N153+N210+N242+N290+N474</f>
        <v>8104</v>
      </c>
      <c r="O6" s="9" t="n">
        <f aca="false">O26+O153+O210+O242+O290+O474</f>
        <v>568</v>
      </c>
      <c r="P6" s="9" t="n">
        <f aca="false">P26+P153+P210+P242+P290+P474</f>
        <v>60062</v>
      </c>
      <c r="Q6" s="9" t="n">
        <f aca="false">Q26+Q153+Q210+Q242+Q290+Q474</f>
        <v>8651.88</v>
      </c>
      <c r="R6" s="10" t="n">
        <f aca="false">Q6/$P6</f>
        <v>0.14404914921248</v>
      </c>
      <c r="S6" s="9" t="n">
        <f aca="false">S26+S153+S210+S242+S290+S474</f>
        <v>22301.95</v>
      </c>
      <c r="T6" s="10" t="n">
        <f aca="false">S6/$P6</f>
        <v>0.371315474010189</v>
      </c>
      <c r="U6" s="9" t="n">
        <f aca="false">U26+U153+U210+U242+U290+U474</f>
        <v>30777.15</v>
      </c>
      <c r="V6" s="10" t="n">
        <f aca="false">U6/$P6</f>
        <v>0.512422996237222</v>
      </c>
      <c r="W6" s="9" t="n">
        <f aca="false">W26+W153+W210+W242+W290+W474</f>
        <v>48677.34</v>
      </c>
      <c r="X6" s="10" t="n">
        <f aca="false">W6/$P6</f>
        <v>0.810451533415471</v>
      </c>
      <c r="Y6" s="9" t="n">
        <f aca="false">Y26+Y153+Y210+Y242+Y290+Y474</f>
        <v>51090</v>
      </c>
      <c r="Z6" s="9" t="n">
        <f aca="false">Z26+Z153+Z210+Z242+Z290+Z474</f>
        <v>51090</v>
      </c>
    </row>
    <row r="7" customFormat="false" ht="12.8" hidden="false" customHeight="false" outlineLevel="0" collapsed="false">
      <c r="D7" s="67"/>
      <c r="E7" s="8"/>
      <c r="F7" s="11" t="s">
        <v>124</v>
      </c>
      <c r="G7" s="12" t="n">
        <f aca="false">SUM(G3:G6)</f>
        <v>1211511.8</v>
      </c>
      <c r="H7" s="12" t="n">
        <f aca="false">SUM(H3:H6)</f>
        <v>1226258.71</v>
      </c>
      <c r="I7" s="12" t="n">
        <f aca="false">SUM(I3:I6)</f>
        <v>1471286</v>
      </c>
      <c r="J7" s="12" t="n">
        <f aca="false">SUM(J3:J6)</f>
        <v>1370528.277</v>
      </c>
      <c r="K7" s="12" t="n">
        <f aca="false">SUM(K3:K6)</f>
        <v>1666591</v>
      </c>
      <c r="L7" s="12" t="n">
        <f aca="false">SUM(L3:L6)</f>
        <v>4998</v>
      </c>
      <c r="M7" s="12" t="n">
        <f aca="false">SUM(M3:M6)</f>
        <v>-125633</v>
      </c>
      <c r="N7" s="12" t="n">
        <f aca="false">SUM(N3:N6)</f>
        <v>51986</v>
      </c>
      <c r="O7" s="12" t="n">
        <f aca="false">SUM(O3:O6)</f>
        <v>795</v>
      </c>
      <c r="P7" s="12" t="n">
        <f aca="false">SUM(P3:P6)</f>
        <v>1598737</v>
      </c>
      <c r="Q7" s="12" t="n">
        <f aca="false">SUM(Q3:Q6)</f>
        <v>313632.1</v>
      </c>
      <c r="R7" s="13" t="n">
        <f aca="false">Q7/$P7</f>
        <v>0.196174918075956</v>
      </c>
      <c r="S7" s="12" t="n">
        <f aca="false">SUM(S3:S6)</f>
        <v>693486.47</v>
      </c>
      <c r="T7" s="13" t="n">
        <f aca="false">S7/$P7</f>
        <v>0.433771452089994</v>
      </c>
      <c r="U7" s="12" t="n">
        <f aca="false">SUM(U3:U6)</f>
        <v>1060231.52</v>
      </c>
      <c r="V7" s="13" t="n">
        <f aca="false">U7/$P7</f>
        <v>0.663168188388709</v>
      </c>
      <c r="W7" s="12" t="n">
        <f aca="false">SUM(W3:W6)</f>
        <v>1519246.36</v>
      </c>
      <c r="X7" s="13" t="n">
        <f aca="false">W7/$P7</f>
        <v>0.950279101565798</v>
      </c>
      <c r="Y7" s="12" t="n">
        <f aca="false">SUM(Y3:Y6)</f>
        <v>1551304</v>
      </c>
      <c r="Z7" s="12" t="n">
        <f aca="false">SUM(Z3:Z6)</f>
        <v>1595229</v>
      </c>
    </row>
    <row r="8" customFormat="false" ht="12.8" hidden="false" customHeight="false" outlineLevel="0" collapsed="false">
      <c r="D8" s="67"/>
      <c r="E8" s="8" t="n">
        <v>111</v>
      </c>
      <c r="F8" s="8" t="s">
        <v>22</v>
      </c>
      <c r="G8" s="9" t="n">
        <f aca="false">G529</f>
        <v>50000</v>
      </c>
      <c r="H8" s="9" t="n">
        <f aca="false">H529</f>
        <v>0</v>
      </c>
      <c r="I8" s="9" t="n">
        <f aca="false">I529</f>
        <v>1689000</v>
      </c>
      <c r="J8" s="9" t="n">
        <f aca="false">J529</f>
        <v>675503.78</v>
      </c>
      <c r="K8" s="9" t="n">
        <f aca="false">K529</f>
        <v>995166</v>
      </c>
      <c r="L8" s="9" t="n">
        <f aca="false">L529</f>
        <v>0</v>
      </c>
      <c r="M8" s="9" t="n">
        <f aca="false">M529</f>
        <v>137658</v>
      </c>
      <c r="N8" s="9" t="n">
        <f aca="false">N529</f>
        <v>-27425</v>
      </c>
      <c r="O8" s="9" t="n">
        <f aca="false">O529</f>
        <v>0</v>
      </c>
      <c r="P8" s="9" t="n">
        <f aca="false">P529</f>
        <v>1105399</v>
      </c>
      <c r="Q8" s="9" t="n">
        <f aca="false">Q529</f>
        <v>0</v>
      </c>
      <c r="R8" s="10" t="n">
        <f aca="false">Q8/$P8</f>
        <v>0</v>
      </c>
      <c r="S8" s="9" t="n">
        <f aca="false">S529</f>
        <v>137657.39</v>
      </c>
      <c r="T8" s="10" t="n">
        <f aca="false">S8/$P8</f>
        <v>0.12453185682274</v>
      </c>
      <c r="U8" s="9" t="n">
        <f aca="false">U529</f>
        <v>975398.05</v>
      </c>
      <c r="V8" s="10" t="n">
        <f aca="false">U8/$P8</f>
        <v>0.882394547127327</v>
      </c>
      <c r="W8" s="9" t="n">
        <f aca="false">W529</f>
        <v>975398.05</v>
      </c>
      <c r="X8" s="10" t="n">
        <f aca="false">W8/$P8</f>
        <v>0.882394547127327</v>
      </c>
      <c r="Y8" s="9" t="n">
        <f aca="false">Y529</f>
        <v>0</v>
      </c>
      <c r="Z8" s="9" t="n">
        <f aca="false">Z529</f>
        <v>0</v>
      </c>
    </row>
    <row r="9" customFormat="false" ht="12.8" hidden="false" customHeight="false" outlineLevel="0" collapsed="false">
      <c r="D9" s="67"/>
      <c r="E9" s="8" t="n">
        <v>41</v>
      </c>
      <c r="F9" s="8" t="s">
        <v>23</v>
      </c>
      <c r="G9" s="9" t="n">
        <f aca="false">G530</f>
        <v>279817.53</v>
      </c>
      <c r="H9" s="9" t="n">
        <f aca="false">H530</f>
        <v>275897.18</v>
      </c>
      <c r="I9" s="9" t="n">
        <f aca="false">I530</f>
        <v>687000</v>
      </c>
      <c r="J9" s="9" t="n">
        <f aca="false">J530</f>
        <v>541020.95</v>
      </c>
      <c r="K9" s="9" t="n">
        <f aca="false">K530</f>
        <v>362550</v>
      </c>
      <c r="L9" s="9" t="n">
        <f aca="false">L530</f>
        <v>2</v>
      </c>
      <c r="M9" s="9" t="n">
        <f aca="false">M530</f>
        <v>109076</v>
      </c>
      <c r="N9" s="9" t="n">
        <f aca="false">N530</f>
        <v>-15802</v>
      </c>
      <c r="O9" s="9" t="n">
        <f aca="false">O530</f>
        <v>0</v>
      </c>
      <c r="P9" s="9" t="n">
        <f aca="false">P530</f>
        <v>455826</v>
      </c>
      <c r="Q9" s="9" t="n">
        <f aca="false">Q530</f>
        <v>12835.19</v>
      </c>
      <c r="R9" s="10" t="n">
        <f aca="false">Q9/$P9</f>
        <v>0.0281580910259617</v>
      </c>
      <c r="S9" s="9" t="n">
        <f aca="false">S530</f>
        <v>26975.67</v>
      </c>
      <c r="T9" s="10" t="n">
        <f aca="false">S9/$P9</f>
        <v>0.0591797528004107</v>
      </c>
      <c r="U9" s="9" t="n">
        <f aca="false">U530</f>
        <v>185172.39</v>
      </c>
      <c r="V9" s="10" t="n">
        <f aca="false">U9/$P9</f>
        <v>0.406234813284016</v>
      </c>
      <c r="W9" s="9" t="n">
        <f aca="false">W530</f>
        <v>260832.63</v>
      </c>
      <c r="X9" s="10" t="n">
        <f aca="false">W9/$P9</f>
        <v>0.572219728580643</v>
      </c>
      <c r="Y9" s="9" t="n">
        <f aca="false">Y530</f>
        <v>279420</v>
      </c>
      <c r="Z9" s="9" t="n">
        <f aca="false">Z530</f>
        <v>236995</v>
      </c>
    </row>
    <row r="10" customFormat="false" ht="12.8" hidden="false" customHeight="false" outlineLevel="0" collapsed="false">
      <c r="D10" s="67"/>
      <c r="E10" s="8" t="n">
        <v>52</v>
      </c>
      <c r="F10" s="8" t="s">
        <v>28</v>
      </c>
      <c r="G10" s="9" t="n">
        <f aca="false">G531</f>
        <v>0</v>
      </c>
      <c r="H10" s="9" t="n">
        <f aca="false">H531</f>
        <v>0</v>
      </c>
      <c r="I10" s="9" t="n">
        <f aca="false">I531</f>
        <v>0</v>
      </c>
      <c r="J10" s="9" t="n">
        <f aca="false">J531</f>
        <v>0</v>
      </c>
      <c r="K10" s="9" t="n">
        <f aca="false">K531</f>
        <v>0</v>
      </c>
      <c r="L10" s="9" t="n">
        <f aca="false">L531</f>
        <v>0</v>
      </c>
      <c r="M10" s="9" t="n">
        <f aca="false">M531</f>
        <v>0</v>
      </c>
      <c r="N10" s="9" t="n">
        <f aca="false">N531</f>
        <v>0</v>
      </c>
      <c r="O10" s="9" t="n">
        <f aca="false">O531</f>
        <v>0</v>
      </c>
      <c r="P10" s="9" t="n">
        <f aca="false">P531</f>
        <v>0</v>
      </c>
      <c r="Q10" s="9" t="n">
        <f aca="false">Q531</f>
        <v>0</v>
      </c>
      <c r="R10" s="10" t="e">
        <f aca="false">Q10/$P10</f>
        <v>#DIV/0!</v>
      </c>
      <c r="S10" s="9" t="n">
        <f aca="false">S531</f>
        <v>0</v>
      </c>
      <c r="T10" s="10" t="e">
        <f aca="false">S10/$P10</f>
        <v>#DIV/0!</v>
      </c>
      <c r="U10" s="9" t="n">
        <f aca="false">U531</f>
        <v>0</v>
      </c>
      <c r="V10" s="10" t="e">
        <f aca="false">U10/$P10</f>
        <v>#DIV/0!</v>
      </c>
      <c r="W10" s="9" t="n">
        <f aca="false">W531</f>
        <v>0</v>
      </c>
      <c r="X10" s="10" t="e">
        <f aca="false">W10/$P10</f>
        <v>#DIV/0!</v>
      </c>
      <c r="Y10" s="9" t="n">
        <f aca="false">Y531</f>
        <v>0</v>
      </c>
      <c r="Z10" s="9" t="n">
        <f aca="false">Z531</f>
        <v>0</v>
      </c>
    </row>
    <row r="11" customFormat="false" ht="12.8" hidden="false" customHeight="false" outlineLevel="0" collapsed="false">
      <c r="D11" s="67"/>
      <c r="E11" s="8"/>
      <c r="F11" s="11" t="s">
        <v>125</v>
      </c>
      <c r="G11" s="12" t="n">
        <f aca="false">SUM(G8:G10)</f>
        <v>329817.53</v>
      </c>
      <c r="H11" s="12" t="n">
        <f aca="false">SUM(H8:H10)</f>
        <v>275897.18</v>
      </c>
      <c r="I11" s="12" t="n">
        <f aca="false">SUM(I8:I10)</f>
        <v>2376000</v>
      </c>
      <c r="J11" s="12" t="n">
        <f aca="false">SUM(J8:J10)</f>
        <v>1216524.73</v>
      </c>
      <c r="K11" s="12" t="n">
        <f aca="false">SUM(K8:K10)</f>
        <v>1357716</v>
      </c>
      <c r="L11" s="12" t="n">
        <f aca="false">SUM(L8:L10)</f>
        <v>2</v>
      </c>
      <c r="M11" s="12" t="n">
        <f aca="false">SUM(M8:M10)</f>
        <v>246734</v>
      </c>
      <c r="N11" s="12" t="n">
        <f aca="false">SUM(N8:N10)</f>
        <v>-43227</v>
      </c>
      <c r="O11" s="12" t="n">
        <f aca="false">SUM(O8:O10)</f>
        <v>0</v>
      </c>
      <c r="P11" s="12" t="n">
        <f aca="false">SUM(P8:P10)</f>
        <v>1561225</v>
      </c>
      <c r="Q11" s="12" t="n">
        <f aca="false">SUM(Q8:Q10)</f>
        <v>12835.19</v>
      </c>
      <c r="R11" s="13" t="n">
        <f aca="false">Q11/$P11</f>
        <v>0.00822123012378101</v>
      </c>
      <c r="S11" s="12" t="n">
        <f aca="false">SUM(S8:S10)</f>
        <v>164633.06</v>
      </c>
      <c r="T11" s="13" t="n">
        <f aca="false">S11/$P11</f>
        <v>0.105451206584573</v>
      </c>
      <c r="U11" s="12" t="n">
        <f aca="false">SUM(U8:U10)</f>
        <v>1160570.44</v>
      </c>
      <c r="V11" s="13" t="n">
        <f aca="false">U11/$P11</f>
        <v>0.743371672885074</v>
      </c>
      <c r="W11" s="12" t="n">
        <f aca="false">SUM(W8:W10)</f>
        <v>1236230.68</v>
      </c>
      <c r="X11" s="13" t="n">
        <f aca="false">W11/$P11</f>
        <v>0.791833771557591</v>
      </c>
      <c r="Y11" s="12" t="n">
        <f aca="false">SUM(Y8:Y10)</f>
        <v>279420</v>
      </c>
      <c r="Z11" s="12" t="n">
        <f aca="false">SUM(Z8:Z10)</f>
        <v>236995</v>
      </c>
    </row>
    <row r="12" customFormat="false" ht="12.8" hidden="false" customHeight="false" outlineLevel="0" collapsed="false">
      <c r="D12" s="67"/>
      <c r="E12" s="8" t="n">
        <v>41</v>
      </c>
      <c r="F12" s="8" t="s">
        <v>23</v>
      </c>
      <c r="G12" s="9" t="n">
        <f aca="false">G659</f>
        <v>4218.93</v>
      </c>
      <c r="H12" s="9" t="n">
        <f aca="false">H659</f>
        <v>0</v>
      </c>
      <c r="I12" s="9" t="n">
        <f aca="false">I659</f>
        <v>0</v>
      </c>
      <c r="J12" s="9" t="n">
        <f aca="false">J659</f>
        <v>0</v>
      </c>
      <c r="K12" s="9" t="n">
        <f aca="false">K659</f>
        <v>0</v>
      </c>
      <c r="L12" s="9" t="n">
        <f aca="false">L659</f>
        <v>0</v>
      </c>
      <c r="M12" s="9" t="n">
        <f aca="false">M659</f>
        <v>0</v>
      </c>
      <c r="N12" s="9" t="n">
        <f aca="false">N659</f>
        <v>0</v>
      </c>
      <c r="O12" s="9" t="n">
        <f aca="false">O659</f>
        <v>0</v>
      </c>
      <c r="P12" s="9" t="n">
        <f aca="false">P659</f>
        <v>0</v>
      </c>
      <c r="Q12" s="9" t="n">
        <f aca="false">Q659</f>
        <v>0</v>
      </c>
      <c r="R12" s="10" t="e">
        <f aca="false">Q12/$P12</f>
        <v>#DIV/0!</v>
      </c>
      <c r="S12" s="9" t="n">
        <f aca="false">S659</f>
        <v>0</v>
      </c>
      <c r="T12" s="10" t="e">
        <f aca="false">S12/$P12</f>
        <v>#DIV/0!</v>
      </c>
      <c r="U12" s="9" t="n">
        <f aca="false">U659</f>
        <v>0</v>
      </c>
      <c r="V12" s="10" t="e">
        <f aca="false">U12/$P12</f>
        <v>#DIV/0!</v>
      </c>
      <c r="W12" s="9" t="n">
        <f aca="false">W659</f>
        <v>0</v>
      </c>
      <c r="X12" s="10" t="e">
        <f aca="false">W12/$P12</f>
        <v>#DIV/0!</v>
      </c>
      <c r="Y12" s="9" t="n">
        <f aca="false">Y659</f>
        <v>0</v>
      </c>
      <c r="Z12" s="9" t="n">
        <f aca="false">Z659</f>
        <v>0</v>
      </c>
    </row>
    <row r="13" customFormat="false" ht="12.8" hidden="false" customHeight="false" outlineLevel="0" collapsed="false">
      <c r="D13" s="67"/>
      <c r="E13" s="8" t="n">
        <v>71</v>
      </c>
      <c r="F13" s="8" t="s">
        <v>24</v>
      </c>
      <c r="G13" s="9" t="n">
        <f aca="false">G653</f>
        <v>0</v>
      </c>
      <c r="H13" s="9" t="n">
        <f aca="false">H653</f>
        <v>0</v>
      </c>
      <c r="I13" s="9" t="n">
        <f aca="false">I653</f>
        <v>16000</v>
      </c>
      <c r="J13" s="9" t="n">
        <f aca="false">J653</f>
        <v>70010.5</v>
      </c>
      <c r="K13" s="9" t="n">
        <f aca="false">K653</f>
        <v>4500</v>
      </c>
      <c r="L13" s="9" t="n">
        <f aca="false">L653</f>
        <v>0</v>
      </c>
      <c r="M13" s="9" t="n">
        <f aca="false">M653</f>
        <v>0</v>
      </c>
      <c r="N13" s="9" t="n">
        <f aca="false">N653</f>
        <v>0</v>
      </c>
      <c r="O13" s="9" t="n">
        <f aca="false">O653</f>
        <v>0</v>
      </c>
      <c r="P13" s="9" t="n">
        <f aca="false">P653</f>
        <v>4500</v>
      </c>
      <c r="Q13" s="9" t="n">
        <f aca="false">Q653</f>
        <v>1500</v>
      </c>
      <c r="R13" s="10" t="n">
        <f aca="false">Q13/$P13</f>
        <v>0.333333333333333</v>
      </c>
      <c r="S13" s="9" t="n">
        <f aca="false">S653</f>
        <v>1500</v>
      </c>
      <c r="T13" s="10" t="n">
        <f aca="false">S13/$P13</f>
        <v>0.333333333333333</v>
      </c>
      <c r="U13" s="9" t="n">
        <f aca="false">U653</f>
        <v>1500</v>
      </c>
      <c r="V13" s="10" t="n">
        <f aca="false">U13/$P13</f>
        <v>0.333333333333333</v>
      </c>
      <c r="W13" s="9" t="n">
        <f aca="false">W653</f>
        <v>1617.83</v>
      </c>
      <c r="X13" s="10" t="n">
        <f aca="false">W13/$P13</f>
        <v>0.359517777777778</v>
      </c>
      <c r="Y13" s="9" t="n">
        <f aca="false">Y653</f>
        <v>0</v>
      </c>
      <c r="Z13" s="9" t="n">
        <f aca="false">Z653</f>
        <v>0</v>
      </c>
    </row>
    <row r="14" customFormat="false" ht="12.8" hidden="false" customHeight="false" outlineLevel="0" collapsed="false">
      <c r="D14" s="67"/>
      <c r="E14" s="8"/>
      <c r="F14" s="11" t="s">
        <v>29</v>
      </c>
      <c r="G14" s="12" t="n">
        <f aca="false">SUM(G12:G13)</f>
        <v>4218.93</v>
      </c>
      <c r="H14" s="12" t="n">
        <f aca="false">SUM(H12:H13)</f>
        <v>0</v>
      </c>
      <c r="I14" s="12" t="n">
        <f aca="false">SUM(I12:I13)</f>
        <v>16000</v>
      </c>
      <c r="J14" s="12" t="n">
        <f aca="false">SUM(J12:J13)</f>
        <v>70010.5</v>
      </c>
      <c r="K14" s="12" t="n">
        <f aca="false">SUM(K12:K13)</f>
        <v>4500</v>
      </c>
      <c r="L14" s="12" t="n">
        <f aca="false">SUM(L12:L13)</f>
        <v>0</v>
      </c>
      <c r="M14" s="12" t="n">
        <f aca="false">SUM(M12:M13)</f>
        <v>0</v>
      </c>
      <c r="N14" s="12" t="n">
        <f aca="false">SUM(N12:N13)</f>
        <v>0</v>
      </c>
      <c r="O14" s="12" t="n">
        <f aca="false">SUM(O12:O13)</f>
        <v>0</v>
      </c>
      <c r="P14" s="12" t="n">
        <f aca="false">SUM(P12:P13)</f>
        <v>4500</v>
      </c>
      <c r="Q14" s="12" t="n">
        <f aca="false">SUM(Q12:Q13)</f>
        <v>1500</v>
      </c>
      <c r="R14" s="13" t="n">
        <f aca="false">Q14/$P14</f>
        <v>0.333333333333333</v>
      </c>
      <c r="S14" s="12" t="n">
        <f aca="false">SUM(S12:S13)</f>
        <v>1500</v>
      </c>
      <c r="T14" s="13" t="n">
        <f aca="false">S14/$P14</f>
        <v>0.333333333333333</v>
      </c>
      <c r="U14" s="12" t="n">
        <f aca="false">SUM(U12:U13)</f>
        <v>1500</v>
      </c>
      <c r="V14" s="13" t="n">
        <f aca="false">U14/$P14</f>
        <v>0.333333333333333</v>
      </c>
      <c r="W14" s="12" t="n">
        <f aca="false">SUM(W12:W13)</f>
        <v>1617.83</v>
      </c>
      <c r="X14" s="13" t="n">
        <f aca="false">W14/$P14</f>
        <v>0.359517777777778</v>
      </c>
      <c r="Y14" s="12" t="n">
        <f aca="false">SUM(Y12:Y13)</f>
        <v>0</v>
      </c>
      <c r="Z14" s="12" t="n">
        <f aca="false">SUM(Z12:Z13)</f>
        <v>0</v>
      </c>
    </row>
    <row r="15" customFormat="false" ht="12.8" hidden="false" customHeight="false" outlineLevel="0" collapsed="false">
      <c r="D15" s="67"/>
      <c r="E15" s="8" t="n">
        <v>111</v>
      </c>
      <c r="F15" s="8" t="s">
        <v>22</v>
      </c>
      <c r="G15" s="9" t="n">
        <f aca="false">G3+G8</f>
        <v>563860.57</v>
      </c>
      <c r="H15" s="9" t="n">
        <f aca="false">H3+H8</f>
        <v>487164.73</v>
      </c>
      <c r="I15" s="9" t="n">
        <f aca="false">I3+I8</f>
        <v>2343276</v>
      </c>
      <c r="J15" s="9" t="n">
        <f aca="false">J3+J8</f>
        <v>1195722.67</v>
      </c>
      <c r="K15" s="9" t="n">
        <f aca="false">K3+K8</f>
        <v>1696751</v>
      </c>
      <c r="L15" s="9" t="n">
        <f aca="false">L3+L8</f>
        <v>0</v>
      </c>
      <c r="M15" s="9" t="n">
        <f aca="false">M3+M8</f>
        <v>2101</v>
      </c>
      <c r="N15" s="9" t="n">
        <f aca="false">N3+N8</f>
        <v>7002</v>
      </c>
      <c r="O15" s="9" t="n">
        <f aca="false">O3+O8</f>
        <v>1046</v>
      </c>
      <c r="P15" s="9" t="n">
        <f aca="false">P3+P8</f>
        <v>1706900</v>
      </c>
      <c r="Q15" s="9" t="n">
        <f aca="false">Q3+Q8</f>
        <v>113309.08</v>
      </c>
      <c r="R15" s="10" t="n">
        <f aca="false">Q15/$P15</f>
        <v>0.0663829632667409</v>
      </c>
      <c r="S15" s="9" t="n">
        <f aca="false">S3+S8</f>
        <v>404955.55</v>
      </c>
      <c r="T15" s="10" t="n">
        <f aca="false">S15/$P15</f>
        <v>0.23724620657332</v>
      </c>
      <c r="U15" s="9" t="n">
        <f aca="false">U3+U8</f>
        <v>1381063.24</v>
      </c>
      <c r="V15" s="10" t="n">
        <f aca="false">U15/$P15</f>
        <v>0.809106122209854</v>
      </c>
      <c r="W15" s="9" t="n">
        <f aca="false">W3+W8</f>
        <v>1587854.15</v>
      </c>
      <c r="X15" s="10" t="n">
        <f aca="false">W15/$P15</f>
        <v>0.930256107563419</v>
      </c>
      <c r="Y15" s="9" t="n">
        <f aca="false">Y3+Y8</f>
        <v>576489</v>
      </c>
      <c r="Z15" s="9" t="n">
        <f aca="false">Z3+Z8</f>
        <v>577989</v>
      </c>
    </row>
    <row r="16" customFormat="false" ht="12.8" hidden="false" customHeight="false" outlineLevel="0" collapsed="false">
      <c r="D16" s="67"/>
      <c r="E16" s="8" t="n">
        <v>41</v>
      </c>
      <c r="F16" s="8" t="s">
        <v>23</v>
      </c>
      <c r="G16" s="9" t="n">
        <f aca="false">G4+G9+G12</f>
        <v>980987.69</v>
      </c>
      <c r="H16" s="9" t="n">
        <f aca="false">H4+H9+H12</f>
        <v>1013591.16</v>
      </c>
      <c r="I16" s="9" t="n">
        <f aca="false">I4+I9+I12</f>
        <v>1453340</v>
      </c>
      <c r="J16" s="9" t="n">
        <f aca="false">J4+J9+J12</f>
        <v>1332801.677</v>
      </c>
      <c r="K16" s="9" t="n">
        <f aca="false">K4+K9+K12</f>
        <v>1274766</v>
      </c>
      <c r="L16" s="9" t="n">
        <f aca="false">L4+L9+L12</f>
        <v>5000</v>
      </c>
      <c r="M16" s="9" t="n">
        <f aca="false">M4+M9+M12</f>
        <v>119000</v>
      </c>
      <c r="N16" s="9" t="n">
        <f aca="false">N4+N9+N12</f>
        <v>-6347</v>
      </c>
      <c r="O16" s="9" t="n">
        <f aca="false">O4+O9+O12</f>
        <v>-819</v>
      </c>
      <c r="P16" s="9" t="n">
        <f aca="false">P4+P9+P12</f>
        <v>1391600</v>
      </c>
      <c r="Q16" s="9" t="n">
        <f aca="false">Q4+Q9+Q12</f>
        <v>204506.33</v>
      </c>
      <c r="R16" s="10" t="n">
        <f aca="false">Q16/$P16</f>
        <v>0.146957696177062</v>
      </c>
      <c r="S16" s="9" t="n">
        <f aca="false">S4+S9+S12</f>
        <v>430612.03</v>
      </c>
      <c r="T16" s="10" t="n">
        <f aca="false">S16/$P16</f>
        <v>0.309436641276229</v>
      </c>
      <c r="U16" s="9" t="n">
        <f aca="false">U4+U9+U12</f>
        <v>807561.57</v>
      </c>
      <c r="V16" s="10" t="n">
        <f aca="false">U16/$P16</f>
        <v>0.580311562230526</v>
      </c>
      <c r="W16" s="9" t="n">
        <f aca="false">W4+W9+W12</f>
        <v>1117545.55</v>
      </c>
      <c r="X16" s="10" t="n">
        <f aca="false">W16/$P16</f>
        <v>0.8030652127048</v>
      </c>
      <c r="Y16" s="9" t="n">
        <f aca="false">Y4+Y9+Y12</f>
        <v>1201745</v>
      </c>
      <c r="Z16" s="9" t="n">
        <f aca="false">Z4+Z9+Z12</f>
        <v>1201745</v>
      </c>
    </row>
    <row r="17" customFormat="false" ht="12.8" hidden="false" customHeight="false" outlineLevel="0" collapsed="false">
      <c r="D17" s="67"/>
      <c r="E17" s="8" t="n">
        <v>52</v>
      </c>
      <c r="F17" s="8" t="s">
        <v>28</v>
      </c>
      <c r="G17" s="9" t="n">
        <f aca="false">G10</f>
        <v>0</v>
      </c>
      <c r="H17" s="9" t="n">
        <f aca="false">H10</f>
        <v>0</v>
      </c>
      <c r="I17" s="9" t="n">
        <f aca="false">I10</f>
        <v>0</v>
      </c>
      <c r="J17" s="9" t="n">
        <f aca="false">J10</f>
        <v>0</v>
      </c>
      <c r="K17" s="9" t="n">
        <f aca="false">K10</f>
        <v>0</v>
      </c>
      <c r="L17" s="9" t="n">
        <f aca="false">L10</f>
        <v>0</v>
      </c>
      <c r="M17" s="9" t="n">
        <f aca="false">M10</f>
        <v>0</v>
      </c>
      <c r="N17" s="9" t="n">
        <f aca="false">N10</f>
        <v>0</v>
      </c>
      <c r="O17" s="9" t="n">
        <f aca="false">O10</f>
        <v>0</v>
      </c>
      <c r="P17" s="9" t="n">
        <f aca="false">P10</f>
        <v>0</v>
      </c>
      <c r="Q17" s="9" t="n">
        <f aca="false">Q10</f>
        <v>0</v>
      </c>
      <c r="R17" s="10" t="e">
        <f aca="false">Q17/$P17</f>
        <v>#DIV/0!</v>
      </c>
      <c r="S17" s="9" t="n">
        <f aca="false">S10</f>
        <v>0</v>
      </c>
      <c r="T17" s="10" t="e">
        <f aca="false">S17/$P17</f>
        <v>#DIV/0!</v>
      </c>
      <c r="U17" s="9" t="n">
        <f aca="false">U10</f>
        <v>0</v>
      </c>
      <c r="V17" s="10" t="e">
        <f aca="false">U17/$P17</f>
        <v>#DIV/0!</v>
      </c>
      <c r="W17" s="9" t="n">
        <f aca="false">W10</f>
        <v>0</v>
      </c>
      <c r="X17" s="10" t="e">
        <f aca="false">W17/$P17</f>
        <v>#DIV/0!</v>
      </c>
      <c r="Y17" s="9" t="n">
        <f aca="false">Y10</f>
        <v>0</v>
      </c>
      <c r="Z17" s="9" t="n">
        <f aca="false">Z10</f>
        <v>0</v>
      </c>
    </row>
    <row r="18" customFormat="false" ht="12.8" hidden="false" customHeight="false" outlineLevel="0" collapsed="false">
      <c r="D18" s="67"/>
      <c r="E18" s="8" t="n">
        <v>71</v>
      </c>
      <c r="F18" s="8" t="s">
        <v>24</v>
      </c>
      <c r="G18" s="9" t="n">
        <f aca="false">G5+G13</f>
        <v>700</v>
      </c>
      <c r="H18" s="9" t="n">
        <f aca="false">H5+H13</f>
        <v>1400</v>
      </c>
      <c r="I18" s="9" t="n">
        <f aca="false">I5+I13</f>
        <v>17400</v>
      </c>
      <c r="J18" s="9" t="n">
        <f aca="false">J5+J13</f>
        <v>71410.5</v>
      </c>
      <c r="K18" s="9" t="n">
        <f aca="false">K5+K13</f>
        <v>5900</v>
      </c>
      <c r="L18" s="9" t="n">
        <f aca="false">L5+L13</f>
        <v>0</v>
      </c>
      <c r="M18" s="9" t="n">
        <f aca="false">M5+M13</f>
        <v>0</v>
      </c>
      <c r="N18" s="9" t="n">
        <f aca="false">N5+N13</f>
        <v>0</v>
      </c>
      <c r="O18" s="9" t="n">
        <f aca="false">O5+O13</f>
        <v>0</v>
      </c>
      <c r="P18" s="9" t="n">
        <f aca="false">P5+P13</f>
        <v>5900</v>
      </c>
      <c r="Q18" s="9" t="n">
        <f aca="false">Q5+Q13</f>
        <v>1500</v>
      </c>
      <c r="R18" s="10" t="n">
        <f aca="false">Q18/$P18</f>
        <v>0.254237288135593</v>
      </c>
      <c r="S18" s="9" t="n">
        <f aca="false">S5+S13</f>
        <v>1750</v>
      </c>
      <c r="T18" s="10" t="n">
        <f aca="false">S18/$P18</f>
        <v>0.296610169491525</v>
      </c>
      <c r="U18" s="9" t="n">
        <f aca="false">U5+U13</f>
        <v>2900</v>
      </c>
      <c r="V18" s="10" t="n">
        <f aca="false">U18/$P18</f>
        <v>0.491525423728814</v>
      </c>
      <c r="W18" s="9" t="n">
        <f aca="false">W5+W13</f>
        <v>3017.83</v>
      </c>
      <c r="X18" s="10" t="n">
        <f aca="false">W18/$P18</f>
        <v>0.511496610169492</v>
      </c>
      <c r="Y18" s="9" t="n">
        <f aca="false">Y5+Y13</f>
        <v>1400</v>
      </c>
      <c r="Z18" s="9" t="n">
        <f aca="false">Z5+Z13</f>
        <v>1400</v>
      </c>
    </row>
    <row r="19" customFormat="false" ht="12.8" hidden="false" customHeight="false" outlineLevel="0" collapsed="false">
      <c r="D19" s="67"/>
      <c r="E19" s="8" t="n">
        <v>72</v>
      </c>
      <c r="F19" s="8" t="s">
        <v>25</v>
      </c>
      <c r="G19" s="9" t="n">
        <f aca="false">G6</f>
        <v>0</v>
      </c>
      <c r="H19" s="9" t="n">
        <f aca="false">H6</f>
        <v>0</v>
      </c>
      <c r="I19" s="9" t="n">
        <f aca="false">I6</f>
        <v>49270</v>
      </c>
      <c r="J19" s="9" t="n">
        <f aca="false">J6</f>
        <v>57128.66</v>
      </c>
      <c r="K19" s="9" t="n">
        <f aca="false">K6</f>
        <v>51390</v>
      </c>
      <c r="L19" s="9" t="n">
        <f aca="false">L6</f>
        <v>0</v>
      </c>
      <c r="M19" s="9" t="n">
        <f aca="false">M6</f>
        <v>0</v>
      </c>
      <c r="N19" s="9" t="n">
        <f aca="false">N6</f>
        <v>8104</v>
      </c>
      <c r="O19" s="9" t="n">
        <f aca="false">O6</f>
        <v>568</v>
      </c>
      <c r="P19" s="9" t="n">
        <f aca="false">P6</f>
        <v>60062</v>
      </c>
      <c r="Q19" s="9" t="n">
        <f aca="false">Q6</f>
        <v>8651.88</v>
      </c>
      <c r="R19" s="10" t="n">
        <f aca="false">Q19/$P19</f>
        <v>0.14404914921248</v>
      </c>
      <c r="S19" s="9" t="n">
        <f aca="false">S6</f>
        <v>22301.95</v>
      </c>
      <c r="T19" s="10" t="n">
        <f aca="false">S19/$P19</f>
        <v>0.371315474010189</v>
      </c>
      <c r="U19" s="9" t="n">
        <f aca="false">U6</f>
        <v>30777.15</v>
      </c>
      <c r="V19" s="10" t="n">
        <f aca="false">U19/$P19</f>
        <v>0.512422996237222</v>
      </c>
      <c r="W19" s="9" t="n">
        <f aca="false">W6</f>
        <v>48677.34</v>
      </c>
      <c r="X19" s="10" t="n">
        <f aca="false">W19/$P19</f>
        <v>0.810451533415471</v>
      </c>
      <c r="Y19" s="9" t="n">
        <f aca="false">Y6</f>
        <v>51090</v>
      </c>
      <c r="Z19" s="9" t="n">
        <f aca="false">Z6</f>
        <v>51090</v>
      </c>
    </row>
    <row r="20" customFormat="false" ht="12.8" hidden="false" customHeight="false" outlineLevel="0" collapsed="false">
      <c r="D20" s="14"/>
      <c r="E20" s="15"/>
      <c r="F20" s="11" t="s">
        <v>126</v>
      </c>
      <c r="G20" s="12" t="n">
        <f aca="false">SUM(G15:G19)</f>
        <v>1545548.26</v>
      </c>
      <c r="H20" s="12" t="n">
        <f aca="false">SUM(H15:H19)</f>
        <v>1502155.89</v>
      </c>
      <c r="I20" s="12" t="n">
        <f aca="false">SUM(I15:I19)</f>
        <v>3863286</v>
      </c>
      <c r="J20" s="12" t="n">
        <f aca="false">SUM(J15:J19)</f>
        <v>2657063.507</v>
      </c>
      <c r="K20" s="12" t="n">
        <f aca="false">SUM(K15:K19)</f>
        <v>3028807</v>
      </c>
      <c r="L20" s="12" t="n">
        <f aca="false">SUM(L15:L19)</f>
        <v>5000</v>
      </c>
      <c r="M20" s="12" t="n">
        <f aca="false">SUM(M15:M19)</f>
        <v>121101</v>
      </c>
      <c r="N20" s="12" t="n">
        <f aca="false">SUM(N15:N19)</f>
        <v>8759</v>
      </c>
      <c r="O20" s="12" t="n">
        <f aca="false">SUM(O15:O19)</f>
        <v>795</v>
      </c>
      <c r="P20" s="12" t="n">
        <f aca="false">SUM(P15:P19)</f>
        <v>3164462</v>
      </c>
      <c r="Q20" s="12" t="n">
        <f aca="false">SUM(Q15:Q19)</f>
        <v>327967.29</v>
      </c>
      <c r="R20" s="13" t="n">
        <f aca="false">Q20/$P20</f>
        <v>0.103640773692337</v>
      </c>
      <c r="S20" s="12" t="n">
        <f aca="false">SUM(S15:S19)</f>
        <v>859619.53</v>
      </c>
      <c r="T20" s="13" t="n">
        <f aca="false">S20/$P20</f>
        <v>0.271647923090876</v>
      </c>
      <c r="U20" s="12" t="n">
        <f aca="false">SUM(U15:U19)</f>
        <v>2222301.96</v>
      </c>
      <c r="V20" s="13" t="n">
        <f aca="false">U20/$P20</f>
        <v>0.702268493032939</v>
      </c>
      <c r="W20" s="12" t="n">
        <f aca="false">SUM(W15:W19)</f>
        <v>2757094.87</v>
      </c>
      <c r="X20" s="13" t="n">
        <f aca="false">W20/$P20</f>
        <v>0.871268123933863</v>
      </c>
      <c r="Y20" s="12" t="n">
        <f aca="false">SUM(Y15:Y19)</f>
        <v>1830724</v>
      </c>
      <c r="Z20" s="12" t="n">
        <f aca="false">SUM(Z15:Z19)</f>
        <v>1832224</v>
      </c>
    </row>
    <row r="22" customFormat="false" ht="12.8" hidden="false" customHeight="false" outlineLevel="0" collapsed="false">
      <c r="D22" s="16" t="s">
        <v>127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customFormat="false" ht="12.8" hidden="false" customHeight="false" outlineLevel="0" collapsed="false">
      <c r="D23" s="4"/>
      <c r="E23" s="4"/>
      <c r="F23" s="4"/>
      <c r="G23" s="5" t="s">
        <v>1</v>
      </c>
      <c r="H23" s="5" t="s">
        <v>2</v>
      </c>
      <c r="I23" s="5" t="s">
        <v>3</v>
      </c>
      <c r="J23" s="5" t="s">
        <v>4</v>
      </c>
      <c r="K23" s="5" t="s">
        <v>5</v>
      </c>
      <c r="L23" s="5" t="s">
        <v>6</v>
      </c>
      <c r="M23" s="5" t="s">
        <v>7</v>
      </c>
      <c r="N23" s="5" t="s">
        <v>8</v>
      </c>
      <c r="O23" s="5" t="s">
        <v>9</v>
      </c>
      <c r="P23" s="5" t="s">
        <v>10</v>
      </c>
      <c r="Q23" s="5" t="s">
        <v>11</v>
      </c>
      <c r="R23" s="5" t="s">
        <v>12</v>
      </c>
      <c r="S23" s="5" t="s">
        <v>13</v>
      </c>
      <c r="T23" s="5" t="s">
        <v>14</v>
      </c>
      <c r="U23" s="5" t="s">
        <v>15</v>
      </c>
      <c r="V23" s="5" t="s">
        <v>16</v>
      </c>
      <c r="W23" s="5" t="s">
        <v>17</v>
      </c>
      <c r="X23" s="5" t="s">
        <v>18</v>
      </c>
      <c r="Y23" s="5" t="s">
        <v>19</v>
      </c>
      <c r="Z23" s="5" t="s">
        <v>20</v>
      </c>
    </row>
    <row r="24" customFormat="false" ht="12.8" hidden="false" customHeight="false" outlineLevel="0" collapsed="false">
      <c r="A24" s="1" t="n">
        <v>1</v>
      </c>
      <c r="D24" s="68" t="s">
        <v>21</v>
      </c>
      <c r="E24" s="18" t="n">
        <v>111</v>
      </c>
      <c r="F24" s="18" t="s">
        <v>47</v>
      </c>
      <c r="G24" s="19" t="n">
        <f aca="false">G31+G122+G147</f>
        <v>10335.49</v>
      </c>
      <c r="H24" s="19" t="n">
        <f aca="false">H31+H122+H147</f>
        <v>10112.37</v>
      </c>
      <c r="I24" s="19" t="n">
        <f aca="false">I31+I122+I147</f>
        <v>10266</v>
      </c>
      <c r="J24" s="19" t="n">
        <f aca="false">J31+J122+J147</f>
        <v>11224.28</v>
      </c>
      <c r="K24" s="19" t="n">
        <f aca="false">K31+K122+K147</f>
        <v>12477</v>
      </c>
      <c r="L24" s="19" t="n">
        <f aca="false">L31+L122+L147</f>
        <v>0</v>
      </c>
      <c r="M24" s="19" t="n">
        <f aca="false">M31+M122+M147</f>
        <v>2101</v>
      </c>
      <c r="N24" s="19" t="n">
        <f aca="false">N31+N122+N147</f>
        <v>0</v>
      </c>
      <c r="O24" s="19" t="n">
        <f aca="false">O31+O122+O147</f>
        <v>618</v>
      </c>
      <c r="P24" s="19" t="n">
        <f aca="false">P31+P122+P147</f>
        <v>15196</v>
      </c>
      <c r="Q24" s="19" t="n">
        <f aca="false">Q31+Q122+Q147</f>
        <v>2531.1</v>
      </c>
      <c r="R24" s="20" t="n">
        <f aca="false">Q24/$P24</f>
        <v>0.166563569360358</v>
      </c>
      <c r="S24" s="19" t="n">
        <f aca="false">S31+S122+S147</f>
        <v>10671.61</v>
      </c>
      <c r="T24" s="20" t="n">
        <f aca="false">S24/$P24</f>
        <v>0.702264411687286</v>
      </c>
      <c r="U24" s="19" t="n">
        <f aca="false">U31+U122+U147</f>
        <v>12257.98</v>
      </c>
      <c r="V24" s="20" t="n">
        <f aca="false">U24/$P24</f>
        <v>0.806658331139774</v>
      </c>
      <c r="W24" s="19" t="n">
        <f aca="false">W31+W122+W147</f>
        <v>15196.16</v>
      </c>
      <c r="X24" s="20" t="n">
        <f aca="false">W24/$P24</f>
        <v>1.0000105290866</v>
      </c>
      <c r="Y24" s="19" t="n">
        <f aca="false">Y31+Y122+Y147</f>
        <v>10977</v>
      </c>
      <c r="Z24" s="19" t="n">
        <f aca="false">Z31+Z122+Z147</f>
        <v>12477</v>
      </c>
    </row>
    <row r="25" customFormat="false" ht="12.8" hidden="false" customHeight="false" outlineLevel="0" collapsed="false">
      <c r="A25" s="1" t="n">
        <v>1</v>
      </c>
      <c r="D25" s="68"/>
      <c r="E25" s="18" t="n">
        <v>41</v>
      </c>
      <c r="F25" s="18" t="s">
        <v>23</v>
      </c>
      <c r="G25" s="19" t="n">
        <f aca="false">G32+G126+G135</f>
        <v>206016.96</v>
      </c>
      <c r="H25" s="19" t="n">
        <f aca="false">H32+H126+H135</f>
        <v>223431.35</v>
      </c>
      <c r="I25" s="19" t="n">
        <f aca="false">I32+I126+I135</f>
        <v>223697</v>
      </c>
      <c r="J25" s="19" t="n">
        <f aca="false">J32+J126+J135</f>
        <v>259927.597</v>
      </c>
      <c r="K25" s="19" t="n">
        <f aca="false">K32+K126+K135</f>
        <v>247876</v>
      </c>
      <c r="L25" s="19" t="n">
        <f aca="false">L32+L126+L135</f>
        <v>0</v>
      </c>
      <c r="M25" s="19" t="n">
        <f aca="false">M32+M126+M135</f>
        <v>2667</v>
      </c>
      <c r="N25" s="19" t="n">
        <f aca="false">N32+N126+N135</f>
        <v>7455</v>
      </c>
      <c r="O25" s="19" t="n">
        <f aca="false">O32+O126+O135</f>
        <v>-377</v>
      </c>
      <c r="P25" s="19" t="n">
        <f aca="false">P32+P126+P135</f>
        <v>257621</v>
      </c>
      <c r="Q25" s="19" t="n">
        <f aca="false">Q32+Q126+Q135</f>
        <v>65423.25</v>
      </c>
      <c r="R25" s="20" t="n">
        <f aca="false">Q25/$P25</f>
        <v>0.253951541217525</v>
      </c>
      <c r="S25" s="19" t="n">
        <f aca="false">S32+S126+S135</f>
        <v>129745.07</v>
      </c>
      <c r="T25" s="20" t="n">
        <f aca="false">S25/$P25</f>
        <v>0.50362769339456</v>
      </c>
      <c r="U25" s="19" t="n">
        <f aca="false">U32+U126+U135</f>
        <v>190104.03</v>
      </c>
      <c r="V25" s="20" t="n">
        <f aca="false">U25/$P25</f>
        <v>0.737921326289394</v>
      </c>
      <c r="W25" s="19" t="n">
        <f aca="false">W32+W126+W135</f>
        <v>252704.18</v>
      </c>
      <c r="X25" s="20" t="n">
        <f aca="false">W25/$P25</f>
        <v>0.980914521719891</v>
      </c>
      <c r="Y25" s="19" t="n">
        <f aca="false">Y32+Y126+Y135</f>
        <v>262673</v>
      </c>
      <c r="Z25" s="19" t="n">
        <f aca="false">Z32+Z126+Z135</f>
        <v>281359</v>
      </c>
    </row>
    <row r="26" customFormat="false" ht="12.8" hidden="false" customHeight="false" outlineLevel="0" collapsed="false">
      <c r="D26" s="68"/>
      <c r="E26" s="18" t="n">
        <v>72</v>
      </c>
      <c r="F26" s="18" t="s">
        <v>25</v>
      </c>
      <c r="G26" s="19" t="n">
        <f aca="false">G33</f>
        <v>0</v>
      </c>
      <c r="H26" s="19" t="n">
        <f aca="false">H33</f>
        <v>0</v>
      </c>
      <c r="I26" s="19" t="n">
        <f aca="false">I33</f>
        <v>825</v>
      </c>
      <c r="J26" s="19" t="n">
        <f aca="false">J33</f>
        <v>893</v>
      </c>
      <c r="K26" s="19" t="n">
        <f aca="false">K33</f>
        <v>910</v>
      </c>
      <c r="L26" s="19" t="n">
        <f aca="false">L33</f>
        <v>0</v>
      </c>
      <c r="M26" s="19" t="n">
        <f aca="false">M33</f>
        <v>0</v>
      </c>
      <c r="N26" s="19" t="n">
        <f aca="false">N33</f>
        <v>0</v>
      </c>
      <c r="O26" s="19" t="n">
        <f aca="false">O33</f>
        <v>49</v>
      </c>
      <c r="P26" s="19" t="n">
        <f aca="false">P33</f>
        <v>959</v>
      </c>
      <c r="Q26" s="19" t="n">
        <f aca="false">Q33</f>
        <v>0</v>
      </c>
      <c r="R26" s="20" t="n">
        <f aca="false">Q26/$P26</f>
        <v>0</v>
      </c>
      <c r="S26" s="19" t="n">
        <f aca="false">S33</f>
        <v>0</v>
      </c>
      <c r="T26" s="20" t="n">
        <f aca="false">S26/$P26</f>
        <v>0</v>
      </c>
      <c r="U26" s="19" t="n">
        <f aca="false">U33</f>
        <v>0</v>
      </c>
      <c r="V26" s="20" t="n">
        <f aca="false">U26/$P26</f>
        <v>0</v>
      </c>
      <c r="W26" s="19" t="n">
        <f aca="false">W33</f>
        <v>939.98</v>
      </c>
      <c r="X26" s="20" t="n">
        <f aca="false">W26/$P26</f>
        <v>0.980166840458811</v>
      </c>
      <c r="Y26" s="19" t="n">
        <f aca="false">Y33</f>
        <v>910</v>
      </c>
      <c r="Z26" s="19" t="n">
        <f aca="false">Z33</f>
        <v>910</v>
      </c>
    </row>
    <row r="27" customFormat="false" ht="12.8" hidden="false" customHeight="false" outlineLevel="0" collapsed="false">
      <c r="A27" s="1" t="n">
        <v>1</v>
      </c>
      <c r="D27" s="14"/>
      <c r="E27" s="15"/>
      <c r="F27" s="21" t="s">
        <v>126</v>
      </c>
      <c r="G27" s="22" t="n">
        <f aca="false">SUM(G24:G26)</f>
        <v>216352.45</v>
      </c>
      <c r="H27" s="22" t="n">
        <f aca="false">SUM(H24:H26)</f>
        <v>233543.72</v>
      </c>
      <c r="I27" s="22" t="n">
        <f aca="false">SUM(I24:I26)</f>
        <v>234788</v>
      </c>
      <c r="J27" s="22" t="n">
        <f aca="false">SUM(J24:J26)</f>
        <v>272044.877</v>
      </c>
      <c r="K27" s="22" t="n">
        <f aca="false">SUM(K24:K26)</f>
        <v>261263</v>
      </c>
      <c r="L27" s="22" t="n">
        <f aca="false">SUM(L24:L26)</f>
        <v>0</v>
      </c>
      <c r="M27" s="22" t="n">
        <f aca="false">SUM(M24:M26)</f>
        <v>4768</v>
      </c>
      <c r="N27" s="22" t="n">
        <f aca="false">SUM(N24:N26)</f>
        <v>7455</v>
      </c>
      <c r="O27" s="22" t="n">
        <f aca="false">SUM(O24:O26)</f>
        <v>290</v>
      </c>
      <c r="P27" s="22" t="n">
        <f aca="false">SUM(P24:P26)</f>
        <v>273776</v>
      </c>
      <c r="Q27" s="22" t="n">
        <f aca="false">SUM(Q24:Q26)</f>
        <v>67954.35</v>
      </c>
      <c r="R27" s="23" t="n">
        <f aca="false">Q27/$P27</f>
        <v>0.248211494068143</v>
      </c>
      <c r="S27" s="22" t="n">
        <f aca="false">SUM(S24:S26)</f>
        <v>140416.68</v>
      </c>
      <c r="T27" s="23" t="n">
        <f aca="false">S27/$P27</f>
        <v>0.512888931096955</v>
      </c>
      <c r="U27" s="22" t="n">
        <f aca="false">SUM(U24:U26)</f>
        <v>202362.01</v>
      </c>
      <c r="V27" s="23" t="n">
        <f aca="false">U27/$P27</f>
        <v>0.73915175179709</v>
      </c>
      <c r="W27" s="22" t="n">
        <f aca="false">SUM(W24:W26)</f>
        <v>268840.32</v>
      </c>
      <c r="X27" s="23" t="n">
        <f aca="false">W27/$P27</f>
        <v>0.981971830985916</v>
      </c>
      <c r="Y27" s="22" t="n">
        <f aca="false">SUM(Y24:Y26)</f>
        <v>274560</v>
      </c>
      <c r="Z27" s="22" t="n">
        <f aca="false">SUM(Z24:Z26)</f>
        <v>294746</v>
      </c>
    </row>
    <row r="29" customFormat="false" ht="12.8" hidden="false" customHeight="false" outlineLevel="0" collapsed="false">
      <c r="D29" s="24" t="s">
        <v>128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customFormat="false" ht="12.8" hidden="false" customHeight="false" outlineLevel="0" collapsed="false">
      <c r="D30" s="5"/>
      <c r="E30" s="5"/>
      <c r="F30" s="5"/>
      <c r="G30" s="5" t="s">
        <v>1</v>
      </c>
      <c r="H30" s="5" t="s">
        <v>2</v>
      </c>
      <c r="I30" s="5" t="s">
        <v>3</v>
      </c>
      <c r="J30" s="5" t="s">
        <v>4</v>
      </c>
      <c r="K30" s="5" t="s">
        <v>5</v>
      </c>
      <c r="L30" s="5" t="s">
        <v>6</v>
      </c>
      <c r="M30" s="5" t="s">
        <v>7</v>
      </c>
      <c r="N30" s="5" t="s">
        <v>8</v>
      </c>
      <c r="O30" s="5" t="s">
        <v>9</v>
      </c>
      <c r="P30" s="5" t="s">
        <v>10</v>
      </c>
      <c r="Q30" s="5" t="s">
        <v>11</v>
      </c>
      <c r="R30" s="5" t="s">
        <v>12</v>
      </c>
      <c r="S30" s="5" t="s">
        <v>13</v>
      </c>
      <c r="T30" s="5" t="s">
        <v>14</v>
      </c>
      <c r="U30" s="5" t="s">
        <v>15</v>
      </c>
      <c r="V30" s="5" t="s">
        <v>16</v>
      </c>
      <c r="W30" s="5" t="s">
        <v>17</v>
      </c>
      <c r="X30" s="5" t="s">
        <v>18</v>
      </c>
      <c r="Y30" s="5" t="s">
        <v>19</v>
      </c>
      <c r="Z30" s="5" t="s">
        <v>20</v>
      </c>
    </row>
    <row r="31" customFormat="false" ht="12.8" hidden="false" customHeight="false" outlineLevel="0" collapsed="false">
      <c r="A31" s="1" t="n">
        <v>1</v>
      </c>
      <c r="B31" s="1" t="n">
        <v>1</v>
      </c>
      <c r="D31" s="25" t="s">
        <v>21</v>
      </c>
      <c r="E31" s="8" t="n">
        <v>111</v>
      </c>
      <c r="F31" s="8" t="s">
        <v>47</v>
      </c>
      <c r="G31" s="9" t="n">
        <f aca="false">G50+G73+G109</f>
        <v>5164.85</v>
      </c>
      <c r="H31" s="9" t="n">
        <f aca="false">H50+H73+H109</f>
        <v>5848.49</v>
      </c>
      <c r="I31" s="9" t="n">
        <f aca="false">I50+I73+I109</f>
        <v>5831</v>
      </c>
      <c r="J31" s="9" t="n">
        <f aca="false">J50+J73+J109</f>
        <v>6065.72</v>
      </c>
      <c r="K31" s="9" t="n">
        <f aca="false">K50+K73+K109</f>
        <v>5841</v>
      </c>
      <c r="L31" s="9" t="n">
        <f aca="false">L50+L73+L109</f>
        <v>0</v>
      </c>
      <c r="M31" s="9" t="n">
        <f aca="false">M50+M73+M109</f>
        <v>655</v>
      </c>
      <c r="N31" s="9" t="n">
        <f aca="false">N50+N73+N109</f>
        <v>0</v>
      </c>
      <c r="O31" s="9" t="n">
        <f aca="false">O50+O73+O109</f>
        <v>0</v>
      </c>
      <c r="P31" s="9" t="n">
        <f aca="false">P50+P73+P109</f>
        <v>6496</v>
      </c>
      <c r="Q31" s="9" t="n">
        <f aca="false">Q50+Q73+Q109</f>
        <v>1356.92</v>
      </c>
      <c r="R31" s="10" t="n">
        <f aca="false">Q31/$P31</f>
        <v>0.208885467980296</v>
      </c>
      <c r="S31" s="9" t="n">
        <f aca="false">S50+S73+S109</f>
        <v>2829.99</v>
      </c>
      <c r="T31" s="10" t="n">
        <f aca="false">S31/$P31</f>
        <v>0.435651169950739</v>
      </c>
      <c r="U31" s="9" t="n">
        <f aca="false">U50+U73+U109</f>
        <v>4175.9</v>
      </c>
      <c r="V31" s="10" t="n">
        <f aca="false">U31/$P31</f>
        <v>0.642841748768473</v>
      </c>
      <c r="W31" s="9" t="n">
        <f aca="false">W50+W73+W109</f>
        <v>6496.09</v>
      </c>
      <c r="X31" s="10" t="n">
        <f aca="false">W31/$P31</f>
        <v>1.0000138546798</v>
      </c>
      <c r="Y31" s="9" t="n">
        <f aca="false">Y50+Y73+Y109</f>
        <v>5841</v>
      </c>
      <c r="Z31" s="9" t="n">
        <f aca="false">Z50+Z73+Z109</f>
        <v>5841</v>
      </c>
    </row>
    <row r="32" customFormat="false" ht="12.8" hidden="false" customHeight="false" outlineLevel="0" collapsed="false">
      <c r="D32" s="25"/>
      <c r="E32" s="8" t="n">
        <v>41</v>
      </c>
      <c r="F32" s="8" t="s">
        <v>23</v>
      </c>
      <c r="G32" s="9" t="n">
        <f aca="false">G42+G55+G65+G76+G90+G102+G114</f>
        <v>185918.53</v>
      </c>
      <c r="H32" s="9" t="n">
        <f aca="false">H42+H55+H65+H76+H90+H102+H114</f>
        <v>208855.4</v>
      </c>
      <c r="I32" s="9" t="n">
        <f aca="false">I42+I55+I65+I76+I90+I102+I114</f>
        <v>203528</v>
      </c>
      <c r="J32" s="9" t="n">
        <f aca="false">J42+J55+J65+J76+J90+J102+J114</f>
        <v>237535.29</v>
      </c>
      <c r="K32" s="9" t="n">
        <f aca="false">K42+K55+K65+K76+K90+K102+K114</f>
        <v>235198</v>
      </c>
      <c r="L32" s="9" t="n">
        <f aca="false">L42+L55+L65+L76+L90+L102+L114</f>
        <v>0</v>
      </c>
      <c r="M32" s="9" t="n">
        <f aca="false">M42+M55+M65+M76+M90+M102+M114</f>
        <v>2667</v>
      </c>
      <c r="N32" s="9" t="n">
        <f aca="false">N42+N55+N65+N76+N90+N102+N114</f>
        <v>7099</v>
      </c>
      <c r="O32" s="9" t="n">
        <f aca="false">O42+O55+O65+O76+O90+O102+O114</f>
        <v>241</v>
      </c>
      <c r="P32" s="9" t="n">
        <f aca="false">P42+P55+P65+P76+P90+P102+P114</f>
        <v>245205</v>
      </c>
      <c r="Q32" s="9" t="n">
        <f aca="false">Q42+Q55+Q65+Q76+Q90+Q102+Q114</f>
        <v>62148.3</v>
      </c>
      <c r="R32" s="10" t="n">
        <f aca="false">Q32/$P32</f>
        <v>0.253454456475194</v>
      </c>
      <c r="S32" s="9" t="n">
        <f aca="false">S42+S55+S65+S76+S90+S102+S114</f>
        <v>126542.39</v>
      </c>
      <c r="T32" s="10" t="n">
        <f aca="false">S32/$P32</f>
        <v>0.516067739238596</v>
      </c>
      <c r="U32" s="9" t="n">
        <f aca="false">U42+U55+U65+U76+U90+U102+U114</f>
        <v>183793.4</v>
      </c>
      <c r="V32" s="10" t="n">
        <f aca="false">U32/$P32</f>
        <v>0.749549968393793</v>
      </c>
      <c r="W32" s="9" t="n">
        <f aca="false">W42+W55+W65+W76+W90+W102+W114</f>
        <v>243314.96</v>
      </c>
      <c r="X32" s="10" t="n">
        <f aca="false">W32/$P32</f>
        <v>0.992292000570951</v>
      </c>
      <c r="Y32" s="9" t="n">
        <f aca="false">Y42+Y55+Y65+Y76+Y90+Y102+Y114</f>
        <v>249995</v>
      </c>
      <c r="Z32" s="9" t="n">
        <f aca="false">Z42+Z55+Z65+Z76+Z90+Z102+Z114</f>
        <v>268681</v>
      </c>
    </row>
    <row r="33" customFormat="false" ht="12.8" hidden="false" customHeight="false" outlineLevel="0" collapsed="false">
      <c r="A33" s="1" t="n">
        <v>1</v>
      </c>
      <c r="B33" s="1" t="n">
        <v>1</v>
      </c>
      <c r="D33" s="25"/>
      <c r="E33" s="8" t="n">
        <v>72</v>
      </c>
      <c r="F33" s="8" t="s">
        <v>25</v>
      </c>
      <c r="G33" s="9" t="n">
        <f aca="false">G44+G57+G67+G92+G116</f>
        <v>0</v>
      </c>
      <c r="H33" s="9" t="n">
        <f aca="false">H44+H57+H67+H92+H116</f>
        <v>0</v>
      </c>
      <c r="I33" s="9" t="n">
        <f aca="false">I44+I57+I67+I92+I116</f>
        <v>825</v>
      </c>
      <c r="J33" s="9" t="n">
        <f aca="false">J44+J57+J67+J92+J116</f>
        <v>893</v>
      </c>
      <c r="K33" s="9" t="n">
        <f aca="false">K44+K57+K67+K92+K116</f>
        <v>910</v>
      </c>
      <c r="L33" s="9" t="n">
        <f aca="false">L44+L57+L67+L92+L116</f>
        <v>0</v>
      </c>
      <c r="M33" s="9" t="n">
        <f aca="false">M44+M57+M67+M92+M116</f>
        <v>0</v>
      </c>
      <c r="N33" s="9" t="n">
        <f aca="false">N44+N57+N67+N92+N116</f>
        <v>0</v>
      </c>
      <c r="O33" s="9" t="n">
        <f aca="false">O44+O57+O67+O92+O116</f>
        <v>49</v>
      </c>
      <c r="P33" s="9" t="n">
        <f aca="false">P44+P57+P67+P92+P116</f>
        <v>959</v>
      </c>
      <c r="Q33" s="9" t="n">
        <f aca="false">Q44+Q57+Q67+Q92+Q116</f>
        <v>0</v>
      </c>
      <c r="R33" s="10" t="n">
        <f aca="false">Q33/$P33</f>
        <v>0</v>
      </c>
      <c r="S33" s="9" t="n">
        <f aca="false">S44+S57+S67+S92+S116</f>
        <v>0</v>
      </c>
      <c r="T33" s="10" t="n">
        <f aca="false">S33/$P33</f>
        <v>0</v>
      </c>
      <c r="U33" s="9" t="n">
        <f aca="false">U44+U57+U67+U92+U116</f>
        <v>0</v>
      </c>
      <c r="V33" s="10" t="n">
        <f aca="false">U33/$P33</f>
        <v>0</v>
      </c>
      <c r="W33" s="9" t="n">
        <f aca="false">W44+W57+W67+W92+W116</f>
        <v>939.98</v>
      </c>
      <c r="X33" s="10" t="n">
        <f aca="false">W33/$P33</f>
        <v>0.980166840458811</v>
      </c>
      <c r="Y33" s="9" t="n">
        <f aca="false">Y44+Y57+Y67+Y92+Y116</f>
        <v>910</v>
      </c>
      <c r="Z33" s="9" t="n">
        <f aca="false">Z44+Z57+Z67+Z92+Z116</f>
        <v>910</v>
      </c>
    </row>
    <row r="34" customFormat="false" ht="12.8" hidden="false" customHeight="false" outlineLevel="0" collapsed="false">
      <c r="A34" s="1" t="n">
        <v>1</v>
      </c>
      <c r="B34" s="1" t="n">
        <v>1</v>
      </c>
      <c r="D34" s="14"/>
      <c r="E34" s="15"/>
      <c r="F34" s="11" t="s">
        <v>126</v>
      </c>
      <c r="G34" s="12" t="n">
        <f aca="false">SUM(G31:G33)</f>
        <v>191083.38</v>
      </c>
      <c r="H34" s="12" t="n">
        <f aca="false">SUM(H31:H33)</f>
        <v>214703.89</v>
      </c>
      <c r="I34" s="12" t="n">
        <f aca="false">SUM(I31:I33)</f>
        <v>210184</v>
      </c>
      <c r="J34" s="12" t="n">
        <f aca="false">SUM(J31:J33)</f>
        <v>244494.01</v>
      </c>
      <c r="K34" s="12" t="n">
        <f aca="false">SUM(K31:K33)</f>
        <v>241949</v>
      </c>
      <c r="L34" s="12" t="n">
        <f aca="false">SUM(L31:L33)</f>
        <v>0</v>
      </c>
      <c r="M34" s="12" t="n">
        <f aca="false">SUM(M31:M33)</f>
        <v>3322</v>
      </c>
      <c r="N34" s="12" t="n">
        <f aca="false">SUM(N31:N33)</f>
        <v>7099</v>
      </c>
      <c r="O34" s="12" t="n">
        <f aca="false">SUM(O31:O33)</f>
        <v>290</v>
      </c>
      <c r="P34" s="12" t="n">
        <f aca="false">SUM(P31:P33)</f>
        <v>252660</v>
      </c>
      <c r="Q34" s="12" t="n">
        <f aca="false">SUM(Q31:Q33)</f>
        <v>63505.22</v>
      </c>
      <c r="R34" s="13" t="n">
        <f aca="false">Q34/$P34</f>
        <v>0.25134655267949</v>
      </c>
      <c r="S34" s="12" t="n">
        <f aca="false">SUM(S31:S33)</f>
        <v>129372.38</v>
      </c>
      <c r="T34" s="13" t="n">
        <f aca="false">S34/$P34</f>
        <v>0.512041399509222</v>
      </c>
      <c r="U34" s="12" t="n">
        <f aca="false">SUM(U31:U33)</f>
        <v>187969.3</v>
      </c>
      <c r="V34" s="13" t="n">
        <f aca="false">U34/$P34</f>
        <v>0.743961450170189</v>
      </c>
      <c r="W34" s="12" t="n">
        <f aca="false">SUM(W31:W33)</f>
        <v>250751.03</v>
      </c>
      <c r="X34" s="13" t="n">
        <f aca="false">W34/$P34</f>
        <v>0.992444510409246</v>
      </c>
      <c r="Y34" s="12" t="n">
        <f aca="false">SUM(Y31:Y33)</f>
        <v>256746</v>
      </c>
      <c r="Z34" s="12" t="n">
        <f aca="false">SUM(Z31:Z33)</f>
        <v>275432</v>
      </c>
    </row>
    <row r="36" customFormat="false" ht="12.8" hidden="false" customHeight="false" outlineLevel="0" collapsed="false">
      <c r="D36" s="51" t="s">
        <v>129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customFormat="false" ht="12.8" hidden="false" customHeight="false" outlineLevel="0" collapsed="false">
      <c r="D37" s="5" t="s">
        <v>33</v>
      </c>
      <c r="E37" s="5" t="s">
        <v>34</v>
      </c>
      <c r="F37" s="5" t="s">
        <v>35</v>
      </c>
      <c r="G37" s="5" t="s">
        <v>1</v>
      </c>
      <c r="H37" s="5" t="s">
        <v>2</v>
      </c>
      <c r="I37" s="5" t="s">
        <v>3</v>
      </c>
      <c r="J37" s="5" t="s">
        <v>4</v>
      </c>
      <c r="K37" s="5" t="s">
        <v>5</v>
      </c>
      <c r="L37" s="5" t="s">
        <v>6</v>
      </c>
      <c r="M37" s="5" t="s">
        <v>7</v>
      </c>
      <c r="N37" s="5" t="s">
        <v>8</v>
      </c>
      <c r="O37" s="5" t="s">
        <v>9</v>
      </c>
      <c r="P37" s="5" t="s">
        <v>10</v>
      </c>
      <c r="Q37" s="5" t="s">
        <v>11</v>
      </c>
      <c r="R37" s="5" t="s">
        <v>12</v>
      </c>
      <c r="S37" s="5" t="s">
        <v>13</v>
      </c>
      <c r="T37" s="5" t="s">
        <v>14</v>
      </c>
      <c r="U37" s="5" t="s">
        <v>15</v>
      </c>
      <c r="V37" s="5" t="s">
        <v>16</v>
      </c>
      <c r="W37" s="5" t="s">
        <v>17</v>
      </c>
      <c r="X37" s="5" t="s">
        <v>18</v>
      </c>
      <c r="Y37" s="5" t="s">
        <v>19</v>
      </c>
      <c r="Z37" s="5" t="s">
        <v>20</v>
      </c>
    </row>
    <row r="38" customFormat="false" ht="12.8" hidden="false" customHeight="false" outlineLevel="0" collapsed="false">
      <c r="A38" s="1" t="n">
        <v>1</v>
      </c>
      <c r="B38" s="1" t="n">
        <v>1</v>
      </c>
      <c r="C38" s="1" t="n">
        <v>1</v>
      </c>
      <c r="D38" s="69" t="s">
        <v>130</v>
      </c>
      <c r="E38" s="8" t="n">
        <v>610</v>
      </c>
      <c r="F38" s="8" t="s">
        <v>131</v>
      </c>
      <c r="G38" s="9" t="n">
        <v>28464.29</v>
      </c>
      <c r="H38" s="9" t="n">
        <v>28450</v>
      </c>
      <c r="I38" s="9" t="n">
        <v>28450</v>
      </c>
      <c r="J38" s="9" t="n">
        <v>28230.47</v>
      </c>
      <c r="K38" s="9" t="n">
        <v>43149</v>
      </c>
      <c r="L38" s="9"/>
      <c r="M38" s="9"/>
      <c r="N38" s="9"/>
      <c r="O38" s="9" t="n">
        <v>581</v>
      </c>
      <c r="P38" s="9" t="n">
        <f aca="false">SUM(K38:O38)</f>
        <v>43730</v>
      </c>
      <c r="Q38" s="9" t="n">
        <v>10356.82</v>
      </c>
      <c r="R38" s="10" t="n">
        <f aca="false">Q38/$P38</f>
        <v>0.236835581980334</v>
      </c>
      <c r="S38" s="9" t="n">
        <v>21743.31</v>
      </c>
      <c r="T38" s="10" t="n">
        <f aca="false">S38/$P38</f>
        <v>0.497217242167848</v>
      </c>
      <c r="U38" s="9" t="n">
        <v>32701.48</v>
      </c>
      <c r="V38" s="10" t="n">
        <f aca="false">U38/$P38</f>
        <v>0.747804253372971</v>
      </c>
      <c r="W38" s="9" t="n">
        <v>43669.85</v>
      </c>
      <c r="X38" s="10" t="n">
        <f aca="false">W38/$P38</f>
        <v>0.998624514063572</v>
      </c>
      <c r="Y38" s="9" t="n">
        <v>47464</v>
      </c>
      <c r="Z38" s="9" t="n">
        <v>52210</v>
      </c>
    </row>
    <row r="39" customFormat="false" ht="12.8" hidden="false" customHeight="false" outlineLevel="0" collapsed="false">
      <c r="A39" s="1" t="n">
        <v>1</v>
      </c>
      <c r="B39" s="1" t="n">
        <v>1</v>
      </c>
      <c r="C39" s="1" t="n">
        <v>1</v>
      </c>
      <c r="D39" s="69"/>
      <c r="E39" s="8" t="n">
        <v>620</v>
      </c>
      <c r="F39" s="8" t="s">
        <v>132</v>
      </c>
      <c r="G39" s="9" t="n">
        <v>12861.72</v>
      </c>
      <c r="H39" s="9" t="n">
        <v>11988.79</v>
      </c>
      <c r="I39" s="9" t="n">
        <v>11988</v>
      </c>
      <c r="J39" s="9" t="n">
        <v>11924.68</v>
      </c>
      <c r="K39" s="9" t="n">
        <v>17515</v>
      </c>
      <c r="L39" s="9"/>
      <c r="M39" s="9"/>
      <c r="N39" s="9"/>
      <c r="O39" s="9"/>
      <c r="P39" s="9" t="n">
        <f aca="false">SUM(K39:O39)</f>
        <v>17515</v>
      </c>
      <c r="Q39" s="9" t="n">
        <v>5016.05</v>
      </c>
      <c r="R39" s="10" t="n">
        <f aca="false">Q39/$P39</f>
        <v>0.286385954895804</v>
      </c>
      <c r="S39" s="9" t="n">
        <v>9246.04</v>
      </c>
      <c r="T39" s="10" t="n">
        <f aca="false">S39/$P39</f>
        <v>0.527892663431345</v>
      </c>
      <c r="U39" s="9" t="n">
        <v>13316.94</v>
      </c>
      <c r="V39" s="10" t="n">
        <f aca="false">U39/$P39</f>
        <v>0.760316300314017</v>
      </c>
      <c r="W39" s="9" t="n">
        <v>17394.66</v>
      </c>
      <c r="X39" s="10" t="n">
        <f aca="false">W39/$P39</f>
        <v>0.993129317727662</v>
      </c>
      <c r="Y39" s="9" t="n">
        <v>19110</v>
      </c>
      <c r="Z39" s="9" t="n">
        <v>20864</v>
      </c>
    </row>
    <row r="40" customFormat="false" ht="12.8" hidden="false" customHeight="false" outlineLevel="0" collapsed="false">
      <c r="A40" s="1" t="n">
        <v>1</v>
      </c>
      <c r="B40" s="1" t="n">
        <v>1</v>
      </c>
      <c r="C40" s="1" t="n">
        <v>1</v>
      </c>
      <c r="D40" s="69"/>
      <c r="E40" s="8" t="n">
        <v>630</v>
      </c>
      <c r="F40" s="8" t="s">
        <v>133</v>
      </c>
      <c r="G40" s="9" t="n">
        <v>9574.24</v>
      </c>
      <c r="H40" s="9" t="n">
        <v>8555.7</v>
      </c>
      <c r="I40" s="9" t="n">
        <v>8942</v>
      </c>
      <c r="J40" s="9" t="n">
        <v>9167.96</v>
      </c>
      <c r="K40" s="28" t="n">
        <f aca="false">5785+3660</f>
        <v>9445</v>
      </c>
      <c r="L40" s="28"/>
      <c r="M40" s="28"/>
      <c r="N40" s="28"/>
      <c r="O40" s="28" t="n">
        <v>-928</v>
      </c>
      <c r="P40" s="28" t="n">
        <f aca="false">SUM(K40:O40)</f>
        <v>8517</v>
      </c>
      <c r="Q40" s="28" t="n">
        <v>5021.36</v>
      </c>
      <c r="R40" s="10" t="n">
        <f aca="false">Q40/$P40</f>
        <v>0.589569097099918</v>
      </c>
      <c r="S40" s="28" t="n">
        <v>6029.36</v>
      </c>
      <c r="T40" s="10" t="n">
        <f aca="false">S40/$P40</f>
        <v>0.707920629329576</v>
      </c>
      <c r="U40" s="28" t="n">
        <v>7184.49</v>
      </c>
      <c r="V40" s="10" t="n">
        <f aca="false">U40/$P40</f>
        <v>0.843547023599859</v>
      </c>
      <c r="W40" s="28" t="n">
        <v>8185.61</v>
      </c>
      <c r="X40" s="10" t="n">
        <f aca="false">W40/$P40</f>
        <v>0.961090759657156</v>
      </c>
      <c r="Y40" s="9" t="n">
        <f aca="false">5836+3660</f>
        <v>9496</v>
      </c>
      <c r="Z40" s="9" t="n">
        <f aca="false">5889+3660</f>
        <v>9549</v>
      </c>
    </row>
    <row r="41" customFormat="false" ht="12.8" hidden="false" customHeight="false" outlineLevel="0" collapsed="false">
      <c r="A41" s="1" t="n">
        <v>1</v>
      </c>
      <c r="B41" s="1" t="n">
        <v>1</v>
      </c>
      <c r="C41" s="1" t="n">
        <v>1</v>
      </c>
      <c r="D41" s="69"/>
      <c r="E41" s="8" t="n">
        <v>640</v>
      </c>
      <c r="F41" s="8" t="s">
        <v>134</v>
      </c>
      <c r="G41" s="9" t="n">
        <v>0</v>
      </c>
      <c r="H41" s="9" t="n">
        <v>0</v>
      </c>
      <c r="I41" s="9" t="n">
        <v>0</v>
      </c>
      <c r="J41" s="9" t="n">
        <v>19.26</v>
      </c>
      <c r="K41" s="9" t="n">
        <v>0</v>
      </c>
      <c r="L41" s="9"/>
      <c r="M41" s="9"/>
      <c r="N41" s="9"/>
      <c r="O41" s="9"/>
      <c r="P41" s="9" t="n">
        <f aca="false">SUM(K41:O41)</f>
        <v>0</v>
      </c>
      <c r="Q41" s="9" t="n">
        <v>0</v>
      </c>
      <c r="R41" s="10" t="e">
        <f aca="false">Q41/$P41</f>
        <v>#DIV/0!</v>
      </c>
      <c r="S41" s="9" t="n">
        <v>0</v>
      </c>
      <c r="T41" s="10" t="e">
        <f aca="false">S41/$P41</f>
        <v>#DIV/0!</v>
      </c>
      <c r="U41" s="9" t="n">
        <v>0</v>
      </c>
      <c r="V41" s="10" t="e">
        <f aca="false">U41/$P41</f>
        <v>#DIV/0!</v>
      </c>
      <c r="W41" s="9" t="n">
        <v>0</v>
      </c>
      <c r="X41" s="10" t="e">
        <f aca="false">W41/$P41</f>
        <v>#DIV/0!</v>
      </c>
      <c r="Y41" s="9" t="n">
        <f aca="false">K41</f>
        <v>0</v>
      </c>
      <c r="Z41" s="9" t="n">
        <f aca="false">Y41</f>
        <v>0</v>
      </c>
    </row>
    <row r="42" customFormat="false" ht="12.8" hidden="false" customHeight="false" outlineLevel="0" collapsed="false">
      <c r="D42" s="70" t="s">
        <v>21</v>
      </c>
      <c r="E42" s="29" t="n">
        <v>41</v>
      </c>
      <c r="F42" s="29" t="s">
        <v>23</v>
      </c>
      <c r="G42" s="30" t="n">
        <f aca="false">SUM(G38:G41)</f>
        <v>50900.25</v>
      </c>
      <c r="H42" s="30" t="n">
        <f aca="false">SUM(H38:H41)</f>
        <v>48994.49</v>
      </c>
      <c r="I42" s="30" t="n">
        <f aca="false">SUM(I38:I41)</f>
        <v>49380</v>
      </c>
      <c r="J42" s="30" t="n">
        <f aca="false">SUM(J38:J41)</f>
        <v>49342.37</v>
      </c>
      <c r="K42" s="30" t="n">
        <f aca="false">SUM(K38:K41)</f>
        <v>70109</v>
      </c>
      <c r="L42" s="30" t="n">
        <f aca="false">SUM(L38:L41)</f>
        <v>0</v>
      </c>
      <c r="M42" s="30" t="n">
        <f aca="false">SUM(M38:M41)</f>
        <v>0</v>
      </c>
      <c r="N42" s="30" t="n">
        <f aca="false">SUM(N38:N41)</f>
        <v>0</v>
      </c>
      <c r="O42" s="30" t="n">
        <f aca="false">SUM(O38:O41)</f>
        <v>-347</v>
      </c>
      <c r="P42" s="30" t="n">
        <f aca="false">SUM(P38:P41)</f>
        <v>69762</v>
      </c>
      <c r="Q42" s="30" t="n">
        <f aca="false">SUM(Q38:Q41)</f>
        <v>20394.23</v>
      </c>
      <c r="R42" s="71" t="n">
        <f aca="false">Q42/$P42</f>
        <v>0.292340099194404</v>
      </c>
      <c r="S42" s="30" t="n">
        <f aca="false">SUM(S38:S41)</f>
        <v>37018.71</v>
      </c>
      <c r="T42" s="71" t="n">
        <f aca="false">S42/$P42</f>
        <v>0.530642900146211</v>
      </c>
      <c r="U42" s="30" t="n">
        <f aca="false">SUM(U38:U41)</f>
        <v>53202.91</v>
      </c>
      <c r="V42" s="71" t="n">
        <f aca="false">U42/$P42</f>
        <v>0.762634528826582</v>
      </c>
      <c r="W42" s="30" t="n">
        <f aca="false">SUM(W38:W41)</f>
        <v>69250.12</v>
      </c>
      <c r="X42" s="71" t="n">
        <f aca="false">W42/$P42</f>
        <v>0.992662481006852</v>
      </c>
      <c r="Y42" s="30" t="n">
        <f aca="false">SUM(Y38:Y41)</f>
        <v>76070</v>
      </c>
      <c r="Z42" s="30" t="n">
        <f aca="false">SUM(Z38:Z41)</f>
        <v>82623</v>
      </c>
    </row>
    <row r="43" customFormat="false" ht="12.8" hidden="false" customHeight="false" outlineLevel="0" collapsed="false">
      <c r="D43" s="8" t="s">
        <v>130</v>
      </c>
      <c r="E43" s="8" t="n">
        <v>640</v>
      </c>
      <c r="F43" s="8" t="s">
        <v>134</v>
      </c>
      <c r="G43" s="9" t="n">
        <v>0</v>
      </c>
      <c r="H43" s="9" t="n">
        <v>0</v>
      </c>
      <c r="I43" s="9" t="n">
        <v>0</v>
      </c>
      <c r="J43" s="9" t="n">
        <v>124.62</v>
      </c>
      <c r="K43" s="9" t="n">
        <v>125</v>
      </c>
      <c r="L43" s="9"/>
      <c r="M43" s="9"/>
      <c r="N43" s="9"/>
      <c r="O43" s="9" t="n">
        <v>8</v>
      </c>
      <c r="P43" s="9" t="n">
        <f aca="false">SUM(K43:O43)</f>
        <v>133</v>
      </c>
      <c r="Q43" s="9" t="n">
        <v>0</v>
      </c>
      <c r="R43" s="10" t="n">
        <f aca="false">Q43/$P43</f>
        <v>0</v>
      </c>
      <c r="S43" s="9" t="n">
        <v>0</v>
      </c>
      <c r="T43" s="10" t="n">
        <f aca="false">S43/$P43</f>
        <v>0</v>
      </c>
      <c r="U43" s="9" t="n">
        <v>0</v>
      </c>
      <c r="V43" s="10" t="n">
        <f aca="false">U43/$P43</f>
        <v>0</v>
      </c>
      <c r="W43" s="9" t="n">
        <v>133.15</v>
      </c>
      <c r="X43" s="10" t="n">
        <f aca="false">W43/$P43</f>
        <v>1.00112781954887</v>
      </c>
      <c r="Y43" s="9" t="n">
        <f aca="false">K43</f>
        <v>125</v>
      </c>
      <c r="Z43" s="9" t="n">
        <f aca="false">Y43</f>
        <v>125</v>
      </c>
    </row>
    <row r="44" customFormat="false" ht="12.8" hidden="false" customHeight="false" outlineLevel="0" collapsed="false">
      <c r="D44" s="70" t="s">
        <v>21</v>
      </c>
      <c r="E44" s="72" t="n">
        <v>72</v>
      </c>
      <c r="F44" s="29" t="s">
        <v>25</v>
      </c>
      <c r="G44" s="30" t="n">
        <f aca="false">SUM(G43)</f>
        <v>0</v>
      </c>
      <c r="H44" s="30" t="n">
        <f aca="false">SUM(H43)</f>
        <v>0</v>
      </c>
      <c r="I44" s="30" t="n">
        <f aca="false">SUM(I43)</f>
        <v>0</v>
      </c>
      <c r="J44" s="30" t="n">
        <f aca="false">SUM(J43)</f>
        <v>124.62</v>
      </c>
      <c r="K44" s="30" t="n">
        <f aca="false">SUM(K43)</f>
        <v>125</v>
      </c>
      <c r="L44" s="30" t="n">
        <f aca="false">SUM(L43)</f>
        <v>0</v>
      </c>
      <c r="M44" s="30" t="n">
        <f aca="false">SUM(M43)</f>
        <v>0</v>
      </c>
      <c r="N44" s="30" t="n">
        <f aca="false">SUM(N43)</f>
        <v>0</v>
      </c>
      <c r="O44" s="30" t="n">
        <f aca="false">SUM(O43)</f>
        <v>8</v>
      </c>
      <c r="P44" s="30" t="n">
        <f aca="false">SUM(P43)</f>
        <v>133</v>
      </c>
      <c r="Q44" s="30" t="n">
        <f aca="false">SUM(Q43)</f>
        <v>0</v>
      </c>
      <c r="R44" s="71" t="n">
        <f aca="false">Q44/$P44</f>
        <v>0</v>
      </c>
      <c r="S44" s="30" t="n">
        <f aca="false">SUM(S43)</f>
        <v>0</v>
      </c>
      <c r="T44" s="71" t="n">
        <f aca="false">S44/$P44</f>
        <v>0</v>
      </c>
      <c r="U44" s="30" t="n">
        <f aca="false">SUM(U43)</f>
        <v>0</v>
      </c>
      <c r="V44" s="71" t="n">
        <f aca="false">U44/$P44</f>
        <v>0</v>
      </c>
      <c r="W44" s="30" t="n">
        <f aca="false">SUM(W43)</f>
        <v>133.15</v>
      </c>
      <c r="X44" s="71" t="n">
        <f aca="false">W44/$P44</f>
        <v>1.00112781954887</v>
      </c>
      <c r="Y44" s="30" t="n">
        <f aca="false">SUM(Y43)</f>
        <v>125</v>
      </c>
      <c r="Z44" s="30" t="n">
        <f aca="false">SUM(Z43)</f>
        <v>125</v>
      </c>
    </row>
    <row r="45" customFormat="false" ht="12.8" hidden="false" customHeight="false" outlineLevel="0" collapsed="false">
      <c r="A45" s="1" t="n">
        <v>1</v>
      </c>
      <c r="B45" s="1" t="n">
        <v>1</v>
      </c>
      <c r="C45" s="1" t="n">
        <v>1</v>
      </c>
      <c r="D45" s="73"/>
      <c r="E45" s="74"/>
      <c r="F45" s="11" t="s">
        <v>126</v>
      </c>
      <c r="G45" s="12" t="n">
        <f aca="false">G42+G44</f>
        <v>50900.25</v>
      </c>
      <c r="H45" s="12" t="n">
        <f aca="false">H42+H44</f>
        <v>48994.49</v>
      </c>
      <c r="I45" s="12" t="n">
        <f aca="false">I42+I44</f>
        <v>49380</v>
      </c>
      <c r="J45" s="12" t="n">
        <f aca="false">J42+J44</f>
        <v>49466.99</v>
      </c>
      <c r="K45" s="12" t="n">
        <f aca="false">K42+K44</f>
        <v>70234</v>
      </c>
      <c r="L45" s="12" t="n">
        <f aca="false">L42+L44</f>
        <v>0</v>
      </c>
      <c r="M45" s="12" t="n">
        <f aca="false">M42+M44</f>
        <v>0</v>
      </c>
      <c r="N45" s="12" t="n">
        <f aca="false">N42+N44</f>
        <v>0</v>
      </c>
      <c r="O45" s="12" t="n">
        <f aca="false">O42+O44</f>
        <v>-339</v>
      </c>
      <c r="P45" s="12" t="n">
        <f aca="false">P42+P44</f>
        <v>69895</v>
      </c>
      <c r="Q45" s="12" t="n">
        <f aca="false">Q42+Q44</f>
        <v>20394.23</v>
      </c>
      <c r="R45" s="13" t="n">
        <f aca="false">Q45/$P45</f>
        <v>0.29178381858502</v>
      </c>
      <c r="S45" s="12" t="n">
        <f aca="false">S42+S44</f>
        <v>37018.71</v>
      </c>
      <c r="T45" s="13" t="n">
        <f aca="false">S45/$P45</f>
        <v>0.529633164031762</v>
      </c>
      <c r="U45" s="12" t="n">
        <f aca="false">U42+U44</f>
        <v>53202.91</v>
      </c>
      <c r="V45" s="13" t="n">
        <f aca="false">U45/$P45</f>
        <v>0.761183346448244</v>
      </c>
      <c r="W45" s="12" t="n">
        <f aca="false">W42+W44</f>
        <v>69383.27</v>
      </c>
      <c r="X45" s="13" t="n">
        <f aca="false">W45/$P45</f>
        <v>0.99267858931254</v>
      </c>
      <c r="Y45" s="12" t="n">
        <f aca="false">Y42+Y44</f>
        <v>76195</v>
      </c>
      <c r="Z45" s="12" t="n">
        <f aca="false">Z42+Z44</f>
        <v>82748</v>
      </c>
    </row>
    <row r="46" customFormat="false" ht="12.8" hidden="false" customHeight="false" outlineLevel="0" collapsed="false">
      <c r="D46" s="75"/>
      <c r="E46" s="26"/>
      <c r="F46" s="2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customFormat="false" ht="12.8" hidden="false" customHeight="false" outlineLevel="0" collapsed="false">
      <c r="D47" s="51" t="s">
        <v>135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customFormat="false" ht="12.8" hidden="false" customHeight="false" outlineLevel="0" collapsed="false">
      <c r="D48" s="5" t="s">
        <v>33</v>
      </c>
      <c r="E48" s="5" t="s">
        <v>34</v>
      </c>
      <c r="F48" s="5" t="s">
        <v>35</v>
      </c>
      <c r="G48" s="5" t="s">
        <v>1</v>
      </c>
      <c r="H48" s="5" t="s">
        <v>2</v>
      </c>
      <c r="I48" s="5" t="s">
        <v>3</v>
      </c>
      <c r="J48" s="5" t="s">
        <v>4</v>
      </c>
      <c r="K48" s="5" t="s">
        <v>5</v>
      </c>
      <c r="L48" s="5" t="s">
        <v>6</v>
      </c>
      <c r="M48" s="5" t="s">
        <v>7</v>
      </c>
      <c r="N48" s="5" t="s">
        <v>8</v>
      </c>
      <c r="O48" s="5" t="s">
        <v>9</v>
      </c>
      <c r="P48" s="5" t="s">
        <v>10</v>
      </c>
      <c r="Q48" s="5" t="s">
        <v>11</v>
      </c>
      <c r="R48" s="5" t="s">
        <v>12</v>
      </c>
      <c r="S48" s="5" t="s">
        <v>13</v>
      </c>
      <c r="T48" s="5" t="s">
        <v>14</v>
      </c>
      <c r="U48" s="5" t="s">
        <v>15</v>
      </c>
      <c r="V48" s="5" t="s">
        <v>16</v>
      </c>
      <c r="W48" s="5" t="s">
        <v>17</v>
      </c>
      <c r="X48" s="5" t="s">
        <v>18</v>
      </c>
      <c r="Y48" s="5" t="s">
        <v>19</v>
      </c>
      <c r="Z48" s="5" t="s">
        <v>20</v>
      </c>
    </row>
    <row r="49" customFormat="false" ht="12.8" hidden="false" customHeight="false" outlineLevel="0" collapsed="false">
      <c r="D49" s="8" t="s">
        <v>130</v>
      </c>
      <c r="E49" s="8" t="n">
        <v>610</v>
      </c>
      <c r="F49" s="8" t="s">
        <v>131</v>
      </c>
      <c r="G49" s="9" t="n">
        <v>0</v>
      </c>
      <c r="H49" s="9" t="n">
        <v>431.27</v>
      </c>
      <c r="I49" s="9" t="n">
        <v>431</v>
      </c>
      <c r="J49" s="9" t="n">
        <v>294.12</v>
      </c>
      <c r="K49" s="9" t="n">
        <f aca="false">príjmy!H109</f>
        <v>295</v>
      </c>
      <c r="L49" s="9"/>
      <c r="M49" s="9"/>
      <c r="N49" s="9"/>
      <c r="O49" s="9"/>
      <c r="P49" s="9" t="n">
        <f aca="false">SUM(K49:O49)</f>
        <v>295</v>
      </c>
      <c r="Q49" s="9" t="n">
        <v>0</v>
      </c>
      <c r="R49" s="10" t="n">
        <f aca="false">Q49/$P49</f>
        <v>0</v>
      </c>
      <c r="S49" s="9" t="n">
        <v>0</v>
      </c>
      <c r="T49" s="10" t="n">
        <f aca="false">S49/$P49</f>
        <v>0</v>
      </c>
      <c r="U49" s="9" t="n">
        <v>0</v>
      </c>
      <c r="V49" s="10" t="n">
        <f aca="false">U49/$P49</f>
        <v>0</v>
      </c>
      <c r="W49" s="9" t="n">
        <v>294.74</v>
      </c>
      <c r="X49" s="10" t="n">
        <f aca="false">W49/$P49</f>
        <v>0.999118644067797</v>
      </c>
      <c r="Y49" s="9" t="n">
        <f aca="false">príjmy!V109</f>
        <v>295</v>
      </c>
      <c r="Z49" s="9" t="n">
        <f aca="false">príjmy!W109</f>
        <v>295</v>
      </c>
    </row>
    <row r="50" customFormat="false" ht="12.8" hidden="false" customHeight="false" outlineLevel="0" collapsed="false">
      <c r="D50" s="70" t="s">
        <v>21</v>
      </c>
      <c r="E50" s="29" t="n">
        <v>111</v>
      </c>
      <c r="F50" s="29" t="s">
        <v>136</v>
      </c>
      <c r="G50" s="30" t="n">
        <f aca="false">SUM(G49)</f>
        <v>0</v>
      </c>
      <c r="H50" s="30" t="n">
        <f aca="false">SUM(H49)</f>
        <v>431.27</v>
      </c>
      <c r="I50" s="30" t="n">
        <f aca="false">SUM(I49)</f>
        <v>431</v>
      </c>
      <c r="J50" s="30" t="n">
        <f aca="false">SUM(J49)</f>
        <v>294.12</v>
      </c>
      <c r="K50" s="30" t="n">
        <f aca="false">SUM(K49)</f>
        <v>295</v>
      </c>
      <c r="L50" s="30" t="n">
        <f aca="false">SUM(L49)</f>
        <v>0</v>
      </c>
      <c r="M50" s="30" t="n">
        <f aca="false">SUM(M49)</f>
        <v>0</v>
      </c>
      <c r="N50" s="30" t="n">
        <f aca="false">SUM(N49)</f>
        <v>0</v>
      </c>
      <c r="O50" s="30" t="n">
        <f aca="false">SUM(O49)</f>
        <v>0</v>
      </c>
      <c r="P50" s="30" t="n">
        <f aca="false">SUM(P49)</f>
        <v>295</v>
      </c>
      <c r="Q50" s="30" t="n">
        <f aca="false">SUM(Q49)</f>
        <v>0</v>
      </c>
      <c r="R50" s="71" t="n">
        <f aca="false">Q50/$P50</f>
        <v>0</v>
      </c>
      <c r="S50" s="30" t="n">
        <f aca="false">SUM(S49)</f>
        <v>0</v>
      </c>
      <c r="T50" s="71" t="n">
        <f aca="false">S50/$P50</f>
        <v>0</v>
      </c>
      <c r="U50" s="30" t="n">
        <f aca="false">SUM(U49)</f>
        <v>0</v>
      </c>
      <c r="V50" s="71" t="n">
        <f aca="false">U50/$P50</f>
        <v>0</v>
      </c>
      <c r="W50" s="30" t="n">
        <f aca="false">SUM(W49)</f>
        <v>294.74</v>
      </c>
      <c r="X50" s="71" t="n">
        <f aca="false">W50/$P50</f>
        <v>0.999118644067797</v>
      </c>
      <c r="Y50" s="30" t="n">
        <f aca="false">SUM(Y49)</f>
        <v>295</v>
      </c>
      <c r="Z50" s="30" t="n">
        <f aca="false">SUM(Z49)</f>
        <v>295</v>
      </c>
    </row>
    <row r="51" customFormat="false" ht="12.8" hidden="false" customHeight="false" outlineLevel="0" collapsed="false">
      <c r="A51" s="1" t="n">
        <v>1</v>
      </c>
      <c r="B51" s="1" t="n">
        <v>1</v>
      </c>
      <c r="C51" s="1" t="n">
        <v>2</v>
      </c>
      <c r="D51" s="69" t="s">
        <v>130</v>
      </c>
      <c r="E51" s="8" t="n">
        <v>610</v>
      </c>
      <c r="F51" s="8" t="s">
        <v>131</v>
      </c>
      <c r="G51" s="9" t="n">
        <v>39593.61</v>
      </c>
      <c r="H51" s="9" t="n">
        <v>46054.6</v>
      </c>
      <c r="I51" s="9" t="n">
        <f aca="false">50685</f>
        <v>50685</v>
      </c>
      <c r="J51" s="9" t="n">
        <v>52890.33</v>
      </c>
      <c r="K51" s="28" t="n">
        <f aca="false">60361-K49</f>
        <v>60066</v>
      </c>
      <c r="L51" s="28" t="n">
        <v>-128</v>
      </c>
      <c r="M51" s="28"/>
      <c r="N51" s="28"/>
      <c r="O51" s="28"/>
      <c r="P51" s="28" t="n">
        <f aca="false">SUM(K51:O51)</f>
        <v>59938</v>
      </c>
      <c r="Q51" s="28" t="n">
        <v>14296.86</v>
      </c>
      <c r="R51" s="10" t="n">
        <f aca="false">Q51/$P51</f>
        <v>0.238527478394341</v>
      </c>
      <c r="S51" s="28" t="n">
        <v>30856.78</v>
      </c>
      <c r="T51" s="10" t="n">
        <f aca="false">S51/$P51</f>
        <v>0.514811638693316</v>
      </c>
      <c r="U51" s="28" t="n">
        <v>43899.94</v>
      </c>
      <c r="V51" s="10" t="n">
        <f aca="false">U51/$P51</f>
        <v>0.732422503253362</v>
      </c>
      <c r="W51" s="28" t="n">
        <v>59578.7</v>
      </c>
      <c r="X51" s="10" t="n">
        <f aca="false">W51/$P51</f>
        <v>0.994005472321399</v>
      </c>
      <c r="Y51" s="9" t="n">
        <f aca="false">66117-Y49</f>
        <v>65822</v>
      </c>
      <c r="Z51" s="9" t="n">
        <f aca="false">72448-Z49</f>
        <v>72153</v>
      </c>
    </row>
    <row r="52" customFormat="false" ht="12.8" hidden="false" customHeight="false" outlineLevel="0" collapsed="false">
      <c r="A52" s="1" t="n">
        <v>1</v>
      </c>
      <c r="B52" s="1" t="n">
        <v>1</v>
      </c>
      <c r="C52" s="1" t="n">
        <v>2</v>
      </c>
      <c r="D52" s="69"/>
      <c r="E52" s="8" t="n">
        <v>620</v>
      </c>
      <c r="F52" s="8" t="s">
        <v>132</v>
      </c>
      <c r="G52" s="9" t="n">
        <v>16359.24</v>
      </c>
      <c r="H52" s="9" t="n">
        <v>17312.18</v>
      </c>
      <c r="I52" s="9" t="n">
        <v>18729</v>
      </c>
      <c r="J52" s="9" t="n">
        <v>19533.81</v>
      </c>
      <c r="K52" s="9" t="n">
        <v>23036</v>
      </c>
      <c r="L52" s="9"/>
      <c r="M52" s="9"/>
      <c r="N52" s="9"/>
      <c r="O52" s="9" t="n">
        <v>-165</v>
      </c>
      <c r="P52" s="9" t="n">
        <f aca="false">SUM(K52:O52)</f>
        <v>22871</v>
      </c>
      <c r="Q52" s="9" t="n">
        <v>5246.64</v>
      </c>
      <c r="R52" s="10" t="n">
        <f aca="false">Q52/$P52</f>
        <v>0.22940142538586</v>
      </c>
      <c r="S52" s="9" t="n">
        <v>12078.84</v>
      </c>
      <c r="T52" s="10" t="n">
        <f aca="false">S52/$P52</f>
        <v>0.528129071750251</v>
      </c>
      <c r="U52" s="9" t="n">
        <v>16816.97</v>
      </c>
      <c r="V52" s="10" t="n">
        <f aca="false">U52/$P52</f>
        <v>0.735296663897512</v>
      </c>
      <c r="W52" s="9" t="n">
        <v>22610.68</v>
      </c>
      <c r="X52" s="10" t="n">
        <f aca="false">W52/$P52</f>
        <v>0.988617900397884</v>
      </c>
      <c r="Y52" s="9" t="n">
        <v>24431</v>
      </c>
      <c r="Z52" s="9" t="n">
        <v>26768</v>
      </c>
    </row>
    <row r="53" customFormat="false" ht="12.8" hidden="false" customHeight="false" outlineLevel="0" collapsed="false">
      <c r="A53" s="1" t="n">
        <v>1</v>
      </c>
      <c r="B53" s="1" t="n">
        <v>1</v>
      </c>
      <c r="C53" s="1" t="n">
        <v>2</v>
      </c>
      <c r="D53" s="69"/>
      <c r="E53" s="8" t="n">
        <v>630</v>
      </c>
      <c r="F53" s="8" t="s">
        <v>133</v>
      </c>
      <c r="G53" s="9" t="n">
        <v>9911.81</v>
      </c>
      <c r="H53" s="9" t="n">
        <v>4771.82</v>
      </c>
      <c r="I53" s="9" t="n">
        <v>4093</v>
      </c>
      <c r="J53" s="9" t="n">
        <v>4381.31</v>
      </c>
      <c r="K53" s="9" t="n">
        <f aca="false">4228+765</f>
        <v>4993</v>
      </c>
      <c r="L53" s="9"/>
      <c r="M53" s="9" t="n">
        <v>516</v>
      </c>
      <c r="N53" s="9" t="n">
        <v>139</v>
      </c>
      <c r="O53" s="9" t="n">
        <f aca="false">150+165</f>
        <v>315</v>
      </c>
      <c r="P53" s="9" t="n">
        <f aca="false">SUM(K53:O53)</f>
        <v>5963</v>
      </c>
      <c r="Q53" s="9" t="n">
        <v>1228.9</v>
      </c>
      <c r="R53" s="10" t="n">
        <f aca="false">Q53/$P53</f>
        <v>0.206087539828945</v>
      </c>
      <c r="S53" s="9" t="n">
        <v>3551.05</v>
      </c>
      <c r="T53" s="10" t="n">
        <f aca="false">S53/$P53</f>
        <v>0.595514003018615</v>
      </c>
      <c r="U53" s="9" t="n">
        <v>4806.22</v>
      </c>
      <c r="V53" s="10" t="n">
        <f aca="false">U53/$P53</f>
        <v>0.806007043434513</v>
      </c>
      <c r="W53" s="9" t="n">
        <v>5956.73</v>
      </c>
      <c r="X53" s="10" t="n">
        <f aca="false">W53/$P53</f>
        <v>0.998948515847728</v>
      </c>
      <c r="Y53" s="9" t="n">
        <f aca="false">3912+765</f>
        <v>4677</v>
      </c>
      <c r="Z53" s="9" t="n">
        <f aca="false">3981+765</f>
        <v>4746</v>
      </c>
    </row>
    <row r="54" customFormat="false" ht="12.8" hidden="false" customHeight="false" outlineLevel="0" collapsed="false">
      <c r="A54" s="1" t="n">
        <v>1</v>
      </c>
      <c r="B54" s="1" t="n">
        <v>1</v>
      </c>
      <c r="C54" s="1" t="n">
        <v>2</v>
      </c>
      <c r="D54" s="69"/>
      <c r="E54" s="8" t="n">
        <v>640</v>
      </c>
      <c r="F54" s="8" t="s">
        <v>134</v>
      </c>
      <c r="G54" s="9" t="n">
        <v>1755</v>
      </c>
      <c r="H54" s="9" t="n">
        <v>228.94</v>
      </c>
      <c r="I54" s="9" t="n">
        <v>0</v>
      </c>
      <c r="J54" s="9" t="n">
        <v>0</v>
      </c>
      <c r="K54" s="9" t="n">
        <v>2086</v>
      </c>
      <c r="L54" s="9" t="n">
        <v>128</v>
      </c>
      <c r="M54" s="9"/>
      <c r="N54" s="9"/>
      <c r="O54" s="9"/>
      <c r="P54" s="9" t="n">
        <f aca="false">SUM(K54:O54)</f>
        <v>2214</v>
      </c>
      <c r="Q54" s="9" t="n">
        <v>127.75</v>
      </c>
      <c r="R54" s="10" t="n">
        <f aca="false">Q54/$P54</f>
        <v>0.0577009936766034</v>
      </c>
      <c r="S54" s="9" t="n">
        <v>2213.75</v>
      </c>
      <c r="T54" s="10" t="n">
        <f aca="false">S54/$P54</f>
        <v>0.999887082204155</v>
      </c>
      <c r="U54" s="9" t="n">
        <v>2213.75</v>
      </c>
      <c r="V54" s="10" t="n">
        <f aca="false">U54/$P54</f>
        <v>0.999887082204155</v>
      </c>
      <c r="W54" s="9" t="n">
        <v>2213.75</v>
      </c>
      <c r="X54" s="10" t="n">
        <f aca="false">W54/$P54</f>
        <v>0.999887082204155</v>
      </c>
      <c r="Y54" s="9" t="n">
        <v>0</v>
      </c>
      <c r="Z54" s="9" t="n">
        <v>0</v>
      </c>
    </row>
    <row r="55" customFormat="false" ht="12.8" hidden="false" customHeight="false" outlineLevel="0" collapsed="false">
      <c r="D55" s="70" t="s">
        <v>21</v>
      </c>
      <c r="E55" s="29" t="n">
        <v>41</v>
      </c>
      <c r="F55" s="29" t="s">
        <v>23</v>
      </c>
      <c r="G55" s="30" t="n">
        <f aca="false">SUM(G51:G54)</f>
        <v>67619.66</v>
      </c>
      <c r="H55" s="30" t="n">
        <f aca="false">SUM(H51:H54)</f>
        <v>68367.54</v>
      </c>
      <c r="I55" s="30" t="n">
        <f aca="false">SUM(I51:I54)</f>
        <v>73507</v>
      </c>
      <c r="J55" s="30" t="n">
        <f aca="false">SUM(J51:J54)</f>
        <v>76805.45</v>
      </c>
      <c r="K55" s="30" t="n">
        <f aca="false">SUM(K51:K54)</f>
        <v>90181</v>
      </c>
      <c r="L55" s="30" t="n">
        <f aca="false">SUM(L51:L54)</f>
        <v>0</v>
      </c>
      <c r="M55" s="30" t="n">
        <f aca="false">SUM(M51:M54)</f>
        <v>516</v>
      </c>
      <c r="N55" s="30" t="n">
        <f aca="false">SUM(N51:N54)</f>
        <v>139</v>
      </c>
      <c r="O55" s="30" t="n">
        <f aca="false">SUM(O51:O54)</f>
        <v>150</v>
      </c>
      <c r="P55" s="30" t="n">
        <f aca="false">SUM(P51:P54)</f>
        <v>90986</v>
      </c>
      <c r="Q55" s="30" t="n">
        <f aca="false">SUM(Q51:Q54)</f>
        <v>20900.15</v>
      </c>
      <c r="R55" s="71" t="n">
        <f aca="false">Q55/$P55</f>
        <v>0.229707317609303</v>
      </c>
      <c r="S55" s="30" t="n">
        <f aca="false">SUM(S51:S54)</f>
        <v>48700.42</v>
      </c>
      <c r="T55" s="71" t="n">
        <f aca="false">S55/$P55</f>
        <v>0.535251796979755</v>
      </c>
      <c r="U55" s="30" t="n">
        <f aca="false">SUM(U51:U54)</f>
        <v>67736.88</v>
      </c>
      <c r="V55" s="71" t="n">
        <f aca="false">U55/$P55</f>
        <v>0.744475853428</v>
      </c>
      <c r="W55" s="30" t="n">
        <f aca="false">SUM(W51:W54)</f>
        <v>90359.86</v>
      </c>
      <c r="X55" s="71" t="n">
        <f aca="false">W55/$P55</f>
        <v>0.993118281933484</v>
      </c>
      <c r="Y55" s="30" t="n">
        <f aca="false">SUM(Y51:Y54)</f>
        <v>94930</v>
      </c>
      <c r="Z55" s="30" t="n">
        <f aca="false">SUM(Z51:Z54)</f>
        <v>103667</v>
      </c>
    </row>
    <row r="56" customFormat="false" ht="12.8" hidden="false" customHeight="false" outlineLevel="0" collapsed="false">
      <c r="D56" s="8" t="s">
        <v>130</v>
      </c>
      <c r="E56" s="8" t="n">
        <v>640</v>
      </c>
      <c r="F56" s="8" t="s">
        <v>134</v>
      </c>
      <c r="G56" s="9" t="n">
        <v>0</v>
      </c>
      <c r="H56" s="9" t="n">
        <v>0</v>
      </c>
      <c r="I56" s="9" t="n">
        <v>700</v>
      </c>
      <c r="J56" s="9" t="n">
        <v>459.1</v>
      </c>
      <c r="K56" s="9" t="n">
        <v>460</v>
      </c>
      <c r="L56" s="9"/>
      <c r="M56" s="9"/>
      <c r="N56" s="9"/>
      <c r="O56" s="9" t="n">
        <v>89</v>
      </c>
      <c r="P56" s="9" t="n">
        <f aca="false">SUM(K56:O56)</f>
        <v>549</v>
      </c>
      <c r="Q56" s="9" t="n">
        <v>0</v>
      </c>
      <c r="R56" s="10" t="n">
        <f aca="false">Q56/$P56</f>
        <v>0</v>
      </c>
      <c r="S56" s="9" t="n">
        <v>0</v>
      </c>
      <c r="T56" s="10" t="n">
        <f aca="false">S56/$P56</f>
        <v>0</v>
      </c>
      <c r="U56" s="9" t="n">
        <v>0</v>
      </c>
      <c r="V56" s="10" t="n">
        <f aca="false">U56/$P56</f>
        <v>0</v>
      </c>
      <c r="W56" s="9" t="n">
        <v>549.33</v>
      </c>
      <c r="X56" s="10" t="n">
        <f aca="false">W56/$P56</f>
        <v>1.00060109289618</v>
      </c>
      <c r="Y56" s="9" t="n">
        <f aca="false">K56</f>
        <v>460</v>
      </c>
      <c r="Z56" s="9" t="n">
        <f aca="false">Y56</f>
        <v>460</v>
      </c>
    </row>
    <row r="57" customFormat="false" ht="12.8" hidden="false" customHeight="false" outlineLevel="0" collapsed="false">
      <c r="D57" s="70" t="s">
        <v>21</v>
      </c>
      <c r="E57" s="72" t="n">
        <v>72</v>
      </c>
      <c r="F57" s="29" t="s">
        <v>25</v>
      </c>
      <c r="G57" s="30" t="n">
        <f aca="false">SUM(G56)</f>
        <v>0</v>
      </c>
      <c r="H57" s="30" t="n">
        <f aca="false">SUM(H56)</f>
        <v>0</v>
      </c>
      <c r="I57" s="30" t="n">
        <f aca="false">SUM(I56)</f>
        <v>700</v>
      </c>
      <c r="J57" s="30" t="n">
        <f aca="false">SUM(J56)</f>
        <v>459.1</v>
      </c>
      <c r="K57" s="30" t="n">
        <f aca="false">SUM(K56)</f>
        <v>460</v>
      </c>
      <c r="L57" s="30" t="n">
        <f aca="false">SUM(L56)</f>
        <v>0</v>
      </c>
      <c r="M57" s="30" t="n">
        <f aca="false">SUM(M56)</f>
        <v>0</v>
      </c>
      <c r="N57" s="30" t="n">
        <f aca="false">SUM(N56)</f>
        <v>0</v>
      </c>
      <c r="O57" s="30" t="n">
        <f aca="false">SUM(O56)</f>
        <v>89</v>
      </c>
      <c r="P57" s="30" t="n">
        <f aca="false">SUM(P56)</f>
        <v>549</v>
      </c>
      <c r="Q57" s="30" t="n">
        <f aca="false">SUM(Q56)</f>
        <v>0</v>
      </c>
      <c r="R57" s="71" t="n">
        <f aca="false">Q57/$P57</f>
        <v>0</v>
      </c>
      <c r="S57" s="30" t="n">
        <f aca="false">SUM(S56)</f>
        <v>0</v>
      </c>
      <c r="T57" s="71" t="n">
        <f aca="false">S57/$P57</f>
        <v>0</v>
      </c>
      <c r="U57" s="30" t="n">
        <f aca="false">SUM(U56)</f>
        <v>0</v>
      </c>
      <c r="V57" s="71" t="n">
        <f aca="false">U57/$P57</f>
        <v>0</v>
      </c>
      <c r="W57" s="30" t="n">
        <f aca="false">SUM(W56)</f>
        <v>549.33</v>
      </c>
      <c r="X57" s="71" t="n">
        <f aca="false">W57/$P57</f>
        <v>1.00060109289618</v>
      </c>
      <c r="Y57" s="30" t="n">
        <f aca="false">SUM(Y56)</f>
        <v>460</v>
      </c>
      <c r="Z57" s="30" t="n">
        <f aca="false">SUM(Z56)</f>
        <v>460</v>
      </c>
    </row>
    <row r="58" customFormat="false" ht="12.8" hidden="false" customHeight="false" outlineLevel="0" collapsed="false">
      <c r="A58" s="1" t="n">
        <v>1</v>
      </c>
      <c r="B58" s="1" t="n">
        <v>1</v>
      </c>
      <c r="C58" s="1" t="n">
        <v>2</v>
      </c>
      <c r="D58" s="73"/>
      <c r="E58" s="74"/>
      <c r="F58" s="11" t="s">
        <v>126</v>
      </c>
      <c r="G58" s="12" t="n">
        <f aca="false">G50+G55+G57</f>
        <v>67619.66</v>
      </c>
      <c r="H58" s="12" t="n">
        <f aca="false">H50+H55+H57</f>
        <v>68798.81</v>
      </c>
      <c r="I58" s="12" t="n">
        <f aca="false">I50+I55+I57</f>
        <v>74638</v>
      </c>
      <c r="J58" s="12" t="n">
        <f aca="false">J50+J55+J57</f>
        <v>77558.67</v>
      </c>
      <c r="K58" s="12" t="n">
        <f aca="false">K50+K55+K57</f>
        <v>90936</v>
      </c>
      <c r="L58" s="12" t="n">
        <f aca="false">L50+L55+L57</f>
        <v>0</v>
      </c>
      <c r="M58" s="12" t="n">
        <f aca="false">M50+M55+M57</f>
        <v>516</v>
      </c>
      <c r="N58" s="12" t="n">
        <f aca="false">N50+N55+N57</f>
        <v>139</v>
      </c>
      <c r="O58" s="12" t="n">
        <f aca="false">O50+O55+O57</f>
        <v>239</v>
      </c>
      <c r="P58" s="12" t="n">
        <f aca="false">P50+P55+P57</f>
        <v>91830</v>
      </c>
      <c r="Q58" s="12" t="n">
        <f aca="false">Q50+Q55+Q57</f>
        <v>20900.15</v>
      </c>
      <c r="R58" s="13" t="n">
        <f aca="false">Q58/$P58</f>
        <v>0.227596101491887</v>
      </c>
      <c r="S58" s="12" t="n">
        <f aca="false">S50+S55+S57</f>
        <v>48700.42</v>
      </c>
      <c r="T58" s="13" t="n">
        <f aca="false">S58/$P58</f>
        <v>0.530332353261461</v>
      </c>
      <c r="U58" s="12" t="n">
        <f aca="false">U50+U55+U57</f>
        <v>67736.88</v>
      </c>
      <c r="V58" s="13" t="n">
        <f aca="false">U58/$P58</f>
        <v>0.737633453119895</v>
      </c>
      <c r="W58" s="12" t="n">
        <f aca="false">W50+W55+W57</f>
        <v>91203.93</v>
      </c>
      <c r="X58" s="13" t="n">
        <f aca="false">W58/$P58</f>
        <v>0.99318229336818</v>
      </c>
      <c r="Y58" s="12" t="n">
        <f aca="false">Y50+Y55+Y57</f>
        <v>95685</v>
      </c>
      <c r="Z58" s="12" t="n">
        <f aca="false">Z50+Z55+Z57</f>
        <v>104422</v>
      </c>
    </row>
    <row r="59" customFormat="false" ht="12.8" hidden="false" customHeight="false" outlineLevel="0" collapsed="false">
      <c r="D59" s="75"/>
      <c r="E59" s="26"/>
      <c r="F59" s="2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customFormat="false" ht="12.8" hidden="false" customHeight="false" outlineLevel="0" collapsed="false">
      <c r="D60" s="51" t="s">
        <v>137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customFormat="false" ht="12.8" hidden="false" customHeight="false" outlineLevel="0" collapsed="false">
      <c r="D61" s="5" t="s">
        <v>33</v>
      </c>
      <c r="E61" s="5" t="s">
        <v>34</v>
      </c>
      <c r="F61" s="5" t="s">
        <v>35</v>
      </c>
      <c r="G61" s="5" t="s">
        <v>1</v>
      </c>
      <c r="H61" s="5" t="s">
        <v>2</v>
      </c>
      <c r="I61" s="5" t="s">
        <v>3</v>
      </c>
      <c r="J61" s="5" t="s">
        <v>4</v>
      </c>
      <c r="K61" s="5" t="s">
        <v>5</v>
      </c>
      <c r="L61" s="5" t="s">
        <v>6</v>
      </c>
      <c r="M61" s="5" t="s">
        <v>7</v>
      </c>
      <c r="N61" s="5" t="s">
        <v>8</v>
      </c>
      <c r="O61" s="5" t="s">
        <v>9</v>
      </c>
      <c r="P61" s="5" t="s">
        <v>10</v>
      </c>
      <c r="Q61" s="5" t="s">
        <v>11</v>
      </c>
      <c r="R61" s="5" t="s">
        <v>12</v>
      </c>
      <c r="S61" s="5" t="s">
        <v>13</v>
      </c>
      <c r="T61" s="5" t="s">
        <v>14</v>
      </c>
      <c r="U61" s="5" t="s">
        <v>15</v>
      </c>
      <c r="V61" s="5" t="s">
        <v>16</v>
      </c>
      <c r="W61" s="5" t="s">
        <v>17</v>
      </c>
      <c r="X61" s="5" t="s">
        <v>18</v>
      </c>
      <c r="Y61" s="5" t="s">
        <v>19</v>
      </c>
      <c r="Z61" s="5" t="s">
        <v>20</v>
      </c>
    </row>
    <row r="62" customFormat="false" ht="12.8" hidden="false" customHeight="false" outlineLevel="0" collapsed="false">
      <c r="A62" s="1" t="n">
        <v>1</v>
      </c>
      <c r="B62" s="1" t="n">
        <v>1</v>
      </c>
      <c r="C62" s="1" t="n">
        <v>3</v>
      </c>
      <c r="D62" s="69" t="s">
        <v>138</v>
      </c>
      <c r="E62" s="8" t="n">
        <v>610</v>
      </c>
      <c r="F62" s="8" t="s">
        <v>131</v>
      </c>
      <c r="G62" s="9" t="n">
        <v>3556</v>
      </c>
      <c r="H62" s="9" t="n">
        <v>3674</v>
      </c>
      <c r="I62" s="9" t="n">
        <v>3796</v>
      </c>
      <c r="J62" s="9" t="n">
        <v>3838</v>
      </c>
      <c r="K62" s="9" t="n">
        <v>4017</v>
      </c>
      <c r="L62" s="9"/>
      <c r="M62" s="9"/>
      <c r="N62" s="9"/>
      <c r="O62" s="9" t="n">
        <v>55</v>
      </c>
      <c r="P62" s="9" t="n">
        <f aca="false">SUM(K62:O62)</f>
        <v>4072</v>
      </c>
      <c r="Q62" s="9" t="n">
        <v>963</v>
      </c>
      <c r="R62" s="10" t="n">
        <f aca="false">Q62/$P62</f>
        <v>0.236493123772102</v>
      </c>
      <c r="S62" s="9" t="n">
        <v>2026</v>
      </c>
      <c r="T62" s="10" t="n">
        <f aca="false">S62/$P62</f>
        <v>0.4975442043222</v>
      </c>
      <c r="U62" s="9" t="n">
        <v>3049</v>
      </c>
      <c r="V62" s="10" t="n">
        <f aca="false">U62/$P62</f>
        <v>0.7487721021611</v>
      </c>
      <c r="W62" s="9" t="n">
        <v>4072</v>
      </c>
      <c r="X62" s="10" t="n">
        <f aca="false">W62/$P62</f>
        <v>1</v>
      </c>
      <c r="Y62" s="9" t="n">
        <v>4419</v>
      </c>
      <c r="Z62" s="9" t="n">
        <v>4861</v>
      </c>
    </row>
    <row r="63" customFormat="false" ht="12.8" hidden="false" customHeight="false" outlineLevel="0" collapsed="false">
      <c r="A63" s="1" t="n">
        <v>1</v>
      </c>
      <c r="B63" s="1" t="n">
        <v>1</v>
      </c>
      <c r="C63" s="1" t="n">
        <v>3</v>
      </c>
      <c r="D63" s="69"/>
      <c r="E63" s="8" t="n">
        <v>620</v>
      </c>
      <c r="F63" s="8" t="s">
        <v>132</v>
      </c>
      <c r="G63" s="9" t="n">
        <v>1242.47</v>
      </c>
      <c r="H63" s="9" t="n">
        <v>1283.83</v>
      </c>
      <c r="I63" s="9" t="n">
        <v>1323</v>
      </c>
      <c r="J63" s="9" t="n">
        <v>1341.16</v>
      </c>
      <c r="K63" s="9" t="n">
        <v>1484</v>
      </c>
      <c r="L63" s="9"/>
      <c r="M63" s="9"/>
      <c r="N63" s="9"/>
      <c r="O63" s="9" t="n">
        <v>-55</v>
      </c>
      <c r="P63" s="9" t="n">
        <f aca="false">SUM(K63:O63)</f>
        <v>1429</v>
      </c>
      <c r="Q63" s="9" t="n">
        <v>336.51</v>
      </c>
      <c r="R63" s="10" t="n">
        <f aca="false">Q63/$P63</f>
        <v>0.235486354093772</v>
      </c>
      <c r="S63" s="9" t="n">
        <v>694.33</v>
      </c>
      <c r="T63" s="10" t="n">
        <f aca="false">S63/$P63</f>
        <v>0.485885234429671</v>
      </c>
      <c r="U63" s="9" t="n">
        <v>1010.89</v>
      </c>
      <c r="V63" s="10" t="n">
        <f aca="false">U63/$P63</f>
        <v>0.70741077676697</v>
      </c>
      <c r="W63" s="9" t="n">
        <v>1327.45</v>
      </c>
      <c r="X63" s="10" t="n">
        <f aca="false">W63/$P63</f>
        <v>0.928936319104269</v>
      </c>
      <c r="Y63" s="9" t="n">
        <v>1633</v>
      </c>
      <c r="Z63" s="9" t="n">
        <v>1797</v>
      </c>
    </row>
    <row r="64" customFormat="false" ht="12.8" hidden="false" customHeight="false" outlineLevel="0" collapsed="false">
      <c r="A64" s="1" t="n">
        <v>1</v>
      </c>
      <c r="B64" s="1" t="n">
        <v>1</v>
      </c>
      <c r="C64" s="1" t="n">
        <v>3</v>
      </c>
      <c r="D64" s="69"/>
      <c r="E64" s="8" t="n">
        <v>630</v>
      </c>
      <c r="F64" s="8" t="s">
        <v>133</v>
      </c>
      <c r="G64" s="9" t="n">
        <v>3523.71</v>
      </c>
      <c r="H64" s="9" t="n">
        <v>1512.96</v>
      </c>
      <c r="I64" s="9" t="n">
        <v>1513</v>
      </c>
      <c r="J64" s="9" t="n">
        <v>1500.52</v>
      </c>
      <c r="K64" s="9" t="n">
        <f aca="false">213+1320</f>
        <v>1533</v>
      </c>
      <c r="L64" s="9"/>
      <c r="M64" s="9"/>
      <c r="N64" s="9"/>
      <c r="O64" s="9"/>
      <c r="P64" s="9" t="n">
        <f aca="false">SUM(K64:O64)</f>
        <v>1533</v>
      </c>
      <c r="Q64" s="9" t="n">
        <v>31.91</v>
      </c>
      <c r="R64" s="10" t="n">
        <f aca="false">Q64/$P64</f>
        <v>0.0208153946510111</v>
      </c>
      <c r="S64" s="9" t="n">
        <v>77.62</v>
      </c>
      <c r="T64" s="10" t="n">
        <f aca="false">S64/$P64</f>
        <v>0.0506327462491846</v>
      </c>
      <c r="U64" s="9" t="n">
        <v>1245.03</v>
      </c>
      <c r="V64" s="10" t="n">
        <f aca="false">U64/$P64</f>
        <v>0.812152641878669</v>
      </c>
      <c r="W64" s="9" t="n">
        <v>1312.44</v>
      </c>
      <c r="X64" s="10" t="n">
        <f aca="false">W64/$P64</f>
        <v>0.856125244618395</v>
      </c>
      <c r="Y64" s="9" t="n">
        <f aca="false">218+1320</f>
        <v>1538</v>
      </c>
      <c r="Z64" s="9" t="n">
        <f aca="false">223+1320</f>
        <v>1543</v>
      </c>
    </row>
    <row r="65" customFormat="false" ht="12.8" hidden="false" customHeight="false" outlineLevel="0" collapsed="false">
      <c r="A65" s="1" t="n">
        <v>1</v>
      </c>
      <c r="B65" s="1" t="n">
        <v>1</v>
      </c>
      <c r="C65" s="1" t="n">
        <v>3</v>
      </c>
      <c r="D65" s="70" t="s">
        <v>21</v>
      </c>
      <c r="E65" s="29" t="n">
        <v>41</v>
      </c>
      <c r="F65" s="29" t="s">
        <v>23</v>
      </c>
      <c r="G65" s="30" t="n">
        <f aca="false">SUM(G62:G64)</f>
        <v>8322.18</v>
      </c>
      <c r="H65" s="30" t="n">
        <f aca="false">SUM(H62:H64)</f>
        <v>6470.79</v>
      </c>
      <c r="I65" s="30" t="n">
        <f aca="false">SUM(I62:I64)</f>
        <v>6632</v>
      </c>
      <c r="J65" s="30" t="n">
        <f aca="false">SUM(J62:J64)</f>
        <v>6679.68</v>
      </c>
      <c r="K65" s="30" t="n">
        <f aca="false">SUM(K62:K64)</f>
        <v>7034</v>
      </c>
      <c r="L65" s="30" t="n">
        <f aca="false">SUM(L62:L64)</f>
        <v>0</v>
      </c>
      <c r="M65" s="30" t="n">
        <f aca="false">SUM(M62:M64)</f>
        <v>0</v>
      </c>
      <c r="N65" s="30" t="n">
        <f aca="false">SUM(N62:N64)</f>
        <v>0</v>
      </c>
      <c r="O65" s="30" t="n">
        <f aca="false">SUM(O62:O64)</f>
        <v>0</v>
      </c>
      <c r="P65" s="30" t="n">
        <f aca="false">SUM(P62:P64)</f>
        <v>7034</v>
      </c>
      <c r="Q65" s="30" t="n">
        <f aca="false">SUM(Q62:Q64)</f>
        <v>1331.42</v>
      </c>
      <c r="R65" s="71" t="n">
        <f aca="false">Q65/$P65</f>
        <v>0.18928348023884</v>
      </c>
      <c r="S65" s="30" t="n">
        <f aca="false">SUM(S62:S64)</f>
        <v>2797.95</v>
      </c>
      <c r="T65" s="71" t="n">
        <f aca="false">S65/$P65</f>
        <v>0.397775092408302</v>
      </c>
      <c r="U65" s="30" t="n">
        <f aca="false">SUM(U62:U64)</f>
        <v>5304.92</v>
      </c>
      <c r="V65" s="71" t="n">
        <f aca="false">U65/$P65</f>
        <v>0.754182541939153</v>
      </c>
      <c r="W65" s="30" t="n">
        <f aca="false">SUM(W62:W64)</f>
        <v>6711.89</v>
      </c>
      <c r="X65" s="71" t="n">
        <f aca="false">W65/$P65</f>
        <v>0.95420671026443</v>
      </c>
      <c r="Y65" s="30" t="n">
        <f aca="false">SUM(Y62:Y64)</f>
        <v>7590</v>
      </c>
      <c r="Z65" s="30" t="n">
        <f aca="false">SUM(Z62:Z64)</f>
        <v>8201</v>
      </c>
    </row>
    <row r="66" customFormat="false" ht="12.8" hidden="false" customHeight="false" outlineLevel="0" collapsed="false">
      <c r="D66" s="56" t="s">
        <v>138</v>
      </c>
      <c r="E66" s="8" t="n">
        <v>640</v>
      </c>
      <c r="F66" s="8" t="s">
        <v>134</v>
      </c>
      <c r="G66" s="9" t="n">
        <v>0</v>
      </c>
      <c r="H66" s="9" t="n">
        <v>0</v>
      </c>
      <c r="I66" s="9" t="n">
        <v>25</v>
      </c>
      <c r="J66" s="9" t="n">
        <v>21.25</v>
      </c>
      <c r="K66" s="9" t="n">
        <v>25</v>
      </c>
      <c r="L66" s="9"/>
      <c r="M66" s="9"/>
      <c r="N66" s="9"/>
      <c r="O66" s="9" t="n">
        <v>1</v>
      </c>
      <c r="P66" s="9" t="n">
        <f aca="false">SUM(K66:O66)</f>
        <v>26</v>
      </c>
      <c r="Q66" s="9" t="n">
        <v>0</v>
      </c>
      <c r="R66" s="10" t="n">
        <f aca="false">Q66/$P66</f>
        <v>0</v>
      </c>
      <c r="S66" s="9" t="n">
        <v>0</v>
      </c>
      <c r="T66" s="10" t="n">
        <f aca="false">S66/$P66</f>
        <v>0</v>
      </c>
      <c r="U66" s="9" t="n">
        <v>0</v>
      </c>
      <c r="V66" s="10" t="n">
        <f aca="false">U66/$P66</f>
        <v>0</v>
      </c>
      <c r="W66" s="9" t="n">
        <v>26.12</v>
      </c>
      <c r="X66" s="10" t="n">
        <f aca="false">W66/$P66</f>
        <v>1.00461538461538</v>
      </c>
      <c r="Y66" s="9" t="n">
        <f aca="false">K66</f>
        <v>25</v>
      </c>
      <c r="Z66" s="9" t="n">
        <f aca="false">Y66</f>
        <v>25</v>
      </c>
    </row>
    <row r="67" customFormat="false" ht="12.8" hidden="false" customHeight="false" outlineLevel="0" collapsed="false">
      <c r="D67" s="70" t="s">
        <v>21</v>
      </c>
      <c r="E67" s="29" t="n">
        <v>72</v>
      </c>
      <c r="F67" s="29" t="s">
        <v>25</v>
      </c>
      <c r="G67" s="30" t="n">
        <f aca="false">SUM(G66:G66)</f>
        <v>0</v>
      </c>
      <c r="H67" s="30" t="n">
        <f aca="false">SUM(H66:H66)</f>
        <v>0</v>
      </c>
      <c r="I67" s="30" t="n">
        <f aca="false">SUM(I66:I66)</f>
        <v>25</v>
      </c>
      <c r="J67" s="30" t="n">
        <f aca="false">SUM(J66:J66)</f>
        <v>21.25</v>
      </c>
      <c r="K67" s="30" t="n">
        <f aca="false">SUM(K66:K66)</f>
        <v>25</v>
      </c>
      <c r="L67" s="30" t="n">
        <f aca="false">SUM(L66:L66)</f>
        <v>0</v>
      </c>
      <c r="M67" s="30" t="n">
        <f aca="false">SUM(M66:M66)</f>
        <v>0</v>
      </c>
      <c r="N67" s="30" t="n">
        <f aca="false">SUM(N66:N66)</f>
        <v>0</v>
      </c>
      <c r="O67" s="30" t="n">
        <f aca="false">SUM(O66:O66)</f>
        <v>1</v>
      </c>
      <c r="P67" s="30" t="n">
        <f aca="false">SUM(P66:P66)</f>
        <v>26</v>
      </c>
      <c r="Q67" s="30" t="n">
        <f aca="false">SUM(Q66:Q66)</f>
        <v>0</v>
      </c>
      <c r="R67" s="71" t="n">
        <f aca="false">Q67/$P67</f>
        <v>0</v>
      </c>
      <c r="S67" s="30" t="n">
        <f aca="false">SUM(S66:S66)</f>
        <v>0</v>
      </c>
      <c r="T67" s="71" t="n">
        <f aca="false">S67/$P67</f>
        <v>0</v>
      </c>
      <c r="U67" s="30" t="n">
        <f aca="false">SUM(U66:U66)</f>
        <v>0</v>
      </c>
      <c r="V67" s="71" t="n">
        <f aca="false">U67/$P67</f>
        <v>0</v>
      </c>
      <c r="W67" s="30" t="n">
        <f aca="false">SUM(W66:W66)</f>
        <v>26.12</v>
      </c>
      <c r="X67" s="71" t="n">
        <f aca="false">W67/$P67</f>
        <v>1.00461538461538</v>
      </c>
      <c r="Y67" s="30" t="n">
        <f aca="false">SUM(Y66:Y66)</f>
        <v>25</v>
      </c>
      <c r="Z67" s="30" t="n">
        <f aca="false">SUM(Z66:Z66)</f>
        <v>25</v>
      </c>
    </row>
    <row r="68" customFormat="false" ht="12.8" hidden="false" customHeight="false" outlineLevel="0" collapsed="false">
      <c r="D68" s="73"/>
      <c r="E68" s="74"/>
      <c r="F68" s="11" t="s">
        <v>126</v>
      </c>
      <c r="G68" s="12" t="n">
        <f aca="false">G65+G67</f>
        <v>8322.18</v>
      </c>
      <c r="H68" s="12" t="n">
        <f aca="false">H65+H67</f>
        <v>6470.79</v>
      </c>
      <c r="I68" s="12" t="n">
        <f aca="false">I65+I67</f>
        <v>6657</v>
      </c>
      <c r="J68" s="12" t="n">
        <f aca="false">J65+J67</f>
        <v>6700.93</v>
      </c>
      <c r="K68" s="12" t="n">
        <f aca="false">K65+K67</f>
        <v>7059</v>
      </c>
      <c r="L68" s="12" t="n">
        <f aca="false">L65+L67</f>
        <v>0</v>
      </c>
      <c r="M68" s="12" t="n">
        <f aca="false">M65+M67</f>
        <v>0</v>
      </c>
      <c r="N68" s="12" t="n">
        <f aca="false">N65+N67</f>
        <v>0</v>
      </c>
      <c r="O68" s="12" t="n">
        <f aca="false">O65+O67</f>
        <v>1</v>
      </c>
      <c r="P68" s="12" t="n">
        <f aca="false">P65+P67</f>
        <v>7060</v>
      </c>
      <c r="Q68" s="12" t="n">
        <f aca="false">Q65+Q67</f>
        <v>1331.42</v>
      </c>
      <c r="R68" s="13" t="n">
        <f aca="false">Q68/$P68</f>
        <v>0.188586402266289</v>
      </c>
      <c r="S68" s="12" t="n">
        <f aca="false">S65+S67</f>
        <v>2797.95</v>
      </c>
      <c r="T68" s="13" t="n">
        <f aca="false">S68/$P68</f>
        <v>0.396310198300283</v>
      </c>
      <c r="U68" s="12" t="n">
        <f aca="false">U65+U67</f>
        <v>5304.92</v>
      </c>
      <c r="V68" s="13" t="n">
        <f aca="false">U68/$P68</f>
        <v>0.751405099150142</v>
      </c>
      <c r="W68" s="12" t="n">
        <f aca="false">W65+W67</f>
        <v>6738.01</v>
      </c>
      <c r="X68" s="13" t="n">
        <f aca="false">W68/$P68</f>
        <v>0.954392351274788</v>
      </c>
      <c r="Y68" s="12" t="n">
        <f aca="false">Y65+Y67</f>
        <v>7615</v>
      </c>
      <c r="Z68" s="12" t="n">
        <f aca="false">Z65+Z67</f>
        <v>8226</v>
      </c>
    </row>
    <row r="69" customFormat="false" ht="12.8" hidden="false" customHeight="false" outlineLevel="0" collapsed="false">
      <c r="D69" s="75"/>
      <c r="E69" s="26"/>
      <c r="F69" s="2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customFormat="false" ht="12.8" hidden="false" customHeight="false" outlineLevel="0" collapsed="false">
      <c r="D70" s="51" t="s">
        <v>139</v>
      </c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customFormat="false" ht="12.8" hidden="false" customHeight="false" outlineLevel="0" collapsed="false">
      <c r="D71" s="5" t="s">
        <v>33</v>
      </c>
      <c r="E71" s="5" t="s">
        <v>34</v>
      </c>
      <c r="F71" s="5" t="s">
        <v>35</v>
      </c>
      <c r="G71" s="5" t="s">
        <v>1</v>
      </c>
      <c r="H71" s="5" t="s">
        <v>2</v>
      </c>
      <c r="I71" s="5" t="s">
        <v>3</v>
      </c>
      <c r="J71" s="5" t="s">
        <v>4</v>
      </c>
      <c r="K71" s="5" t="s">
        <v>5</v>
      </c>
      <c r="L71" s="5" t="s">
        <v>6</v>
      </c>
      <c r="M71" s="5" t="s">
        <v>7</v>
      </c>
      <c r="N71" s="5" t="s">
        <v>8</v>
      </c>
      <c r="O71" s="5" t="s">
        <v>9</v>
      </c>
      <c r="P71" s="5" t="s">
        <v>10</v>
      </c>
      <c r="Q71" s="5" t="s">
        <v>11</v>
      </c>
      <c r="R71" s="5" t="s">
        <v>12</v>
      </c>
      <c r="S71" s="5" t="s">
        <v>13</v>
      </c>
      <c r="T71" s="5" t="s">
        <v>14</v>
      </c>
      <c r="U71" s="5" t="s">
        <v>15</v>
      </c>
      <c r="V71" s="5" t="s">
        <v>16</v>
      </c>
      <c r="W71" s="5" t="s">
        <v>17</v>
      </c>
      <c r="X71" s="5" t="s">
        <v>18</v>
      </c>
      <c r="Y71" s="5" t="s">
        <v>19</v>
      </c>
      <c r="Z71" s="5" t="s">
        <v>20</v>
      </c>
    </row>
    <row r="72" customFormat="false" ht="12.8" hidden="false" customHeight="false" outlineLevel="0" collapsed="false">
      <c r="D72" s="8" t="s">
        <v>130</v>
      </c>
      <c r="E72" s="8" t="n">
        <v>630</v>
      </c>
      <c r="F72" s="8" t="s">
        <v>133</v>
      </c>
      <c r="G72" s="9" t="n">
        <v>0</v>
      </c>
      <c r="H72" s="9" t="n">
        <v>0</v>
      </c>
      <c r="I72" s="9" t="n">
        <v>0</v>
      </c>
      <c r="J72" s="9" t="n">
        <v>230.86</v>
      </c>
      <c r="K72" s="9" t="n">
        <v>0</v>
      </c>
      <c r="L72" s="9"/>
      <c r="M72" s="9"/>
      <c r="N72" s="9"/>
      <c r="O72" s="9"/>
      <c r="P72" s="9" t="n">
        <f aca="false">SUM(K72:O72)</f>
        <v>0</v>
      </c>
      <c r="Q72" s="9" t="n">
        <v>0</v>
      </c>
      <c r="R72" s="10" t="e">
        <f aca="false">Q72/$P72</f>
        <v>#DIV/0!</v>
      </c>
      <c r="S72" s="9" t="n">
        <v>0</v>
      </c>
      <c r="T72" s="10" t="e">
        <f aca="false">S72/$P72</f>
        <v>#DIV/0!</v>
      </c>
      <c r="U72" s="9" t="n">
        <v>0</v>
      </c>
      <c r="V72" s="10" t="e">
        <f aca="false">U72/$P72</f>
        <v>#DIV/0!</v>
      </c>
      <c r="W72" s="9" t="n">
        <v>0</v>
      </c>
      <c r="X72" s="10" t="e">
        <f aca="false">W72/$P72</f>
        <v>#DIV/0!</v>
      </c>
      <c r="Y72" s="9" t="n">
        <f aca="false">K72</f>
        <v>0</v>
      </c>
      <c r="Z72" s="9" t="n">
        <f aca="false">Y72</f>
        <v>0</v>
      </c>
    </row>
    <row r="73" customFormat="false" ht="12.8" hidden="false" customHeight="false" outlineLevel="0" collapsed="false">
      <c r="D73" s="70" t="s">
        <v>21</v>
      </c>
      <c r="E73" s="72" t="s">
        <v>140</v>
      </c>
      <c r="F73" s="29" t="s">
        <v>136</v>
      </c>
      <c r="G73" s="30" t="n">
        <f aca="false">SUM(G72)</f>
        <v>0</v>
      </c>
      <c r="H73" s="30" t="n">
        <f aca="false">SUM(H72)</f>
        <v>0</v>
      </c>
      <c r="I73" s="30" t="n">
        <f aca="false">SUM(I72)</f>
        <v>0</v>
      </c>
      <c r="J73" s="30" t="n">
        <f aca="false">SUM(J72)</f>
        <v>230.86</v>
      </c>
      <c r="K73" s="30" t="n">
        <f aca="false">SUM(K72)</f>
        <v>0</v>
      </c>
      <c r="L73" s="30" t="n">
        <f aca="false">SUM(L72)</f>
        <v>0</v>
      </c>
      <c r="M73" s="30" t="n">
        <f aca="false">SUM(M72)</f>
        <v>0</v>
      </c>
      <c r="N73" s="30" t="n">
        <f aca="false">SUM(N72)</f>
        <v>0</v>
      </c>
      <c r="O73" s="30" t="n">
        <f aca="false">SUM(O72)</f>
        <v>0</v>
      </c>
      <c r="P73" s="30" t="n">
        <f aca="false">SUM(P72)</f>
        <v>0</v>
      </c>
      <c r="Q73" s="30" t="n">
        <f aca="false">SUM(Q72)</f>
        <v>0</v>
      </c>
      <c r="R73" s="71" t="e">
        <f aca="false">Q73/$P73</f>
        <v>#DIV/0!</v>
      </c>
      <c r="S73" s="30" t="n">
        <f aca="false">SUM(S72)</f>
        <v>0</v>
      </c>
      <c r="T73" s="71" t="e">
        <f aca="false">S73/$P73</f>
        <v>#DIV/0!</v>
      </c>
      <c r="U73" s="30" t="n">
        <f aca="false">SUM(U72)</f>
        <v>0</v>
      </c>
      <c r="V73" s="71" t="e">
        <f aca="false">U73/$P73</f>
        <v>#DIV/0!</v>
      </c>
      <c r="W73" s="30" t="n">
        <f aca="false">SUM(W72)</f>
        <v>0</v>
      </c>
      <c r="X73" s="71" t="e">
        <f aca="false">W73/$P73</f>
        <v>#DIV/0!</v>
      </c>
      <c r="Y73" s="30" t="n">
        <f aca="false">SUM(Y72)</f>
        <v>0</v>
      </c>
      <c r="Z73" s="30" t="n">
        <f aca="false">SUM(Z72)</f>
        <v>0</v>
      </c>
    </row>
    <row r="74" customFormat="false" ht="12.8" hidden="false" customHeight="false" outlineLevel="0" collapsed="false">
      <c r="A74" s="1" t="n">
        <v>1</v>
      </c>
      <c r="B74" s="1" t="n">
        <v>1</v>
      </c>
      <c r="C74" s="1" t="n">
        <v>4</v>
      </c>
      <c r="D74" s="31" t="s">
        <v>130</v>
      </c>
      <c r="E74" s="8" t="n">
        <v>630</v>
      </c>
      <c r="F74" s="8" t="s">
        <v>133</v>
      </c>
      <c r="G74" s="9" t="n">
        <v>11905.01</v>
      </c>
      <c r="H74" s="9" t="n">
        <v>26035.41</v>
      </c>
      <c r="I74" s="9" t="n">
        <v>15007</v>
      </c>
      <c r="J74" s="9" t="n">
        <v>40778.05</v>
      </c>
      <c r="K74" s="9" t="n">
        <v>14451</v>
      </c>
      <c r="L74" s="9"/>
      <c r="M74" s="9" t="n">
        <v>2000</v>
      </c>
      <c r="N74" s="9"/>
      <c r="O74" s="9" t="n">
        <v>-111</v>
      </c>
      <c r="P74" s="9" t="n">
        <f aca="false">SUM(K74:O74)</f>
        <v>16340</v>
      </c>
      <c r="Q74" s="9" t="n">
        <v>5175.12</v>
      </c>
      <c r="R74" s="10" t="n">
        <f aca="false">Q74/$P74</f>
        <v>0.316714810281518</v>
      </c>
      <c r="S74" s="9" t="n">
        <v>9796.38</v>
      </c>
      <c r="T74" s="10" t="n">
        <f aca="false">S74/$P74</f>
        <v>0.599533659730722</v>
      </c>
      <c r="U74" s="9" t="n">
        <v>12697.21</v>
      </c>
      <c r="V74" s="10" t="n">
        <f aca="false">U74/$P74</f>
        <v>0.777063035495716</v>
      </c>
      <c r="W74" s="9" t="n">
        <v>16263</v>
      </c>
      <c r="X74" s="10" t="n">
        <f aca="false">W74/$P74</f>
        <v>0.995287637698898</v>
      </c>
      <c r="Y74" s="9" t="n">
        <f aca="false">K74</f>
        <v>14451</v>
      </c>
      <c r="Z74" s="9" t="n">
        <f aca="false">Y74</f>
        <v>14451</v>
      </c>
    </row>
    <row r="75" customFormat="false" ht="12.8" hidden="false" customHeight="false" outlineLevel="0" collapsed="false">
      <c r="A75" s="1" t="n">
        <v>1</v>
      </c>
      <c r="B75" s="1" t="n">
        <v>1</v>
      </c>
      <c r="C75" s="1" t="n">
        <v>4</v>
      </c>
      <c r="D75" s="31" t="s">
        <v>138</v>
      </c>
      <c r="E75" s="8" t="n">
        <v>630</v>
      </c>
      <c r="F75" s="8" t="s">
        <v>141</v>
      </c>
      <c r="G75" s="9" t="n">
        <v>430.98</v>
      </c>
      <c r="H75" s="9" t="n">
        <v>486.39</v>
      </c>
      <c r="I75" s="9" t="n">
        <v>500</v>
      </c>
      <c r="J75" s="9" t="n">
        <v>500.17</v>
      </c>
      <c r="K75" s="9" t="n">
        <v>179</v>
      </c>
      <c r="L75" s="9"/>
      <c r="M75" s="9" t="n">
        <v>151</v>
      </c>
      <c r="N75" s="9"/>
      <c r="O75" s="9" t="n">
        <v>111</v>
      </c>
      <c r="P75" s="9" t="n">
        <f aca="false">SUM(K75:O75)</f>
        <v>441</v>
      </c>
      <c r="Q75" s="9" t="n">
        <v>67.44</v>
      </c>
      <c r="R75" s="10" t="n">
        <f aca="false">Q75/$P75</f>
        <v>0.152925170068027</v>
      </c>
      <c r="S75" s="9" t="n">
        <v>168.4</v>
      </c>
      <c r="T75" s="10" t="n">
        <f aca="false">S75/$P75</f>
        <v>0.381859410430839</v>
      </c>
      <c r="U75" s="9" t="n">
        <v>280.39</v>
      </c>
      <c r="V75" s="10" t="n">
        <f aca="false">U75/$P75</f>
        <v>0.635804988662132</v>
      </c>
      <c r="W75" s="9" t="n">
        <v>441.63</v>
      </c>
      <c r="X75" s="10" t="n">
        <f aca="false">W75/$P75</f>
        <v>1.00142857142857</v>
      </c>
      <c r="Y75" s="9" t="n">
        <f aca="false">K75</f>
        <v>179</v>
      </c>
      <c r="Z75" s="9" t="n">
        <f aca="false">Y75</f>
        <v>179</v>
      </c>
    </row>
    <row r="76" customFormat="false" ht="12.8" hidden="false" customHeight="false" outlineLevel="0" collapsed="false">
      <c r="D76" s="70" t="s">
        <v>21</v>
      </c>
      <c r="E76" s="29" t="n">
        <v>41</v>
      </c>
      <c r="F76" s="29" t="s">
        <v>23</v>
      </c>
      <c r="G76" s="30" t="n">
        <f aca="false">SUM(G74:G75)</f>
        <v>12335.99</v>
      </c>
      <c r="H76" s="30" t="n">
        <f aca="false">SUM(H74:H75)</f>
        <v>26521.8</v>
      </c>
      <c r="I76" s="30" t="n">
        <f aca="false">SUM(I74:I75)</f>
        <v>15507</v>
      </c>
      <c r="J76" s="30" t="n">
        <f aca="false">SUM(J74:J75)</f>
        <v>41278.22</v>
      </c>
      <c r="K76" s="30" t="n">
        <f aca="false">SUM(K74:K75)</f>
        <v>14630</v>
      </c>
      <c r="L76" s="30" t="n">
        <f aca="false">SUM(L74:L75)</f>
        <v>0</v>
      </c>
      <c r="M76" s="30" t="n">
        <f aca="false">SUM(M74:M75)</f>
        <v>2151</v>
      </c>
      <c r="N76" s="30" t="n">
        <f aca="false">SUM(N74:N75)</f>
        <v>0</v>
      </c>
      <c r="O76" s="30" t="n">
        <f aca="false">SUM(O74:O75)</f>
        <v>0</v>
      </c>
      <c r="P76" s="30" t="n">
        <f aca="false">SUM(P74:P75)</f>
        <v>16781</v>
      </c>
      <c r="Q76" s="30" t="n">
        <f aca="false">SUM(Q74:Q75)</f>
        <v>5242.56</v>
      </c>
      <c r="R76" s="71" t="n">
        <f aca="false">Q76/$P76</f>
        <v>0.312410464215482</v>
      </c>
      <c r="S76" s="30" t="n">
        <f aca="false">SUM(S74:S75)</f>
        <v>9964.78</v>
      </c>
      <c r="T76" s="71" t="n">
        <f aca="false">S76/$P76</f>
        <v>0.593813241165604</v>
      </c>
      <c r="U76" s="30" t="n">
        <f aca="false">SUM(U74:U75)</f>
        <v>12977.6</v>
      </c>
      <c r="V76" s="71" t="n">
        <f aca="false">U76/$P76</f>
        <v>0.773350813419939</v>
      </c>
      <c r="W76" s="30" t="n">
        <f aca="false">SUM(W74:W75)</f>
        <v>16704.63</v>
      </c>
      <c r="X76" s="71" t="n">
        <f aca="false">W76/$P76</f>
        <v>0.995449019724689</v>
      </c>
      <c r="Y76" s="30" t="n">
        <f aca="false">SUM(Y74:Y75)</f>
        <v>14630</v>
      </c>
      <c r="Z76" s="30" t="n">
        <f aca="false">SUM(Z74:Z75)</f>
        <v>14630</v>
      </c>
    </row>
    <row r="77" customFormat="false" ht="12.8" hidden="false" customHeight="false" outlineLevel="0" collapsed="false">
      <c r="A77" s="1" t="n">
        <v>1</v>
      </c>
      <c r="B77" s="1" t="n">
        <v>1</v>
      </c>
      <c r="C77" s="1" t="n">
        <v>4</v>
      </c>
      <c r="D77" s="73"/>
      <c r="E77" s="74"/>
      <c r="F77" s="11" t="s">
        <v>126</v>
      </c>
      <c r="G77" s="12" t="n">
        <f aca="false">G73+G76</f>
        <v>12335.99</v>
      </c>
      <c r="H77" s="12" t="n">
        <f aca="false">H73+H76</f>
        <v>26521.8</v>
      </c>
      <c r="I77" s="12" t="n">
        <f aca="false">I73+I76</f>
        <v>15507</v>
      </c>
      <c r="J77" s="12" t="n">
        <f aca="false">J73+J76</f>
        <v>41509.08</v>
      </c>
      <c r="K77" s="12" t="n">
        <f aca="false">K73+K76</f>
        <v>14630</v>
      </c>
      <c r="L77" s="12" t="n">
        <f aca="false">L73+L76</f>
        <v>0</v>
      </c>
      <c r="M77" s="12" t="n">
        <f aca="false">M73+M76</f>
        <v>2151</v>
      </c>
      <c r="N77" s="12" t="n">
        <f aca="false">N73+N76</f>
        <v>0</v>
      </c>
      <c r="O77" s="12" t="n">
        <f aca="false">O73+O76</f>
        <v>0</v>
      </c>
      <c r="P77" s="12" t="n">
        <f aca="false">P73+P76</f>
        <v>16781</v>
      </c>
      <c r="Q77" s="12" t="n">
        <f aca="false">Q73+Q76</f>
        <v>5242.56</v>
      </c>
      <c r="R77" s="13" t="n">
        <f aca="false">Q77/$P77</f>
        <v>0.312410464215482</v>
      </c>
      <c r="S77" s="12" t="n">
        <f aca="false">S73+S76</f>
        <v>9964.78</v>
      </c>
      <c r="T77" s="13" t="n">
        <f aca="false">S77/$P77</f>
        <v>0.593813241165604</v>
      </c>
      <c r="U77" s="12" t="n">
        <f aca="false">U73+U76</f>
        <v>12977.6</v>
      </c>
      <c r="V77" s="13" t="n">
        <f aca="false">U77/$P77</f>
        <v>0.773350813419939</v>
      </c>
      <c r="W77" s="12" t="n">
        <f aca="false">W73+W76</f>
        <v>16704.63</v>
      </c>
      <c r="X77" s="13" t="n">
        <f aca="false">W77/$P77</f>
        <v>0.995449019724689</v>
      </c>
      <c r="Y77" s="77" t="n">
        <f aca="false">Y73+Y76</f>
        <v>14630</v>
      </c>
      <c r="Z77" s="77" t="n">
        <f aca="false">Z73+Z76</f>
        <v>14630</v>
      </c>
    </row>
    <row r="78" customFormat="false" ht="12.8" hidden="false" customHeight="false" outlineLevel="0" collapsed="false">
      <c r="D78" s="75"/>
      <c r="E78" s="26"/>
      <c r="F78" s="2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customFormat="false" ht="12.8" hidden="false" customHeight="false" outlineLevel="0" collapsed="false">
      <c r="D79" s="75"/>
      <c r="E79" s="32" t="s">
        <v>57</v>
      </c>
      <c r="F79" s="14" t="s">
        <v>142</v>
      </c>
      <c r="G79" s="33" t="n">
        <v>2328.19</v>
      </c>
      <c r="H79" s="33" t="n">
        <v>2489.95</v>
      </c>
      <c r="I79" s="33" t="n">
        <v>2500</v>
      </c>
      <c r="J79" s="33" t="n">
        <v>27373.37</v>
      </c>
      <c r="K79" s="33" t="n">
        <v>2500</v>
      </c>
      <c r="L79" s="33"/>
      <c r="M79" s="33"/>
      <c r="N79" s="33"/>
      <c r="O79" s="33" t="n">
        <f aca="false">-900-201-11</f>
        <v>-1112</v>
      </c>
      <c r="P79" s="33" t="n">
        <f aca="false">SUM(K79:O79)</f>
        <v>1388</v>
      </c>
      <c r="Q79" s="33" t="n">
        <v>420</v>
      </c>
      <c r="R79" s="34" t="n">
        <f aca="false">Q79/$P79</f>
        <v>0.302593659942363</v>
      </c>
      <c r="S79" s="33" t="n">
        <v>420</v>
      </c>
      <c r="T79" s="34" t="n">
        <f aca="false">S79/$P79</f>
        <v>0.302593659942363</v>
      </c>
      <c r="U79" s="33" t="n">
        <v>537.48</v>
      </c>
      <c r="V79" s="34" t="n">
        <f aca="false">U79/$P79</f>
        <v>0.387233429394813</v>
      </c>
      <c r="W79" s="33" t="n">
        <v>1388</v>
      </c>
      <c r="X79" s="35" t="n">
        <f aca="false">W79/$P79</f>
        <v>1</v>
      </c>
      <c r="Y79" s="33" t="n">
        <f aca="false">K79</f>
        <v>2500</v>
      </c>
      <c r="Z79" s="36" t="n">
        <f aca="false">Y79</f>
        <v>2500</v>
      </c>
    </row>
    <row r="80" customFormat="false" ht="12.8" hidden="false" customHeight="false" outlineLevel="0" collapsed="false">
      <c r="D80" s="75"/>
      <c r="E80" s="37"/>
      <c r="F80" s="1" t="s">
        <v>143</v>
      </c>
      <c r="G80" s="39" t="n">
        <v>1400</v>
      </c>
      <c r="H80" s="39" t="n">
        <v>1630</v>
      </c>
      <c r="I80" s="39" t="n">
        <v>1400</v>
      </c>
      <c r="J80" s="39" t="n">
        <v>1400</v>
      </c>
      <c r="K80" s="39" t="n">
        <v>1400</v>
      </c>
      <c r="L80" s="39"/>
      <c r="M80" s="39"/>
      <c r="N80" s="39"/>
      <c r="O80" s="39" t="n">
        <v>50</v>
      </c>
      <c r="P80" s="39" t="n">
        <f aca="false">SUM(K80:O80)</f>
        <v>1450</v>
      </c>
      <c r="Q80" s="39" t="n">
        <v>350</v>
      </c>
      <c r="R80" s="40" t="n">
        <f aca="false">Q80/$P80</f>
        <v>0.241379310344828</v>
      </c>
      <c r="S80" s="39" t="n">
        <v>700</v>
      </c>
      <c r="T80" s="40" t="n">
        <f aca="false">S80/$P80</f>
        <v>0.482758620689655</v>
      </c>
      <c r="U80" s="39" t="n">
        <v>1090</v>
      </c>
      <c r="V80" s="40" t="n">
        <f aca="false">U80/$P80</f>
        <v>0.751724137931034</v>
      </c>
      <c r="W80" s="39" t="n">
        <v>1366.29</v>
      </c>
      <c r="X80" s="41" t="n">
        <f aca="false">W80/$P80</f>
        <v>0.942268965517241</v>
      </c>
      <c r="Y80" s="39" t="n">
        <f aca="false">I80</f>
        <v>1400</v>
      </c>
      <c r="Z80" s="42" t="n">
        <f aca="false">Y80</f>
        <v>1400</v>
      </c>
    </row>
    <row r="81" customFormat="false" ht="12.8" hidden="false" customHeight="false" outlineLevel="0" collapsed="false">
      <c r="D81" s="75"/>
      <c r="E81" s="37"/>
      <c r="F81" s="78" t="s">
        <v>144</v>
      </c>
      <c r="G81" s="79" t="n">
        <v>0</v>
      </c>
      <c r="H81" s="79" t="n">
        <v>2396.9</v>
      </c>
      <c r="I81" s="79" t="n">
        <v>1900</v>
      </c>
      <c r="J81" s="79" t="n">
        <v>1900.8</v>
      </c>
      <c r="K81" s="79" t="n">
        <v>1900</v>
      </c>
      <c r="L81" s="79"/>
      <c r="M81" s="79"/>
      <c r="N81" s="79"/>
      <c r="O81" s="79"/>
      <c r="P81" s="79" t="n">
        <f aca="false">SUM(K81:O81)</f>
        <v>1900</v>
      </c>
      <c r="Q81" s="79" t="n">
        <v>475.2</v>
      </c>
      <c r="R81" s="40" t="n">
        <f aca="false">Q81/$P81</f>
        <v>0.250105263157895</v>
      </c>
      <c r="S81" s="79" t="n">
        <v>950.4</v>
      </c>
      <c r="T81" s="40" t="n">
        <f aca="false">S81/$P81</f>
        <v>0.500210526315789</v>
      </c>
      <c r="U81" s="79" t="n">
        <v>1425.6</v>
      </c>
      <c r="V81" s="40" t="n">
        <f aca="false">U81/$P81</f>
        <v>0.750315789473684</v>
      </c>
      <c r="W81" s="79" t="n">
        <v>1900.8</v>
      </c>
      <c r="X81" s="41" t="n">
        <f aca="false">W81/$P81</f>
        <v>1.00042105263158</v>
      </c>
      <c r="Y81" s="79" t="n">
        <f aca="false">K81</f>
        <v>1900</v>
      </c>
      <c r="Z81" s="42" t="n">
        <f aca="false">Y81</f>
        <v>1900</v>
      </c>
    </row>
    <row r="82" customFormat="false" ht="12.8" hidden="false" customHeight="false" outlineLevel="0" collapsed="false">
      <c r="D82" s="75"/>
      <c r="E82" s="44"/>
      <c r="F82" s="57" t="s">
        <v>145</v>
      </c>
      <c r="G82" s="46"/>
      <c r="H82" s="46" t="n">
        <v>12281.22</v>
      </c>
      <c r="I82" s="46" t="n">
        <v>2000</v>
      </c>
      <c r="J82" s="46" t="n">
        <v>2604.53</v>
      </c>
      <c r="K82" s="80" t="n">
        <v>1002</v>
      </c>
      <c r="L82" s="80" t="n">
        <v>71</v>
      </c>
      <c r="M82" s="80" t="n">
        <v>1530</v>
      </c>
      <c r="N82" s="80" t="n">
        <v>69</v>
      </c>
      <c r="O82" s="80" t="n">
        <v>75</v>
      </c>
      <c r="P82" s="80" t="n">
        <f aca="false">SUM(K82:O82)</f>
        <v>2747</v>
      </c>
      <c r="Q82" s="80" t="n">
        <v>1004.57</v>
      </c>
      <c r="R82" s="47" t="n">
        <f aca="false">Q82/$P82</f>
        <v>0.36569712413542</v>
      </c>
      <c r="S82" s="80" t="n">
        <v>2602.79</v>
      </c>
      <c r="T82" s="47" t="n">
        <f aca="false">S82/$P82</f>
        <v>0.947502730251183</v>
      </c>
      <c r="U82" s="80" t="n">
        <v>2672.09</v>
      </c>
      <c r="V82" s="47" t="n">
        <f aca="false">U82/$P82</f>
        <v>0.972730251183109</v>
      </c>
      <c r="W82" s="80" t="n">
        <v>2746.34</v>
      </c>
      <c r="X82" s="48" t="n">
        <f aca="false">W82/$P82</f>
        <v>0.999759737895886</v>
      </c>
      <c r="Y82" s="46" t="n">
        <v>500</v>
      </c>
      <c r="Z82" s="49" t="n">
        <v>500</v>
      </c>
    </row>
    <row r="83" customFormat="false" ht="12.8" hidden="false" customHeight="false" outlineLevel="0" collapsed="false">
      <c r="D83" s="75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customFormat="false" ht="12.8" hidden="false" customHeight="false" outlineLevel="0" collapsed="false">
      <c r="D84" s="51" t="s">
        <v>146</v>
      </c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customFormat="false" ht="12.8" hidden="false" customHeight="false" outlineLevel="0" collapsed="false">
      <c r="D85" s="5" t="s">
        <v>33</v>
      </c>
      <c r="E85" s="5" t="s">
        <v>34</v>
      </c>
      <c r="F85" s="5" t="s">
        <v>35</v>
      </c>
      <c r="G85" s="5" t="s">
        <v>1</v>
      </c>
      <c r="H85" s="5" t="s">
        <v>2</v>
      </c>
      <c r="I85" s="5" t="s">
        <v>3</v>
      </c>
      <c r="J85" s="5" t="s">
        <v>4</v>
      </c>
      <c r="K85" s="5" t="s">
        <v>5</v>
      </c>
      <c r="L85" s="5" t="s">
        <v>6</v>
      </c>
      <c r="M85" s="5" t="s">
        <v>7</v>
      </c>
      <c r="N85" s="5" t="s">
        <v>8</v>
      </c>
      <c r="O85" s="5" t="s">
        <v>9</v>
      </c>
      <c r="P85" s="5" t="s">
        <v>10</v>
      </c>
      <c r="Q85" s="5" t="s">
        <v>11</v>
      </c>
      <c r="R85" s="5" t="s">
        <v>12</v>
      </c>
      <c r="S85" s="5" t="s">
        <v>13</v>
      </c>
      <c r="T85" s="5" t="s">
        <v>14</v>
      </c>
      <c r="U85" s="5" t="s">
        <v>15</v>
      </c>
      <c r="V85" s="5" t="s">
        <v>16</v>
      </c>
      <c r="W85" s="5" t="s">
        <v>17</v>
      </c>
      <c r="X85" s="5" t="s">
        <v>18</v>
      </c>
      <c r="Y85" s="5" t="s">
        <v>19</v>
      </c>
      <c r="Z85" s="5" t="s">
        <v>20</v>
      </c>
    </row>
    <row r="86" customFormat="false" ht="12.8" hidden="false" customHeight="false" outlineLevel="0" collapsed="false">
      <c r="A86" s="1" t="n">
        <v>1</v>
      </c>
      <c r="B86" s="1" t="n">
        <v>1</v>
      </c>
      <c r="C86" s="1" t="n">
        <v>5</v>
      </c>
      <c r="D86" s="31" t="s">
        <v>130</v>
      </c>
      <c r="E86" s="8" t="n">
        <v>610</v>
      </c>
      <c r="F86" s="8" t="s">
        <v>131</v>
      </c>
      <c r="G86" s="9" t="n">
        <v>6672.36</v>
      </c>
      <c r="H86" s="9" t="n">
        <v>11110.92</v>
      </c>
      <c r="I86" s="9" t="n">
        <v>12424</v>
      </c>
      <c r="J86" s="9" t="n">
        <v>16766.26</v>
      </c>
      <c r="K86" s="9" t="n">
        <v>7780</v>
      </c>
      <c r="L86" s="9"/>
      <c r="M86" s="9"/>
      <c r="N86" s="9" t="n">
        <v>2000</v>
      </c>
      <c r="O86" s="9" t="n">
        <v>492</v>
      </c>
      <c r="P86" s="9" t="n">
        <f aca="false">SUM(K86:O86)</f>
        <v>10272</v>
      </c>
      <c r="Q86" s="9" t="n">
        <v>4310.75</v>
      </c>
      <c r="R86" s="10" t="n">
        <f aca="false">Q86/$P86</f>
        <v>0.419660241433022</v>
      </c>
      <c r="S86" s="9" t="n">
        <v>6598.54</v>
      </c>
      <c r="T86" s="10" t="n">
        <f aca="false">S86/$P86</f>
        <v>0.642381230529595</v>
      </c>
      <c r="U86" s="9" t="n">
        <v>8110.85</v>
      </c>
      <c r="V86" s="10" t="n">
        <f aca="false">U86/$P86</f>
        <v>0.789607671339564</v>
      </c>
      <c r="W86" s="9" t="n">
        <v>10272.61</v>
      </c>
      <c r="X86" s="10" t="n">
        <f aca="false">W86/$P86</f>
        <v>1.0000593847352</v>
      </c>
      <c r="Y86" s="9" t="n">
        <v>9145</v>
      </c>
      <c r="Z86" s="9" t="n">
        <v>10060</v>
      </c>
    </row>
    <row r="87" customFormat="false" ht="12.8" hidden="false" customHeight="false" outlineLevel="0" collapsed="false">
      <c r="A87" s="1" t="n">
        <v>1</v>
      </c>
      <c r="B87" s="1" t="n">
        <v>1</v>
      </c>
      <c r="C87" s="1" t="n">
        <v>5</v>
      </c>
      <c r="D87" s="31" t="s">
        <v>147</v>
      </c>
      <c r="E87" s="8" t="n">
        <v>620</v>
      </c>
      <c r="F87" s="8" t="s">
        <v>132</v>
      </c>
      <c r="G87" s="9" t="n">
        <v>2591.4</v>
      </c>
      <c r="H87" s="9" t="n">
        <v>4590.25</v>
      </c>
      <c r="I87" s="9" t="n">
        <v>5891</v>
      </c>
      <c r="J87" s="9" t="n">
        <v>6232.09</v>
      </c>
      <c r="K87" s="9" t="n">
        <v>3777</v>
      </c>
      <c r="L87" s="9"/>
      <c r="M87" s="9"/>
      <c r="N87" s="9" t="n">
        <v>808</v>
      </c>
      <c r="O87" s="9" t="n">
        <v>-200</v>
      </c>
      <c r="P87" s="9" t="n">
        <f aca="false">SUM(K87:O87)</f>
        <v>4385</v>
      </c>
      <c r="Q87" s="9" t="n">
        <v>1408.69</v>
      </c>
      <c r="R87" s="10" t="n">
        <f aca="false">Q87/$P87</f>
        <v>0.321251995438997</v>
      </c>
      <c r="S87" s="9" t="n">
        <v>2318.62</v>
      </c>
      <c r="T87" s="10" t="n">
        <f aca="false">S87/$P87</f>
        <v>0.528761687571266</v>
      </c>
      <c r="U87" s="9" t="n">
        <v>3277.39</v>
      </c>
      <c r="V87" s="10" t="n">
        <f aca="false">U87/$P87</f>
        <v>0.747409350057013</v>
      </c>
      <c r="W87" s="9" t="n">
        <v>4384.79</v>
      </c>
      <c r="X87" s="10" t="n">
        <f aca="false">W87/$P87</f>
        <v>0.999952109464082</v>
      </c>
      <c r="Y87" s="9" t="n">
        <v>4280</v>
      </c>
      <c r="Z87" s="9" t="n">
        <v>4619</v>
      </c>
    </row>
    <row r="88" customFormat="false" ht="12.8" hidden="false" customHeight="false" outlineLevel="0" collapsed="false">
      <c r="A88" s="1" t="n">
        <v>1</v>
      </c>
      <c r="B88" s="1" t="n">
        <v>1</v>
      </c>
      <c r="C88" s="1" t="n">
        <v>5</v>
      </c>
      <c r="D88" s="31" t="s">
        <v>148</v>
      </c>
      <c r="E88" s="8" t="n">
        <v>630</v>
      </c>
      <c r="F88" s="8" t="s">
        <v>133</v>
      </c>
      <c r="G88" s="9" t="n">
        <v>26003.76</v>
      </c>
      <c r="H88" s="9" t="n">
        <v>28241.26</v>
      </c>
      <c r="I88" s="9" t="n">
        <v>26496</v>
      </c>
      <c r="J88" s="9" t="n">
        <v>30675.07</v>
      </c>
      <c r="K88" s="9" t="n">
        <f aca="false">4614+25029</f>
        <v>29643</v>
      </c>
      <c r="L88" s="9"/>
      <c r="M88" s="9"/>
      <c r="N88" s="9" t="n">
        <v>3982</v>
      </c>
      <c r="O88" s="9" t="n">
        <v>-203</v>
      </c>
      <c r="P88" s="9" t="n">
        <f aca="false">SUM(K88:O88)</f>
        <v>33422</v>
      </c>
      <c r="Q88" s="9" t="n">
        <v>5635.48</v>
      </c>
      <c r="R88" s="10" t="n">
        <f aca="false">Q88/$P88</f>
        <v>0.168615881754533</v>
      </c>
      <c r="S88" s="9" t="n">
        <v>13822.36</v>
      </c>
      <c r="T88" s="10" t="n">
        <f aca="false">S88/$P88</f>
        <v>0.413570701932859</v>
      </c>
      <c r="U88" s="9" t="n">
        <v>25262.96</v>
      </c>
      <c r="V88" s="10" t="n">
        <f aca="false">U88/$P88</f>
        <v>0.755878164083538</v>
      </c>
      <c r="W88" s="9" t="n">
        <v>33066.57</v>
      </c>
      <c r="X88" s="10" t="n">
        <f aca="false">W88/$P88</f>
        <v>0.98936538806774</v>
      </c>
      <c r="Y88" s="9" t="n">
        <f aca="false">4893+25029</f>
        <v>29922</v>
      </c>
      <c r="Z88" s="9" t="n">
        <f aca="false">4906+25029</f>
        <v>29935</v>
      </c>
    </row>
    <row r="89" customFormat="false" ht="12.8" hidden="false" customHeight="false" outlineLevel="0" collapsed="false">
      <c r="A89" s="1" t="n">
        <v>1</v>
      </c>
      <c r="B89" s="1" t="n">
        <v>1</v>
      </c>
      <c r="C89" s="1" t="n">
        <v>5</v>
      </c>
      <c r="D89" s="31" t="s">
        <v>149</v>
      </c>
      <c r="E89" s="8" t="n">
        <v>640</v>
      </c>
      <c r="F89" s="8" t="s">
        <v>134</v>
      </c>
      <c r="G89" s="9" t="n">
        <v>218.53</v>
      </c>
      <c r="H89" s="9" t="n">
        <v>4426.68</v>
      </c>
      <c r="I89" s="9" t="n">
        <v>0</v>
      </c>
      <c r="J89" s="9" t="n">
        <v>0</v>
      </c>
      <c r="K89" s="9" t="n">
        <v>0</v>
      </c>
      <c r="L89" s="9"/>
      <c r="M89" s="9"/>
      <c r="N89" s="9" t="n">
        <v>106</v>
      </c>
      <c r="O89" s="9"/>
      <c r="P89" s="9" t="n">
        <f aca="false">SUM(K89:O89)</f>
        <v>106</v>
      </c>
      <c r="Q89" s="9" t="n">
        <v>0</v>
      </c>
      <c r="R89" s="10" t="n">
        <f aca="false">Q89/$P89</f>
        <v>0</v>
      </c>
      <c r="S89" s="9" t="n">
        <v>0</v>
      </c>
      <c r="T89" s="10" t="n">
        <f aca="false">S89/$P89</f>
        <v>0</v>
      </c>
      <c r="U89" s="9" t="n">
        <v>106.16</v>
      </c>
      <c r="V89" s="10" t="n">
        <f aca="false">U89/$P89</f>
        <v>1.00150943396226</v>
      </c>
      <c r="W89" s="9" t="n">
        <v>106.16</v>
      </c>
      <c r="X89" s="10" t="n">
        <f aca="false">W89/$P89</f>
        <v>1.00150943396226</v>
      </c>
      <c r="Y89" s="9" t="n">
        <f aca="false">K89</f>
        <v>0</v>
      </c>
      <c r="Z89" s="9" t="n">
        <f aca="false">Y89</f>
        <v>0</v>
      </c>
    </row>
    <row r="90" customFormat="false" ht="12.8" hidden="false" customHeight="false" outlineLevel="0" collapsed="false">
      <c r="A90" s="1" t="n">
        <v>1</v>
      </c>
      <c r="B90" s="1" t="n">
        <v>1</v>
      </c>
      <c r="C90" s="1" t="n">
        <v>5</v>
      </c>
      <c r="D90" s="70" t="s">
        <v>21</v>
      </c>
      <c r="E90" s="29" t="n">
        <v>41</v>
      </c>
      <c r="F90" s="29" t="s">
        <v>23</v>
      </c>
      <c r="G90" s="30" t="n">
        <f aca="false">SUM(G86:G89)</f>
        <v>35486.05</v>
      </c>
      <c r="H90" s="30" t="n">
        <f aca="false">SUM(H86:H89)</f>
        <v>48369.11</v>
      </c>
      <c r="I90" s="30" t="n">
        <f aca="false">SUM(I86:I89)</f>
        <v>44811</v>
      </c>
      <c r="J90" s="30" t="n">
        <f aca="false">SUM(J86:J89)</f>
        <v>53673.42</v>
      </c>
      <c r="K90" s="30" t="n">
        <f aca="false">SUM(K86:K89)</f>
        <v>41200</v>
      </c>
      <c r="L90" s="30" t="n">
        <f aca="false">SUM(L86:L89)</f>
        <v>0</v>
      </c>
      <c r="M90" s="30" t="n">
        <f aca="false">SUM(M86:M89)</f>
        <v>0</v>
      </c>
      <c r="N90" s="30" t="n">
        <f aca="false">SUM(N86:N89)</f>
        <v>6896</v>
      </c>
      <c r="O90" s="30" t="n">
        <f aca="false">SUM(O86:O89)</f>
        <v>89</v>
      </c>
      <c r="P90" s="30" t="n">
        <f aca="false">SUM(P86:P89)</f>
        <v>48185</v>
      </c>
      <c r="Q90" s="30" t="n">
        <f aca="false">SUM(Q86:Q89)</f>
        <v>11354.92</v>
      </c>
      <c r="R90" s="71" t="n">
        <f aca="false">Q90/$P90</f>
        <v>0.235652588979973</v>
      </c>
      <c r="S90" s="30" t="n">
        <f aca="false">SUM(S86:S89)</f>
        <v>22739.52</v>
      </c>
      <c r="T90" s="71" t="n">
        <f aca="false">S90/$P90</f>
        <v>0.471921137283387</v>
      </c>
      <c r="U90" s="30" t="n">
        <f aca="false">SUM(U86:U89)</f>
        <v>36757.36</v>
      </c>
      <c r="V90" s="71" t="n">
        <f aca="false">U90/$P90</f>
        <v>0.762838227664211</v>
      </c>
      <c r="W90" s="30" t="n">
        <f aca="false">SUM(W86:W89)</f>
        <v>47830.13</v>
      </c>
      <c r="X90" s="71" t="n">
        <f aca="false">W90/$P90</f>
        <v>0.992635259935665</v>
      </c>
      <c r="Y90" s="30" t="n">
        <f aca="false">SUM(Y86:Y89)</f>
        <v>43347</v>
      </c>
      <c r="Z90" s="30" t="n">
        <f aca="false">SUM(Z86:Z89)</f>
        <v>44614</v>
      </c>
    </row>
    <row r="91" customFormat="false" ht="12.8" hidden="false" customHeight="false" outlineLevel="0" collapsed="false">
      <c r="D91" s="56" t="s">
        <v>130</v>
      </c>
      <c r="E91" s="8" t="n">
        <v>640</v>
      </c>
      <c r="F91" s="8" t="s">
        <v>134</v>
      </c>
      <c r="G91" s="9" t="n">
        <v>0</v>
      </c>
      <c r="H91" s="9" t="n">
        <v>0</v>
      </c>
      <c r="I91" s="9" t="n">
        <v>0</v>
      </c>
      <c r="J91" s="9" t="n">
        <v>196.97</v>
      </c>
      <c r="K91" s="9" t="n">
        <v>200</v>
      </c>
      <c r="L91" s="9"/>
      <c r="M91" s="9"/>
      <c r="N91" s="9"/>
      <c r="O91" s="9" t="n">
        <v>-68</v>
      </c>
      <c r="P91" s="9" t="n">
        <f aca="false">SUM(K91:O91)</f>
        <v>132</v>
      </c>
      <c r="Q91" s="9" t="n">
        <v>0</v>
      </c>
      <c r="R91" s="10" t="n">
        <f aca="false">Q91/$P91</f>
        <v>0</v>
      </c>
      <c r="S91" s="9" t="n">
        <v>0</v>
      </c>
      <c r="T91" s="10" t="n">
        <f aca="false">S91/$P91</f>
        <v>0</v>
      </c>
      <c r="U91" s="9" t="n">
        <v>0</v>
      </c>
      <c r="V91" s="10" t="n">
        <f aca="false">U91/$P91</f>
        <v>0</v>
      </c>
      <c r="W91" s="9" t="n">
        <v>112.07</v>
      </c>
      <c r="X91" s="10" t="n">
        <f aca="false">W91/$P91</f>
        <v>0.849015151515152</v>
      </c>
      <c r="Y91" s="9" t="n">
        <f aca="false">K91</f>
        <v>200</v>
      </c>
      <c r="Z91" s="9" t="n">
        <f aca="false">Y91</f>
        <v>200</v>
      </c>
    </row>
    <row r="92" customFormat="false" ht="12.8" hidden="false" customHeight="false" outlineLevel="0" collapsed="false">
      <c r="D92" s="70" t="s">
        <v>21</v>
      </c>
      <c r="E92" s="29" t="n">
        <v>72</v>
      </c>
      <c r="F92" s="29" t="s">
        <v>25</v>
      </c>
      <c r="G92" s="30" t="n">
        <f aca="false">SUM(G91:G91)</f>
        <v>0</v>
      </c>
      <c r="H92" s="30" t="n">
        <f aca="false">SUM(H91:H91)</f>
        <v>0</v>
      </c>
      <c r="I92" s="30" t="n">
        <f aca="false">SUM(I91:I91)</f>
        <v>0</v>
      </c>
      <c r="J92" s="30" t="n">
        <f aca="false">SUM(J91:J91)</f>
        <v>196.97</v>
      </c>
      <c r="K92" s="30" t="n">
        <f aca="false">SUM(K91:K91)</f>
        <v>200</v>
      </c>
      <c r="L92" s="30" t="n">
        <f aca="false">SUM(L91:L91)</f>
        <v>0</v>
      </c>
      <c r="M92" s="30" t="n">
        <f aca="false">SUM(M91:M91)</f>
        <v>0</v>
      </c>
      <c r="N92" s="30" t="n">
        <f aca="false">SUM(N91:N91)</f>
        <v>0</v>
      </c>
      <c r="O92" s="30" t="n">
        <f aca="false">SUM(O91:O91)</f>
        <v>-68</v>
      </c>
      <c r="P92" s="30" t="n">
        <f aca="false">SUM(P91:P91)</f>
        <v>132</v>
      </c>
      <c r="Q92" s="30" t="n">
        <f aca="false">SUM(Q91:Q91)</f>
        <v>0</v>
      </c>
      <c r="R92" s="71" t="n">
        <f aca="false">Q92/$P92</f>
        <v>0</v>
      </c>
      <c r="S92" s="30" t="n">
        <f aca="false">SUM(S91:S91)</f>
        <v>0</v>
      </c>
      <c r="T92" s="71" t="n">
        <f aca="false">S92/$P92</f>
        <v>0</v>
      </c>
      <c r="U92" s="30" t="n">
        <f aca="false">SUM(U91:U91)</f>
        <v>0</v>
      </c>
      <c r="V92" s="71" t="n">
        <f aca="false">U92/$P92</f>
        <v>0</v>
      </c>
      <c r="W92" s="30" t="n">
        <f aca="false">SUM(W91:W91)</f>
        <v>112.07</v>
      </c>
      <c r="X92" s="71" t="n">
        <f aca="false">W92/$P92</f>
        <v>0.849015151515152</v>
      </c>
      <c r="Y92" s="30" t="n">
        <f aca="false">SUM(Y91:Y91)</f>
        <v>200</v>
      </c>
      <c r="Z92" s="30" t="n">
        <f aca="false">SUM(Z91:Z91)</f>
        <v>200</v>
      </c>
    </row>
    <row r="93" customFormat="false" ht="12.8" hidden="false" customHeight="false" outlineLevel="0" collapsed="false">
      <c r="D93" s="73"/>
      <c r="E93" s="74"/>
      <c r="F93" s="11" t="s">
        <v>126</v>
      </c>
      <c r="G93" s="12" t="n">
        <f aca="false">G90+G92</f>
        <v>35486.05</v>
      </c>
      <c r="H93" s="12" t="n">
        <f aca="false">H90+H92</f>
        <v>48369.11</v>
      </c>
      <c r="I93" s="12" t="n">
        <f aca="false">I90+I92</f>
        <v>44811</v>
      </c>
      <c r="J93" s="12" t="n">
        <f aca="false">J90+J92</f>
        <v>53870.39</v>
      </c>
      <c r="K93" s="12" t="n">
        <f aca="false">K90+K92</f>
        <v>41400</v>
      </c>
      <c r="L93" s="12" t="n">
        <f aca="false">L90+L92</f>
        <v>0</v>
      </c>
      <c r="M93" s="12" t="n">
        <f aca="false">M90+M92</f>
        <v>0</v>
      </c>
      <c r="N93" s="12" t="n">
        <f aca="false">N90+N92</f>
        <v>6896</v>
      </c>
      <c r="O93" s="12" t="n">
        <f aca="false">O90+O92</f>
        <v>21</v>
      </c>
      <c r="P93" s="12" t="n">
        <f aca="false">P90+P92</f>
        <v>48317</v>
      </c>
      <c r="Q93" s="12" t="n">
        <f aca="false">Q90+Q92</f>
        <v>11354.92</v>
      </c>
      <c r="R93" s="13" t="n">
        <f aca="false">Q93/$P93</f>
        <v>0.235008796075915</v>
      </c>
      <c r="S93" s="12" t="n">
        <f aca="false">S90+S92</f>
        <v>22739.52</v>
      </c>
      <c r="T93" s="13" t="n">
        <f aca="false">S93/$P93</f>
        <v>0.470631868700457</v>
      </c>
      <c r="U93" s="12" t="n">
        <f aca="false">U90+U92</f>
        <v>36757.36</v>
      </c>
      <c r="V93" s="13" t="n">
        <f aca="false">U93/$P93</f>
        <v>0.760754185897303</v>
      </c>
      <c r="W93" s="12" t="n">
        <f aca="false">W90+W92</f>
        <v>47942.2</v>
      </c>
      <c r="X93" s="13" t="n">
        <f aca="false">W93/$P93</f>
        <v>0.992242895875158</v>
      </c>
      <c r="Y93" s="12" t="n">
        <f aca="false">Y90+Y92</f>
        <v>43547</v>
      </c>
      <c r="Z93" s="12" t="n">
        <f aca="false">Z90+Z92</f>
        <v>44814</v>
      </c>
    </row>
    <row r="94" customFormat="false" ht="12.8" hidden="false" customHeight="false" outlineLevel="0" collapsed="false">
      <c r="D94" s="75"/>
      <c r="E94" s="26"/>
      <c r="F94" s="2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customFormat="false" ht="12.8" hidden="false" customHeight="false" outlineLevel="0" collapsed="false">
      <c r="D95" s="75"/>
      <c r="E95" s="32" t="s">
        <v>57</v>
      </c>
      <c r="F95" s="14" t="s">
        <v>150</v>
      </c>
      <c r="G95" s="33" t="n">
        <v>1606</v>
      </c>
      <c r="H95" s="33" t="n">
        <v>1287</v>
      </c>
      <c r="I95" s="33" t="n">
        <v>1300</v>
      </c>
      <c r="J95" s="33" t="n">
        <v>1705</v>
      </c>
      <c r="K95" s="33" t="n">
        <v>1595</v>
      </c>
      <c r="L95" s="33"/>
      <c r="M95" s="33"/>
      <c r="N95" s="33"/>
      <c r="O95" s="33"/>
      <c r="P95" s="33" t="n">
        <f aca="false">SUM(K95:O95)</f>
        <v>1595</v>
      </c>
      <c r="Q95" s="33" t="n">
        <v>290</v>
      </c>
      <c r="R95" s="34" t="n">
        <f aca="false">Q95/$P95</f>
        <v>0.181818181818182</v>
      </c>
      <c r="S95" s="33" t="n">
        <v>725</v>
      </c>
      <c r="T95" s="34" t="n">
        <f aca="false">S95/$P95</f>
        <v>0.454545454545455</v>
      </c>
      <c r="U95" s="33" t="n">
        <v>1160</v>
      </c>
      <c r="V95" s="34" t="n">
        <f aca="false">U95/$P95</f>
        <v>0.727272727272727</v>
      </c>
      <c r="W95" s="33" t="n">
        <v>1595</v>
      </c>
      <c r="X95" s="35" t="n">
        <f aca="false">W95/$P95</f>
        <v>1</v>
      </c>
      <c r="Y95" s="33" t="n">
        <f aca="false">K95</f>
        <v>1595</v>
      </c>
      <c r="Z95" s="36" t="n">
        <f aca="false">Y95</f>
        <v>1595</v>
      </c>
    </row>
    <row r="96" customFormat="false" ht="12.8" hidden="false" customHeight="false" outlineLevel="0" collapsed="false">
      <c r="D96" s="75"/>
      <c r="E96" s="37"/>
      <c r="F96" s="1" t="s">
        <v>151</v>
      </c>
      <c r="G96" s="39" t="n">
        <v>7128</v>
      </c>
      <c r="H96" s="39" t="n">
        <v>3132.35</v>
      </c>
      <c r="I96" s="39" t="n">
        <v>3100</v>
      </c>
      <c r="J96" s="39" t="n">
        <v>3576</v>
      </c>
      <c r="K96" s="39" t="n">
        <v>2592</v>
      </c>
      <c r="L96" s="39"/>
      <c r="M96" s="39"/>
      <c r="N96" s="39"/>
      <c r="O96" s="39"/>
      <c r="P96" s="39" t="n">
        <f aca="false">SUM(K96:O96)</f>
        <v>2592</v>
      </c>
      <c r="Q96" s="39" t="n">
        <v>648</v>
      </c>
      <c r="R96" s="40" t="n">
        <f aca="false">Q96/$P96</f>
        <v>0.25</v>
      </c>
      <c r="S96" s="39" t="n">
        <v>1296</v>
      </c>
      <c r="T96" s="40" t="n">
        <f aca="false">S96/$P96</f>
        <v>0.5</v>
      </c>
      <c r="U96" s="39" t="n">
        <v>1944</v>
      </c>
      <c r="V96" s="40" t="n">
        <f aca="false">U96/$P96</f>
        <v>0.75</v>
      </c>
      <c r="W96" s="39" t="n">
        <v>2519.73</v>
      </c>
      <c r="X96" s="41" t="n">
        <f aca="false">W96/$P96</f>
        <v>0.972118055555555</v>
      </c>
      <c r="Y96" s="39" t="n">
        <f aca="false">K96</f>
        <v>2592</v>
      </c>
      <c r="Z96" s="42" t="n">
        <f aca="false">Y96</f>
        <v>2592</v>
      </c>
    </row>
    <row r="97" customFormat="false" ht="12.8" hidden="false" customHeight="false" outlineLevel="0" collapsed="false">
      <c r="D97" s="75"/>
      <c r="E97" s="44"/>
      <c r="F97" s="57" t="s">
        <v>152</v>
      </c>
      <c r="G97" s="46" t="n">
        <v>4050.55</v>
      </c>
      <c r="H97" s="46" t="n">
        <v>5504.47</v>
      </c>
      <c r="I97" s="46" t="n">
        <v>6150</v>
      </c>
      <c r="J97" s="46" t="n">
        <v>8528.31</v>
      </c>
      <c r="K97" s="46" t="n">
        <v>9250</v>
      </c>
      <c r="L97" s="46"/>
      <c r="M97" s="46"/>
      <c r="N97" s="46"/>
      <c r="O97" s="46" t="n">
        <v>-3017</v>
      </c>
      <c r="P97" s="46" t="n">
        <f aca="false">SUM(K97:O97)</f>
        <v>6233</v>
      </c>
      <c r="Q97" s="46" t="n">
        <v>1989.41</v>
      </c>
      <c r="R97" s="47" t="n">
        <f aca="false">Q97/$P97</f>
        <v>0.319173752607091</v>
      </c>
      <c r="S97" s="46" t="n">
        <v>3901.09</v>
      </c>
      <c r="T97" s="47" t="n">
        <f aca="false">S97/$P97</f>
        <v>0.625876784854805</v>
      </c>
      <c r="U97" s="46" t="n">
        <v>6763.87</v>
      </c>
      <c r="V97" s="47" t="n">
        <f aca="false">U97/$P97</f>
        <v>1.08517086475213</v>
      </c>
      <c r="W97" s="46" t="n">
        <v>5970.38</v>
      </c>
      <c r="X97" s="48" t="n">
        <f aca="false">W97/$P97</f>
        <v>0.957866196053265</v>
      </c>
      <c r="Y97" s="46" t="n">
        <f aca="false">K97</f>
        <v>9250</v>
      </c>
      <c r="Z97" s="49" t="n">
        <f aca="false">Y97</f>
        <v>9250</v>
      </c>
    </row>
    <row r="98" customFormat="false" ht="12.8" hidden="false" customHeight="false" outlineLevel="0" collapsed="false">
      <c r="D98" s="75"/>
      <c r="E98" s="26"/>
      <c r="F98" s="2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customFormat="false" ht="12.8" hidden="false" customHeight="false" outlineLevel="0" collapsed="false">
      <c r="D99" s="51" t="s">
        <v>153</v>
      </c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customFormat="false" ht="12.8" hidden="false" customHeight="false" outlineLevel="0" collapsed="false">
      <c r="D100" s="5" t="s">
        <v>33</v>
      </c>
      <c r="E100" s="5" t="s">
        <v>34</v>
      </c>
      <c r="F100" s="5" t="s">
        <v>35</v>
      </c>
      <c r="G100" s="5" t="s">
        <v>1</v>
      </c>
      <c r="H100" s="5" t="s">
        <v>2</v>
      </c>
      <c r="I100" s="5" t="s">
        <v>3</v>
      </c>
      <c r="J100" s="5" t="s">
        <v>4</v>
      </c>
      <c r="K100" s="5" t="s">
        <v>5</v>
      </c>
      <c r="L100" s="5" t="s">
        <v>6</v>
      </c>
      <c r="M100" s="5" t="s">
        <v>7</v>
      </c>
      <c r="N100" s="5" t="s">
        <v>8</v>
      </c>
      <c r="O100" s="5" t="s">
        <v>9</v>
      </c>
      <c r="P100" s="5" t="s">
        <v>10</v>
      </c>
      <c r="Q100" s="5" t="s">
        <v>11</v>
      </c>
      <c r="R100" s="5" t="s">
        <v>12</v>
      </c>
      <c r="S100" s="5" t="s">
        <v>13</v>
      </c>
      <c r="T100" s="5" t="s">
        <v>14</v>
      </c>
      <c r="U100" s="5" t="s">
        <v>15</v>
      </c>
      <c r="V100" s="5" t="s">
        <v>16</v>
      </c>
      <c r="W100" s="5" t="s">
        <v>17</v>
      </c>
      <c r="X100" s="5" t="s">
        <v>18</v>
      </c>
      <c r="Y100" s="5" t="s">
        <v>19</v>
      </c>
      <c r="Z100" s="5" t="s">
        <v>20</v>
      </c>
    </row>
    <row r="101" customFormat="false" ht="12.8" hidden="false" customHeight="false" outlineLevel="0" collapsed="false">
      <c r="A101" s="1" t="n">
        <v>1</v>
      </c>
      <c r="B101" s="1" t="n">
        <v>1</v>
      </c>
      <c r="C101" s="1" t="n">
        <v>6</v>
      </c>
      <c r="D101" s="69" t="s">
        <v>154</v>
      </c>
      <c r="E101" s="8" t="n">
        <v>630</v>
      </c>
      <c r="F101" s="8" t="s">
        <v>133</v>
      </c>
      <c r="G101" s="9" t="n">
        <v>3239</v>
      </c>
      <c r="H101" s="9" t="n">
        <v>1721.96</v>
      </c>
      <c r="I101" s="9" t="n">
        <v>4050</v>
      </c>
      <c r="J101" s="9" t="n">
        <v>1242.83</v>
      </c>
      <c r="K101" s="9" t="n">
        <v>1250</v>
      </c>
      <c r="L101" s="9"/>
      <c r="M101" s="9"/>
      <c r="N101" s="9"/>
      <c r="O101" s="9" t="n">
        <v>51</v>
      </c>
      <c r="P101" s="9" t="n">
        <f aca="false">SUM(K101:O101)</f>
        <v>1301</v>
      </c>
      <c r="Q101" s="9" t="n">
        <v>322.56</v>
      </c>
      <c r="R101" s="10" t="n">
        <f aca="false">Q101/$P101</f>
        <v>0.24793235972329</v>
      </c>
      <c r="S101" s="9" t="n">
        <v>336.83</v>
      </c>
      <c r="T101" s="10" t="n">
        <f aca="false">S101/$P101</f>
        <v>0.258900845503459</v>
      </c>
      <c r="U101" s="9" t="n">
        <v>336.83</v>
      </c>
      <c r="V101" s="10" t="n">
        <f aca="false">U101/$P101</f>
        <v>0.258900845503459</v>
      </c>
      <c r="W101" s="9" t="n">
        <v>1301.93</v>
      </c>
      <c r="X101" s="10" t="n">
        <f aca="false">W101/$P101</f>
        <v>1.00071483474251</v>
      </c>
      <c r="Y101" s="9" t="n">
        <f aca="false">K101</f>
        <v>1250</v>
      </c>
      <c r="Z101" s="9" t="n">
        <f aca="false">Y101</f>
        <v>1250</v>
      </c>
    </row>
    <row r="102" customFormat="false" ht="12.8" hidden="false" customHeight="false" outlineLevel="0" collapsed="false">
      <c r="A102" s="1" t="n">
        <v>1</v>
      </c>
      <c r="B102" s="1" t="n">
        <v>1</v>
      </c>
      <c r="C102" s="1" t="n">
        <v>6</v>
      </c>
      <c r="D102" s="55" t="s">
        <v>21</v>
      </c>
      <c r="E102" s="11" t="n">
        <v>41</v>
      </c>
      <c r="F102" s="11" t="s">
        <v>23</v>
      </c>
      <c r="G102" s="12" t="n">
        <f aca="false">SUM(G101:G101)</f>
        <v>3239</v>
      </c>
      <c r="H102" s="12" t="n">
        <f aca="false">SUM(H101:H101)</f>
        <v>1721.96</v>
      </c>
      <c r="I102" s="12" t="n">
        <f aca="false">SUM(I101:I101)</f>
        <v>4050</v>
      </c>
      <c r="J102" s="12" t="n">
        <f aca="false">SUM(J101:J101)</f>
        <v>1242.83</v>
      </c>
      <c r="K102" s="12" t="n">
        <f aca="false">SUM(K101:K101)</f>
        <v>1250</v>
      </c>
      <c r="L102" s="12" t="n">
        <f aca="false">SUM(L101:L101)</f>
        <v>0</v>
      </c>
      <c r="M102" s="12" t="n">
        <f aca="false">SUM(M101:M101)</f>
        <v>0</v>
      </c>
      <c r="N102" s="12" t="n">
        <f aca="false">SUM(N101:N101)</f>
        <v>0</v>
      </c>
      <c r="O102" s="12" t="n">
        <f aca="false">SUM(O101:O101)</f>
        <v>51</v>
      </c>
      <c r="P102" s="12" t="n">
        <f aca="false">SUM(P101:P101)</f>
        <v>1301</v>
      </c>
      <c r="Q102" s="12" t="n">
        <f aca="false">SUM(Q101:Q101)</f>
        <v>322.56</v>
      </c>
      <c r="R102" s="13" t="n">
        <f aca="false">Q102/$P102</f>
        <v>0.24793235972329</v>
      </c>
      <c r="S102" s="12" t="n">
        <f aca="false">SUM(S101:S101)</f>
        <v>336.83</v>
      </c>
      <c r="T102" s="13" t="n">
        <f aca="false">S102/$P102</f>
        <v>0.258900845503459</v>
      </c>
      <c r="U102" s="12" t="n">
        <f aca="false">SUM(U101:U101)</f>
        <v>336.83</v>
      </c>
      <c r="V102" s="13" t="n">
        <f aca="false">U102/$P102</f>
        <v>0.258900845503459</v>
      </c>
      <c r="W102" s="12" t="n">
        <f aca="false">SUM(W101:W101)</f>
        <v>1301.93</v>
      </c>
      <c r="X102" s="13" t="n">
        <f aca="false">W102/$P102</f>
        <v>1.00071483474251</v>
      </c>
      <c r="Y102" s="12" t="n">
        <f aca="false">SUM(Y101:Y101)</f>
        <v>1250</v>
      </c>
      <c r="Z102" s="12" t="n">
        <f aca="false">SUM(Z101:Z101)</f>
        <v>1250</v>
      </c>
    </row>
    <row r="103" customFormat="false" ht="12.8" hidden="false" customHeight="false" outlineLevel="0" collapsed="false">
      <c r="D103" s="75"/>
      <c r="E103" s="26"/>
      <c r="F103" s="2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customFormat="false" ht="12.8" hidden="false" customHeight="false" outlineLevel="0" collapsed="false">
      <c r="D104" s="51" t="s">
        <v>155</v>
      </c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customFormat="false" ht="12.8" hidden="false" customHeight="false" outlineLevel="0" collapsed="false">
      <c r="D105" s="5" t="s">
        <v>33</v>
      </c>
      <c r="E105" s="5" t="s">
        <v>34</v>
      </c>
      <c r="F105" s="5" t="s">
        <v>35</v>
      </c>
      <c r="G105" s="5" t="s">
        <v>1</v>
      </c>
      <c r="H105" s="5" t="s">
        <v>2</v>
      </c>
      <c r="I105" s="5" t="s">
        <v>3</v>
      </c>
      <c r="J105" s="5" t="s">
        <v>4</v>
      </c>
      <c r="K105" s="5" t="s">
        <v>5</v>
      </c>
      <c r="L105" s="5" t="s">
        <v>6</v>
      </c>
      <c r="M105" s="5" t="s">
        <v>7</v>
      </c>
      <c r="N105" s="5" t="s">
        <v>8</v>
      </c>
      <c r="O105" s="5" t="s">
        <v>9</v>
      </c>
      <c r="P105" s="5" t="s">
        <v>10</v>
      </c>
      <c r="Q105" s="5" t="s">
        <v>11</v>
      </c>
      <c r="R105" s="5" t="s">
        <v>12</v>
      </c>
      <c r="S105" s="5" t="s">
        <v>13</v>
      </c>
      <c r="T105" s="5" t="s">
        <v>14</v>
      </c>
      <c r="U105" s="5" t="s">
        <v>15</v>
      </c>
      <c r="V105" s="5" t="s">
        <v>16</v>
      </c>
      <c r="W105" s="5" t="s">
        <v>17</v>
      </c>
      <c r="X105" s="5" t="s">
        <v>18</v>
      </c>
      <c r="Y105" s="5" t="s">
        <v>19</v>
      </c>
      <c r="Z105" s="5" t="s">
        <v>20</v>
      </c>
    </row>
    <row r="106" customFormat="false" ht="12.8" hidden="false" customHeight="false" outlineLevel="0" collapsed="false">
      <c r="A106" s="1" t="n">
        <v>1</v>
      </c>
      <c r="B106" s="1" t="n">
        <v>1</v>
      </c>
      <c r="C106" s="1" t="n">
        <v>7</v>
      </c>
      <c r="D106" s="69" t="s">
        <v>156</v>
      </c>
      <c r="E106" s="8" t="n">
        <v>610</v>
      </c>
      <c r="F106" s="8" t="s">
        <v>131</v>
      </c>
      <c r="G106" s="9" t="n">
        <v>3243.5</v>
      </c>
      <c r="H106" s="9" t="n">
        <v>3445.84</v>
      </c>
      <c r="I106" s="9" t="n">
        <v>3460</v>
      </c>
      <c r="J106" s="9" t="n">
        <v>3240.37</v>
      </c>
      <c r="K106" s="9" t="n">
        <v>3460</v>
      </c>
      <c r="L106" s="9"/>
      <c r="M106" s="9"/>
      <c r="N106" s="9"/>
      <c r="O106" s="9" t="n">
        <v>724</v>
      </c>
      <c r="P106" s="9" t="n">
        <f aca="false">SUM(K106:O106)</f>
        <v>4184</v>
      </c>
      <c r="Q106" s="9" t="n">
        <v>924.57</v>
      </c>
      <c r="R106" s="10" t="n">
        <f aca="false">Q106/$P106</f>
        <v>0.220977533460803</v>
      </c>
      <c r="S106" s="9" t="n">
        <v>1881.09</v>
      </c>
      <c r="T106" s="10" t="n">
        <f aca="false">S106/$P106</f>
        <v>0.449591300191205</v>
      </c>
      <c r="U106" s="9" t="n">
        <v>2837.61</v>
      </c>
      <c r="V106" s="10" t="n">
        <f aca="false">U106/$P106</f>
        <v>0.678205066921606</v>
      </c>
      <c r="W106" s="9" t="n">
        <v>4183.72</v>
      </c>
      <c r="X106" s="10" t="n">
        <f aca="false">W106/$P106</f>
        <v>0.999933078393882</v>
      </c>
      <c r="Y106" s="9" t="n">
        <v>3460</v>
      </c>
      <c r="Z106" s="9" t="n">
        <v>3460</v>
      </c>
    </row>
    <row r="107" customFormat="false" ht="12.8" hidden="false" customHeight="false" outlineLevel="0" collapsed="false">
      <c r="A107" s="1" t="n">
        <v>1</v>
      </c>
      <c r="B107" s="1" t="n">
        <v>1</v>
      </c>
      <c r="C107" s="1" t="n">
        <v>7</v>
      </c>
      <c r="D107" s="69"/>
      <c r="E107" s="8" t="n">
        <v>620</v>
      </c>
      <c r="F107" s="8" t="s">
        <v>132</v>
      </c>
      <c r="G107" s="9" t="n">
        <v>1173.39</v>
      </c>
      <c r="H107" s="9" t="n">
        <v>1219.78</v>
      </c>
      <c r="I107" s="9" t="n">
        <v>1209</v>
      </c>
      <c r="J107" s="9" t="n">
        <v>1177.05</v>
      </c>
      <c r="K107" s="9" t="n">
        <v>1209</v>
      </c>
      <c r="L107" s="9"/>
      <c r="M107" s="9"/>
      <c r="N107" s="9"/>
      <c r="O107" s="9" t="n">
        <v>295</v>
      </c>
      <c r="P107" s="9" t="n">
        <f aca="false">SUM(K107:O107)</f>
        <v>1504</v>
      </c>
      <c r="Q107" s="9" t="n">
        <v>324.96</v>
      </c>
      <c r="R107" s="10" t="n">
        <f aca="false">Q107/$P107</f>
        <v>0.216063829787234</v>
      </c>
      <c r="S107" s="9" t="n">
        <v>661.15</v>
      </c>
      <c r="T107" s="10" t="n">
        <f aca="false">S107/$P107</f>
        <v>0.439594414893617</v>
      </c>
      <c r="U107" s="9" t="n">
        <v>997.34</v>
      </c>
      <c r="V107" s="10" t="n">
        <f aca="false">U107/$P107</f>
        <v>0.663125</v>
      </c>
      <c r="W107" s="9" t="n">
        <v>1504.41</v>
      </c>
      <c r="X107" s="10" t="n">
        <f aca="false">W107/$P107</f>
        <v>1.00027260638298</v>
      </c>
      <c r="Y107" s="9" t="n">
        <v>1209</v>
      </c>
      <c r="Z107" s="9" t="n">
        <v>1209</v>
      </c>
    </row>
    <row r="108" customFormat="false" ht="12.8" hidden="false" customHeight="false" outlineLevel="0" collapsed="false">
      <c r="A108" s="1" t="n">
        <v>1</v>
      </c>
      <c r="B108" s="1" t="n">
        <v>1</v>
      </c>
      <c r="C108" s="1" t="n">
        <v>7</v>
      </c>
      <c r="D108" s="69"/>
      <c r="E108" s="8" t="n">
        <v>630</v>
      </c>
      <c r="F108" s="8" t="s">
        <v>133</v>
      </c>
      <c r="G108" s="9" t="n">
        <v>747.96</v>
      </c>
      <c r="H108" s="9" t="n">
        <v>751.6</v>
      </c>
      <c r="I108" s="9" t="n">
        <v>731</v>
      </c>
      <c r="J108" s="9" t="n">
        <v>1123.32</v>
      </c>
      <c r="K108" s="28" t="n">
        <f aca="false">príjmy!H110+príjmy!H111-K106-K107</f>
        <v>877</v>
      </c>
      <c r="L108" s="28"/>
      <c r="M108" s="28" t="n">
        <v>655</v>
      </c>
      <c r="N108" s="28"/>
      <c r="O108" s="28" t="n">
        <v>-1019</v>
      </c>
      <c r="P108" s="28" t="n">
        <f aca="false">SUM(K108:O108)</f>
        <v>513</v>
      </c>
      <c r="Q108" s="28" t="n">
        <v>107.39</v>
      </c>
      <c r="R108" s="10" t="n">
        <f aca="false">Q108/$P108</f>
        <v>0.209337231968811</v>
      </c>
      <c r="S108" s="28" t="n">
        <v>287.75</v>
      </c>
      <c r="T108" s="10" t="n">
        <f aca="false">S108/$P108</f>
        <v>0.560916179337232</v>
      </c>
      <c r="U108" s="28" t="n">
        <v>340.95</v>
      </c>
      <c r="V108" s="10" t="n">
        <f aca="false">U108/$P108</f>
        <v>0.664619883040936</v>
      </c>
      <c r="W108" s="28" t="n">
        <v>513.22</v>
      </c>
      <c r="X108" s="10" t="n">
        <f aca="false">W108/$P108</f>
        <v>1.00042884990253</v>
      </c>
      <c r="Y108" s="9" t="n">
        <f aca="false">K108</f>
        <v>877</v>
      </c>
      <c r="Z108" s="9" t="n">
        <f aca="false">Y108</f>
        <v>877</v>
      </c>
    </row>
    <row r="109" customFormat="false" ht="12.8" hidden="false" customHeight="false" outlineLevel="0" collapsed="false">
      <c r="A109" s="1" t="n">
        <v>1</v>
      </c>
      <c r="B109" s="1" t="n">
        <v>1</v>
      </c>
      <c r="C109" s="1" t="n">
        <v>7</v>
      </c>
      <c r="D109" s="70" t="s">
        <v>21</v>
      </c>
      <c r="E109" s="29" t="n">
        <v>111</v>
      </c>
      <c r="F109" s="29" t="s">
        <v>136</v>
      </c>
      <c r="G109" s="30" t="n">
        <f aca="false">SUM(G106:G108)</f>
        <v>5164.85</v>
      </c>
      <c r="H109" s="30" t="n">
        <f aca="false">SUM(H106:H108)</f>
        <v>5417.22</v>
      </c>
      <c r="I109" s="30" t="n">
        <f aca="false">SUM(I106:I108)</f>
        <v>5400</v>
      </c>
      <c r="J109" s="30" t="n">
        <f aca="false">SUM(J106:J108)</f>
        <v>5540.74</v>
      </c>
      <c r="K109" s="81" t="n">
        <f aca="false">SUM(K106:K108)</f>
        <v>5546</v>
      </c>
      <c r="L109" s="81" t="n">
        <f aca="false">SUM(L106:L108)</f>
        <v>0</v>
      </c>
      <c r="M109" s="81" t="n">
        <f aca="false">SUM(M106:M108)</f>
        <v>655</v>
      </c>
      <c r="N109" s="81" t="n">
        <f aca="false">SUM(N106:N108)</f>
        <v>0</v>
      </c>
      <c r="O109" s="81" t="n">
        <f aca="false">SUM(O106:O108)</f>
        <v>0</v>
      </c>
      <c r="P109" s="81" t="n">
        <f aca="false">SUM(P106:P108)</f>
        <v>6201</v>
      </c>
      <c r="Q109" s="81" t="n">
        <f aca="false">SUM(Q106:Q108)</f>
        <v>1356.92</v>
      </c>
      <c r="R109" s="71" t="n">
        <f aca="false">Q109/$P109</f>
        <v>0.218822770520884</v>
      </c>
      <c r="S109" s="81" t="n">
        <f aca="false">SUM(S106:S108)</f>
        <v>2829.99</v>
      </c>
      <c r="T109" s="71" t="n">
        <f aca="false">S109/$P109</f>
        <v>0.456376390904693</v>
      </c>
      <c r="U109" s="81" t="n">
        <f aca="false">SUM(U106:U108)</f>
        <v>4175.9</v>
      </c>
      <c r="V109" s="71" t="n">
        <f aca="false">U109/$P109</f>
        <v>0.67342364134817</v>
      </c>
      <c r="W109" s="81" t="n">
        <f aca="false">SUM(W106:W108)</f>
        <v>6201.35</v>
      </c>
      <c r="X109" s="71" t="n">
        <f aca="false">W109/$P109</f>
        <v>1.00005644250927</v>
      </c>
      <c r="Y109" s="30" t="n">
        <f aca="false">SUM(Y106:Y108)</f>
        <v>5546</v>
      </c>
      <c r="Z109" s="30" t="n">
        <f aca="false">SUM(Z106:Z108)</f>
        <v>5546</v>
      </c>
    </row>
    <row r="110" customFormat="false" ht="12.8" hidden="false" customHeight="false" outlineLevel="0" collapsed="false">
      <c r="A110" s="1" t="n">
        <v>1</v>
      </c>
      <c r="B110" s="1" t="n">
        <v>1</v>
      </c>
      <c r="C110" s="1" t="n">
        <v>7</v>
      </c>
      <c r="D110" s="69" t="s">
        <v>156</v>
      </c>
      <c r="E110" s="8" t="n">
        <v>610</v>
      </c>
      <c r="F110" s="8" t="s">
        <v>131</v>
      </c>
      <c r="G110" s="9" t="n">
        <v>5211.74</v>
      </c>
      <c r="H110" s="9" t="n">
        <v>5069.7</v>
      </c>
      <c r="I110" s="9" t="n">
        <v>5984</v>
      </c>
      <c r="J110" s="9" t="n">
        <v>5046.47</v>
      </c>
      <c r="K110" s="9" t="n">
        <v>6784</v>
      </c>
      <c r="L110" s="9"/>
      <c r="M110" s="9"/>
      <c r="N110" s="9"/>
      <c r="O110" s="9" t="n">
        <v>512</v>
      </c>
      <c r="P110" s="9" t="n">
        <f aca="false">SUM(K110:O110)</f>
        <v>7296</v>
      </c>
      <c r="Q110" s="9" t="n">
        <v>1694.93</v>
      </c>
      <c r="R110" s="10" t="n">
        <f aca="false">Q110/$P110</f>
        <v>0.232309484649123</v>
      </c>
      <c r="S110" s="9" t="n">
        <v>3264.41</v>
      </c>
      <c r="T110" s="10" t="n">
        <f aca="false">S110/$P110</f>
        <v>0.44742461622807</v>
      </c>
      <c r="U110" s="9" t="n">
        <v>4833.89</v>
      </c>
      <c r="V110" s="10" t="n">
        <f aca="false">U110/$P110</f>
        <v>0.662539747807018</v>
      </c>
      <c r="W110" s="9" t="n">
        <v>7296.19</v>
      </c>
      <c r="X110" s="10" t="n">
        <f aca="false">W110/$P110</f>
        <v>1.00002604166667</v>
      </c>
      <c r="Y110" s="9" t="n">
        <v>7783</v>
      </c>
      <c r="Z110" s="9" t="n">
        <v>8883</v>
      </c>
    </row>
    <row r="111" customFormat="false" ht="12.8" hidden="false" customHeight="false" outlineLevel="0" collapsed="false">
      <c r="A111" s="1" t="n">
        <v>1</v>
      </c>
      <c r="B111" s="1" t="n">
        <v>1</v>
      </c>
      <c r="C111" s="1" t="n">
        <v>7</v>
      </c>
      <c r="D111" s="69"/>
      <c r="E111" s="8" t="n">
        <v>620</v>
      </c>
      <c r="F111" s="8" t="s">
        <v>132</v>
      </c>
      <c r="G111" s="9" t="n">
        <v>1982.47</v>
      </c>
      <c r="H111" s="9" t="n">
        <v>1943.42</v>
      </c>
      <c r="I111" s="9" t="n">
        <v>2260</v>
      </c>
      <c r="J111" s="9" t="n">
        <v>2012.04</v>
      </c>
      <c r="K111" s="9" t="n">
        <v>2555</v>
      </c>
      <c r="L111" s="9"/>
      <c r="M111" s="9"/>
      <c r="N111" s="9" t="n">
        <v>64</v>
      </c>
      <c r="O111" s="9" t="n">
        <v>98</v>
      </c>
      <c r="P111" s="9" t="n">
        <f aca="false">SUM(K111:O111)</f>
        <v>2717</v>
      </c>
      <c r="Q111" s="9" t="n">
        <v>573.81</v>
      </c>
      <c r="R111" s="10" t="n">
        <f aca="false">Q111/$P111</f>
        <v>0.211192491718807</v>
      </c>
      <c r="S111" s="9" t="n">
        <v>1175.96</v>
      </c>
      <c r="T111" s="10" t="n">
        <f aca="false">S111/$P111</f>
        <v>0.432815605447184</v>
      </c>
      <c r="U111" s="9" t="n">
        <v>1778.11</v>
      </c>
      <c r="V111" s="10" t="n">
        <f aca="false">U111/$P111</f>
        <v>0.654438719175561</v>
      </c>
      <c r="W111" s="9" t="n">
        <v>2717.55</v>
      </c>
      <c r="X111" s="10" t="n">
        <f aca="false">W111/$P111</f>
        <v>1.0002024291498</v>
      </c>
      <c r="Y111" s="9" t="n">
        <v>2925</v>
      </c>
      <c r="Z111" s="9" t="n">
        <v>3331</v>
      </c>
    </row>
    <row r="112" customFormat="false" ht="12.8" hidden="false" customHeight="false" outlineLevel="0" collapsed="false">
      <c r="A112" s="1" t="n">
        <v>1</v>
      </c>
      <c r="B112" s="1" t="n">
        <v>1</v>
      </c>
      <c r="C112" s="1" t="n">
        <v>7</v>
      </c>
      <c r="D112" s="69"/>
      <c r="E112" s="8" t="n">
        <v>630</v>
      </c>
      <c r="F112" s="8" t="s">
        <v>133</v>
      </c>
      <c r="G112" s="9" t="n">
        <v>821.19</v>
      </c>
      <c r="H112" s="9" t="n">
        <v>1289.24</v>
      </c>
      <c r="I112" s="9" t="n">
        <v>1397</v>
      </c>
      <c r="J112" s="9" t="n">
        <v>1107.77</v>
      </c>
      <c r="K112" s="9" t="n">
        <f aca="false">1055+400</f>
        <v>1455</v>
      </c>
      <c r="L112" s="9"/>
      <c r="M112" s="9"/>
      <c r="N112" s="9"/>
      <c r="O112" s="9" t="n">
        <v>-312</v>
      </c>
      <c r="P112" s="9" t="n">
        <f aca="false">SUM(K112:O112)</f>
        <v>1143</v>
      </c>
      <c r="Q112" s="9" t="n">
        <v>333.72</v>
      </c>
      <c r="R112" s="10" t="n">
        <f aca="false">Q112/$P112</f>
        <v>0.291968503937008</v>
      </c>
      <c r="S112" s="9" t="n">
        <v>543.81</v>
      </c>
      <c r="T112" s="10" t="n">
        <f aca="false">S112/$P112</f>
        <v>0.475774278215223</v>
      </c>
      <c r="U112" s="9" t="n">
        <v>864.9</v>
      </c>
      <c r="V112" s="10" t="n">
        <f aca="false">U112/$P112</f>
        <v>0.756692913385827</v>
      </c>
      <c r="W112" s="9" t="n">
        <v>1142.66</v>
      </c>
      <c r="X112" s="10" t="n">
        <f aca="false">W112/$P112</f>
        <v>0.999702537182852</v>
      </c>
      <c r="Y112" s="9" t="n">
        <f aca="false">1070+400</f>
        <v>1470</v>
      </c>
      <c r="Z112" s="9" t="n">
        <f aca="false">1082+400</f>
        <v>1482</v>
      </c>
    </row>
    <row r="113" customFormat="false" ht="12.8" hidden="false" customHeight="false" outlineLevel="0" collapsed="false">
      <c r="A113" s="1" t="n">
        <v>1</v>
      </c>
      <c r="B113" s="1" t="n">
        <v>1</v>
      </c>
      <c r="C113" s="1" t="n">
        <v>7</v>
      </c>
      <c r="D113" s="69"/>
      <c r="E113" s="8" t="n">
        <v>640</v>
      </c>
      <c r="F113" s="8" t="s">
        <v>134</v>
      </c>
      <c r="G113" s="9" t="n">
        <v>0</v>
      </c>
      <c r="H113" s="9" t="n">
        <v>107.35</v>
      </c>
      <c r="I113" s="9" t="n">
        <v>0</v>
      </c>
      <c r="J113" s="9" t="n">
        <v>347.04</v>
      </c>
      <c r="K113" s="9" t="n">
        <v>0</v>
      </c>
      <c r="L113" s="9"/>
      <c r="M113" s="9"/>
      <c r="N113" s="9"/>
      <c r="O113" s="9"/>
      <c r="P113" s="9" t="n">
        <f aca="false">SUM(K113:O113)</f>
        <v>0</v>
      </c>
      <c r="Q113" s="9" t="n">
        <v>0</v>
      </c>
      <c r="R113" s="10" t="e">
        <f aca="false">Q113/$P113</f>
        <v>#DIV/0!</v>
      </c>
      <c r="S113" s="9" t="n">
        <v>0</v>
      </c>
      <c r="T113" s="10" t="e">
        <f aca="false">S113/$P113</f>
        <v>#DIV/0!</v>
      </c>
      <c r="U113" s="9" t="n">
        <v>0</v>
      </c>
      <c r="V113" s="10" t="e">
        <f aca="false">U113/$P113</f>
        <v>#DIV/0!</v>
      </c>
      <c r="W113" s="9" t="n">
        <v>0</v>
      </c>
      <c r="X113" s="10" t="e">
        <f aca="false">W113/$P113</f>
        <v>#DIV/0!</v>
      </c>
      <c r="Y113" s="9" t="n">
        <f aca="false">K113</f>
        <v>0</v>
      </c>
      <c r="Z113" s="9" t="n">
        <f aca="false">Y113</f>
        <v>0</v>
      </c>
    </row>
    <row r="114" customFormat="false" ht="12.8" hidden="false" customHeight="false" outlineLevel="0" collapsed="false">
      <c r="A114" s="1" t="n">
        <v>1</v>
      </c>
      <c r="B114" s="1" t="n">
        <v>1</v>
      </c>
      <c r="C114" s="1" t="n">
        <v>7</v>
      </c>
      <c r="D114" s="70" t="s">
        <v>21</v>
      </c>
      <c r="E114" s="29" t="n">
        <v>41</v>
      </c>
      <c r="F114" s="29" t="s">
        <v>23</v>
      </c>
      <c r="G114" s="30" t="n">
        <f aca="false">SUM(G110:G113)</f>
        <v>8015.4</v>
      </c>
      <c r="H114" s="30" t="n">
        <f aca="false">SUM(H110:H113)</f>
        <v>8409.71</v>
      </c>
      <c r="I114" s="30" t="n">
        <f aca="false">SUM(I110:I113)</f>
        <v>9641</v>
      </c>
      <c r="J114" s="30" t="n">
        <f aca="false">SUM(J110:J113)</f>
        <v>8513.32</v>
      </c>
      <c r="K114" s="30" t="n">
        <f aca="false">SUM(K110:K113)</f>
        <v>10794</v>
      </c>
      <c r="L114" s="30" t="n">
        <f aca="false">SUM(L110:L113)</f>
        <v>0</v>
      </c>
      <c r="M114" s="30" t="n">
        <f aca="false">SUM(M110:M113)</f>
        <v>0</v>
      </c>
      <c r="N114" s="30" t="n">
        <f aca="false">SUM(N110:N113)</f>
        <v>64</v>
      </c>
      <c r="O114" s="30" t="n">
        <f aca="false">SUM(O110:O113)</f>
        <v>298</v>
      </c>
      <c r="P114" s="30" t="n">
        <f aca="false">SUM(P110:P113)</f>
        <v>11156</v>
      </c>
      <c r="Q114" s="30" t="n">
        <f aca="false">SUM(Q110:Q113)</f>
        <v>2602.46</v>
      </c>
      <c r="R114" s="71" t="n">
        <f aca="false">Q114/$P114</f>
        <v>0.23327895302976</v>
      </c>
      <c r="S114" s="30" t="n">
        <f aca="false">SUM(S110:S113)</f>
        <v>4984.18</v>
      </c>
      <c r="T114" s="71" t="n">
        <f aca="false">S114/$P114</f>
        <v>0.446771244173539</v>
      </c>
      <c r="U114" s="30" t="n">
        <f aca="false">SUM(U110:U113)</f>
        <v>7476.9</v>
      </c>
      <c r="V114" s="71" t="n">
        <f aca="false">U114/$P114</f>
        <v>0.670213338114019</v>
      </c>
      <c r="W114" s="30" t="n">
        <f aca="false">SUM(W110:W113)</f>
        <v>11156.4</v>
      </c>
      <c r="X114" s="71" t="n">
        <f aca="false">W114/$P114</f>
        <v>1.00003585514521</v>
      </c>
      <c r="Y114" s="30" t="n">
        <f aca="false">SUM(Y110:Y113)</f>
        <v>12178</v>
      </c>
      <c r="Z114" s="30" t="n">
        <f aca="false">SUM(Z110:Z113)</f>
        <v>13696</v>
      </c>
    </row>
    <row r="115" customFormat="false" ht="12.8" hidden="false" customHeight="false" outlineLevel="0" collapsed="false">
      <c r="D115" s="56" t="s">
        <v>156</v>
      </c>
      <c r="E115" s="8" t="n">
        <v>640</v>
      </c>
      <c r="F115" s="8" t="s">
        <v>134</v>
      </c>
      <c r="G115" s="9" t="n">
        <v>0</v>
      </c>
      <c r="H115" s="9" t="n">
        <v>0</v>
      </c>
      <c r="I115" s="9" t="n">
        <v>100</v>
      </c>
      <c r="J115" s="9" t="n">
        <v>91.06</v>
      </c>
      <c r="K115" s="9" t="n">
        <v>100</v>
      </c>
      <c r="L115" s="9"/>
      <c r="M115" s="9"/>
      <c r="N115" s="9"/>
      <c r="O115" s="9" t="n">
        <v>19</v>
      </c>
      <c r="P115" s="9" t="n">
        <f aca="false">SUM(K115:O115)</f>
        <v>119</v>
      </c>
      <c r="Q115" s="9" t="n">
        <v>0</v>
      </c>
      <c r="R115" s="10" t="n">
        <f aca="false">Q115/$P115</f>
        <v>0</v>
      </c>
      <c r="S115" s="9" t="n">
        <v>0</v>
      </c>
      <c r="T115" s="10" t="n">
        <f aca="false">S115/$P115</f>
        <v>0</v>
      </c>
      <c r="U115" s="9" t="n">
        <v>0</v>
      </c>
      <c r="V115" s="10" t="n">
        <f aca="false">U115/$P115</f>
        <v>0</v>
      </c>
      <c r="W115" s="9" t="n">
        <v>119.31</v>
      </c>
      <c r="X115" s="10" t="n">
        <f aca="false">W115/$P115</f>
        <v>1.00260504201681</v>
      </c>
      <c r="Y115" s="9" t="n">
        <f aca="false">K115</f>
        <v>100</v>
      </c>
      <c r="Z115" s="9" t="n">
        <f aca="false">Y115</f>
        <v>100</v>
      </c>
    </row>
    <row r="116" customFormat="false" ht="12.8" hidden="false" customHeight="false" outlineLevel="0" collapsed="false">
      <c r="D116" s="70" t="s">
        <v>21</v>
      </c>
      <c r="E116" s="29" t="n">
        <v>72</v>
      </c>
      <c r="F116" s="29" t="s">
        <v>25</v>
      </c>
      <c r="G116" s="30" t="n">
        <f aca="false">SUM(G115:G115)</f>
        <v>0</v>
      </c>
      <c r="H116" s="30" t="n">
        <f aca="false">SUM(H115:H115)</f>
        <v>0</v>
      </c>
      <c r="I116" s="30" t="n">
        <f aca="false">SUM(I115:I115)</f>
        <v>100</v>
      </c>
      <c r="J116" s="30" t="n">
        <f aca="false">SUM(J115:J115)</f>
        <v>91.06</v>
      </c>
      <c r="K116" s="30" t="n">
        <f aca="false">SUM(K115:K115)</f>
        <v>100</v>
      </c>
      <c r="L116" s="30" t="n">
        <f aca="false">SUM(L115:L115)</f>
        <v>0</v>
      </c>
      <c r="M116" s="30" t="n">
        <f aca="false">SUM(M115:M115)</f>
        <v>0</v>
      </c>
      <c r="N116" s="30" t="n">
        <f aca="false">SUM(N115:N115)</f>
        <v>0</v>
      </c>
      <c r="O116" s="30" t="n">
        <f aca="false">SUM(O115:O115)</f>
        <v>19</v>
      </c>
      <c r="P116" s="30" t="n">
        <f aca="false">SUM(P115:P115)</f>
        <v>119</v>
      </c>
      <c r="Q116" s="30" t="n">
        <f aca="false">SUM(Q115:Q115)</f>
        <v>0</v>
      </c>
      <c r="R116" s="71" t="n">
        <f aca="false">Q116/$P116</f>
        <v>0</v>
      </c>
      <c r="S116" s="30" t="n">
        <f aca="false">SUM(S115:S115)</f>
        <v>0</v>
      </c>
      <c r="T116" s="71" t="n">
        <f aca="false">S116/$P116</f>
        <v>0</v>
      </c>
      <c r="U116" s="30" t="n">
        <f aca="false">SUM(U115:U115)</f>
        <v>0</v>
      </c>
      <c r="V116" s="71" t="n">
        <f aca="false">U116/$P116</f>
        <v>0</v>
      </c>
      <c r="W116" s="30" t="n">
        <f aca="false">SUM(W115:W115)</f>
        <v>119.31</v>
      </c>
      <c r="X116" s="71" t="n">
        <f aca="false">W116/$P116</f>
        <v>1.00260504201681</v>
      </c>
      <c r="Y116" s="30" t="n">
        <f aca="false">SUM(Y115:Y115)</f>
        <v>100</v>
      </c>
      <c r="Z116" s="30" t="n">
        <f aca="false">SUM(Z115:Z115)</f>
        <v>100</v>
      </c>
    </row>
    <row r="117" customFormat="false" ht="12.8" hidden="false" customHeight="false" outlineLevel="0" collapsed="false">
      <c r="A117" s="1" t="n">
        <v>1</v>
      </c>
      <c r="B117" s="1" t="n">
        <v>1</v>
      </c>
      <c r="C117" s="1" t="n">
        <v>7</v>
      </c>
      <c r="D117" s="14"/>
      <c r="E117" s="15"/>
      <c r="F117" s="11" t="s">
        <v>126</v>
      </c>
      <c r="G117" s="12" t="n">
        <f aca="false">G109+G114+G116</f>
        <v>13180.25</v>
      </c>
      <c r="H117" s="12" t="n">
        <f aca="false">H109+H114+H116</f>
        <v>13826.93</v>
      </c>
      <c r="I117" s="12" t="n">
        <f aca="false">I109+I114+I116</f>
        <v>15141</v>
      </c>
      <c r="J117" s="12" t="n">
        <f aca="false">J109+J114+J116</f>
        <v>14145.12</v>
      </c>
      <c r="K117" s="12" t="n">
        <f aca="false">K109+K114+K116</f>
        <v>16440</v>
      </c>
      <c r="L117" s="12" t="n">
        <f aca="false">L109+L114+L116</f>
        <v>0</v>
      </c>
      <c r="M117" s="12" t="n">
        <f aca="false">M109+M114+M116</f>
        <v>655</v>
      </c>
      <c r="N117" s="12" t="n">
        <f aca="false">N109+N114+N116</f>
        <v>64</v>
      </c>
      <c r="O117" s="12" t="n">
        <f aca="false">O109+O114+O116</f>
        <v>317</v>
      </c>
      <c r="P117" s="12" t="n">
        <f aca="false">P109+P114+P116</f>
        <v>17476</v>
      </c>
      <c r="Q117" s="12" t="n">
        <f aca="false">Q109+Q114+Q116</f>
        <v>3959.38</v>
      </c>
      <c r="R117" s="13" t="n">
        <f aca="false">Q117/$P117</f>
        <v>0.226560997940032</v>
      </c>
      <c r="S117" s="12" t="n">
        <f aca="false">S109+S114+S116</f>
        <v>7814.17</v>
      </c>
      <c r="T117" s="13" t="n">
        <f aca="false">S117/$P117</f>
        <v>0.447137216754406</v>
      </c>
      <c r="U117" s="12" t="n">
        <f aca="false">U109+U114+U116</f>
        <v>11652.8</v>
      </c>
      <c r="V117" s="13" t="n">
        <f aca="false">U117/$P117</f>
        <v>0.66678873884184</v>
      </c>
      <c r="W117" s="12" t="n">
        <f aca="false">W109+W114+W116</f>
        <v>17477.06</v>
      </c>
      <c r="X117" s="13" t="n">
        <f aca="false">W117/$P117</f>
        <v>1.00006065461204</v>
      </c>
      <c r="Y117" s="12" t="n">
        <f aca="false">Y109+Y114+Y116</f>
        <v>17824</v>
      </c>
      <c r="Z117" s="12" t="n">
        <f aca="false">Z109+Z114+Z116</f>
        <v>19342</v>
      </c>
    </row>
    <row r="119" customFormat="false" ht="12.8" hidden="false" customHeight="false" outlineLevel="0" collapsed="false">
      <c r="D119" s="24" t="s">
        <v>157</v>
      </c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customFormat="false" ht="12.8" hidden="false" customHeight="false" outlineLevel="0" collapsed="false">
      <c r="D120" s="5" t="s">
        <v>33</v>
      </c>
      <c r="E120" s="5" t="s">
        <v>34</v>
      </c>
      <c r="F120" s="5" t="s">
        <v>35</v>
      </c>
      <c r="G120" s="5" t="s">
        <v>1</v>
      </c>
      <c r="H120" s="5" t="s">
        <v>2</v>
      </c>
      <c r="I120" s="5" t="s">
        <v>3</v>
      </c>
      <c r="J120" s="5" t="s">
        <v>4</v>
      </c>
      <c r="K120" s="5" t="s">
        <v>5</v>
      </c>
      <c r="L120" s="5" t="s">
        <v>6</v>
      </c>
      <c r="M120" s="5" t="s">
        <v>7</v>
      </c>
      <c r="N120" s="5" t="s">
        <v>8</v>
      </c>
      <c r="O120" s="5" t="s">
        <v>9</v>
      </c>
      <c r="P120" s="5" t="s">
        <v>10</v>
      </c>
      <c r="Q120" s="5" t="s">
        <v>11</v>
      </c>
      <c r="R120" s="5" t="s">
        <v>12</v>
      </c>
      <c r="S120" s="5" t="s">
        <v>13</v>
      </c>
      <c r="T120" s="5" t="s">
        <v>14</v>
      </c>
      <c r="U120" s="5" t="s">
        <v>15</v>
      </c>
      <c r="V120" s="5" t="s">
        <v>16</v>
      </c>
      <c r="W120" s="5" t="s">
        <v>17</v>
      </c>
      <c r="X120" s="5" t="s">
        <v>18</v>
      </c>
      <c r="Y120" s="5" t="s">
        <v>19</v>
      </c>
      <c r="Z120" s="5" t="s">
        <v>20</v>
      </c>
    </row>
    <row r="121" customFormat="false" ht="12.8" hidden="false" customHeight="false" outlineLevel="0" collapsed="false">
      <c r="A121" s="1" t="n">
        <v>1</v>
      </c>
      <c r="B121" s="1" t="n">
        <v>2</v>
      </c>
      <c r="D121" s="8" t="s">
        <v>130</v>
      </c>
      <c r="E121" s="8" t="n">
        <v>640</v>
      </c>
      <c r="F121" s="8" t="s">
        <v>93</v>
      </c>
      <c r="G121" s="9" t="n">
        <v>3366.62</v>
      </c>
      <c r="H121" s="9" t="n">
        <v>2935.08</v>
      </c>
      <c r="I121" s="9" t="n">
        <v>2935</v>
      </c>
      <c r="J121" s="9" t="n">
        <v>3612.98</v>
      </c>
      <c r="K121" s="9" t="n">
        <f aca="false">príjmy!H107+príjmy!H108</f>
        <v>3636</v>
      </c>
      <c r="L121" s="9"/>
      <c r="M121" s="9"/>
      <c r="N121" s="9"/>
      <c r="O121" s="9" t="n">
        <v>618</v>
      </c>
      <c r="P121" s="9" t="n">
        <f aca="false">SUM(K121:O121)</f>
        <v>4254</v>
      </c>
      <c r="Q121" s="9" t="n">
        <v>0</v>
      </c>
      <c r="R121" s="10" t="n">
        <f aca="false">Q121/$P121</f>
        <v>0</v>
      </c>
      <c r="S121" s="9" t="n">
        <v>3636.04</v>
      </c>
      <c r="T121" s="10" t="n">
        <f aca="false">S121/$P121</f>
        <v>0.854734367653973</v>
      </c>
      <c r="U121" s="9" t="n">
        <v>3636.04</v>
      </c>
      <c r="V121" s="10" t="n">
        <f aca="false">U121/$P121</f>
        <v>0.854734367653973</v>
      </c>
      <c r="W121" s="9" t="n">
        <v>4254.03</v>
      </c>
      <c r="X121" s="10" t="n">
        <f aca="false">W121/$P121</f>
        <v>1.00000705218618</v>
      </c>
      <c r="Y121" s="9" t="n">
        <f aca="false">K121</f>
        <v>3636</v>
      </c>
      <c r="Z121" s="9" t="n">
        <f aca="false">Y121</f>
        <v>3636</v>
      </c>
    </row>
    <row r="122" customFormat="false" ht="12.8" hidden="false" customHeight="false" outlineLevel="0" collapsed="false">
      <c r="A122" s="1" t="n">
        <v>1</v>
      </c>
      <c r="B122" s="1" t="n">
        <v>2</v>
      </c>
      <c r="D122" s="70" t="s">
        <v>21</v>
      </c>
      <c r="E122" s="29" t="n">
        <v>111</v>
      </c>
      <c r="F122" s="29" t="s">
        <v>136</v>
      </c>
      <c r="G122" s="30" t="n">
        <f aca="false">SUM(G121)</f>
        <v>3366.62</v>
      </c>
      <c r="H122" s="30" t="n">
        <f aca="false">SUM(H121)</f>
        <v>2935.08</v>
      </c>
      <c r="I122" s="30" t="n">
        <f aca="false">SUM(I121)</f>
        <v>2935</v>
      </c>
      <c r="J122" s="30" t="n">
        <f aca="false">SUM(J121)</f>
        <v>3612.98</v>
      </c>
      <c r="K122" s="30" t="n">
        <f aca="false">SUM(K121)</f>
        <v>3636</v>
      </c>
      <c r="L122" s="30" t="n">
        <f aca="false">SUM(L121)</f>
        <v>0</v>
      </c>
      <c r="M122" s="30" t="n">
        <f aca="false">SUM(M121)</f>
        <v>0</v>
      </c>
      <c r="N122" s="30" t="n">
        <f aca="false">SUM(N121)</f>
        <v>0</v>
      </c>
      <c r="O122" s="30" t="n">
        <f aca="false">SUM(O121)</f>
        <v>618</v>
      </c>
      <c r="P122" s="30" t="n">
        <f aca="false">SUM(P121)</f>
        <v>4254</v>
      </c>
      <c r="Q122" s="30" t="n">
        <f aca="false">SUM(Q121)</f>
        <v>0</v>
      </c>
      <c r="R122" s="71" t="n">
        <f aca="false">Q122/$P122</f>
        <v>0</v>
      </c>
      <c r="S122" s="30" t="n">
        <f aca="false">SUM(S121)</f>
        <v>3636.04</v>
      </c>
      <c r="T122" s="71" t="n">
        <f aca="false">S122/$P122</f>
        <v>0.854734367653973</v>
      </c>
      <c r="U122" s="30" t="n">
        <f aca="false">SUM(U121)</f>
        <v>3636.04</v>
      </c>
      <c r="V122" s="71" t="n">
        <f aca="false">U122/$P122</f>
        <v>0.854734367653973</v>
      </c>
      <c r="W122" s="30" t="n">
        <f aca="false">SUM(W121)</f>
        <v>4254.03</v>
      </c>
      <c r="X122" s="71" t="n">
        <f aca="false">W122/$P122</f>
        <v>1.00000705218618</v>
      </c>
      <c r="Y122" s="30" t="n">
        <f aca="false">SUM(Y121)</f>
        <v>3636</v>
      </c>
      <c r="Z122" s="30" t="n">
        <f aca="false">SUM(Z121)</f>
        <v>3636</v>
      </c>
    </row>
    <row r="123" customFormat="false" ht="12.8" hidden="false" customHeight="false" outlineLevel="0" collapsed="false">
      <c r="A123" s="1" t="n">
        <v>1</v>
      </c>
      <c r="B123" s="1" t="n">
        <v>2</v>
      </c>
      <c r="D123" s="25" t="s">
        <v>158</v>
      </c>
      <c r="E123" s="8" t="n">
        <v>640</v>
      </c>
      <c r="F123" s="8" t="s">
        <v>159</v>
      </c>
      <c r="G123" s="9" t="n">
        <v>94.56</v>
      </c>
      <c r="H123" s="9" t="n">
        <v>0</v>
      </c>
      <c r="I123" s="9" t="n">
        <v>0</v>
      </c>
      <c r="J123" s="9" t="n">
        <v>0</v>
      </c>
      <c r="K123" s="9" t="n">
        <v>0</v>
      </c>
      <c r="L123" s="9"/>
      <c r="M123" s="9"/>
      <c r="N123" s="9"/>
      <c r="O123" s="9"/>
      <c r="P123" s="9" t="n">
        <f aca="false">SUM(K123:O123)</f>
        <v>0</v>
      </c>
      <c r="Q123" s="9" t="n">
        <v>0</v>
      </c>
      <c r="R123" s="10" t="e">
        <f aca="false">Q123/$P123</f>
        <v>#DIV/0!</v>
      </c>
      <c r="S123" s="9" t="n">
        <v>0</v>
      </c>
      <c r="T123" s="10" t="e">
        <f aca="false">S123/$P123</f>
        <v>#DIV/0!</v>
      </c>
      <c r="U123" s="9" t="n">
        <v>0</v>
      </c>
      <c r="V123" s="10" t="e">
        <f aca="false">U123/$P123</f>
        <v>#DIV/0!</v>
      </c>
      <c r="W123" s="9" t="n">
        <v>0</v>
      </c>
      <c r="X123" s="10" t="e">
        <f aca="false">W123/$P123</f>
        <v>#DIV/0!</v>
      </c>
      <c r="Y123" s="9" t="n">
        <v>0</v>
      </c>
      <c r="Z123" s="9" t="n">
        <v>0</v>
      </c>
    </row>
    <row r="124" customFormat="false" ht="12.8" hidden="false" customHeight="false" outlineLevel="0" collapsed="false">
      <c r="A124" s="1" t="n">
        <v>1</v>
      </c>
      <c r="B124" s="1" t="n">
        <v>2</v>
      </c>
      <c r="D124" s="25" t="s">
        <v>158</v>
      </c>
      <c r="E124" s="8" t="n">
        <v>640</v>
      </c>
      <c r="F124" s="8" t="s">
        <v>160</v>
      </c>
      <c r="G124" s="9" t="n">
        <v>406.14</v>
      </c>
      <c r="H124" s="9" t="n">
        <v>367</v>
      </c>
      <c r="I124" s="9" t="n">
        <v>406</v>
      </c>
      <c r="J124" s="9" t="n">
        <v>211.42</v>
      </c>
      <c r="K124" s="9" t="n">
        <v>322</v>
      </c>
      <c r="L124" s="9"/>
      <c r="M124" s="9"/>
      <c r="N124" s="9" t="n">
        <v>47</v>
      </c>
      <c r="O124" s="9"/>
      <c r="P124" s="9" t="n">
        <f aca="false">SUM(K124:O124)</f>
        <v>369</v>
      </c>
      <c r="Q124" s="9" t="n">
        <v>184.43</v>
      </c>
      <c r="R124" s="10" t="n">
        <f aca="false">Q124/$P124</f>
        <v>0.499810298102981</v>
      </c>
      <c r="S124" s="9" t="n">
        <v>184.43</v>
      </c>
      <c r="T124" s="10" t="n">
        <f aca="false">S124/$P124</f>
        <v>0.499810298102981</v>
      </c>
      <c r="U124" s="9" t="n">
        <v>368.86</v>
      </c>
      <c r="V124" s="10" t="n">
        <f aca="false">U124/$P124</f>
        <v>0.999620596205962</v>
      </c>
      <c r="W124" s="9" t="n">
        <v>368.86</v>
      </c>
      <c r="X124" s="10" t="n">
        <f aca="false">W124/$P124</f>
        <v>0.999620596205962</v>
      </c>
      <c r="Y124" s="9" t="n">
        <f aca="false">K124</f>
        <v>322</v>
      </c>
      <c r="Z124" s="9" t="n">
        <f aca="false">Y124</f>
        <v>322</v>
      </c>
    </row>
    <row r="125" customFormat="false" ht="12.8" hidden="false" customHeight="false" outlineLevel="0" collapsed="false">
      <c r="A125" s="1" t="n">
        <v>1</v>
      </c>
      <c r="B125" s="1" t="n">
        <v>2</v>
      </c>
      <c r="D125" s="8" t="s">
        <v>130</v>
      </c>
      <c r="E125" s="8" t="n">
        <v>640</v>
      </c>
      <c r="F125" s="8" t="s">
        <v>93</v>
      </c>
      <c r="G125" s="9" t="n">
        <v>7642.98</v>
      </c>
      <c r="H125" s="9" t="n">
        <v>5868.38</v>
      </c>
      <c r="I125" s="9" t="n">
        <v>7643</v>
      </c>
      <c r="J125" s="9" t="n">
        <v>6457.697</v>
      </c>
      <c r="K125" s="9" t="n">
        <f aca="false">10658-K121</f>
        <v>7022</v>
      </c>
      <c r="L125" s="9"/>
      <c r="M125" s="9"/>
      <c r="N125" s="9" t="n">
        <v>309</v>
      </c>
      <c r="O125" s="9" t="n">
        <v>-618</v>
      </c>
      <c r="P125" s="9" t="n">
        <f aca="false">SUM(K125:O125)</f>
        <v>6713</v>
      </c>
      <c r="Q125" s="9" t="n">
        <v>2664.52</v>
      </c>
      <c r="R125" s="10" t="n">
        <f aca="false">Q125/$P125</f>
        <v>0.396919410099806</v>
      </c>
      <c r="S125" s="9" t="n">
        <v>2001.76</v>
      </c>
      <c r="T125" s="10" t="n">
        <f aca="false">S125/$P125</f>
        <v>0.298191568598242</v>
      </c>
      <c r="U125" s="9" t="n">
        <v>4666.28</v>
      </c>
      <c r="V125" s="10" t="n">
        <f aca="false">U125/$P125</f>
        <v>0.695110978698049</v>
      </c>
      <c r="W125" s="9" t="n">
        <v>6712.81</v>
      </c>
      <c r="X125" s="10" t="n">
        <f aca="false">W125/$P125</f>
        <v>0.99997169670788</v>
      </c>
      <c r="Y125" s="9" t="n">
        <f aca="false">K125</f>
        <v>7022</v>
      </c>
      <c r="Z125" s="9" t="n">
        <f aca="false">Y125</f>
        <v>7022</v>
      </c>
    </row>
    <row r="126" customFormat="false" ht="12.8" hidden="false" customHeight="false" outlineLevel="0" collapsed="false">
      <c r="A126" s="1" t="n">
        <v>1</v>
      </c>
      <c r="B126" s="1" t="n">
        <v>2</v>
      </c>
      <c r="D126" s="70" t="s">
        <v>21</v>
      </c>
      <c r="E126" s="29" t="n">
        <v>41</v>
      </c>
      <c r="F126" s="29" t="s">
        <v>23</v>
      </c>
      <c r="G126" s="30" t="n">
        <f aca="false">SUM(G123:G125)</f>
        <v>8143.68</v>
      </c>
      <c r="H126" s="30" t="n">
        <f aca="false">SUM(H123:H125)</f>
        <v>6235.38</v>
      </c>
      <c r="I126" s="30" t="n">
        <f aca="false">SUM(I123:I125)</f>
        <v>8049</v>
      </c>
      <c r="J126" s="30" t="n">
        <f aca="false">SUM(J123:J125)</f>
        <v>6669.117</v>
      </c>
      <c r="K126" s="30" t="n">
        <f aca="false">SUM(K123:K125)</f>
        <v>7344</v>
      </c>
      <c r="L126" s="30" t="n">
        <f aca="false">SUM(L123:L125)</f>
        <v>0</v>
      </c>
      <c r="M126" s="30" t="n">
        <f aca="false">SUM(M123:M125)</f>
        <v>0</v>
      </c>
      <c r="N126" s="30" t="n">
        <f aca="false">SUM(N123:N125)</f>
        <v>356</v>
      </c>
      <c r="O126" s="30" t="n">
        <f aca="false">SUM(O123:O125)</f>
        <v>-618</v>
      </c>
      <c r="P126" s="30" t="n">
        <f aca="false">SUM(P123:P125)</f>
        <v>7082</v>
      </c>
      <c r="Q126" s="30" t="n">
        <f aca="false">SUM(Q123:Q125)</f>
        <v>2848.95</v>
      </c>
      <c r="R126" s="71" t="n">
        <f aca="false">Q126/$P126</f>
        <v>0.402280429257272</v>
      </c>
      <c r="S126" s="30" t="n">
        <f aca="false">SUM(S123:S125)</f>
        <v>2186.19</v>
      </c>
      <c r="T126" s="71" t="n">
        <f aca="false">S126/$P126</f>
        <v>0.30869669584863</v>
      </c>
      <c r="U126" s="30" t="n">
        <f aca="false">SUM(U123:U125)</f>
        <v>5035.14</v>
      </c>
      <c r="V126" s="71" t="n">
        <f aca="false">U126/$P126</f>
        <v>0.710977125105902</v>
      </c>
      <c r="W126" s="30" t="n">
        <f aca="false">SUM(W123:W125)</f>
        <v>7081.67</v>
      </c>
      <c r="X126" s="71" t="n">
        <f aca="false">W126/$P126</f>
        <v>0.999953402993505</v>
      </c>
      <c r="Y126" s="30" t="n">
        <f aca="false">SUM(Y123:Y125)</f>
        <v>7344</v>
      </c>
      <c r="Z126" s="30" t="n">
        <f aca="false">SUM(Z123:Z125)</f>
        <v>7344</v>
      </c>
    </row>
    <row r="127" customFormat="false" ht="12.8" hidden="false" customHeight="false" outlineLevel="0" collapsed="false">
      <c r="A127" s="1" t="n">
        <v>1</v>
      </c>
      <c r="B127" s="1" t="n">
        <v>2</v>
      </c>
      <c r="D127" s="14"/>
      <c r="E127" s="15"/>
      <c r="F127" s="11" t="s">
        <v>126</v>
      </c>
      <c r="G127" s="12" t="n">
        <f aca="false">G122+G126</f>
        <v>11510.3</v>
      </c>
      <c r="H127" s="12" t="n">
        <f aca="false">H122+H126</f>
        <v>9170.46</v>
      </c>
      <c r="I127" s="12" t="n">
        <f aca="false">I122+I126</f>
        <v>10984</v>
      </c>
      <c r="J127" s="12" t="n">
        <f aca="false">J122+J126</f>
        <v>10282.097</v>
      </c>
      <c r="K127" s="12" t="n">
        <f aca="false">K122+K126</f>
        <v>10980</v>
      </c>
      <c r="L127" s="12" t="n">
        <f aca="false">L122+L126</f>
        <v>0</v>
      </c>
      <c r="M127" s="12" t="n">
        <f aca="false">M122+M126</f>
        <v>0</v>
      </c>
      <c r="N127" s="12" t="n">
        <f aca="false">N122+N126</f>
        <v>356</v>
      </c>
      <c r="O127" s="12" t="n">
        <f aca="false">O122+O126</f>
        <v>0</v>
      </c>
      <c r="P127" s="12" t="n">
        <f aca="false">P122+P126</f>
        <v>11336</v>
      </c>
      <c r="Q127" s="12" t="n">
        <f aca="false">Q122+Q126</f>
        <v>2848.95</v>
      </c>
      <c r="R127" s="13" t="n">
        <f aca="false">Q127/$P127</f>
        <v>0.251318807339449</v>
      </c>
      <c r="S127" s="12" t="n">
        <f aca="false">S122+S126</f>
        <v>5822.23</v>
      </c>
      <c r="T127" s="13" t="n">
        <f aca="false">S127/$P127</f>
        <v>0.51360532815808</v>
      </c>
      <c r="U127" s="12" t="n">
        <f aca="false">U122+U126</f>
        <v>8671.18</v>
      </c>
      <c r="V127" s="13" t="n">
        <f aca="false">U127/$P127</f>
        <v>0.76492413549753</v>
      </c>
      <c r="W127" s="12" t="n">
        <f aca="false">W122+W126</f>
        <v>11335.7</v>
      </c>
      <c r="X127" s="13" t="n">
        <f aca="false">W127/$P127</f>
        <v>0.999973535638673</v>
      </c>
      <c r="Y127" s="12" t="n">
        <f aca="false">Y122+Y126</f>
        <v>10980</v>
      </c>
      <c r="Z127" s="12" t="n">
        <f aca="false">Z122+Z126</f>
        <v>10980</v>
      </c>
    </row>
    <row r="129" customFormat="false" ht="12.8" hidden="false" customHeight="false" outlineLevel="0" collapsed="false">
      <c r="D129" s="24" t="s">
        <v>161</v>
      </c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customFormat="false" ht="12.8" hidden="false" customHeight="false" outlineLevel="0" collapsed="false">
      <c r="D130" s="5" t="s">
        <v>33</v>
      </c>
      <c r="E130" s="5" t="s">
        <v>34</v>
      </c>
      <c r="F130" s="5" t="s">
        <v>35</v>
      </c>
      <c r="G130" s="5" t="s">
        <v>1</v>
      </c>
      <c r="H130" s="5" t="s">
        <v>2</v>
      </c>
      <c r="I130" s="5" t="s">
        <v>3</v>
      </c>
      <c r="J130" s="5" t="s">
        <v>4</v>
      </c>
      <c r="K130" s="5" t="s">
        <v>5</v>
      </c>
      <c r="L130" s="5" t="s">
        <v>6</v>
      </c>
      <c r="M130" s="5" t="s">
        <v>7</v>
      </c>
      <c r="N130" s="5" t="s">
        <v>8</v>
      </c>
      <c r="O130" s="5" t="s">
        <v>9</v>
      </c>
      <c r="P130" s="5" t="s">
        <v>10</v>
      </c>
      <c r="Q130" s="5" t="s">
        <v>11</v>
      </c>
      <c r="R130" s="5" t="s">
        <v>12</v>
      </c>
      <c r="S130" s="5" t="s">
        <v>13</v>
      </c>
      <c r="T130" s="5" t="s">
        <v>14</v>
      </c>
      <c r="U130" s="5" t="s">
        <v>15</v>
      </c>
      <c r="V130" s="5" t="s">
        <v>16</v>
      </c>
      <c r="W130" s="5" t="s">
        <v>17</v>
      </c>
      <c r="X130" s="5" t="s">
        <v>18</v>
      </c>
      <c r="Y130" s="5" t="s">
        <v>19</v>
      </c>
      <c r="Z130" s="5" t="s">
        <v>20</v>
      </c>
    </row>
    <row r="131" customFormat="false" ht="12.8" hidden="false" customHeight="false" outlineLevel="0" collapsed="false">
      <c r="A131" s="1" t="n">
        <v>1</v>
      </c>
      <c r="B131" s="1" t="n">
        <v>3</v>
      </c>
      <c r="D131" s="8" t="s">
        <v>162</v>
      </c>
      <c r="E131" s="8" t="n">
        <v>630</v>
      </c>
      <c r="F131" s="8" t="s">
        <v>163</v>
      </c>
      <c r="G131" s="9" t="n">
        <v>3176.66</v>
      </c>
      <c r="H131" s="9" t="n">
        <v>2441.6</v>
      </c>
      <c r="I131" s="9" t="n">
        <v>4700</v>
      </c>
      <c r="J131" s="9" t="n">
        <v>10535.39</v>
      </c>
      <c r="K131" s="9" t="n">
        <v>1800</v>
      </c>
      <c r="L131" s="9"/>
      <c r="M131" s="9"/>
      <c r="N131" s="9"/>
      <c r="O131" s="9"/>
      <c r="P131" s="9" t="n">
        <f aca="false">SUM(K131:O131)</f>
        <v>1800</v>
      </c>
      <c r="Q131" s="9" t="n">
        <v>0</v>
      </c>
      <c r="R131" s="10" t="n">
        <f aca="false">Q131/$P131</f>
        <v>0</v>
      </c>
      <c r="S131" s="9" t="n">
        <v>0</v>
      </c>
      <c r="T131" s="10" t="n">
        <f aca="false">S131/$P131</f>
        <v>0</v>
      </c>
      <c r="U131" s="9" t="n">
        <v>0</v>
      </c>
      <c r="V131" s="10" t="n">
        <f aca="false">U131/$P131</f>
        <v>0</v>
      </c>
      <c r="W131" s="9" t="n">
        <v>288</v>
      </c>
      <c r="X131" s="10" t="n">
        <f aca="false">W131/$P131</f>
        <v>0.16</v>
      </c>
      <c r="Y131" s="9" t="n">
        <f aca="false">K131</f>
        <v>1800</v>
      </c>
      <c r="Z131" s="9" t="n">
        <f aca="false">Y131</f>
        <v>1800</v>
      </c>
    </row>
    <row r="132" customFormat="false" ht="12.8" hidden="false" customHeight="false" outlineLevel="0" collapsed="false">
      <c r="A132" s="1" t="n">
        <v>1</v>
      </c>
      <c r="B132" s="1" t="n">
        <v>3</v>
      </c>
      <c r="D132" s="56" t="s">
        <v>164</v>
      </c>
      <c r="E132" s="8" t="n">
        <v>630</v>
      </c>
      <c r="F132" s="8" t="s">
        <v>165</v>
      </c>
      <c r="G132" s="9" t="n">
        <v>187</v>
      </c>
      <c r="H132" s="9" t="n">
        <v>187</v>
      </c>
      <c r="I132" s="9" t="n">
        <v>190</v>
      </c>
      <c r="J132" s="9" t="n">
        <v>462</v>
      </c>
      <c r="K132" s="9" t="n">
        <v>253</v>
      </c>
      <c r="L132" s="9"/>
      <c r="M132" s="9"/>
      <c r="N132" s="9"/>
      <c r="O132" s="9"/>
      <c r="P132" s="9" t="n">
        <f aca="false">SUM(K132:O132)</f>
        <v>253</v>
      </c>
      <c r="Q132" s="9" t="n">
        <v>46</v>
      </c>
      <c r="R132" s="10" t="n">
        <f aca="false">Q132/$P132</f>
        <v>0.181818181818182</v>
      </c>
      <c r="S132" s="9" t="n">
        <v>115</v>
      </c>
      <c r="T132" s="10" t="n">
        <f aca="false">S132/$P132</f>
        <v>0.454545454545455</v>
      </c>
      <c r="U132" s="9" t="n">
        <v>161</v>
      </c>
      <c r="V132" s="10" t="n">
        <f aca="false">U132/$P132</f>
        <v>0.636363636363636</v>
      </c>
      <c r="W132" s="9" t="n">
        <v>161</v>
      </c>
      <c r="X132" s="10" t="n">
        <f aca="false">W132/$P132</f>
        <v>0.636363636363636</v>
      </c>
      <c r="Y132" s="9" t="n">
        <f aca="false">K132</f>
        <v>253</v>
      </c>
      <c r="Z132" s="9" t="n">
        <f aca="false">Y132</f>
        <v>253</v>
      </c>
    </row>
    <row r="133" customFormat="false" ht="12.8" hidden="false" customHeight="false" outlineLevel="0" collapsed="false">
      <c r="A133" s="1" t="n">
        <v>1</v>
      </c>
      <c r="B133" s="1" t="n">
        <v>3</v>
      </c>
      <c r="D133" s="31" t="s">
        <v>130</v>
      </c>
      <c r="E133" s="8" t="n">
        <v>620</v>
      </c>
      <c r="F133" s="8" t="s">
        <v>132</v>
      </c>
      <c r="G133" s="9" t="n">
        <v>414.92</v>
      </c>
      <c r="H133" s="9" t="n">
        <v>37.72</v>
      </c>
      <c r="I133" s="9" t="n">
        <v>0</v>
      </c>
      <c r="J133" s="9" t="n">
        <v>40.65</v>
      </c>
      <c r="K133" s="9" t="n">
        <v>0</v>
      </c>
      <c r="L133" s="9"/>
      <c r="M133" s="9"/>
      <c r="N133" s="9"/>
      <c r="O133" s="9"/>
      <c r="P133" s="9" t="n">
        <f aca="false">SUM(K133:O133)</f>
        <v>0</v>
      </c>
      <c r="Q133" s="9" t="n">
        <v>0</v>
      </c>
      <c r="R133" s="10" t="e">
        <f aca="false">Q133/$P133</f>
        <v>#DIV/0!</v>
      </c>
      <c r="S133" s="9" t="n">
        <v>0</v>
      </c>
      <c r="T133" s="10" t="e">
        <f aca="false">S133/$P133</f>
        <v>#DIV/0!</v>
      </c>
      <c r="U133" s="9" t="n">
        <v>0</v>
      </c>
      <c r="V133" s="10" t="e">
        <f aca="false">U133/$P133</f>
        <v>#DIV/0!</v>
      </c>
      <c r="W133" s="9" t="n">
        <v>0</v>
      </c>
      <c r="X133" s="10" t="e">
        <f aca="false">W133/$P133</f>
        <v>#DIV/0!</v>
      </c>
      <c r="Y133" s="9" t="n">
        <v>0</v>
      </c>
      <c r="Z133" s="9" t="n">
        <v>0</v>
      </c>
    </row>
    <row r="134" customFormat="false" ht="12.8" hidden="false" customHeight="false" outlineLevel="0" collapsed="false">
      <c r="A134" s="1" t="n">
        <v>1</v>
      </c>
      <c r="B134" s="1" t="n">
        <v>3</v>
      </c>
      <c r="D134" s="31" t="s">
        <v>130</v>
      </c>
      <c r="E134" s="8" t="n">
        <v>630</v>
      </c>
      <c r="F134" s="8" t="s">
        <v>133</v>
      </c>
      <c r="G134" s="9" t="n">
        <v>8176.17</v>
      </c>
      <c r="H134" s="9" t="n">
        <v>5674.25</v>
      </c>
      <c r="I134" s="9" t="n">
        <v>7230</v>
      </c>
      <c r="J134" s="9" t="n">
        <v>4685.15</v>
      </c>
      <c r="K134" s="9" t="n">
        <v>3281</v>
      </c>
      <c r="L134" s="9"/>
      <c r="M134" s="9"/>
      <c r="N134" s="9"/>
      <c r="O134" s="9"/>
      <c r="P134" s="9" t="n">
        <f aca="false">SUM(K134:O134)</f>
        <v>3281</v>
      </c>
      <c r="Q134" s="9" t="n">
        <v>380</v>
      </c>
      <c r="R134" s="10" t="n">
        <f aca="false">Q134/$P134</f>
        <v>0.115818348064614</v>
      </c>
      <c r="S134" s="9" t="n">
        <v>901.49</v>
      </c>
      <c r="T134" s="10" t="n">
        <f aca="false">S134/$P134</f>
        <v>0.274760743675709</v>
      </c>
      <c r="U134" s="9" t="n">
        <v>1114.49</v>
      </c>
      <c r="V134" s="10" t="n">
        <f aca="false">U134/$P134</f>
        <v>0.33967997561719</v>
      </c>
      <c r="W134" s="9" t="n">
        <v>1858.55</v>
      </c>
      <c r="X134" s="10" t="n">
        <f aca="false">W134/$P134</f>
        <v>0.566458396830235</v>
      </c>
      <c r="Y134" s="9" t="n">
        <f aca="false">K134</f>
        <v>3281</v>
      </c>
      <c r="Z134" s="9" t="n">
        <f aca="false">Y134</f>
        <v>3281</v>
      </c>
    </row>
    <row r="135" customFormat="false" ht="12.8" hidden="false" customHeight="false" outlineLevel="0" collapsed="false">
      <c r="A135" s="1" t="n">
        <v>1</v>
      </c>
      <c r="B135" s="1" t="n">
        <v>3</v>
      </c>
      <c r="D135" s="55" t="s">
        <v>21</v>
      </c>
      <c r="E135" s="11" t="n">
        <v>41</v>
      </c>
      <c r="F135" s="11" t="s">
        <v>23</v>
      </c>
      <c r="G135" s="12" t="n">
        <f aca="false">SUM(G131:G134)</f>
        <v>11954.75</v>
      </c>
      <c r="H135" s="12" t="n">
        <f aca="false">SUM(H131:H134)</f>
        <v>8340.57</v>
      </c>
      <c r="I135" s="12" t="n">
        <f aca="false">SUM(I131:I134)</f>
        <v>12120</v>
      </c>
      <c r="J135" s="12" t="n">
        <f aca="false">SUM(J131:J134)</f>
        <v>15723.19</v>
      </c>
      <c r="K135" s="12" t="n">
        <f aca="false">SUM(K131:K134)</f>
        <v>5334</v>
      </c>
      <c r="L135" s="12" t="n">
        <f aca="false">SUM(L131:L134)</f>
        <v>0</v>
      </c>
      <c r="M135" s="12" t="n">
        <f aca="false">SUM(M131:M134)</f>
        <v>0</v>
      </c>
      <c r="N135" s="12" t="n">
        <f aca="false">SUM(N131:N134)</f>
        <v>0</v>
      </c>
      <c r="O135" s="12" t="n">
        <f aca="false">SUM(O131:O134)</f>
        <v>0</v>
      </c>
      <c r="P135" s="12" t="n">
        <f aca="false">SUM(P131:P134)</f>
        <v>5334</v>
      </c>
      <c r="Q135" s="12" t="n">
        <f aca="false">SUM(Q131:Q134)</f>
        <v>426</v>
      </c>
      <c r="R135" s="13" t="n">
        <f aca="false">Q135/$P135</f>
        <v>0.0798650168728909</v>
      </c>
      <c r="S135" s="12" t="n">
        <f aca="false">SUM(S131:S134)</f>
        <v>1016.49</v>
      </c>
      <c r="T135" s="13" t="n">
        <f aca="false">S135/$P135</f>
        <v>0.190568053993251</v>
      </c>
      <c r="U135" s="12" t="n">
        <f aca="false">SUM(U131:U134)</f>
        <v>1275.49</v>
      </c>
      <c r="V135" s="13" t="n">
        <f aca="false">U135/$P135</f>
        <v>0.239124484439445</v>
      </c>
      <c r="W135" s="12" t="n">
        <f aca="false">SUM(W131:W134)</f>
        <v>2307.55</v>
      </c>
      <c r="X135" s="13" t="n">
        <f aca="false">W135/$P135</f>
        <v>0.43261154855643</v>
      </c>
      <c r="Y135" s="12" t="n">
        <f aca="false">SUM(Y131:Y134)</f>
        <v>5334</v>
      </c>
      <c r="Z135" s="12" t="n">
        <f aca="false">SUM(Z131:Z134)</f>
        <v>5334</v>
      </c>
    </row>
    <row r="137" customFormat="false" ht="12.8" hidden="false" customHeight="false" outlineLevel="0" collapsed="false">
      <c r="E137" s="32" t="s">
        <v>57</v>
      </c>
      <c r="F137" s="14" t="s">
        <v>150</v>
      </c>
      <c r="G137" s="33" t="n">
        <f aca="false">616.74+187</f>
        <v>803.74</v>
      </c>
      <c r="H137" s="33" t="n">
        <v>583</v>
      </c>
      <c r="I137" s="33" t="n">
        <v>774</v>
      </c>
      <c r="J137" s="33" t="n">
        <v>1122</v>
      </c>
      <c r="K137" s="33" t="n">
        <v>836</v>
      </c>
      <c r="L137" s="33"/>
      <c r="M137" s="33"/>
      <c r="N137" s="33"/>
      <c r="O137" s="33"/>
      <c r="P137" s="33" t="n">
        <f aca="false">SUM(K137:O137)</f>
        <v>836</v>
      </c>
      <c r="Q137" s="33" t="n">
        <f aca="false">46+106</f>
        <v>152</v>
      </c>
      <c r="R137" s="34" t="n">
        <f aca="false">Q137/$P137</f>
        <v>0.181818181818182</v>
      </c>
      <c r="S137" s="33" t="n">
        <f aca="false">115+265</f>
        <v>380</v>
      </c>
      <c r="T137" s="34" t="n">
        <f aca="false">S137/$P137</f>
        <v>0.454545454545455</v>
      </c>
      <c r="U137" s="33" t="n">
        <v>424</v>
      </c>
      <c r="V137" s="34" t="n">
        <f aca="false">U137/$P137</f>
        <v>0.507177033492823</v>
      </c>
      <c r="W137" s="33" t="n">
        <f aca="false">583+161</f>
        <v>744</v>
      </c>
      <c r="X137" s="35" t="n">
        <f aca="false">W137/$P137</f>
        <v>0.889952153110048</v>
      </c>
      <c r="Y137" s="33" t="n">
        <f aca="false">K137</f>
        <v>836</v>
      </c>
      <c r="Z137" s="36" t="n">
        <f aca="false">Y137</f>
        <v>836</v>
      </c>
    </row>
    <row r="138" customFormat="false" ht="12.8" hidden="false" customHeight="false" outlineLevel="0" collapsed="false">
      <c r="E138" s="37"/>
      <c r="F138" s="1" t="s">
        <v>151</v>
      </c>
      <c r="G138" s="39" t="n">
        <v>1692</v>
      </c>
      <c r="H138" s="39" t="n">
        <v>1144</v>
      </c>
      <c r="I138" s="39" t="n">
        <v>1144</v>
      </c>
      <c r="J138" s="39" t="n">
        <v>1260</v>
      </c>
      <c r="K138" s="39" t="n">
        <v>216</v>
      </c>
      <c r="L138" s="39"/>
      <c r="M138" s="39"/>
      <c r="N138" s="39"/>
      <c r="O138" s="39"/>
      <c r="P138" s="39" t="n">
        <f aca="false">SUM(K138:O138)</f>
        <v>216</v>
      </c>
      <c r="Q138" s="39" t="n">
        <v>54</v>
      </c>
      <c r="R138" s="40" t="n">
        <f aca="false">Q138/$P138</f>
        <v>0.25</v>
      </c>
      <c r="S138" s="39" t="n">
        <v>108</v>
      </c>
      <c r="T138" s="40" t="n">
        <f aca="false">S138/$P138</f>
        <v>0.5</v>
      </c>
      <c r="U138" s="39" t="n">
        <v>162</v>
      </c>
      <c r="V138" s="40" t="n">
        <f aca="false">U138/$P138</f>
        <v>0.75</v>
      </c>
      <c r="W138" s="39" t="n">
        <v>216</v>
      </c>
      <c r="X138" s="41" t="n">
        <f aca="false">W138/$P138</f>
        <v>1</v>
      </c>
      <c r="Y138" s="39" t="n">
        <f aca="false">K138</f>
        <v>216</v>
      </c>
      <c r="Z138" s="42" t="n">
        <f aca="false">Y138</f>
        <v>216</v>
      </c>
    </row>
    <row r="139" customFormat="false" ht="12.8" hidden="false" customHeight="false" outlineLevel="0" collapsed="false">
      <c r="E139" s="37"/>
      <c r="F139" s="38" t="s">
        <v>166</v>
      </c>
      <c r="G139" s="39" t="n">
        <v>1863</v>
      </c>
      <c r="H139" s="39" t="n">
        <v>0</v>
      </c>
      <c r="I139" s="39" t="n">
        <v>4100</v>
      </c>
      <c r="J139" s="39" t="n">
        <v>9977.39</v>
      </c>
      <c r="K139" s="39" t="n">
        <v>1200</v>
      </c>
      <c r="L139" s="39"/>
      <c r="M139" s="39"/>
      <c r="N139" s="39"/>
      <c r="O139" s="39"/>
      <c r="P139" s="39" t="n">
        <f aca="false">SUM(K139:O139)</f>
        <v>1200</v>
      </c>
      <c r="Q139" s="39" t="n">
        <v>0</v>
      </c>
      <c r="R139" s="40" t="n">
        <f aca="false">Q139/$P139</f>
        <v>0</v>
      </c>
      <c r="S139" s="39" t="n">
        <v>0</v>
      </c>
      <c r="T139" s="40" t="n">
        <f aca="false">S139/$P139</f>
        <v>0</v>
      </c>
      <c r="U139" s="39" t="n">
        <v>0</v>
      </c>
      <c r="V139" s="40" t="n">
        <f aca="false">U139/$P139</f>
        <v>0</v>
      </c>
      <c r="W139" s="39" t="n">
        <v>0</v>
      </c>
      <c r="X139" s="41" t="n">
        <f aca="false">W139/$P139</f>
        <v>0</v>
      </c>
      <c r="Y139" s="39" t="n">
        <f aca="false">K139</f>
        <v>1200</v>
      </c>
      <c r="Z139" s="42" t="n">
        <f aca="false">Y139</f>
        <v>1200</v>
      </c>
    </row>
    <row r="140" customFormat="false" ht="12.8" hidden="false" customHeight="false" outlineLevel="0" collapsed="false">
      <c r="E140" s="37"/>
      <c r="F140" s="38" t="s">
        <v>167</v>
      </c>
      <c r="G140" s="43" t="n">
        <v>2795.3</v>
      </c>
      <c r="H140" s="43" t="n">
        <v>2959</v>
      </c>
      <c r="I140" s="39" t="n">
        <v>2900</v>
      </c>
      <c r="J140" s="39" t="n">
        <v>1633.5</v>
      </c>
      <c r="K140" s="39" t="n">
        <v>1600</v>
      </c>
      <c r="L140" s="39" t="n">
        <v>-17</v>
      </c>
      <c r="M140" s="39" t="n">
        <v>-54</v>
      </c>
      <c r="N140" s="39"/>
      <c r="O140" s="39" t="n">
        <v>-137</v>
      </c>
      <c r="P140" s="39" t="n">
        <f aca="false">SUM(K140:O140)</f>
        <v>1392</v>
      </c>
      <c r="Q140" s="39" t="n">
        <v>0</v>
      </c>
      <c r="R140" s="40" t="n">
        <f aca="false">Q140/$P140</f>
        <v>0</v>
      </c>
      <c r="S140" s="39" t="n">
        <v>0</v>
      </c>
      <c r="T140" s="40" t="n">
        <f aca="false">S140/$P140</f>
        <v>0</v>
      </c>
      <c r="U140" s="39" t="n">
        <v>0</v>
      </c>
      <c r="V140" s="40" t="n">
        <f aca="false">U140/$P140</f>
        <v>0</v>
      </c>
      <c r="W140" s="39" t="n">
        <v>0</v>
      </c>
      <c r="X140" s="41" t="n">
        <f aca="false">W140/$P140</f>
        <v>0</v>
      </c>
      <c r="Y140" s="39" t="n">
        <f aca="false">K140</f>
        <v>1600</v>
      </c>
      <c r="Z140" s="42" t="n">
        <f aca="false">Y140</f>
        <v>1600</v>
      </c>
    </row>
    <row r="141" customFormat="false" ht="12.8" hidden="false" customHeight="false" outlineLevel="0" collapsed="false">
      <c r="E141" s="44"/>
      <c r="F141" s="57" t="s">
        <v>168</v>
      </c>
      <c r="G141" s="46" t="n">
        <v>445</v>
      </c>
      <c r="H141" s="46" t="n">
        <v>375.36</v>
      </c>
      <c r="I141" s="46" t="n">
        <v>2000</v>
      </c>
      <c r="J141" s="46" t="n">
        <v>596.76</v>
      </c>
      <c r="K141" s="46" t="n">
        <v>600</v>
      </c>
      <c r="L141" s="46"/>
      <c r="M141" s="46"/>
      <c r="N141" s="46"/>
      <c r="O141" s="46" t="n">
        <v>133</v>
      </c>
      <c r="P141" s="46" t="n">
        <f aca="false">SUM(K141:O141)</f>
        <v>733</v>
      </c>
      <c r="Q141" s="46" t="n">
        <v>206</v>
      </c>
      <c r="R141" s="47" t="n">
        <f aca="false">Q141/$P141</f>
        <v>0.281036834924966</v>
      </c>
      <c r="S141" s="46" t="n">
        <v>206</v>
      </c>
      <c r="T141" s="47" t="n">
        <f aca="false">S141/$P141</f>
        <v>0.281036834924966</v>
      </c>
      <c r="U141" s="46" t="n">
        <v>206</v>
      </c>
      <c r="V141" s="47" t="n">
        <f aca="false">U141/$P141</f>
        <v>0.281036834924966</v>
      </c>
      <c r="W141" s="46" t="n">
        <v>733.16</v>
      </c>
      <c r="X141" s="48" t="n">
        <f aca="false">W141/$P141</f>
        <v>1.00021828103684</v>
      </c>
      <c r="Y141" s="46" t="n">
        <f aca="false">K141</f>
        <v>600</v>
      </c>
      <c r="Z141" s="49" t="n">
        <f aca="false">Y141</f>
        <v>600</v>
      </c>
    </row>
    <row r="142" customFormat="false" ht="12.8" hidden="false" customHeight="false" outlineLevel="0" collapsed="false"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customFormat="false" ht="12.8" hidden="false" customHeight="false" outlineLevel="0" collapsed="false">
      <c r="D143" s="24" t="s">
        <v>169</v>
      </c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customFormat="false" ht="12.8" hidden="false" customHeight="false" outlineLevel="0" collapsed="false">
      <c r="D144" s="5" t="s">
        <v>33</v>
      </c>
      <c r="E144" s="5" t="s">
        <v>34</v>
      </c>
      <c r="F144" s="5" t="s">
        <v>35</v>
      </c>
      <c r="G144" s="5" t="s">
        <v>1</v>
      </c>
      <c r="H144" s="5" t="s">
        <v>2</v>
      </c>
      <c r="I144" s="5" t="s">
        <v>3</v>
      </c>
      <c r="J144" s="5" t="s">
        <v>4</v>
      </c>
      <c r="K144" s="5" t="s">
        <v>5</v>
      </c>
      <c r="L144" s="5" t="s">
        <v>6</v>
      </c>
      <c r="M144" s="5" t="s">
        <v>7</v>
      </c>
      <c r="N144" s="5" t="s">
        <v>8</v>
      </c>
      <c r="O144" s="5" t="s">
        <v>9</v>
      </c>
      <c r="P144" s="5" t="s">
        <v>10</v>
      </c>
      <c r="Q144" s="5" t="s">
        <v>11</v>
      </c>
      <c r="R144" s="5" t="s">
        <v>12</v>
      </c>
      <c r="S144" s="5" t="s">
        <v>13</v>
      </c>
      <c r="T144" s="5" t="s">
        <v>14</v>
      </c>
      <c r="U144" s="5" t="s">
        <v>15</v>
      </c>
      <c r="V144" s="5" t="s">
        <v>16</v>
      </c>
      <c r="W144" s="5" t="s">
        <v>17</v>
      </c>
      <c r="X144" s="5" t="s">
        <v>18</v>
      </c>
      <c r="Y144" s="5" t="s">
        <v>19</v>
      </c>
      <c r="Z144" s="5" t="s">
        <v>20</v>
      </c>
    </row>
    <row r="145" customFormat="false" ht="12.8" hidden="false" customHeight="false" outlineLevel="0" collapsed="false">
      <c r="A145" s="1" t="n">
        <v>1</v>
      </c>
      <c r="B145" s="1" t="n">
        <v>4</v>
      </c>
      <c r="D145" s="82" t="s">
        <v>170</v>
      </c>
      <c r="E145" s="83" t="n">
        <v>620</v>
      </c>
      <c r="F145" s="83" t="s">
        <v>132</v>
      </c>
      <c r="G145" s="28" t="n">
        <v>46.76</v>
      </c>
      <c r="H145" s="28" t="n">
        <v>27.45</v>
      </c>
      <c r="I145" s="28" t="n">
        <v>0</v>
      </c>
      <c r="J145" s="28" t="n">
        <v>50.81</v>
      </c>
      <c r="K145" s="28" t="n">
        <v>0</v>
      </c>
      <c r="L145" s="28" t="n">
        <v>65</v>
      </c>
      <c r="M145" s="28" t="n">
        <v>45</v>
      </c>
      <c r="N145" s="28"/>
      <c r="O145" s="28"/>
      <c r="P145" s="28" t="n">
        <f aca="false">SUM(K145:O145)</f>
        <v>110</v>
      </c>
      <c r="Q145" s="28" t="n">
        <v>12.98</v>
      </c>
      <c r="R145" s="10" t="n">
        <f aca="false">Q145/$P145</f>
        <v>0.118</v>
      </c>
      <c r="S145" s="28" t="n">
        <v>110.27</v>
      </c>
      <c r="T145" s="10" t="n">
        <f aca="false">S145/$P145</f>
        <v>1.00245454545455</v>
      </c>
      <c r="U145" s="28" t="n">
        <v>110.27</v>
      </c>
      <c r="V145" s="10" t="n">
        <f aca="false">U145/$P145</f>
        <v>1.00245454545455</v>
      </c>
      <c r="W145" s="28" t="n">
        <v>110.27</v>
      </c>
      <c r="X145" s="10" t="n">
        <f aca="false">W145/$P145</f>
        <v>1.00245454545455</v>
      </c>
      <c r="Y145" s="9" t="n">
        <f aca="false">K145</f>
        <v>0</v>
      </c>
      <c r="Z145" s="9" t="n">
        <f aca="false">Y145</f>
        <v>0</v>
      </c>
    </row>
    <row r="146" customFormat="false" ht="12.8" hidden="false" customHeight="false" outlineLevel="0" collapsed="false">
      <c r="A146" s="1" t="n">
        <v>1</v>
      </c>
      <c r="B146" s="1" t="n">
        <v>4</v>
      </c>
      <c r="D146" s="82"/>
      <c r="E146" s="83" t="n">
        <v>630</v>
      </c>
      <c r="F146" s="83" t="s">
        <v>133</v>
      </c>
      <c r="G146" s="28" t="n">
        <v>1757.26</v>
      </c>
      <c r="H146" s="28" t="n">
        <v>1301.35</v>
      </c>
      <c r="I146" s="28" t="n">
        <v>1500</v>
      </c>
      <c r="J146" s="28" t="n">
        <v>1494.77</v>
      </c>
      <c r="K146" s="28" t="n">
        <f aca="false">príjmy!H100</f>
        <v>3000</v>
      </c>
      <c r="L146" s="28" t="n">
        <v>-65</v>
      </c>
      <c r="M146" s="28" t="n">
        <v>1401</v>
      </c>
      <c r="N146" s="28"/>
      <c r="O146" s="28"/>
      <c r="P146" s="28" t="n">
        <f aca="false">SUM(K146:O146)</f>
        <v>4336</v>
      </c>
      <c r="Q146" s="28" t="n">
        <v>1161.2</v>
      </c>
      <c r="R146" s="10" t="n">
        <f aca="false">Q146/$P146</f>
        <v>0.26780442804428</v>
      </c>
      <c r="S146" s="28" t="n">
        <v>4095.31</v>
      </c>
      <c r="T146" s="10" t="n">
        <f aca="false">S146/$P146</f>
        <v>0.944490313653136</v>
      </c>
      <c r="U146" s="28" t="n">
        <v>4335.77</v>
      </c>
      <c r="V146" s="10" t="n">
        <f aca="false">U146/$P146</f>
        <v>0.999946955719557</v>
      </c>
      <c r="W146" s="28" t="n">
        <v>4335.77</v>
      </c>
      <c r="X146" s="10" t="n">
        <f aca="false">W146/$P146</f>
        <v>0.999946955719557</v>
      </c>
      <c r="Y146" s="28" t="n">
        <f aca="false">príjmy!V100</f>
        <v>1500</v>
      </c>
      <c r="Z146" s="28" t="n">
        <f aca="false">príjmy!W100</f>
        <v>3000</v>
      </c>
    </row>
    <row r="147" customFormat="false" ht="12.8" hidden="false" customHeight="false" outlineLevel="0" collapsed="false">
      <c r="A147" s="1" t="n">
        <v>1</v>
      </c>
      <c r="B147" s="1" t="n">
        <v>4</v>
      </c>
      <c r="D147" s="84" t="s">
        <v>21</v>
      </c>
      <c r="E147" s="85" t="n">
        <v>111</v>
      </c>
      <c r="F147" s="85" t="s">
        <v>136</v>
      </c>
      <c r="G147" s="86" t="n">
        <f aca="false">SUM(G145:G146)</f>
        <v>1804.02</v>
      </c>
      <c r="H147" s="86" t="n">
        <f aca="false">SUM(H145:H146)</f>
        <v>1328.8</v>
      </c>
      <c r="I147" s="86" t="n">
        <f aca="false">SUM(I145:I146)</f>
        <v>1500</v>
      </c>
      <c r="J147" s="86" t="n">
        <f aca="false">SUM(J145:J146)</f>
        <v>1545.58</v>
      </c>
      <c r="K147" s="86" t="n">
        <f aca="false">SUM(K145:K146)</f>
        <v>3000</v>
      </c>
      <c r="L147" s="86" t="n">
        <f aca="false">SUM(L145:L146)</f>
        <v>0</v>
      </c>
      <c r="M147" s="86" t="n">
        <f aca="false">SUM(M145:M146)</f>
        <v>1446</v>
      </c>
      <c r="N147" s="86" t="n">
        <f aca="false">SUM(N145:N146)</f>
        <v>0</v>
      </c>
      <c r="O147" s="86" t="n">
        <f aca="false">SUM(O145:O146)</f>
        <v>0</v>
      </c>
      <c r="P147" s="86" t="n">
        <f aca="false">SUM(P145:P146)</f>
        <v>4446</v>
      </c>
      <c r="Q147" s="86" t="n">
        <f aca="false">SUM(Q145:Q146)</f>
        <v>1174.18</v>
      </c>
      <c r="R147" s="13" t="n">
        <f aca="false">Q147/$P147</f>
        <v>0.264098065677013</v>
      </c>
      <c r="S147" s="86" t="n">
        <f aca="false">SUM(S145:S146)</f>
        <v>4205.58</v>
      </c>
      <c r="T147" s="13" t="n">
        <f aca="false">S147/$P147</f>
        <v>0.945924426450742</v>
      </c>
      <c r="U147" s="86" t="n">
        <f aca="false">SUM(U145:U146)</f>
        <v>4446.04</v>
      </c>
      <c r="V147" s="13" t="n">
        <f aca="false">U147/$P147</f>
        <v>1.0000089968511</v>
      </c>
      <c r="W147" s="86" t="n">
        <f aca="false">SUM(W145:W146)</f>
        <v>4446.04</v>
      </c>
      <c r="X147" s="13" t="n">
        <f aca="false">W147/$P147</f>
        <v>1.0000089968511</v>
      </c>
      <c r="Y147" s="86" t="n">
        <f aca="false">SUM(Y145:Y146)</f>
        <v>1500</v>
      </c>
      <c r="Z147" s="86" t="n">
        <f aca="false">SUM(Z145:Z146)</f>
        <v>3000</v>
      </c>
    </row>
    <row r="149" customFormat="false" ht="12.8" hidden="false" customHeight="false" outlineLevel="0" collapsed="false">
      <c r="D149" s="16" t="s">
        <v>171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customFormat="false" ht="12.8" hidden="false" customHeight="false" outlineLevel="0" collapsed="false">
      <c r="D150" s="4"/>
      <c r="E150" s="4"/>
      <c r="F150" s="4"/>
      <c r="G150" s="5" t="s">
        <v>1</v>
      </c>
      <c r="H150" s="5" t="s">
        <v>2</v>
      </c>
      <c r="I150" s="5" t="s">
        <v>3</v>
      </c>
      <c r="J150" s="5" t="s">
        <v>4</v>
      </c>
      <c r="K150" s="5" t="s">
        <v>5</v>
      </c>
      <c r="L150" s="5" t="s">
        <v>6</v>
      </c>
      <c r="M150" s="5" t="s">
        <v>7</v>
      </c>
      <c r="N150" s="5" t="s">
        <v>8</v>
      </c>
      <c r="O150" s="5" t="s">
        <v>9</v>
      </c>
      <c r="P150" s="5" t="s">
        <v>10</v>
      </c>
      <c r="Q150" s="5" t="s">
        <v>11</v>
      </c>
      <c r="R150" s="5" t="s">
        <v>12</v>
      </c>
      <c r="S150" s="5" t="s">
        <v>13</v>
      </c>
      <c r="T150" s="5" t="s">
        <v>14</v>
      </c>
      <c r="U150" s="5" t="s">
        <v>15</v>
      </c>
      <c r="V150" s="5" t="s">
        <v>16</v>
      </c>
      <c r="W150" s="5" t="s">
        <v>17</v>
      </c>
      <c r="X150" s="5" t="s">
        <v>18</v>
      </c>
      <c r="Y150" s="5" t="s">
        <v>19</v>
      </c>
      <c r="Z150" s="5" t="s">
        <v>20</v>
      </c>
    </row>
    <row r="151" customFormat="false" ht="12.8" hidden="false" customHeight="false" outlineLevel="0" collapsed="false">
      <c r="A151" s="1" t="n">
        <v>2</v>
      </c>
      <c r="D151" s="17" t="s">
        <v>21</v>
      </c>
      <c r="E151" s="18" t="n">
        <v>111</v>
      </c>
      <c r="F151" s="18" t="s">
        <v>47</v>
      </c>
      <c r="G151" s="19" t="n">
        <f aca="false">G161+G181+G197</f>
        <v>426237.42</v>
      </c>
      <c r="H151" s="19" t="n">
        <f aca="false">H161+H181+H197</f>
        <v>433833.59</v>
      </c>
      <c r="I151" s="19" t="n">
        <f aca="false">I161+I181+I197</f>
        <v>453060</v>
      </c>
      <c r="J151" s="19" t="n">
        <f aca="false">J161+J181+J197</f>
        <v>456466.12</v>
      </c>
      <c r="K151" s="19" t="n">
        <f aca="false">K161+K181+K197</f>
        <v>483233</v>
      </c>
      <c r="L151" s="19" t="n">
        <f aca="false">L161+L181+L197</f>
        <v>0</v>
      </c>
      <c r="M151" s="19" t="n">
        <f aca="false">M161+M181+M197</f>
        <v>0</v>
      </c>
      <c r="N151" s="19" t="n">
        <f aca="false">N161+N181+N197</f>
        <v>26018</v>
      </c>
      <c r="O151" s="19" t="n">
        <f aca="false">O161+O181+O197</f>
        <v>42</v>
      </c>
      <c r="P151" s="19" t="n">
        <f aca="false">P161+P181+P197</f>
        <v>509293</v>
      </c>
      <c r="Q151" s="19" t="n">
        <f aca="false">Q161+Q181+Q197</f>
        <v>88877.1</v>
      </c>
      <c r="R151" s="20" t="n">
        <f aca="false">Q151/$P151</f>
        <v>0.17451074332457</v>
      </c>
      <c r="S151" s="19" t="n">
        <f aca="false">S161+S181+S197</f>
        <v>217270.14</v>
      </c>
      <c r="T151" s="20" t="n">
        <f aca="false">S151/$P151</f>
        <v>0.426611282699743</v>
      </c>
      <c r="U151" s="19" t="n">
        <f aca="false">U161+U181+U197</f>
        <v>336220.34</v>
      </c>
      <c r="V151" s="20" t="n">
        <f aca="false">U151/$P151</f>
        <v>0.66017074650545</v>
      </c>
      <c r="W151" s="19" t="n">
        <f aca="false">W161+W181+W197</f>
        <v>524485.78</v>
      </c>
      <c r="X151" s="20" t="n">
        <f aca="false">W151/$P151</f>
        <v>1.02983111882551</v>
      </c>
      <c r="Y151" s="19" t="n">
        <f aca="false">Y161+Y181+Y197</f>
        <v>527790</v>
      </c>
      <c r="Z151" s="19" t="n">
        <f aca="false">Z161+Z181+Z197</f>
        <v>527790</v>
      </c>
    </row>
    <row r="152" customFormat="false" ht="12.8" hidden="false" customHeight="false" outlineLevel="0" collapsed="false">
      <c r="A152" s="1" t="n">
        <v>2</v>
      </c>
      <c r="D152" s="17"/>
      <c r="E152" s="18" t="n">
        <v>41</v>
      </c>
      <c r="F152" s="18" t="s">
        <v>23</v>
      </c>
      <c r="G152" s="19" t="n">
        <f aca="false">G166+G186+G202</f>
        <v>233190.06</v>
      </c>
      <c r="H152" s="19" t="n">
        <f aca="false">H166+H186+H202</f>
        <v>264846.47</v>
      </c>
      <c r="I152" s="19" t="n">
        <f aca="false">I166+I186+I202</f>
        <v>274378</v>
      </c>
      <c r="J152" s="19" t="n">
        <f aca="false">J166+J186+J202</f>
        <v>273337.44</v>
      </c>
      <c r="K152" s="19" t="n">
        <f aca="false">K166+K186+K202</f>
        <v>318201</v>
      </c>
      <c r="L152" s="19" t="n">
        <f aca="false">L166+L186+L202</f>
        <v>0</v>
      </c>
      <c r="M152" s="19" t="n">
        <f aca="false">M166+M186+M202</f>
        <v>0</v>
      </c>
      <c r="N152" s="19" t="n">
        <f aca="false">N166+N186+N202</f>
        <v>6892</v>
      </c>
      <c r="O152" s="19" t="n">
        <f aca="false">O166+O186+O202</f>
        <v>100</v>
      </c>
      <c r="P152" s="19" t="n">
        <f aca="false">P166+P186+P202</f>
        <v>325193</v>
      </c>
      <c r="Q152" s="19" t="n">
        <f aca="false">Q166+Q186+Q202</f>
        <v>60509.03</v>
      </c>
      <c r="R152" s="20" t="n">
        <f aca="false">Q152/$P152</f>
        <v>0.186071133142472</v>
      </c>
      <c r="S152" s="19" t="n">
        <f aca="false">S166+S186+S202</f>
        <v>133147.25</v>
      </c>
      <c r="T152" s="20" t="n">
        <f aca="false">S152/$P152</f>
        <v>0.409440701368111</v>
      </c>
      <c r="U152" s="19" t="n">
        <f aca="false">U166+U186+U202</f>
        <v>210851.01</v>
      </c>
      <c r="V152" s="20" t="n">
        <f aca="false">U152/$P152</f>
        <v>0.648387296159511</v>
      </c>
      <c r="W152" s="19" t="n">
        <f aca="false">W166+W186+W202</f>
        <v>301791.44</v>
      </c>
      <c r="X152" s="20" t="n">
        <f aca="false">W152/$P152</f>
        <v>0.928037934395882</v>
      </c>
      <c r="Y152" s="19" t="n">
        <f aca="false">Y166+Y186+Y202</f>
        <v>325657</v>
      </c>
      <c r="Z152" s="19" t="n">
        <f aca="false">Z166+Z186+Z202</f>
        <v>337255</v>
      </c>
    </row>
    <row r="153" customFormat="false" ht="12.8" hidden="false" customHeight="false" outlineLevel="0" collapsed="false">
      <c r="D153" s="17"/>
      <c r="E153" s="18" t="n">
        <v>72</v>
      </c>
      <c r="F153" s="18" t="s">
        <v>25</v>
      </c>
      <c r="G153" s="19" t="n">
        <f aca="false">G169+G188+G204</f>
        <v>0</v>
      </c>
      <c r="H153" s="19" t="n">
        <f aca="false">H169+H188+H204</f>
        <v>0</v>
      </c>
      <c r="I153" s="19" t="n">
        <f aca="false">I169+I188+I204</f>
        <v>47445</v>
      </c>
      <c r="J153" s="19" t="n">
        <f aca="false">J169+J188+J204</f>
        <v>55075.9</v>
      </c>
      <c r="K153" s="19" t="n">
        <f aca="false">K169+K188+K204</f>
        <v>49300</v>
      </c>
      <c r="L153" s="19" t="n">
        <f aca="false">L169+L188+L204</f>
        <v>0</v>
      </c>
      <c r="M153" s="19" t="n">
        <f aca="false">M169+M188+M204</f>
        <v>0</v>
      </c>
      <c r="N153" s="19" t="n">
        <f aca="false">N169+N188+N204</f>
        <v>7104</v>
      </c>
      <c r="O153" s="19" t="n">
        <f aca="false">O169+O188+O204</f>
        <v>257</v>
      </c>
      <c r="P153" s="19" t="n">
        <f aca="false">P169+P188+P204</f>
        <v>56661</v>
      </c>
      <c r="Q153" s="19" t="n">
        <f aca="false">Q169+Q188+Q204</f>
        <v>8651.88</v>
      </c>
      <c r="R153" s="20" t="n">
        <f aca="false">Q153/$P153</f>
        <v>0.152695504844602</v>
      </c>
      <c r="S153" s="19" t="n">
        <f aca="false">S169+S188+S204</f>
        <v>22301.95</v>
      </c>
      <c r="T153" s="20" t="n">
        <f aca="false">S153/$P153</f>
        <v>0.393603183847797</v>
      </c>
      <c r="U153" s="19" t="n">
        <f aca="false">U169+U188+U204</f>
        <v>29777.15</v>
      </c>
      <c r="V153" s="20" t="n">
        <f aca="false">U153/$P153</f>
        <v>0.52553167081414</v>
      </c>
      <c r="W153" s="19" t="n">
        <f aca="false">W169+W188+W204</f>
        <v>45351.94</v>
      </c>
      <c r="X153" s="20" t="n">
        <f aca="false">W153/$P153</f>
        <v>0.800408393780555</v>
      </c>
      <c r="Y153" s="19" t="n">
        <f aca="false">Y169+Y188+Y204</f>
        <v>49360</v>
      </c>
      <c r="Z153" s="19" t="n">
        <f aca="false">Z169+Z188+Z204</f>
        <v>49360</v>
      </c>
    </row>
    <row r="154" customFormat="false" ht="12.8" hidden="false" customHeight="false" outlineLevel="0" collapsed="false">
      <c r="A154" s="1" t="n">
        <v>2</v>
      </c>
      <c r="D154" s="14"/>
      <c r="E154" s="15"/>
      <c r="F154" s="21" t="s">
        <v>126</v>
      </c>
      <c r="G154" s="22" t="n">
        <f aca="false">SUM(G151:G153)</f>
        <v>659427.48</v>
      </c>
      <c r="H154" s="22" t="n">
        <f aca="false">SUM(H151:H153)</f>
        <v>698680.06</v>
      </c>
      <c r="I154" s="22" t="n">
        <f aca="false">SUM(I151:I153)</f>
        <v>774883</v>
      </c>
      <c r="J154" s="22" t="n">
        <f aca="false">SUM(J151:J153)</f>
        <v>784879.46</v>
      </c>
      <c r="K154" s="22" t="n">
        <f aca="false">SUM(K151:K153)</f>
        <v>850734</v>
      </c>
      <c r="L154" s="22" t="n">
        <f aca="false">SUM(L151:L153)</f>
        <v>0</v>
      </c>
      <c r="M154" s="22" t="n">
        <f aca="false">SUM(M151:M153)</f>
        <v>0</v>
      </c>
      <c r="N154" s="22" t="n">
        <f aca="false">SUM(N151:N153)</f>
        <v>40014</v>
      </c>
      <c r="O154" s="22" t="n">
        <f aca="false">SUM(O151:O153)</f>
        <v>399</v>
      </c>
      <c r="P154" s="22" t="n">
        <f aca="false">SUM(P151:P153)</f>
        <v>891147</v>
      </c>
      <c r="Q154" s="22" t="n">
        <f aca="false">SUM(Q151:Q153)</f>
        <v>158038.01</v>
      </c>
      <c r="R154" s="23" t="n">
        <f aca="false">Q154/$P154</f>
        <v>0.177342245443232</v>
      </c>
      <c r="S154" s="22" t="n">
        <f aca="false">SUM(S151:S153)</f>
        <v>372719.34</v>
      </c>
      <c r="T154" s="23" t="n">
        <f aca="false">S154/$P154</f>
        <v>0.418246753902555</v>
      </c>
      <c r="U154" s="22" t="n">
        <f aca="false">SUM(U151:U153)</f>
        <v>576848.5</v>
      </c>
      <c r="V154" s="23" t="n">
        <f aca="false">U154/$P154</f>
        <v>0.647310151972682</v>
      </c>
      <c r="W154" s="22" t="n">
        <f aca="false">SUM(W151:W153)</f>
        <v>871629.16</v>
      </c>
      <c r="X154" s="23" t="n">
        <f aca="false">W154/$P154</f>
        <v>0.978098069117665</v>
      </c>
      <c r="Y154" s="22" t="n">
        <f aca="false">SUM(Y151:Y153)</f>
        <v>902807</v>
      </c>
      <c r="Z154" s="22" t="n">
        <f aca="false">SUM(Z151:Z153)</f>
        <v>914405</v>
      </c>
    </row>
    <row r="156" customFormat="false" ht="12.8" hidden="false" customHeight="false" outlineLevel="0" collapsed="false">
      <c r="D156" s="24" t="s">
        <v>172</v>
      </c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customFormat="false" ht="12.8" hidden="false" customHeight="false" outlineLevel="0" collapsed="false">
      <c r="D157" s="5" t="s">
        <v>33</v>
      </c>
      <c r="E157" s="5" t="s">
        <v>34</v>
      </c>
      <c r="F157" s="5" t="s">
        <v>35</v>
      </c>
      <c r="G157" s="5" t="s">
        <v>1</v>
      </c>
      <c r="H157" s="5" t="s">
        <v>2</v>
      </c>
      <c r="I157" s="5" t="s">
        <v>3</v>
      </c>
      <c r="J157" s="5" t="s">
        <v>4</v>
      </c>
      <c r="K157" s="5" t="s">
        <v>5</v>
      </c>
      <c r="L157" s="5" t="s">
        <v>6</v>
      </c>
      <c r="M157" s="5" t="s">
        <v>7</v>
      </c>
      <c r="N157" s="5" t="s">
        <v>8</v>
      </c>
      <c r="O157" s="5" t="s">
        <v>9</v>
      </c>
      <c r="P157" s="5" t="s">
        <v>10</v>
      </c>
      <c r="Q157" s="5" t="s">
        <v>11</v>
      </c>
      <c r="R157" s="5" t="s">
        <v>12</v>
      </c>
      <c r="S157" s="5" t="s">
        <v>13</v>
      </c>
      <c r="T157" s="5" t="s">
        <v>14</v>
      </c>
      <c r="U157" s="5" t="s">
        <v>15</v>
      </c>
      <c r="V157" s="5" t="s">
        <v>16</v>
      </c>
      <c r="W157" s="5" t="s">
        <v>17</v>
      </c>
      <c r="X157" s="5" t="s">
        <v>18</v>
      </c>
      <c r="Y157" s="5" t="s">
        <v>19</v>
      </c>
      <c r="Z157" s="5" t="s">
        <v>20</v>
      </c>
    </row>
    <row r="158" customFormat="false" ht="12.8" hidden="false" customHeight="false" outlineLevel="0" collapsed="false">
      <c r="A158" s="1" t="n">
        <v>2</v>
      </c>
      <c r="B158" s="1" t="n">
        <v>1</v>
      </c>
      <c r="D158" s="69" t="s">
        <v>158</v>
      </c>
      <c r="E158" s="8" t="n">
        <v>610</v>
      </c>
      <c r="F158" s="8" t="s">
        <v>131</v>
      </c>
      <c r="G158" s="9" t="n">
        <v>1950</v>
      </c>
      <c r="H158" s="9" t="n">
        <v>1807</v>
      </c>
      <c r="I158" s="9" t="n">
        <v>0</v>
      </c>
      <c r="J158" s="9" t="n">
        <v>2315</v>
      </c>
      <c r="K158" s="9" t="n">
        <v>0</v>
      </c>
      <c r="L158" s="9" t="n">
        <v>260</v>
      </c>
      <c r="M158" s="9" t="n">
        <v>160</v>
      </c>
      <c r="N158" s="9" t="n">
        <v>80</v>
      </c>
      <c r="O158" s="9" t="n">
        <v>874</v>
      </c>
      <c r="P158" s="9" t="n">
        <f aca="false">SUM(K158:O158)</f>
        <v>1374</v>
      </c>
      <c r="Q158" s="9" t="n">
        <v>180</v>
      </c>
      <c r="R158" s="10" t="n">
        <f aca="false">Q158/$P158</f>
        <v>0.131004366812227</v>
      </c>
      <c r="S158" s="9" t="n">
        <v>420</v>
      </c>
      <c r="T158" s="10" t="n">
        <f aca="false">S158/$P158</f>
        <v>0.305676855895196</v>
      </c>
      <c r="U158" s="9" t="n">
        <v>500</v>
      </c>
      <c r="V158" s="10" t="n">
        <f aca="false">U158/$P158</f>
        <v>0.363901018922853</v>
      </c>
      <c r="W158" s="9" t="n">
        <v>1374</v>
      </c>
      <c r="X158" s="10" t="n">
        <f aca="false">W158/$P158</f>
        <v>1</v>
      </c>
      <c r="Y158" s="9" t="n">
        <f aca="false">K158</f>
        <v>0</v>
      </c>
      <c r="Z158" s="9" t="n">
        <f aca="false">Y158</f>
        <v>0</v>
      </c>
    </row>
    <row r="159" customFormat="false" ht="12.8" hidden="false" customHeight="false" outlineLevel="0" collapsed="false">
      <c r="A159" s="1" t="n">
        <v>2</v>
      </c>
      <c r="B159" s="1" t="n">
        <v>1</v>
      </c>
      <c r="D159" s="69"/>
      <c r="E159" s="8" t="n">
        <v>620</v>
      </c>
      <c r="F159" s="8" t="s">
        <v>132</v>
      </c>
      <c r="G159" s="9" t="n">
        <v>681.54</v>
      </c>
      <c r="H159" s="9" t="n">
        <v>659.52</v>
      </c>
      <c r="I159" s="9" t="n">
        <v>0</v>
      </c>
      <c r="J159" s="9" t="n">
        <v>809.09</v>
      </c>
      <c r="K159" s="9" t="n">
        <v>0</v>
      </c>
      <c r="L159" s="9" t="n">
        <v>91</v>
      </c>
      <c r="M159" s="9" t="n">
        <v>56</v>
      </c>
      <c r="N159" s="9" t="n">
        <v>28</v>
      </c>
      <c r="O159" s="9" t="n">
        <v>305</v>
      </c>
      <c r="P159" s="9" t="n">
        <f aca="false">SUM(K159:O159)</f>
        <v>480</v>
      </c>
      <c r="Q159" s="9" t="n">
        <v>62.91</v>
      </c>
      <c r="R159" s="10" t="n">
        <f aca="false">Q159/$P159</f>
        <v>0.1310625</v>
      </c>
      <c r="S159" s="9" t="n">
        <v>146.79</v>
      </c>
      <c r="T159" s="10" t="n">
        <f aca="false">S159/$P159</f>
        <v>0.3058125</v>
      </c>
      <c r="U159" s="9" t="n">
        <v>174.75</v>
      </c>
      <c r="V159" s="10" t="n">
        <f aca="false">U159/$P159</f>
        <v>0.3640625</v>
      </c>
      <c r="W159" s="9" t="n">
        <v>480.22</v>
      </c>
      <c r="X159" s="10" t="n">
        <f aca="false">W159/$P159</f>
        <v>1.00045833333333</v>
      </c>
      <c r="Y159" s="9" t="n">
        <f aca="false">K159</f>
        <v>0</v>
      </c>
      <c r="Z159" s="9" t="n">
        <f aca="false">Y159</f>
        <v>0</v>
      </c>
    </row>
    <row r="160" customFormat="false" ht="12.8" hidden="false" customHeight="false" outlineLevel="0" collapsed="false">
      <c r="A160" s="1" t="n">
        <v>2</v>
      </c>
      <c r="B160" s="1" t="n">
        <v>1</v>
      </c>
      <c r="D160" s="69"/>
      <c r="E160" s="8" t="n">
        <v>630</v>
      </c>
      <c r="F160" s="8" t="s">
        <v>133</v>
      </c>
      <c r="G160" s="9" t="n">
        <v>1826.87</v>
      </c>
      <c r="H160" s="9" t="n">
        <v>2145.07</v>
      </c>
      <c r="I160" s="9" t="n">
        <v>4300</v>
      </c>
      <c r="J160" s="9" t="n">
        <v>1673.91</v>
      </c>
      <c r="K160" s="9" t="n">
        <f aca="false">príjmy!H97</f>
        <v>4300</v>
      </c>
      <c r="L160" s="9" t="n">
        <v>-351</v>
      </c>
      <c r="M160" s="9" t="n">
        <f aca="false">-160-56</f>
        <v>-216</v>
      </c>
      <c r="N160" s="9" t="n">
        <f aca="false">-108+5445</f>
        <v>5337</v>
      </c>
      <c r="O160" s="9" t="n">
        <v>-955</v>
      </c>
      <c r="P160" s="9" t="n">
        <f aca="false">SUM(K160:O160)</f>
        <v>8115</v>
      </c>
      <c r="Q160" s="9" t="n">
        <v>0</v>
      </c>
      <c r="R160" s="10" t="n">
        <f aca="false">Q160/$P160</f>
        <v>0</v>
      </c>
      <c r="S160" s="9" t="n">
        <v>1990.97</v>
      </c>
      <c r="T160" s="10" t="n">
        <f aca="false">S160/$P160</f>
        <v>0.245344423906346</v>
      </c>
      <c r="U160" s="9" t="n">
        <f aca="false">2080.97+5444.64</f>
        <v>7525.61</v>
      </c>
      <c r="V160" s="10" t="n">
        <f aca="false">U160/$P160</f>
        <v>0.927370301910043</v>
      </c>
      <c r="W160" s="9" t="n">
        <f aca="false">2669.78+5444.64</f>
        <v>8114.42</v>
      </c>
      <c r="X160" s="10" t="n">
        <f aca="false">W160/$P160</f>
        <v>0.999928527418361</v>
      </c>
      <c r="Y160" s="9" t="n">
        <f aca="false">príjmy!V97</f>
        <v>4300</v>
      </c>
      <c r="Z160" s="9" t="n">
        <f aca="false">príjmy!W97</f>
        <v>4300</v>
      </c>
    </row>
    <row r="161" customFormat="false" ht="12.8" hidden="false" customHeight="false" outlineLevel="0" collapsed="false">
      <c r="A161" s="1" t="n">
        <v>2</v>
      </c>
      <c r="B161" s="1" t="n">
        <v>1</v>
      </c>
      <c r="D161" s="70" t="s">
        <v>21</v>
      </c>
      <c r="E161" s="29" t="n">
        <v>111</v>
      </c>
      <c r="F161" s="29" t="s">
        <v>136</v>
      </c>
      <c r="G161" s="30" t="n">
        <f aca="false">SUM(G158:G160)</f>
        <v>4458.41</v>
      </c>
      <c r="H161" s="30" t="n">
        <f aca="false">SUM(H158:H160)</f>
        <v>4611.59</v>
      </c>
      <c r="I161" s="30" t="n">
        <f aca="false">SUM(I158:I160)</f>
        <v>4300</v>
      </c>
      <c r="J161" s="30" t="n">
        <f aca="false">SUM(J158:J160)</f>
        <v>4798</v>
      </c>
      <c r="K161" s="30" t="n">
        <f aca="false">SUM(K158:K160)</f>
        <v>4300</v>
      </c>
      <c r="L161" s="30" t="n">
        <f aca="false">SUM(L158:L160)</f>
        <v>0</v>
      </c>
      <c r="M161" s="30" t="n">
        <f aca="false">SUM(M158:M160)</f>
        <v>0</v>
      </c>
      <c r="N161" s="30" t="n">
        <f aca="false">SUM(N158:N160)</f>
        <v>5445</v>
      </c>
      <c r="O161" s="30" t="n">
        <f aca="false">SUM(O158:O160)</f>
        <v>224</v>
      </c>
      <c r="P161" s="30" t="n">
        <f aca="false">SUM(P158:P160)</f>
        <v>9969</v>
      </c>
      <c r="Q161" s="30" t="n">
        <f aca="false">SUM(Q158:Q160)</f>
        <v>242.91</v>
      </c>
      <c r="R161" s="71" t="n">
        <f aca="false">Q161/$P161</f>
        <v>0.0243665362624135</v>
      </c>
      <c r="S161" s="30" t="n">
        <f aca="false">SUM(S158:S160)</f>
        <v>2557.76</v>
      </c>
      <c r="T161" s="71" t="n">
        <f aca="false">S161/$P161</f>
        <v>0.256571371250878</v>
      </c>
      <c r="U161" s="30" t="n">
        <f aca="false">SUM(U158:U160)</f>
        <v>8200.36</v>
      </c>
      <c r="V161" s="71" t="n">
        <f aca="false">U161/$P161</f>
        <v>0.82258601665162</v>
      </c>
      <c r="W161" s="30" t="n">
        <f aca="false">SUM(W158:W160)</f>
        <v>9968.64</v>
      </c>
      <c r="X161" s="71" t="n">
        <f aca="false">W161/$P161</f>
        <v>0.999963888052964</v>
      </c>
      <c r="Y161" s="30" t="n">
        <f aca="false">SUM(Y158:Y160)</f>
        <v>4300</v>
      </c>
      <c r="Z161" s="30" t="n">
        <f aca="false">SUM(Z158:Z160)</f>
        <v>4300</v>
      </c>
    </row>
    <row r="162" customFormat="false" ht="12.8" hidden="false" customHeight="false" outlineLevel="0" collapsed="false">
      <c r="A162" s="1" t="n">
        <v>2</v>
      </c>
      <c r="B162" s="1" t="n">
        <v>1</v>
      </c>
      <c r="D162" s="69" t="s">
        <v>158</v>
      </c>
      <c r="E162" s="8" t="n">
        <v>610</v>
      </c>
      <c r="F162" s="8" t="s">
        <v>131</v>
      </c>
      <c r="G162" s="9" t="n">
        <v>89784.2</v>
      </c>
      <c r="H162" s="9" t="n">
        <v>92839.99</v>
      </c>
      <c r="I162" s="9" t="n">
        <v>100040</v>
      </c>
      <c r="J162" s="9" t="n">
        <v>97764.72</v>
      </c>
      <c r="K162" s="9" t="n">
        <v>111970</v>
      </c>
      <c r="L162" s="9" t="n">
        <v>-188</v>
      </c>
      <c r="M162" s="9"/>
      <c r="N162" s="9" t="n">
        <v>8792</v>
      </c>
      <c r="O162" s="9" t="n">
        <v>-97</v>
      </c>
      <c r="P162" s="9" t="n">
        <f aca="false">SUM(K162:O162)</f>
        <v>120477</v>
      </c>
      <c r="Q162" s="9" t="n">
        <v>24597.39</v>
      </c>
      <c r="R162" s="10" t="n">
        <f aca="false">Q162/$P162</f>
        <v>0.204166687417515</v>
      </c>
      <c r="S162" s="9" t="n">
        <v>52783.7</v>
      </c>
      <c r="T162" s="10" t="n">
        <f aca="false">S162/$P162</f>
        <v>0.438122629215535</v>
      </c>
      <c r="U162" s="9" t="n">
        <v>83794.88</v>
      </c>
      <c r="V162" s="10" t="n">
        <f aca="false">U162/$P162</f>
        <v>0.695525951011396</v>
      </c>
      <c r="W162" s="9" t="n">
        <v>115765.93</v>
      </c>
      <c r="X162" s="10" t="n">
        <f aca="false">W162/$P162</f>
        <v>0.960896519667654</v>
      </c>
      <c r="Y162" s="9" t="n">
        <v>118178</v>
      </c>
      <c r="Z162" s="9" t="n">
        <v>124759</v>
      </c>
    </row>
    <row r="163" customFormat="false" ht="12.8" hidden="false" customHeight="false" outlineLevel="0" collapsed="false">
      <c r="A163" s="1" t="n">
        <v>2</v>
      </c>
      <c r="B163" s="1" t="n">
        <v>1</v>
      </c>
      <c r="D163" s="69"/>
      <c r="E163" s="8" t="n">
        <v>620</v>
      </c>
      <c r="F163" s="8" t="s">
        <v>132</v>
      </c>
      <c r="G163" s="9" t="n">
        <v>33111.05</v>
      </c>
      <c r="H163" s="9" t="n">
        <v>34064.19</v>
      </c>
      <c r="I163" s="9" t="n">
        <v>36965</v>
      </c>
      <c r="J163" s="9" t="n">
        <v>35927.8</v>
      </c>
      <c r="K163" s="9" t="n">
        <v>42034</v>
      </c>
      <c r="L163" s="9"/>
      <c r="M163" s="9"/>
      <c r="N163" s="9" t="n">
        <v>108</v>
      </c>
      <c r="O163" s="9"/>
      <c r="P163" s="9" t="n">
        <f aca="false">SUM(K163:O163)</f>
        <v>42142</v>
      </c>
      <c r="Q163" s="9" t="n">
        <v>9017.57</v>
      </c>
      <c r="R163" s="10" t="n">
        <f aca="false">Q163/$P163</f>
        <v>0.213980589435717</v>
      </c>
      <c r="S163" s="9" t="n">
        <v>19221.72</v>
      </c>
      <c r="T163" s="10" t="n">
        <f aca="false">S163/$P163</f>
        <v>0.456117887143467</v>
      </c>
      <c r="U163" s="9" t="n">
        <v>30248.9</v>
      </c>
      <c r="V163" s="10" t="n">
        <f aca="false">U163/$P163</f>
        <v>0.717785107493712</v>
      </c>
      <c r="W163" s="9" t="n">
        <v>41602.2</v>
      </c>
      <c r="X163" s="10" t="n">
        <f aca="false">W163/$P163</f>
        <v>0.987190925917137</v>
      </c>
      <c r="Y163" s="9" t="n">
        <v>43666</v>
      </c>
      <c r="Z163" s="9" t="n">
        <v>46099</v>
      </c>
    </row>
    <row r="164" customFormat="false" ht="12.8" hidden="false" customHeight="false" outlineLevel="0" collapsed="false">
      <c r="A164" s="1" t="n">
        <v>2</v>
      </c>
      <c r="B164" s="1" t="n">
        <v>1</v>
      </c>
      <c r="D164" s="69"/>
      <c r="E164" s="8" t="n">
        <v>630</v>
      </c>
      <c r="F164" s="8" t="s">
        <v>133</v>
      </c>
      <c r="G164" s="9" t="n">
        <v>11608.63</v>
      </c>
      <c r="H164" s="9" t="n">
        <v>14865.71</v>
      </c>
      <c r="I164" s="9" t="n">
        <v>10505</v>
      </c>
      <c r="J164" s="9" t="n">
        <v>16547.16</v>
      </c>
      <c r="K164" s="9" t="n">
        <f aca="false">10168+11329+2200+19321-9324</f>
        <v>33694</v>
      </c>
      <c r="L164" s="9"/>
      <c r="M164" s="9"/>
      <c r="N164" s="9" t="n">
        <f aca="false">-2625-5445</f>
        <v>-8070</v>
      </c>
      <c r="O164" s="9" t="n">
        <v>-223</v>
      </c>
      <c r="P164" s="9" t="n">
        <f aca="false">SUM(K164:O164)</f>
        <v>25401</v>
      </c>
      <c r="Q164" s="9" t="n">
        <v>4271.98</v>
      </c>
      <c r="R164" s="10" t="n">
        <f aca="false">Q164/$P164</f>
        <v>0.168181567654817</v>
      </c>
      <c r="S164" s="9" t="n">
        <v>10414.29</v>
      </c>
      <c r="T164" s="10" t="n">
        <f aca="false">S164/$P164</f>
        <v>0.409995275776544</v>
      </c>
      <c r="U164" s="9" t="n">
        <v>14259.72</v>
      </c>
      <c r="V164" s="10" t="n">
        <f aca="false">U164/$P164</f>
        <v>0.56138419747254</v>
      </c>
      <c r="W164" s="9" t="n">
        <v>21365.08</v>
      </c>
      <c r="X164" s="10" t="n">
        <f aca="false">W164/$P164</f>
        <v>0.841111767253258</v>
      </c>
      <c r="Y164" s="9" t="n">
        <f aca="false">10283+11329+2200</f>
        <v>23812</v>
      </c>
      <c r="Z164" s="9" t="n">
        <f aca="false">10354+11329+2200</f>
        <v>23883</v>
      </c>
    </row>
    <row r="165" customFormat="false" ht="12.8" hidden="false" customHeight="false" outlineLevel="0" collapsed="false">
      <c r="A165" s="1" t="n">
        <v>2</v>
      </c>
      <c r="B165" s="1" t="n">
        <v>1</v>
      </c>
      <c r="D165" s="69"/>
      <c r="E165" s="8" t="n">
        <v>640</v>
      </c>
      <c r="F165" s="8" t="s">
        <v>134</v>
      </c>
      <c r="G165" s="9" t="n">
        <v>0</v>
      </c>
      <c r="H165" s="9" t="n">
        <v>629.14</v>
      </c>
      <c r="I165" s="9" t="n">
        <v>0</v>
      </c>
      <c r="J165" s="9" t="n">
        <v>746.48</v>
      </c>
      <c r="K165" s="9" t="n">
        <v>1787</v>
      </c>
      <c r="L165" s="9" t="n">
        <v>188</v>
      </c>
      <c r="M165" s="9"/>
      <c r="N165" s="9"/>
      <c r="O165" s="9" t="n">
        <v>97</v>
      </c>
      <c r="P165" s="9" t="n">
        <f aca="false">SUM(K165:O165)</f>
        <v>2072</v>
      </c>
      <c r="Q165" s="9" t="n">
        <v>188.01</v>
      </c>
      <c r="R165" s="10" t="n">
        <f aca="false">Q165/$P165</f>
        <v>0.090738416988417</v>
      </c>
      <c r="S165" s="9" t="n">
        <v>188.01</v>
      </c>
      <c r="T165" s="10" t="n">
        <f aca="false">S165/$P165</f>
        <v>0.090738416988417</v>
      </c>
      <c r="U165" s="9" t="n">
        <v>1975.01</v>
      </c>
      <c r="V165" s="10" t="n">
        <f aca="false">U165/$P165</f>
        <v>0.953190154440154</v>
      </c>
      <c r="W165" s="9" t="n">
        <v>2072.35</v>
      </c>
      <c r="X165" s="10" t="n">
        <f aca="false">W165/$P165</f>
        <v>1.00016891891892</v>
      </c>
      <c r="Y165" s="9" t="n">
        <v>0</v>
      </c>
      <c r="Z165" s="9" t="n">
        <v>0</v>
      </c>
    </row>
    <row r="166" customFormat="false" ht="12.8" hidden="false" customHeight="false" outlineLevel="0" collapsed="false">
      <c r="A166" s="1" t="n">
        <v>2</v>
      </c>
      <c r="B166" s="1" t="n">
        <v>1</v>
      </c>
      <c r="D166" s="70" t="s">
        <v>21</v>
      </c>
      <c r="E166" s="29" t="n">
        <v>41</v>
      </c>
      <c r="F166" s="29" t="s">
        <v>23</v>
      </c>
      <c r="G166" s="30" t="n">
        <f aca="false">SUM(G162:G165)</f>
        <v>134503.88</v>
      </c>
      <c r="H166" s="30" t="n">
        <f aca="false">SUM(H162:H165)</f>
        <v>142399.03</v>
      </c>
      <c r="I166" s="30" t="n">
        <f aca="false">SUM(I162:I165)</f>
        <v>147510</v>
      </c>
      <c r="J166" s="30" t="n">
        <f aca="false">SUM(J162:J165)</f>
        <v>150986.16</v>
      </c>
      <c r="K166" s="30" t="n">
        <f aca="false">SUM(K162:K165)</f>
        <v>189485</v>
      </c>
      <c r="L166" s="30" t="n">
        <f aca="false">SUM(L162:L165)</f>
        <v>0</v>
      </c>
      <c r="M166" s="30" t="n">
        <f aca="false">SUM(M162:M165)</f>
        <v>0</v>
      </c>
      <c r="N166" s="30" t="n">
        <f aca="false">SUM(N162:N165)</f>
        <v>830</v>
      </c>
      <c r="O166" s="30" t="n">
        <f aca="false">SUM(O162:O165)</f>
        <v>-223</v>
      </c>
      <c r="P166" s="30" t="n">
        <f aca="false">SUM(P162:P165)</f>
        <v>190092</v>
      </c>
      <c r="Q166" s="30" t="n">
        <f aca="false">SUM(Q162:Q165)</f>
        <v>38074.95</v>
      </c>
      <c r="R166" s="71" t="n">
        <f aca="false">Q166/$P166</f>
        <v>0.200297487532353</v>
      </c>
      <c r="S166" s="30" t="n">
        <f aca="false">SUM(S162:S165)</f>
        <v>82607.72</v>
      </c>
      <c r="T166" s="71" t="n">
        <f aca="false">S166/$P166</f>
        <v>0.434567051743366</v>
      </c>
      <c r="U166" s="30" t="n">
        <f aca="false">SUM(U162:U165)</f>
        <v>130278.51</v>
      </c>
      <c r="V166" s="71" t="n">
        <f aca="false">U166/$P166</f>
        <v>0.685344517391579</v>
      </c>
      <c r="W166" s="30" t="n">
        <f aca="false">SUM(W162:W165)</f>
        <v>180805.56</v>
      </c>
      <c r="X166" s="71" t="n">
        <f aca="false">W166/$P166</f>
        <v>0.951147654819772</v>
      </c>
      <c r="Y166" s="30" t="n">
        <f aca="false">SUM(Y162:Y165)</f>
        <v>185656</v>
      </c>
      <c r="Z166" s="30" t="n">
        <f aca="false">SUM(Z162:Z165)</f>
        <v>194741</v>
      </c>
    </row>
    <row r="167" customFormat="false" ht="12.8" hidden="false" customHeight="false" outlineLevel="0" collapsed="false">
      <c r="D167" s="31" t="s">
        <v>158</v>
      </c>
      <c r="E167" s="8" t="n">
        <v>630</v>
      </c>
      <c r="F167" s="8" t="s">
        <v>133</v>
      </c>
      <c r="G167" s="9" t="n">
        <v>0</v>
      </c>
      <c r="H167" s="9" t="n">
        <v>0</v>
      </c>
      <c r="I167" s="9" t="n">
        <v>900</v>
      </c>
      <c r="J167" s="9" t="n">
        <v>472.46</v>
      </c>
      <c r="K167" s="9" t="n">
        <f aca="false">príjmy!H125</f>
        <v>650</v>
      </c>
      <c r="L167" s="9"/>
      <c r="M167" s="9"/>
      <c r="N167" s="9"/>
      <c r="O167" s="9" t="n">
        <v>36</v>
      </c>
      <c r="P167" s="9" t="n">
        <f aca="false">SUM(K167:O167)</f>
        <v>686</v>
      </c>
      <c r="Q167" s="9" t="n">
        <v>25.54</v>
      </c>
      <c r="R167" s="10" t="n">
        <f aca="false">Q167/$P167</f>
        <v>0.0372303206997085</v>
      </c>
      <c r="S167" s="9" t="n">
        <v>401.28</v>
      </c>
      <c r="T167" s="10" t="n">
        <f aca="false">S167/$P167</f>
        <v>0.584956268221574</v>
      </c>
      <c r="U167" s="9" t="n">
        <v>630.28</v>
      </c>
      <c r="V167" s="10" t="n">
        <f aca="false">U167/$P167</f>
        <v>0.918775510204081</v>
      </c>
      <c r="W167" s="9" t="n">
        <v>685.37</v>
      </c>
      <c r="X167" s="10" t="n">
        <f aca="false">W167/$P167</f>
        <v>0.999081632653061</v>
      </c>
      <c r="Y167" s="9" t="n">
        <f aca="false">K167</f>
        <v>650</v>
      </c>
      <c r="Z167" s="9" t="n">
        <f aca="false">Y167</f>
        <v>650</v>
      </c>
    </row>
    <row r="168" customFormat="false" ht="12.8" hidden="false" customHeight="false" outlineLevel="0" collapsed="false">
      <c r="D168" s="31" t="s">
        <v>158</v>
      </c>
      <c r="E168" s="8" t="n">
        <v>640</v>
      </c>
      <c r="F168" s="8" t="s">
        <v>134</v>
      </c>
      <c r="G168" s="9" t="n">
        <v>0</v>
      </c>
      <c r="H168" s="9" t="n">
        <v>0</v>
      </c>
      <c r="I168" s="9" t="n">
        <v>870</v>
      </c>
      <c r="J168" s="9" t="n">
        <v>937.17</v>
      </c>
      <c r="K168" s="9" t="n">
        <v>940</v>
      </c>
      <c r="L168" s="9"/>
      <c r="M168" s="9"/>
      <c r="N168" s="9"/>
      <c r="O168" s="9" t="n">
        <v>211</v>
      </c>
      <c r="P168" s="9" t="n">
        <f aca="false">SUM(K168:O168)</f>
        <v>1151</v>
      </c>
      <c r="Q168" s="9" t="n">
        <v>0</v>
      </c>
      <c r="R168" s="10" t="n">
        <f aca="false">Q168/$P168</f>
        <v>0</v>
      </c>
      <c r="S168" s="9" t="n">
        <v>0</v>
      </c>
      <c r="T168" s="10" t="n">
        <f aca="false">S168/$P168</f>
        <v>0</v>
      </c>
      <c r="U168" s="9" t="n">
        <v>0</v>
      </c>
      <c r="V168" s="10" t="n">
        <f aca="false">U168/$P168</f>
        <v>0</v>
      </c>
      <c r="W168" s="9" t="n">
        <v>1151.24</v>
      </c>
      <c r="X168" s="10" t="n">
        <f aca="false">W168/$P168</f>
        <v>1.00020851433536</v>
      </c>
      <c r="Y168" s="9" t="n">
        <f aca="false">K168</f>
        <v>940</v>
      </c>
      <c r="Z168" s="9" t="n">
        <f aca="false">Y168</f>
        <v>940</v>
      </c>
    </row>
    <row r="169" customFormat="false" ht="12.8" hidden="false" customHeight="false" outlineLevel="0" collapsed="false">
      <c r="D169" s="70" t="s">
        <v>21</v>
      </c>
      <c r="E169" s="29" t="n">
        <v>72</v>
      </c>
      <c r="F169" s="29" t="s">
        <v>25</v>
      </c>
      <c r="G169" s="30" t="n">
        <f aca="false">SUM(G167:G168)</f>
        <v>0</v>
      </c>
      <c r="H169" s="30" t="n">
        <f aca="false">SUM(H167:H168)</f>
        <v>0</v>
      </c>
      <c r="I169" s="30" t="n">
        <f aca="false">SUM(I167:I168)</f>
        <v>1770</v>
      </c>
      <c r="J169" s="30" t="n">
        <f aca="false">SUM(J167:J168)</f>
        <v>1409.63</v>
      </c>
      <c r="K169" s="30" t="n">
        <f aca="false">SUM(K167:K168)</f>
        <v>1590</v>
      </c>
      <c r="L169" s="30" t="n">
        <f aca="false">SUM(L167:L168)</f>
        <v>0</v>
      </c>
      <c r="M169" s="30" t="n">
        <f aca="false">SUM(M167:M168)</f>
        <v>0</v>
      </c>
      <c r="N169" s="30" t="n">
        <f aca="false">SUM(N167:N168)</f>
        <v>0</v>
      </c>
      <c r="O169" s="30" t="n">
        <f aca="false">SUM(O167:O168)</f>
        <v>247</v>
      </c>
      <c r="P169" s="30" t="n">
        <f aca="false">SUM(P167:P168)</f>
        <v>1837</v>
      </c>
      <c r="Q169" s="30" t="n">
        <f aca="false">SUM(Q167:Q168)</f>
        <v>25.54</v>
      </c>
      <c r="R169" s="71" t="n">
        <f aca="false">Q169/$P169</f>
        <v>0.0139031028851388</v>
      </c>
      <c r="S169" s="30" t="n">
        <f aca="false">SUM(S167:S168)</f>
        <v>401.28</v>
      </c>
      <c r="T169" s="71" t="n">
        <f aca="false">S169/$P169</f>
        <v>0.218443113772455</v>
      </c>
      <c r="U169" s="30" t="n">
        <f aca="false">SUM(U167:U168)</f>
        <v>630.28</v>
      </c>
      <c r="V169" s="71" t="n">
        <f aca="false">U169/$P169</f>
        <v>0.343102885138813</v>
      </c>
      <c r="W169" s="30" t="n">
        <f aca="false">SUM(W167:W168)</f>
        <v>1836.61</v>
      </c>
      <c r="X169" s="71" t="n">
        <f aca="false">W169/$P169</f>
        <v>0.999787697332608</v>
      </c>
      <c r="Y169" s="30" t="n">
        <f aca="false">SUM(Y167:Y168)</f>
        <v>1590</v>
      </c>
      <c r="Z169" s="30" t="n">
        <f aca="false">SUM(Z167:Z168)</f>
        <v>1590</v>
      </c>
    </row>
    <row r="170" customFormat="false" ht="12.8" hidden="false" customHeight="false" outlineLevel="0" collapsed="false">
      <c r="A170" s="1" t="n">
        <v>2</v>
      </c>
      <c r="B170" s="1" t="n">
        <v>1</v>
      </c>
      <c r="D170" s="14"/>
      <c r="E170" s="15"/>
      <c r="F170" s="11" t="s">
        <v>126</v>
      </c>
      <c r="G170" s="12" t="n">
        <f aca="false">G161+G166+G169</f>
        <v>138962.29</v>
      </c>
      <c r="H170" s="12" t="n">
        <f aca="false">H161+H166+H169</f>
        <v>147010.62</v>
      </c>
      <c r="I170" s="12" t="n">
        <f aca="false">I161+I166+I169</f>
        <v>153580</v>
      </c>
      <c r="J170" s="12" t="n">
        <f aca="false">J161+J166+J169</f>
        <v>157193.79</v>
      </c>
      <c r="K170" s="12" t="n">
        <f aca="false">K161+K166+K169</f>
        <v>195375</v>
      </c>
      <c r="L170" s="12" t="n">
        <f aca="false">L161+L166+L169</f>
        <v>0</v>
      </c>
      <c r="M170" s="12" t="n">
        <f aca="false">M161+M166+M169</f>
        <v>0</v>
      </c>
      <c r="N170" s="12" t="n">
        <f aca="false">N161+N166+N169</f>
        <v>6275</v>
      </c>
      <c r="O170" s="12" t="n">
        <f aca="false">O161+O166+O169</f>
        <v>248</v>
      </c>
      <c r="P170" s="12" t="n">
        <f aca="false">P161+P166+P169</f>
        <v>201898</v>
      </c>
      <c r="Q170" s="12" t="n">
        <f aca="false">Q161+Q166+Q169</f>
        <v>38343.4</v>
      </c>
      <c r="R170" s="13" t="n">
        <f aca="false">Q170/$P170</f>
        <v>0.189914709407721</v>
      </c>
      <c r="S170" s="12" t="n">
        <f aca="false">S161+S166+S169</f>
        <v>85566.76</v>
      </c>
      <c r="T170" s="13" t="n">
        <f aca="false">S170/$P170</f>
        <v>0.42381182577341</v>
      </c>
      <c r="U170" s="12" t="n">
        <f aca="false">U161+U166+U169</f>
        <v>139109.15</v>
      </c>
      <c r="V170" s="13" t="n">
        <f aca="false">U170/$P170</f>
        <v>0.689007072878384</v>
      </c>
      <c r="W170" s="12" t="n">
        <f aca="false">W161+W166+W169</f>
        <v>192610.81</v>
      </c>
      <c r="X170" s="13" t="n">
        <f aca="false">W170/$P170</f>
        <v>0.954000584453536</v>
      </c>
      <c r="Y170" s="12" t="n">
        <f aca="false">Y161+Y166+Y169</f>
        <v>191546</v>
      </c>
      <c r="Z170" s="12" t="n">
        <f aca="false">Z161+Z166+Z169</f>
        <v>200631</v>
      </c>
    </row>
    <row r="172" customFormat="false" ht="12.8" hidden="false" customHeight="false" outlineLevel="0" collapsed="false">
      <c r="E172" s="32" t="s">
        <v>57</v>
      </c>
      <c r="F172" s="14" t="s">
        <v>150</v>
      </c>
      <c r="G172" s="33"/>
      <c r="H172" s="33"/>
      <c r="I172" s="33"/>
      <c r="J172" s="33" t="n">
        <v>387.29</v>
      </c>
      <c r="K172" s="33" t="n">
        <v>1427</v>
      </c>
      <c r="L172" s="33"/>
      <c r="M172" s="33"/>
      <c r="N172" s="33"/>
      <c r="O172" s="33" t="n">
        <v>199</v>
      </c>
      <c r="P172" s="33" t="n">
        <f aca="false">SUM(K172:O172)</f>
        <v>1626</v>
      </c>
      <c r="Q172" s="33" t="n">
        <v>420.57</v>
      </c>
      <c r="R172" s="34" t="n">
        <f aca="false">Q172/$P172</f>
        <v>0.258653136531365</v>
      </c>
      <c r="S172" s="33" t="n">
        <v>810.57</v>
      </c>
      <c r="T172" s="34" t="n">
        <f aca="false">S172/$P172</f>
        <v>0.498505535055351</v>
      </c>
      <c r="U172" s="33" t="n">
        <v>1202.25</v>
      </c>
      <c r="V172" s="34" t="n">
        <f aca="false">U172/$P172</f>
        <v>0.739391143911439</v>
      </c>
      <c r="W172" s="33" t="n">
        <f aca="false">258.11+1381.95</f>
        <v>1640.06</v>
      </c>
      <c r="X172" s="35" t="n">
        <f aca="false">W172/$P172</f>
        <v>1.00864698646986</v>
      </c>
      <c r="Y172" s="33" t="n">
        <f aca="false">K172</f>
        <v>1427</v>
      </c>
      <c r="Z172" s="36" t="n">
        <f aca="false">Y172</f>
        <v>1427</v>
      </c>
    </row>
    <row r="173" customFormat="false" ht="12.8" hidden="false" customHeight="false" outlineLevel="0" collapsed="false">
      <c r="E173" s="37"/>
      <c r="F173" s="78" t="s">
        <v>151</v>
      </c>
      <c r="G173" s="79"/>
      <c r="H173" s="79"/>
      <c r="I173" s="79"/>
      <c r="J173" s="79"/>
      <c r="K173" s="79" t="n">
        <v>4400</v>
      </c>
      <c r="L173" s="79"/>
      <c r="M173" s="79"/>
      <c r="N173" s="79" t="n">
        <v>-1900</v>
      </c>
      <c r="O173" s="79" t="n">
        <f aca="false">-673-1040-223</f>
        <v>-1936</v>
      </c>
      <c r="P173" s="79" t="n">
        <f aca="false">SUM(K173:O173)</f>
        <v>564</v>
      </c>
      <c r="Q173" s="79" t="n">
        <v>0</v>
      </c>
      <c r="R173" s="40" t="n">
        <f aca="false">Q173/$P173</f>
        <v>0</v>
      </c>
      <c r="S173" s="79" t="n">
        <v>0</v>
      </c>
      <c r="T173" s="40" t="n">
        <f aca="false">S173/$P173</f>
        <v>0</v>
      </c>
      <c r="U173" s="79" t="n">
        <v>0</v>
      </c>
      <c r="V173" s="40" t="n">
        <f aca="false">U173/$P173</f>
        <v>0</v>
      </c>
      <c r="W173" s="79" t="n">
        <v>0</v>
      </c>
      <c r="X173" s="41" t="n">
        <f aca="false">W173/$P173</f>
        <v>0</v>
      </c>
      <c r="Y173" s="79" t="n">
        <f aca="false">K173</f>
        <v>4400</v>
      </c>
      <c r="Z173" s="42" t="n">
        <f aca="false">Y173</f>
        <v>4400</v>
      </c>
    </row>
    <row r="174" customFormat="false" ht="12.8" hidden="false" customHeight="false" outlineLevel="0" collapsed="false">
      <c r="E174" s="44"/>
      <c r="F174" s="57" t="s">
        <v>173</v>
      </c>
      <c r="G174" s="46"/>
      <c r="H174" s="46"/>
      <c r="I174" s="46"/>
      <c r="J174" s="46"/>
      <c r="K174" s="46" t="n">
        <v>0</v>
      </c>
      <c r="L174" s="46"/>
      <c r="M174" s="46"/>
      <c r="N174" s="46" t="n">
        <v>5732</v>
      </c>
      <c r="O174" s="46"/>
      <c r="P174" s="46" t="n">
        <f aca="false">SUM(K174:O174)</f>
        <v>5732</v>
      </c>
      <c r="Q174" s="46" t="n">
        <v>0</v>
      </c>
      <c r="R174" s="47" t="n">
        <f aca="false">Q174/$P174</f>
        <v>0</v>
      </c>
      <c r="S174" s="46" t="n">
        <v>0</v>
      </c>
      <c r="T174" s="47" t="n">
        <f aca="false">S174/$P174</f>
        <v>0</v>
      </c>
      <c r="U174" s="46" t="n">
        <v>5731.2</v>
      </c>
      <c r="V174" s="47" t="n">
        <f aca="false">U174/$P174</f>
        <v>0.999860432658758</v>
      </c>
      <c r="W174" s="46" t="n">
        <f aca="false">5444.64+286.56</f>
        <v>5731.2</v>
      </c>
      <c r="X174" s="48" t="n">
        <f aca="false">W174/$P174</f>
        <v>0.999860432658758</v>
      </c>
      <c r="Y174" s="46" t="n">
        <f aca="false">K174</f>
        <v>0</v>
      </c>
      <c r="Z174" s="49" t="n">
        <f aca="false">Y174</f>
        <v>0</v>
      </c>
    </row>
    <row r="176" customFormat="false" ht="12.8" hidden="false" customHeight="false" outlineLevel="0" collapsed="false">
      <c r="D176" s="24" t="s">
        <v>174</v>
      </c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customFormat="false" ht="12.8" hidden="false" customHeight="false" outlineLevel="0" collapsed="false">
      <c r="D177" s="5" t="s">
        <v>33</v>
      </c>
      <c r="E177" s="5" t="s">
        <v>34</v>
      </c>
      <c r="F177" s="5" t="s">
        <v>35</v>
      </c>
      <c r="G177" s="5" t="s">
        <v>1</v>
      </c>
      <c r="H177" s="5" t="s">
        <v>2</v>
      </c>
      <c r="I177" s="5" t="s">
        <v>3</v>
      </c>
      <c r="J177" s="5" t="s">
        <v>175</v>
      </c>
      <c r="K177" s="5" t="s">
        <v>5</v>
      </c>
      <c r="L177" s="5" t="s">
        <v>6</v>
      </c>
      <c r="M177" s="5" t="s">
        <v>7</v>
      </c>
      <c r="N177" s="5" t="s">
        <v>8</v>
      </c>
      <c r="O177" s="5" t="s">
        <v>9</v>
      </c>
      <c r="P177" s="5" t="s">
        <v>10</v>
      </c>
      <c r="Q177" s="5" t="s">
        <v>11</v>
      </c>
      <c r="R177" s="5" t="s">
        <v>12</v>
      </c>
      <c r="S177" s="5" t="s">
        <v>13</v>
      </c>
      <c r="T177" s="5" t="s">
        <v>14</v>
      </c>
      <c r="U177" s="5" t="s">
        <v>15</v>
      </c>
      <c r="V177" s="5" t="s">
        <v>16</v>
      </c>
      <c r="W177" s="5" t="s">
        <v>17</v>
      </c>
      <c r="X177" s="5" t="s">
        <v>18</v>
      </c>
      <c r="Y177" s="5" t="s">
        <v>19</v>
      </c>
      <c r="Z177" s="5" t="s">
        <v>20</v>
      </c>
    </row>
    <row r="178" customFormat="false" ht="12.8" hidden="false" customHeight="false" outlineLevel="0" collapsed="false">
      <c r="A178" s="1" t="n">
        <v>2</v>
      </c>
      <c r="B178" s="1" t="n">
        <v>2</v>
      </c>
      <c r="D178" s="31" t="s">
        <v>176</v>
      </c>
      <c r="E178" s="8" t="n">
        <v>630</v>
      </c>
      <c r="F178" s="8" t="s">
        <v>133</v>
      </c>
      <c r="G178" s="9" t="n">
        <v>2850</v>
      </c>
      <c r="H178" s="9" t="n">
        <v>883</v>
      </c>
      <c r="I178" s="9" t="n">
        <v>0</v>
      </c>
      <c r="J178" s="9" t="n">
        <v>2006.7</v>
      </c>
      <c r="K178" s="9" t="n">
        <v>0</v>
      </c>
      <c r="L178" s="9"/>
      <c r="M178" s="9"/>
      <c r="N178" s="9"/>
      <c r="O178" s="9"/>
      <c r="P178" s="9" t="n">
        <f aca="false">SUM(K178:O178)</f>
        <v>0</v>
      </c>
      <c r="Q178" s="9" t="n">
        <v>2266.61</v>
      </c>
      <c r="R178" s="10" t="e">
        <f aca="false">Q178/$P178</f>
        <v>#DIV/0!</v>
      </c>
      <c r="S178" s="9" t="n">
        <v>2266.61</v>
      </c>
      <c r="T178" s="10" t="e">
        <f aca="false">S178/$P178</f>
        <v>#DIV/0!</v>
      </c>
      <c r="U178" s="9" t="n">
        <v>3066.61</v>
      </c>
      <c r="V178" s="10" t="e">
        <f aca="false">U178/$P178</f>
        <v>#DIV/0!</v>
      </c>
      <c r="W178" s="9" t="n">
        <v>3066.61</v>
      </c>
      <c r="X178" s="10" t="e">
        <f aca="false">W178/$P178</f>
        <v>#DIV/0!</v>
      </c>
      <c r="Y178" s="9" t="n">
        <f aca="false">K178</f>
        <v>0</v>
      </c>
      <c r="Z178" s="9" t="n">
        <f aca="false">Y178</f>
        <v>0</v>
      </c>
    </row>
    <row r="179" customFormat="false" ht="12.8" hidden="false" customHeight="false" outlineLevel="0" collapsed="false">
      <c r="A179" s="1" t="n">
        <v>2</v>
      </c>
      <c r="B179" s="1" t="n">
        <v>2</v>
      </c>
      <c r="D179" s="31"/>
      <c r="E179" s="8" t="n">
        <v>640</v>
      </c>
      <c r="F179" s="8" t="s">
        <v>134</v>
      </c>
      <c r="G179" s="9" t="n">
        <v>564.4</v>
      </c>
      <c r="H179" s="9" t="n">
        <v>431.6</v>
      </c>
      <c r="I179" s="9" t="n">
        <v>560</v>
      </c>
      <c r="J179" s="9" t="n">
        <v>182.6</v>
      </c>
      <c r="K179" s="9" t="n">
        <v>185</v>
      </c>
      <c r="L179" s="9"/>
      <c r="M179" s="9"/>
      <c r="N179" s="9"/>
      <c r="O179" s="9" t="n">
        <v>-185</v>
      </c>
      <c r="P179" s="9" t="n">
        <f aca="false">SUM(K179:O179)</f>
        <v>0</v>
      </c>
      <c r="Q179" s="9" t="n">
        <v>33.2</v>
      </c>
      <c r="R179" s="10" t="e">
        <f aca="false">Q179/$P179</f>
        <v>#DIV/0!</v>
      </c>
      <c r="S179" s="9" t="n">
        <v>33.2</v>
      </c>
      <c r="T179" s="10" t="e">
        <f aca="false">S179/$P179</f>
        <v>#DIV/0!</v>
      </c>
      <c r="U179" s="9" t="n">
        <v>0</v>
      </c>
      <c r="V179" s="10" t="e">
        <f aca="false">U179/$P179</f>
        <v>#DIV/0!</v>
      </c>
      <c r="W179" s="9" t="n">
        <v>0</v>
      </c>
      <c r="X179" s="10" t="e">
        <f aca="false">W179/$P179</f>
        <v>#DIV/0!</v>
      </c>
      <c r="Y179" s="9" t="n">
        <f aca="false">K179</f>
        <v>185</v>
      </c>
      <c r="Z179" s="9" t="n">
        <f aca="false">Y179</f>
        <v>185</v>
      </c>
    </row>
    <row r="180" customFormat="false" ht="12.8" hidden="false" customHeight="false" outlineLevel="0" collapsed="false">
      <c r="A180" s="1" t="n">
        <v>2</v>
      </c>
      <c r="B180" s="1" t="n">
        <v>2</v>
      </c>
      <c r="D180" s="31"/>
      <c r="E180" s="8" t="s">
        <v>50</v>
      </c>
      <c r="F180" s="8" t="s">
        <v>22</v>
      </c>
      <c r="G180" s="28" t="n">
        <v>417583.61</v>
      </c>
      <c r="H180" s="28" t="n">
        <v>427018.4</v>
      </c>
      <c r="I180" s="9" t="n">
        <v>447310</v>
      </c>
      <c r="J180" s="28" t="n">
        <v>448512.82</v>
      </c>
      <c r="K180" s="9" t="n">
        <v>477778</v>
      </c>
      <c r="L180" s="9"/>
      <c r="M180" s="9"/>
      <c r="N180" s="9" t="n">
        <v>20573</v>
      </c>
      <c r="O180" s="9"/>
      <c r="P180" s="9" t="n">
        <f aca="false">SUM(K180:O180)</f>
        <v>498351</v>
      </c>
      <c r="Q180" s="9" t="n">
        <v>86334.38</v>
      </c>
      <c r="R180" s="10" t="n">
        <f aca="false">Q180/$P180</f>
        <v>0.173240105869156</v>
      </c>
      <c r="S180" s="9" t="n">
        <v>212412.57</v>
      </c>
      <c r="T180" s="10" t="n">
        <f aca="false">S180/$P180</f>
        <v>0.426230849341127</v>
      </c>
      <c r="U180" s="9" t="n">
        <v>324953.37</v>
      </c>
      <c r="V180" s="10" t="n">
        <f aca="false">U180/$P180</f>
        <v>0.65205722472715</v>
      </c>
      <c r="W180" s="9" t="n">
        <v>510477.53</v>
      </c>
      <c r="X180" s="10" t="n">
        <f aca="false">W180/$P180</f>
        <v>1.02433331126054</v>
      </c>
      <c r="Y180" s="9" t="n">
        <v>522335</v>
      </c>
      <c r="Z180" s="9" t="n">
        <f aca="false">Y180</f>
        <v>522335</v>
      </c>
    </row>
    <row r="181" customFormat="false" ht="12.8" hidden="false" customHeight="false" outlineLevel="0" collapsed="false">
      <c r="A181" s="1" t="n">
        <v>2</v>
      </c>
      <c r="B181" s="1" t="n">
        <v>2</v>
      </c>
      <c r="D181" s="70" t="s">
        <v>21</v>
      </c>
      <c r="E181" s="29" t="n">
        <v>111</v>
      </c>
      <c r="F181" s="29" t="s">
        <v>136</v>
      </c>
      <c r="G181" s="30" t="n">
        <f aca="false">SUM(G178:G180)</f>
        <v>420998.01</v>
      </c>
      <c r="H181" s="30" t="n">
        <f aca="false">SUM(H178:H180)</f>
        <v>428333</v>
      </c>
      <c r="I181" s="30" t="n">
        <f aca="false">SUM(I178:I180)</f>
        <v>447870</v>
      </c>
      <c r="J181" s="30" t="n">
        <f aca="false">SUM(J178:J180)</f>
        <v>450702.12</v>
      </c>
      <c r="K181" s="30" t="n">
        <f aca="false">SUM(K178:K180)</f>
        <v>477963</v>
      </c>
      <c r="L181" s="30" t="n">
        <f aca="false">SUM(L178:L180)</f>
        <v>0</v>
      </c>
      <c r="M181" s="30" t="n">
        <f aca="false">SUM(M178:M180)</f>
        <v>0</v>
      </c>
      <c r="N181" s="30" t="n">
        <f aca="false">SUM(N178:N180)</f>
        <v>20573</v>
      </c>
      <c r="O181" s="30" t="n">
        <f aca="false">SUM(O178:O180)</f>
        <v>-185</v>
      </c>
      <c r="P181" s="30" t="n">
        <f aca="false">SUM(P178:P180)</f>
        <v>498351</v>
      </c>
      <c r="Q181" s="30" t="n">
        <f aca="false">SUM(Q178:Q180)</f>
        <v>88634.19</v>
      </c>
      <c r="R181" s="71" t="n">
        <f aca="false">Q181/$P181</f>
        <v>0.177854945610624</v>
      </c>
      <c r="S181" s="30" t="n">
        <f aca="false">SUM(S178:S180)</f>
        <v>214712.38</v>
      </c>
      <c r="T181" s="71" t="n">
        <f aca="false">S181/$P181</f>
        <v>0.430845689082594</v>
      </c>
      <c r="U181" s="30" t="n">
        <f aca="false">SUM(U178:U180)</f>
        <v>328019.98</v>
      </c>
      <c r="V181" s="71" t="n">
        <f aca="false">U181/$P181</f>
        <v>0.658210739017279</v>
      </c>
      <c r="W181" s="30" t="n">
        <f aca="false">SUM(W178:W180)</f>
        <v>513544.14</v>
      </c>
      <c r="X181" s="71" t="n">
        <f aca="false">W181/$P181</f>
        <v>1.03048682555067</v>
      </c>
      <c r="Y181" s="30" t="n">
        <f aca="false">SUM(Y178:Y180)</f>
        <v>522520</v>
      </c>
      <c r="Z181" s="30" t="n">
        <f aca="false">SUM(Z178:Z180)</f>
        <v>522520</v>
      </c>
    </row>
    <row r="182" customFormat="false" ht="12.8" hidden="false" customHeight="false" outlineLevel="0" collapsed="false">
      <c r="A182" s="1" t="n">
        <v>2</v>
      </c>
      <c r="B182" s="1" t="n">
        <v>2</v>
      </c>
      <c r="D182" s="31" t="s">
        <v>176</v>
      </c>
      <c r="E182" s="8" t="n">
        <v>630</v>
      </c>
      <c r="F182" s="8" t="s">
        <v>133</v>
      </c>
      <c r="G182" s="9" t="n">
        <v>2669.87</v>
      </c>
      <c r="H182" s="9" t="n">
        <v>748.81</v>
      </c>
      <c r="I182" s="9" t="n">
        <v>750</v>
      </c>
      <c r="J182" s="9" t="n">
        <v>1965.17</v>
      </c>
      <c r="K182" s="9" t="n">
        <v>1592</v>
      </c>
      <c r="L182" s="9"/>
      <c r="M182" s="9"/>
      <c r="N182" s="9"/>
      <c r="O182" s="9"/>
      <c r="P182" s="9" t="n">
        <f aca="false">SUM(K182:O182)</f>
        <v>1592</v>
      </c>
      <c r="Q182" s="9" t="n">
        <v>0</v>
      </c>
      <c r="R182" s="10" t="n">
        <f aca="false">Q182/$P182</f>
        <v>0</v>
      </c>
      <c r="S182" s="9" t="n">
        <v>1158.71</v>
      </c>
      <c r="T182" s="10" t="n">
        <f aca="false">S182/$P182</f>
        <v>0.727832914572864</v>
      </c>
      <c r="U182" s="9" t="n">
        <v>1438.71</v>
      </c>
      <c r="V182" s="10" t="n">
        <f aca="false">U182/$P182</f>
        <v>0.903712311557789</v>
      </c>
      <c r="W182" s="9" t="n">
        <v>1438.71</v>
      </c>
      <c r="X182" s="10" t="n">
        <f aca="false">W182/$P182</f>
        <v>0.903712311557789</v>
      </c>
      <c r="Y182" s="9" t="n">
        <f aca="false">K182</f>
        <v>1592</v>
      </c>
      <c r="Z182" s="9" t="n">
        <f aca="false">Y182</f>
        <v>1592</v>
      </c>
    </row>
    <row r="183" customFormat="false" ht="12.8" hidden="false" customHeight="false" outlineLevel="0" collapsed="false">
      <c r="A183" s="1" t="n">
        <v>2</v>
      </c>
      <c r="B183" s="1" t="n">
        <v>2</v>
      </c>
      <c r="D183" s="31"/>
      <c r="E183" s="8" t="n">
        <v>640</v>
      </c>
      <c r="F183" s="8" t="s">
        <v>134</v>
      </c>
      <c r="G183" s="9" t="n">
        <v>777.29</v>
      </c>
      <c r="H183" s="9" t="n">
        <v>228.89</v>
      </c>
      <c r="I183" s="9" t="n">
        <v>865</v>
      </c>
      <c r="J183" s="9" t="n">
        <v>170.52</v>
      </c>
      <c r="K183" s="9" t="n">
        <v>680</v>
      </c>
      <c r="L183" s="9"/>
      <c r="M183" s="9"/>
      <c r="N183" s="9"/>
      <c r="O183" s="9" t="n">
        <v>323</v>
      </c>
      <c r="P183" s="9" t="n">
        <f aca="false">SUM(K183:O183)</f>
        <v>1003</v>
      </c>
      <c r="Q183" s="9" t="n">
        <v>0</v>
      </c>
      <c r="R183" s="10" t="n">
        <f aca="false">Q183/$P183</f>
        <v>0</v>
      </c>
      <c r="S183" s="9" t="n">
        <v>0</v>
      </c>
      <c r="T183" s="10" t="n">
        <f aca="false">S183/$P183</f>
        <v>0</v>
      </c>
      <c r="U183" s="9" t="n">
        <v>0</v>
      </c>
      <c r="V183" s="10" t="n">
        <f aca="false">U183/$P183</f>
        <v>0</v>
      </c>
      <c r="W183" s="9" t="n">
        <v>0</v>
      </c>
      <c r="X183" s="10" t="n">
        <f aca="false">W183/$P183</f>
        <v>0</v>
      </c>
      <c r="Y183" s="9" t="n">
        <f aca="false">K183</f>
        <v>680</v>
      </c>
      <c r="Z183" s="9" t="n">
        <f aca="false">Y183</f>
        <v>680</v>
      </c>
    </row>
    <row r="184" customFormat="false" ht="12.8" hidden="false" customHeight="false" outlineLevel="0" collapsed="false">
      <c r="A184" s="1" t="n">
        <v>2</v>
      </c>
      <c r="B184" s="1" t="n">
        <v>2</v>
      </c>
      <c r="D184" s="31"/>
      <c r="E184" s="8" t="s">
        <v>50</v>
      </c>
      <c r="F184" s="8" t="s">
        <v>177</v>
      </c>
      <c r="G184" s="9" t="n">
        <v>74439.17</v>
      </c>
      <c r="H184" s="9" t="n">
        <v>88060.03</v>
      </c>
      <c r="I184" s="9" t="n">
        <v>88335</v>
      </c>
      <c r="J184" s="28" t="n">
        <v>87928.51</v>
      </c>
      <c r="K184" s="9" t="n">
        <v>79743</v>
      </c>
      <c r="L184" s="9"/>
      <c r="M184" s="9"/>
      <c r="N184" s="9" t="n">
        <v>6062</v>
      </c>
      <c r="O184" s="9"/>
      <c r="P184" s="9" t="n">
        <f aca="false">SUM(K184:O184)</f>
        <v>85805</v>
      </c>
      <c r="Q184" s="9" t="n">
        <v>13832.58</v>
      </c>
      <c r="R184" s="10" t="n">
        <f aca="false">Q184/$P184</f>
        <v>0.161209486626653</v>
      </c>
      <c r="S184" s="9" t="n">
        <v>32751.31</v>
      </c>
      <c r="T184" s="10" t="n">
        <f aca="false">S184/$P184</f>
        <v>0.38169465648855</v>
      </c>
      <c r="U184" s="9" t="n">
        <v>53456.95</v>
      </c>
      <c r="V184" s="10" t="n">
        <f aca="false">U184/$P184</f>
        <v>0.623005069634637</v>
      </c>
      <c r="W184" s="9" t="n">
        <v>85577.52</v>
      </c>
      <c r="X184" s="10" t="n">
        <f aca="false">W184/$P184</f>
        <v>0.997348872443331</v>
      </c>
      <c r="Y184" s="9" t="n">
        <v>88737</v>
      </c>
      <c r="Z184" s="9" t="n">
        <f aca="false">Y184</f>
        <v>88737</v>
      </c>
    </row>
    <row r="185" customFormat="false" ht="12.8" hidden="false" customHeight="false" outlineLevel="0" collapsed="false">
      <c r="D185" s="1" t="s">
        <v>178</v>
      </c>
      <c r="E185" s="8" t="n">
        <v>630</v>
      </c>
      <c r="F185" s="8" t="s">
        <v>133</v>
      </c>
      <c r="G185" s="9" t="n">
        <v>0</v>
      </c>
      <c r="H185" s="9" t="n">
        <v>0</v>
      </c>
      <c r="I185" s="9" t="n">
        <v>0</v>
      </c>
      <c r="J185" s="28" t="n">
        <v>859.78</v>
      </c>
      <c r="K185" s="9" t="n">
        <v>7373</v>
      </c>
      <c r="L185" s="9"/>
      <c r="M185" s="9"/>
      <c r="N185" s="9"/>
      <c r="O185" s="9"/>
      <c r="P185" s="9" t="n">
        <f aca="false">SUM(K185:O185)</f>
        <v>7373</v>
      </c>
      <c r="Q185" s="9" t="n">
        <v>1520.81</v>
      </c>
      <c r="R185" s="10" t="n">
        <f aca="false">Q185/$P185</f>
        <v>0.206267462362675</v>
      </c>
      <c r="S185" s="9" t="n">
        <v>2930.81</v>
      </c>
      <c r="T185" s="10" t="n">
        <f aca="false">S185/$P185</f>
        <v>0.397505764275058</v>
      </c>
      <c r="U185" s="9" t="n">
        <v>4346.94</v>
      </c>
      <c r="V185" s="10" t="n">
        <f aca="false">U185/$P185</f>
        <v>0.589575478095755</v>
      </c>
      <c r="W185" s="9" t="n">
        <v>5930.27</v>
      </c>
      <c r="X185" s="10" t="n">
        <f aca="false">W185/$P185</f>
        <v>0.804322528143225</v>
      </c>
      <c r="Y185" s="9" t="n">
        <f aca="false">K185</f>
        <v>7373</v>
      </c>
      <c r="Z185" s="9" t="n">
        <f aca="false">Y185</f>
        <v>7373</v>
      </c>
    </row>
    <row r="186" customFormat="false" ht="12.8" hidden="false" customHeight="false" outlineLevel="0" collapsed="false">
      <c r="A186" s="1" t="n">
        <v>2</v>
      </c>
      <c r="B186" s="1" t="n">
        <v>2</v>
      </c>
      <c r="D186" s="70" t="s">
        <v>21</v>
      </c>
      <c r="E186" s="29" t="n">
        <v>41</v>
      </c>
      <c r="F186" s="29" t="s">
        <v>23</v>
      </c>
      <c r="G186" s="30" t="n">
        <f aca="false">SUM(G182:G185)</f>
        <v>77886.33</v>
      </c>
      <c r="H186" s="30" t="n">
        <f aca="false">SUM(H182:H185)</f>
        <v>89037.73</v>
      </c>
      <c r="I186" s="30" t="n">
        <f aca="false">SUM(I182:I185)</f>
        <v>89950</v>
      </c>
      <c r="J186" s="30" t="n">
        <f aca="false">SUM(J182:J185)</f>
        <v>90923.98</v>
      </c>
      <c r="K186" s="30" t="n">
        <f aca="false">SUM(K182:K185)</f>
        <v>89388</v>
      </c>
      <c r="L186" s="30" t="n">
        <f aca="false">SUM(L182:L185)</f>
        <v>0</v>
      </c>
      <c r="M186" s="30" t="n">
        <f aca="false">SUM(M182:M185)</f>
        <v>0</v>
      </c>
      <c r="N186" s="30" t="n">
        <f aca="false">SUM(N182:N185)</f>
        <v>6062</v>
      </c>
      <c r="O186" s="30" t="n">
        <f aca="false">SUM(O182:O185)</f>
        <v>323</v>
      </c>
      <c r="P186" s="30" t="n">
        <f aca="false">SUM(P182:P185)</f>
        <v>95773</v>
      </c>
      <c r="Q186" s="30" t="n">
        <f aca="false">SUM(Q182:Q185)</f>
        <v>15353.39</v>
      </c>
      <c r="R186" s="71" t="n">
        <f aca="false">Q186/$P186</f>
        <v>0.160310212690424</v>
      </c>
      <c r="S186" s="30" t="n">
        <f aca="false">SUM(S182:S185)</f>
        <v>36840.83</v>
      </c>
      <c r="T186" s="71" t="n">
        <f aca="false">S186/$P186</f>
        <v>0.384668225909181</v>
      </c>
      <c r="U186" s="30" t="n">
        <f aca="false">SUM(U182:U185)</f>
        <v>59242.6</v>
      </c>
      <c r="V186" s="71" t="n">
        <f aca="false">U186/$P186</f>
        <v>0.618573084272185</v>
      </c>
      <c r="W186" s="30" t="n">
        <f aca="false">SUM(W182:W185)</f>
        <v>92946.5</v>
      </c>
      <c r="X186" s="71" t="n">
        <f aca="false">W186/$P186</f>
        <v>0.970487506917399</v>
      </c>
      <c r="Y186" s="30" t="n">
        <f aca="false">SUM(Y182:Y185)</f>
        <v>98382</v>
      </c>
      <c r="Z186" s="30" t="n">
        <f aca="false">SUM(Z182:Z185)</f>
        <v>98382</v>
      </c>
    </row>
    <row r="187" customFormat="false" ht="12.8" hidden="false" customHeight="false" outlineLevel="0" collapsed="false">
      <c r="D187" s="31" t="s">
        <v>176</v>
      </c>
      <c r="E187" s="8" t="s">
        <v>50</v>
      </c>
      <c r="F187" s="8" t="s">
        <v>25</v>
      </c>
      <c r="G187" s="9" t="n">
        <v>0</v>
      </c>
      <c r="H187" s="9" t="n">
        <v>0</v>
      </c>
      <c r="I187" s="9" t="n">
        <v>45500</v>
      </c>
      <c r="J187" s="28" t="n">
        <v>53456.9</v>
      </c>
      <c r="K187" s="9" t="n">
        <f aca="false">príjmy!H61+príjmy!H126</f>
        <v>47500</v>
      </c>
      <c r="L187" s="9"/>
      <c r="M187" s="9"/>
      <c r="N187" s="9" t="n">
        <v>7104</v>
      </c>
      <c r="O187" s="9"/>
      <c r="P187" s="9" t="n">
        <f aca="false">SUM(K187:O187)</f>
        <v>54604</v>
      </c>
      <c r="Q187" s="9" t="n">
        <v>8626.34</v>
      </c>
      <c r="R187" s="10" t="n">
        <f aca="false">Q187/$P187</f>
        <v>0.157980001465094</v>
      </c>
      <c r="S187" s="9" t="n">
        <v>21900.67</v>
      </c>
      <c r="T187" s="10" t="n">
        <f aca="false">S187/$P187</f>
        <v>0.401081788879935</v>
      </c>
      <c r="U187" s="9" t="n">
        <v>29146.87</v>
      </c>
      <c r="V187" s="10" t="n">
        <f aca="false">U187/$P187</f>
        <v>0.533786352648158</v>
      </c>
      <c r="W187" s="9" t="n">
        <v>43295.19</v>
      </c>
      <c r="X187" s="10" t="n">
        <f aca="false">W187/$P187</f>
        <v>0.792894110321588</v>
      </c>
      <c r="Y187" s="9" t="n">
        <v>47560</v>
      </c>
      <c r="Z187" s="9" t="n">
        <f aca="false">Y187</f>
        <v>47560</v>
      </c>
    </row>
    <row r="188" customFormat="false" ht="12.8" hidden="false" customHeight="false" outlineLevel="0" collapsed="false">
      <c r="D188" s="70" t="s">
        <v>21</v>
      </c>
      <c r="E188" s="29" t="n">
        <v>72</v>
      </c>
      <c r="F188" s="29" t="s">
        <v>25</v>
      </c>
      <c r="G188" s="30" t="n">
        <f aca="false">SUM(G187:G187)</f>
        <v>0</v>
      </c>
      <c r="H188" s="30" t="n">
        <f aca="false">SUM(H187:H187)</f>
        <v>0</v>
      </c>
      <c r="I188" s="30" t="n">
        <f aca="false">SUM(I187:I187)</f>
        <v>45500</v>
      </c>
      <c r="J188" s="30" t="n">
        <f aca="false">SUM(J187:J187)</f>
        <v>53456.9</v>
      </c>
      <c r="K188" s="30" t="n">
        <f aca="false">SUM(K187:K187)</f>
        <v>47500</v>
      </c>
      <c r="L188" s="30" t="n">
        <f aca="false">SUM(L187:L187)</f>
        <v>0</v>
      </c>
      <c r="M188" s="30" t="n">
        <f aca="false">SUM(M187:M187)</f>
        <v>0</v>
      </c>
      <c r="N188" s="30" t="n">
        <f aca="false">SUM(N187:N187)</f>
        <v>7104</v>
      </c>
      <c r="O188" s="30" t="n">
        <f aca="false">SUM(O187:O187)</f>
        <v>0</v>
      </c>
      <c r="P188" s="30" t="n">
        <f aca="false">SUM(P187:P187)</f>
        <v>54604</v>
      </c>
      <c r="Q188" s="30" t="n">
        <f aca="false">SUM(Q187:Q187)</f>
        <v>8626.34</v>
      </c>
      <c r="R188" s="71" t="n">
        <f aca="false">Q188/$P188</f>
        <v>0.157980001465094</v>
      </c>
      <c r="S188" s="30" t="n">
        <f aca="false">SUM(S187:S187)</f>
        <v>21900.67</v>
      </c>
      <c r="T188" s="71" t="n">
        <f aca="false">S188/$P188</f>
        <v>0.401081788879935</v>
      </c>
      <c r="U188" s="30" t="n">
        <f aca="false">SUM(U187:U187)</f>
        <v>29146.87</v>
      </c>
      <c r="V188" s="71" t="n">
        <f aca="false">U188/$P188</f>
        <v>0.533786352648158</v>
      </c>
      <c r="W188" s="30" t="n">
        <f aca="false">SUM(W187:W187)</f>
        <v>43295.19</v>
      </c>
      <c r="X188" s="71" t="n">
        <f aca="false">W188/$P188</f>
        <v>0.792894110321588</v>
      </c>
      <c r="Y188" s="30" t="n">
        <f aca="false">SUM(Y187:Y187)</f>
        <v>47560</v>
      </c>
      <c r="Z188" s="30" t="n">
        <f aca="false">SUM(Z187:Z187)</f>
        <v>47560</v>
      </c>
    </row>
    <row r="189" customFormat="false" ht="12.8" hidden="false" customHeight="false" outlineLevel="0" collapsed="false">
      <c r="A189" s="1" t="n">
        <v>2</v>
      </c>
      <c r="B189" s="1" t="n">
        <v>2</v>
      </c>
      <c r="D189" s="14"/>
      <c r="E189" s="15"/>
      <c r="F189" s="11" t="s">
        <v>126</v>
      </c>
      <c r="G189" s="12" t="n">
        <f aca="false">G181+G186+G188</f>
        <v>498884.34</v>
      </c>
      <c r="H189" s="12" t="n">
        <f aca="false">H181+H186+H188</f>
        <v>517370.73</v>
      </c>
      <c r="I189" s="12" t="n">
        <f aca="false">I181+I186+I188</f>
        <v>583320</v>
      </c>
      <c r="J189" s="12" t="n">
        <f aca="false">J181+J186+J188</f>
        <v>595083</v>
      </c>
      <c r="K189" s="12" t="n">
        <f aca="false">K181+K186+K188</f>
        <v>614851</v>
      </c>
      <c r="L189" s="12" t="n">
        <f aca="false">L181+L186+L188</f>
        <v>0</v>
      </c>
      <c r="M189" s="12" t="n">
        <f aca="false">M181+M186+M188</f>
        <v>0</v>
      </c>
      <c r="N189" s="12" t="n">
        <f aca="false">N181+N186+N188</f>
        <v>33739</v>
      </c>
      <c r="O189" s="12" t="n">
        <f aca="false">O181+O186+O188</f>
        <v>138</v>
      </c>
      <c r="P189" s="12" t="n">
        <f aca="false">P181+P186+P188</f>
        <v>648728</v>
      </c>
      <c r="Q189" s="12" t="n">
        <f aca="false">Q181+Q186+Q188</f>
        <v>112613.92</v>
      </c>
      <c r="R189" s="13" t="n">
        <f aca="false">Q189/$P189</f>
        <v>0.173591890592051</v>
      </c>
      <c r="S189" s="12" t="n">
        <f aca="false">S181+S186+S188</f>
        <v>273453.88</v>
      </c>
      <c r="T189" s="13" t="n">
        <f aca="false">S189/$P189</f>
        <v>0.421523165332774</v>
      </c>
      <c r="U189" s="12" t="n">
        <f aca="false">U181+U186+U188</f>
        <v>416409.45</v>
      </c>
      <c r="V189" s="13" t="n">
        <f aca="false">U189/$P189</f>
        <v>0.641886044690533</v>
      </c>
      <c r="W189" s="12" t="n">
        <f aca="false">W181+W186+W188</f>
        <v>649785.83</v>
      </c>
      <c r="X189" s="13" t="n">
        <f aca="false">W189/$P189</f>
        <v>1.0016306217706</v>
      </c>
      <c r="Y189" s="12" t="n">
        <f aca="false">Y181+Y186+Y188</f>
        <v>668462</v>
      </c>
      <c r="Z189" s="12" t="n">
        <f aca="false">Z181+Z186+Z188</f>
        <v>668462</v>
      </c>
    </row>
    <row r="191" customFormat="false" ht="12.8" hidden="false" customHeight="false" outlineLevel="0" collapsed="false">
      <c r="E191" s="32" t="s">
        <v>57</v>
      </c>
      <c r="F191" s="14" t="s">
        <v>179</v>
      </c>
      <c r="G191" s="33"/>
      <c r="H191" s="33"/>
      <c r="I191" s="33"/>
      <c r="J191" s="33" t="n">
        <v>1332.27</v>
      </c>
      <c r="K191" s="33" t="n">
        <v>5173</v>
      </c>
      <c r="L191" s="33"/>
      <c r="M191" s="33"/>
      <c r="N191" s="33"/>
      <c r="O191" s="33" t="n">
        <f aca="false">710+47</f>
        <v>757</v>
      </c>
      <c r="P191" s="33" t="n">
        <f aca="false">SUM(K191:O191)</f>
        <v>5930</v>
      </c>
      <c r="Q191" s="33" t="n">
        <v>1520.81</v>
      </c>
      <c r="R191" s="34" t="n">
        <f aca="false">Q191/$P191</f>
        <v>0.256460370994941</v>
      </c>
      <c r="S191" s="33" t="n">
        <v>2930.81</v>
      </c>
      <c r="T191" s="34" t="n">
        <f aca="false">S191/$P191</f>
        <v>0.494234401349072</v>
      </c>
      <c r="U191" s="33" t="n">
        <v>4346.94</v>
      </c>
      <c r="V191" s="34" t="n">
        <f aca="false">U191/$P191</f>
        <v>0.73304215851602</v>
      </c>
      <c r="W191" s="33" t="n">
        <v>5930.27</v>
      </c>
      <c r="X191" s="35" t="n">
        <f aca="false">W191/$P191</f>
        <v>1.0000455311973</v>
      </c>
      <c r="Y191" s="33" t="n">
        <f aca="false">K191</f>
        <v>5173</v>
      </c>
      <c r="Z191" s="36" t="n">
        <f aca="false">Y191</f>
        <v>5173</v>
      </c>
    </row>
    <row r="192" customFormat="false" ht="12.8" hidden="false" customHeight="false" outlineLevel="0" collapsed="false">
      <c r="E192" s="44"/>
      <c r="F192" s="57" t="s">
        <v>180</v>
      </c>
      <c r="G192" s="46"/>
      <c r="H192" s="46"/>
      <c r="I192" s="46"/>
      <c r="J192" s="46"/>
      <c r="K192" s="46" t="n">
        <v>2200</v>
      </c>
      <c r="L192" s="46"/>
      <c r="M192" s="46"/>
      <c r="N192" s="46"/>
      <c r="O192" s="46" t="n">
        <f aca="false">-710-47</f>
        <v>-757</v>
      </c>
      <c r="P192" s="46" t="n">
        <f aca="false">SUM(K192:O192)</f>
        <v>1443</v>
      </c>
      <c r="Q192" s="46" t="n">
        <v>0</v>
      </c>
      <c r="R192" s="47" t="n">
        <f aca="false">Q192/$P192</f>
        <v>0</v>
      </c>
      <c r="S192" s="46" t="n">
        <v>0</v>
      </c>
      <c r="T192" s="47" t="n">
        <f aca="false">S192/$P192</f>
        <v>0</v>
      </c>
      <c r="U192" s="46" t="n">
        <v>0</v>
      </c>
      <c r="V192" s="47" t="n">
        <f aca="false">U192/$P192</f>
        <v>0</v>
      </c>
      <c r="W192" s="46" t="n">
        <v>0</v>
      </c>
      <c r="X192" s="48" t="n">
        <f aca="false">W192/$P192</f>
        <v>0</v>
      </c>
      <c r="Y192" s="46" t="n">
        <f aca="false">K192</f>
        <v>2200</v>
      </c>
      <c r="Z192" s="49" t="n">
        <f aca="false">Y192</f>
        <v>2200</v>
      </c>
    </row>
    <row r="194" customFormat="false" ht="12.8" hidden="false" customHeight="false" outlineLevel="0" collapsed="false">
      <c r="D194" s="24" t="s">
        <v>181</v>
      </c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customFormat="false" ht="12.8" hidden="false" customHeight="false" outlineLevel="0" collapsed="false">
      <c r="D195" s="5" t="s">
        <v>33</v>
      </c>
      <c r="E195" s="5" t="s">
        <v>34</v>
      </c>
      <c r="F195" s="5" t="s">
        <v>35</v>
      </c>
      <c r="G195" s="5" t="s">
        <v>1</v>
      </c>
      <c r="H195" s="5" t="s">
        <v>2</v>
      </c>
      <c r="I195" s="5" t="s">
        <v>3</v>
      </c>
      <c r="J195" s="5" t="s">
        <v>4</v>
      </c>
      <c r="K195" s="5" t="s">
        <v>5</v>
      </c>
      <c r="L195" s="5" t="s">
        <v>6</v>
      </c>
      <c r="M195" s="5" t="s">
        <v>7</v>
      </c>
      <c r="N195" s="5" t="s">
        <v>8</v>
      </c>
      <c r="O195" s="5" t="s">
        <v>9</v>
      </c>
      <c r="P195" s="5" t="s">
        <v>10</v>
      </c>
      <c r="Q195" s="5" t="s">
        <v>11</v>
      </c>
      <c r="R195" s="5" t="s">
        <v>12</v>
      </c>
      <c r="S195" s="5" t="s">
        <v>13</v>
      </c>
      <c r="T195" s="5" t="s">
        <v>14</v>
      </c>
      <c r="U195" s="5" t="s">
        <v>15</v>
      </c>
      <c r="V195" s="5" t="s">
        <v>16</v>
      </c>
      <c r="W195" s="5" t="s">
        <v>17</v>
      </c>
      <c r="X195" s="5" t="s">
        <v>18</v>
      </c>
      <c r="Y195" s="5" t="s">
        <v>19</v>
      </c>
      <c r="Z195" s="5" t="s">
        <v>20</v>
      </c>
    </row>
    <row r="196" customFormat="false" ht="12.8" hidden="false" customHeight="false" outlineLevel="0" collapsed="false">
      <c r="A196" s="1" t="n">
        <v>2</v>
      </c>
      <c r="B196" s="1" t="n">
        <v>3</v>
      </c>
      <c r="D196" s="56" t="s">
        <v>182</v>
      </c>
      <c r="E196" s="8" t="n">
        <v>630</v>
      </c>
      <c r="F196" s="8" t="s">
        <v>133</v>
      </c>
      <c r="G196" s="9" t="n">
        <v>781</v>
      </c>
      <c r="H196" s="9" t="n">
        <v>889</v>
      </c>
      <c r="I196" s="9" t="n">
        <v>890</v>
      </c>
      <c r="J196" s="9" t="n">
        <v>966</v>
      </c>
      <c r="K196" s="9" t="n">
        <f aca="false">príjmy!H98</f>
        <v>970</v>
      </c>
      <c r="L196" s="9"/>
      <c r="M196" s="9"/>
      <c r="N196" s="9"/>
      <c r="O196" s="9" t="n">
        <v>3</v>
      </c>
      <c r="P196" s="9" t="n">
        <f aca="false">SUM(K196:O196)</f>
        <v>973</v>
      </c>
      <c r="Q196" s="9" t="n">
        <v>0</v>
      </c>
      <c r="R196" s="10" t="n">
        <f aca="false">Q196/$P196</f>
        <v>0</v>
      </c>
      <c r="S196" s="9" t="n">
        <v>0</v>
      </c>
      <c r="T196" s="10" t="n">
        <f aca="false">S196/$P196</f>
        <v>0</v>
      </c>
      <c r="U196" s="9" t="n">
        <v>0</v>
      </c>
      <c r="V196" s="10" t="n">
        <f aca="false">U196/$P196</f>
        <v>0</v>
      </c>
      <c r="W196" s="9" t="n">
        <v>973</v>
      </c>
      <c r="X196" s="10" t="n">
        <f aca="false">W196/$P196</f>
        <v>1</v>
      </c>
      <c r="Y196" s="9" t="n">
        <f aca="false">K196</f>
        <v>970</v>
      </c>
      <c r="Z196" s="9" t="n">
        <f aca="false">Y196</f>
        <v>970</v>
      </c>
    </row>
    <row r="197" customFormat="false" ht="12.8" hidden="false" customHeight="false" outlineLevel="0" collapsed="false">
      <c r="A197" s="1" t="n">
        <v>2</v>
      </c>
      <c r="B197" s="1" t="n">
        <v>3</v>
      </c>
      <c r="D197" s="70" t="s">
        <v>21</v>
      </c>
      <c r="E197" s="29" t="n">
        <v>111</v>
      </c>
      <c r="F197" s="29" t="s">
        <v>136</v>
      </c>
      <c r="G197" s="30" t="n">
        <f aca="false">SUM(G196:G196)</f>
        <v>781</v>
      </c>
      <c r="H197" s="30" t="n">
        <f aca="false">SUM(H196:H196)</f>
        <v>889</v>
      </c>
      <c r="I197" s="30" t="n">
        <f aca="false">SUM(I196:I196)</f>
        <v>890</v>
      </c>
      <c r="J197" s="30" t="n">
        <f aca="false">SUM(J196:J196)</f>
        <v>966</v>
      </c>
      <c r="K197" s="30" t="n">
        <f aca="false">SUM(K196:K196)</f>
        <v>970</v>
      </c>
      <c r="L197" s="30" t="n">
        <f aca="false">SUM(L196:L196)</f>
        <v>0</v>
      </c>
      <c r="M197" s="30" t="n">
        <f aca="false">SUM(M196:M196)</f>
        <v>0</v>
      </c>
      <c r="N197" s="30" t="n">
        <f aca="false">SUM(N196:N196)</f>
        <v>0</v>
      </c>
      <c r="O197" s="30" t="n">
        <f aca="false">SUM(O196:O196)</f>
        <v>3</v>
      </c>
      <c r="P197" s="30" t="n">
        <f aca="false">SUM(P196:P196)</f>
        <v>973</v>
      </c>
      <c r="Q197" s="30" t="n">
        <f aca="false">SUM(Q196:Q196)</f>
        <v>0</v>
      </c>
      <c r="R197" s="71" t="n">
        <f aca="false">Q197/$P197</f>
        <v>0</v>
      </c>
      <c r="S197" s="30" t="n">
        <f aca="false">SUM(S196:S196)</f>
        <v>0</v>
      </c>
      <c r="T197" s="71" t="n">
        <f aca="false">S197/$P197</f>
        <v>0</v>
      </c>
      <c r="U197" s="30" t="n">
        <f aca="false">SUM(U196:U196)</f>
        <v>0</v>
      </c>
      <c r="V197" s="71" t="n">
        <f aca="false">U197/$P197</f>
        <v>0</v>
      </c>
      <c r="W197" s="30" t="n">
        <f aca="false">SUM(W196:W196)</f>
        <v>973</v>
      </c>
      <c r="X197" s="71" t="n">
        <f aca="false">W197/$P197</f>
        <v>1</v>
      </c>
      <c r="Y197" s="30" t="n">
        <f aca="false">SUM(Y196:Y196)</f>
        <v>970</v>
      </c>
      <c r="Z197" s="30" t="n">
        <f aca="false">SUM(Z196:Z196)</f>
        <v>970</v>
      </c>
    </row>
    <row r="198" customFormat="false" ht="12.8" hidden="false" customHeight="false" outlineLevel="0" collapsed="false">
      <c r="A198" s="1" t="n">
        <v>2</v>
      </c>
      <c r="B198" s="1" t="n">
        <v>3</v>
      </c>
      <c r="D198" s="69" t="s">
        <v>182</v>
      </c>
      <c r="E198" s="8" t="n">
        <v>610</v>
      </c>
      <c r="F198" s="8" t="s">
        <v>131</v>
      </c>
      <c r="G198" s="9" t="n">
        <v>4286.61</v>
      </c>
      <c r="H198" s="9" t="n">
        <v>9102.94</v>
      </c>
      <c r="I198" s="9" t="n">
        <v>13208</v>
      </c>
      <c r="J198" s="9" t="n">
        <v>13355.98</v>
      </c>
      <c r="K198" s="9" t="n">
        <v>18135</v>
      </c>
      <c r="L198" s="9"/>
      <c r="M198" s="9"/>
      <c r="N198" s="9"/>
      <c r="O198" s="9" t="n">
        <v>-76</v>
      </c>
      <c r="P198" s="9" t="n">
        <f aca="false">SUM(K198:O198)</f>
        <v>18059</v>
      </c>
      <c r="Q198" s="9" t="n">
        <v>4061.8</v>
      </c>
      <c r="R198" s="10" t="n">
        <f aca="false">Q198/$P198</f>
        <v>0.224918323273714</v>
      </c>
      <c r="S198" s="9" t="n">
        <v>7712.05</v>
      </c>
      <c r="T198" s="10" t="n">
        <f aca="false">S198/$P198</f>
        <v>0.427047455562323</v>
      </c>
      <c r="U198" s="9" t="n">
        <v>11416.13</v>
      </c>
      <c r="V198" s="10" t="n">
        <f aca="false">U198/$P198</f>
        <v>0.632157373054986</v>
      </c>
      <c r="W198" s="9" t="n">
        <v>15460.17</v>
      </c>
      <c r="X198" s="10" t="n">
        <f aca="false">W198/$P198</f>
        <v>0.856092253170164</v>
      </c>
      <c r="Y198" s="9" t="n">
        <v>19877</v>
      </c>
      <c r="Z198" s="9" t="n">
        <v>21794</v>
      </c>
    </row>
    <row r="199" customFormat="false" ht="12.8" hidden="false" customHeight="false" outlineLevel="0" collapsed="false">
      <c r="A199" s="1" t="n">
        <v>2</v>
      </c>
      <c r="B199" s="1" t="n">
        <v>3</v>
      </c>
      <c r="D199" s="69"/>
      <c r="E199" s="8" t="n">
        <v>620</v>
      </c>
      <c r="F199" s="8" t="s">
        <v>132</v>
      </c>
      <c r="G199" s="9" t="n">
        <v>4413.91</v>
      </c>
      <c r="H199" s="9" t="n">
        <v>5685.2</v>
      </c>
      <c r="I199" s="9" t="n">
        <v>7289</v>
      </c>
      <c r="J199" s="9" t="n">
        <v>6279.96</v>
      </c>
      <c r="K199" s="9" t="n">
        <v>8766</v>
      </c>
      <c r="L199" s="9"/>
      <c r="M199" s="9"/>
      <c r="N199" s="9"/>
      <c r="O199" s="9"/>
      <c r="P199" s="9" t="n">
        <f aca="false">SUM(K199:O199)</f>
        <v>8766</v>
      </c>
      <c r="Q199" s="9" t="n">
        <v>1481.34</v>
      </c>
      <c r="R199" s="10" t="n">
        <f aca="false">Q199/$P199</f>
        <v>0.168986995208761</v>
      </c>
      <c r="S199" s="9" t="n">
        <v>2823.77</v>
      </c>
      <c r="T199" s="10" t="n">
        <f aca="false">S199/$P199</f>
        <v>0.322127538215834</v>
      </c>
      <c r="U199" s="9" t="n">
        <v>4085.14</v>
      </c>
      <c r="V199" s="10" t="n">
        <f aca="false">U199/$P199</f>
        <v>0.466020990189368</v>
      </c>
      <c r="W199" s="9" t="n">
        <v>5686.59</v>
      </c>
      <c r="X199" s="10" t="n">
        <f aca="false">W199/$P199</f>
        <v>0.648709787816564</v>
      </c>
      <c r="Y199" s="9" t="n">
        <v>9287</v>
      </c>
      <c r="Z199" s="9" t="n">
        <v>9862</v>
      </c>
    </row>
    <row r="200" customFormat="false" ht="12.8" hidden="false" customHeight="false" outlineLevel="0" collapsed="false">
      <c r="A200" s="1" t="n">
        <v>2</v>
      </c>
      <c r="B200" s="1" t="n">
        <v>3</v>
      </c>
      <c r="D200" s="69"/>
      <c r="E200" s="8" t="n">
        <v>630</v>
      </c>
      <c r="F200" s="8" t="s">
        <v>133</v>
      </c>
      <c r="G200" s="9" t="n">
        <v>10503.33</v>
      </c>
      <c r="H200" s="9" t="n">
        <v>17104.81</v>
      </c>
      <c r="I200" s="9" t="n">
        <v>16421</v>
      </c>
      <c r="J200" s="9" t="n">
        <v>9849.68</v>
      </c>
      <c r="K200" s="28" t="n">
        <f aca="false">11287+1140</f>
        <v>12427</v>
      </c>
      <c r="L200" s="28"/>
      <c r="M200" s="28"/>
      <c r="N200" s="28"/>
      <c r="O200" s="28"/>
      <c r="P200" s="28" t="n">
        <f aca="false">SUM(K200:O200)</f>
        <v>12427</v>
      </c>
      <c r="Q200" s="28" t="n">
        <v>1537.55</v>
      </c>
      <c r="R200" s="10" t="n">
        <f aca="false">Q200/$P200</f>
        <v>0.123726563128671</v>
      </c>
      <c r="S200" s="28" t="n">
        <v>3162.88</v>
      </c>
      <c r="T200" s="10" t="n">
        <f aca="false">S200/$P200</f>
        <v>0.254516777983423</v>
      </c>
      <c r="U200" s="28" t="n">
        <v>4285.37</v>
      </c>
      <c r="V200" s="10" t="n">
        <f aca="false">U200/$P200</f>
        <v>0.344843485957995</v>
      </c>
      <c r="W200" s="28" t="n">
        <v>5363.93</v>
      </c>
      <c r="X200" s="10" t="n">
        <f aca="false">W200/$P200</f>
        <v>0.431635149271747</v>
      </c>
      <c r="Y200" s="9" t="n">
        <f aca="false">11315+1140</f>
        <v>12455</v>
      </c>
      <c r="Z200" s="9" t="n">
        <f aca="false">11336+1140</f>
        <v>12476</v>
      </c>
    </row>
    <row r="201" customFormat="false" ht="12.8" hidden="false" customHeight="false" outlineLevel="0" collapsed="false">
      <c r="A201" s="1" t="n">
        <v>2</v>
      </c>
      <c r="B201" s="1" t="n">
        <v>3</v>
      </c>
      <c r="D201" s="69"/>
      <c r="E201" s="8" t="n">
        <v>640</v>
      </c>
      <c r="F201" s="8" t="s">
        <v>134</v>
      </c>
      <c r="G201" s="9" t="n">
        <v>1596</v>
      </c>
      <c r="H201" s="9" t="n">
        <v>1516.76</v>
      </c>
      <c r="I201" s="9" t="n">
        <v>0</v>
      </c>
      <c r="J201" s="9" t="n">
        <v>1941.68</v>
      </c>
      <c r="K201" s="9" t="n">
        <v>0</v>
      </c>
      <c r="L201" s="9"/>
      <c r="M201" s="9"/>
      <c r="N201" s="9"/>
      <c r="O201" s="9" t="n">
        <v>76</v>
      </c>
      <c r="P201" s="9" t="n">
        <f aca="false">SUM(K201:O201)</f>
        <v>76</v>
      </c>
      <c r="Q201" s="9" t="n">
        <v>0</v>
      </c>
      <c r="R201" s="10" t="n">
        <f aca="false">Q201/$P201</f>
        <v>0</v>
      </c>
      <c r="S201" s="9" t="n">
        <v>0</v>
      </c>
      <c r="T201" s="10" t="n">
        <f aca="false">S201/$P201</f>
        <v>0</v>
      </c>
      <c r="U201" s="9" t="n">
        <v>1543.26</v>
      </c>
      <c r="V201" s="10" t="n">
        <f aca="false">U201/$P201</f>
        <v>20.3060526315789</v>
      </c>
      <c r="W201" s="9" t="n">
        <v>1528.69</v>
      </c>
      <c r="X201" s="10" t="n">
        <f aca="false">W201/$P201</f>
        <v>20.1143421052632</v>
      </c>
      <c r="Y201" s="9" t="n">
        <f aca="false">K201</f>
        <v>0</v>
      </c>
      <c r="Z201" s="9" t="n">
        <f aca="false">Y201</f>
        <v>0</v>
      </c>
    </row>
    <row r="202" customFormat="false" ht="12.8" hidden="false" customHeight="false" outlineLevel="0" collapsed="false">
      <c r="A202" s="1" t="n">
        <v>2</v>
      </c>
      <c r="B202" s="1" t="n">
        <v>3</v>
      </c>
      <c r="D202" s="70" t="s">
        <v>21</v>
      </c>
      <c r="E202" s="29" t="n">
        <v>41</v>
      </c>
      <c r="F202" s="29" t="s">
        <v>23</v>
      </c>
      <c r="G202" s="30" t="n">
        <f aca="false">SUM(G198:G201)</f>
        <v>20799.85</v>
      </c>
      <c r="H202" s="30" t="n">
        <f aca="false">SUM(H198:H201)</f>
        <v>33409.71</v>
      </c>
      <c r="I202" s="30" t="n">
        <f aca="false">SUM(I198:I201)</f>
        <v>36918</v>
      </c>
      <c r="J202" s="30" t="n">
        <f aca="false">SUM(J198:J201)</f>
        <v>31427.3</v>
      </c>
      <c r="K202" s="30" t="n">
        <f aca="false">SUM(K198:K201)</f>
        <v>39328</v>
      </c>
      <c r="L202" s="30" t="n">
        <f aca="false">SUM(L198:L201)</f>
        <v>0</v>
      </c>
      <c r="M202" s="30" t="n">
        <f aca="false">SUM(M198:M201)</f>
        <v>0</v>
      </c>
      <c r="N202" s="30" t="n">
        <f aca="false">SUM(N198:N201)</f>
        <v>0</v>
      </c>
      <c r="O202" s="30" t="n">
        <f aca="false">SUM(O198:O201)</f>
        <v>0</v>
      </c>
      <c r="P202" s="30" t="n">
        <f aca="false">SUM(P198:P201)</f>
        <v>39328</v>
      </c>
      <c r="Q202" s="30" t="n">
        <f aca="false">SUM(Q198:Q201)</f>
        <v>7080.69</v>
      </c>
      <c r="R202" s="71" t="n">
        <f aca="false">Q202/$P202</f>
        <v>0.180041954841334</v>
      </c>
      <c r="S202" s="30" t="n">
        <f aca="false">SUM(S198:S201)</f>
        <v>13698.7</v>
      </c>
      <c r="T202" s="71" t="n">
        <f aca="false">S202/$P202</f>
        <v>0.348319263628967</v>
      </c>
      <c r="U202" s="30" t="n">
        <f aca="false">SUM(U198:U201)</f>
        <v>21329.9</v>
      </c>
      <c r="V202" s="71" t="n">
        <f aca="false">U202/$P202</f>
        <v>0.542359133441823</v>
      </c>
      <c r="W202" s="30" t="n">
        <f aca="false">SUM(W198:W201)</f>
        <v>28039.38</v>
      </c>
      <c r="X202" s="71" t="n">
        <f aca="false">W202/$P202</f>
        <v>0.712962266069976</v>
      </c>
      <c r="Y202" s="30" t="n">
        <f aca="false">SUM(Y198:Y201)</f>
        <v>41619</v>
      </c>
      <c r="Z202" s="30" t="n">
        <f aca="false">SUM(Z198:Z201)</f>
        <v>44132</v>
      </c>
    </row>
    <row r="203" customFormat="false" ht="12.8" hidden="false" customHeight="false" outlineLevel="0" collapsed="false">
      <c r="D203" s="56" t="s">
        <v>182</v>
      </c>
      <c r="E203" s="8" t="n">
        <v>640</v>
      </c>
      <c r="F203" s="8" t="s">
        <v>134</v>
      </c>
      <c r="G203" s="9" t="n">
        <v>0</v>
      </c>
      <c r="H203" s="9" t="n">
        <v>0</v>
      </c>
      <c r="I203" s="9" t="n">
        <v>175</v>
      </c>
      <c r="J203" s="9" t="n">
        <v>209.37</v>
      </c>
      <c r="K203" s="9" t="n">
        <v>210</v>
      </c>
      <c r="L203" s="9"/>
      <c r="M203" s="9"/>
      <c r="N203" s="9"/>
      <c r="O203" s="9" t="n">
        <v>10</v>
      </c>
      <c r="P203" s="9" t="n">
        <f aca="false">SUM(K203:O203)</f>
        <v>220</v>
      </c>
      <c r="Q203" s="9" t="n">
        <v>0</v>
      </c>
      <c r="R203" s="10" t="n">
        <f aca="false">Q203/$P203</f>
        <v>0</v>
      </c>
      <c r="S203" s="9" t="n">
        <v>0</v>
      </c>
      <c r="T203" s="10" t="n">
        <f aca="false">S203/$P203</f>
        <v>0</v>
      </c>
      <c r="U203" s="9" t="n">
        <v>0</v>
      </c>
      <c r="V203" s="10" t="n">
        <f aca="false">U203/$P203</f>
        <v>0</v>
      </c>
      <c r="W203" s="9" t="n">
        <v>220.14</v>
      </c>
      <c r="X203" s="10" t="n">
        <f aca="false">W203/$P203</f>
        <v>1.00063636363636</v>
      </c>
      <c r="Y203" s="9" t="n">
        <f aca="false">K203</f>
        <v>210</v>
      </c>
      <c r="Z203" s="9" t="n">
        <f aca="false">Y203</f>
        <v>210</v>
      </c>
    </row>
    <row r="204" customFormat="false" ht="12.8" hidden="false" customHeight="false" outlineLevel="0" collapsed="false">
      <c r="D204" s="70" t="s">
        <v>21</v>
      </c>
      <c r="E204" s="29" t="n">
        <v>72</v>
      </c>
      <c r="F204" s="29" t="s">
        <v>25</v>
      </c>
      <c r="G204" s="30" t="n">
        <f aca="false">SUM(G203:G203)</f>
        <v>0</v>
      </c>
      <c r="H204" s="30" t="n">
        <f aca="false">SUM(H203:H203)</f>
        <v>0</v>
      </c>
      <c r="I204" s="30" t="n">
        <f aca="false">SUM(I203:I203)</f>
        <v>175</v>
      </c>
      <c r="J204" s="30" t="n">
        <f aca="false">SUM(J203:J203)</f>
        <v>209.37</v>
      </c>
      <c r="K204" s="30" t="n">
        <f aca="false">SUM(K203:K203)</f>
        <v>210</v>
      </c>
      <c r="L204" s="30" t="n">
        <f aca="false">SUM(L203:L203)</f>
        <v>0</v>
      </c>
      <c r="M204" s="30" t="n">
        <f aca="false">SUM(M203:M203)</f>
        <v>0</v>
      </c>
      <c r="N204" s="30" t="n">
        <f aca="false">SUM(N203:N203)</f>
        <v>0</v>
      </c>
      <c r="O204" s="30" t="n">
        <f aca="false">SUM(O203:O203)</f>
        <v>10</v>
      </c>
      <c r="P204" s="30" t="n">
        <f aca="false">SUM(P203:P203)</f>
        <v>220</v>
      </c>
      <c r="Q204" s="30" t="n">
        <f aca="false">SUM(Q203:Q203)</f>
        <v>0</v>
      </c>
      <c r="R204" s="71" t="n">
        <f aca="false">Q204/$P204</f>
        <v>0</v>
      </c>
      <c r="S204" s="30" t="n">
        <f aca="false">SUM(S203:S203)</f>
        <v>0</v>
      </c>
      <c r="T204" s="71" t="n">
        <f aca="false">S204/$P204</f>
        <v>0</v>
      </c>
      <c r="U204" s="30" t="n">
        <f aca="false">SUM(U203:U203)</f>
        <v>0</v>
      </c>
      <c r="V204" s="71" t="n">
        <f aca="false">U204/$P204</f>
        <v>0</v>
      </c>
      <c r="W204" s="30" t="n">
        <f aca="false">SUM(W203:W203)</f>
        <v>220.14</v>
      </c>
      <c r="X204" s="71" t="n">
        <f aca="false">W204/$P204</f>
        <v>1.00063636363636</v>
      </c>
      <c r="Y204" s="30" t="n">
        <f aca="false">SUM(Y203:Y203)</f>
        <v>210</v>
      </c>
      <c r="Z204" s="30" t="n">
        <f aca="false">SUM(Z203:Z203)</f>
        <v>210</v>
      </c>
    </row>
    <row r="205" customFormat="false" ht="12.8" hidden="false" customHeight="false" outlineLevel="0" collapsed="false">
      <c r="A205" s="1" t="n">
        <v>2</v>
      </c>
      <c r="B205" s="1" t="n">
        <v>3</v>
      </c>
      <c r="D205" s="14"/>
      <c r="E205" s="15"/>
      <c r="F205" s="11" t="s">
        <v>126</v>
      </c>
      <c r="G205" s="12" t="n">
        <f aca="false">G197+G202+G204</f>
        <v>21580.85</v>
      </c>
      <c r="H205" s="12" t="n">
        <f aca="false">H197+H202+H204</f>
        <v>34298.71</v>
      </c>
      <c r="I205" s="12" t="n">
        <f aca="false">I197+I202+I204</f>
        <v>37983</v>
      </c>
      <c r="J205" s="12" t="n">
        <f aca="false">J197+J202+J204</f>
        <v>32602.67</v>
      </c>
      <c r="K205" s="12" t="n">
        <f aca="false">K197+K202+K204</f>
        <v>40508</v>
      </c>
      <c r="L205" s="12" t="n">
        <f aca="false">L197+L202+L204</f>
        <v>0</v>
      </c>
      <c r="M205" s="12" t="n">
        <f aca="false">M197+M202+M204</f>
        <v>0</v>
      </c>
      <c r="N205" s="12" t="n">
        <f aca="false">N197+N202+N204</f>
        <v>0</v>
      </c>
      <c r="O205" s="12" t="n">
        <f aca="false">O197+O202+O204</f>
        <v>13</v>
      </c>
      <c r="P205" s="12" t="n">
        <f aca="false">P197+P202+P204</f>
        <v>40521</v>
      </c>
      <c r="Q205" s="12" t="n">
        <f aca="false">Q197+Q202+Q204</f>
        <v>7080.69</v>
      </c>
      <c r="R205" s="13" t="n">
        <f aca="false">Q205/$P205</f>
        <v>0.174741245280225</v>
      </c>
      <c r="S205" s="12" t="n">
        <f aca="false">S197+S202+S204</f>
        <v>13698.7</v>
      </c>
      <c r="T205" s="13" t="n">
        <f aca="false">S205/$P205</f>
        <v>0.33806421361763</v>
      </c>
      <c r="U205" s="12" t="n">
        <f aca="false">U197+U202+U204</f>
        <v>21329.9</v>
      </c>
      <c r="V205" s="13" t="n">
        <f aca="false">U205/$P205</f>
        <v>0.526391253917722</v>
      </c>
      <c r="W205" s="12" t="n">
        <f aca="false">W197+W202+W204</f>
        <v>29232.52</v>
      </c>
      <c r="X205" s="13" t="n">
        <f aca="false">W205/$P205</f>
        <v>0.721416549443498</v>
      </c>
      <c r="Y205" s="12" t="n">
        <f aca="false">Y197+Y202+Y204</f>
        <v>42799</v>
      </c>
      <c r="Z205" s="12" t="n">
        <f aca="false">Z197+Z202+Z204</f>
        <v>45312</v>
      </c>
    </row>
    <row r="207" customFormat="false" ht="12.8" hidden="false" customHeight="false" outlineLevel="0" collapsed="false">
      <c r="D207" s="16" t="s">
        <v>183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customFormat="false" ht="12.8" hidden="false" customHeight="false" outlineLevel="0" collapsed="false">
      <c r="D208" s="4"/>
      <c r="E208" s="4"/>
      <c r="F208" s="4"/>
      <c r="G208" s="5" t="s">
        <v>1</v>
      </c>
      <c r="H208" s="5" t="s">
        <v>2</v>
      </c>
      <c r="I208" s="5" t="s">
        <v>3</v>
      </c>
      <c r="J208" s="5" t="s">
        <v>4</v>
      </c>
      <c r="K208" s="5" t="s">
        <v>5</v>
      </c>
      <c r="L208" s="5" t="s">
        <v>6</v>
      </c>
      <c r="M208" s="5" t="s">
        <v>7</v>
      </c>
      <c r="N208" s="5" t="s">
        <v>8</v>
      </c>
      <c r="O208" s="5" t="s">
        <v>9</v>
      </c>
      <c r="P208" s="5" t="s">
        <v>10</v>
      </c>
      <c r="Q208" s="5" t="s">
        <v>11</v>
      </c>
      <c r="R208" s="5" t="s">
        <v>12</v>
      </c>
      <c r="S208" s="5" t="s">
        <v>13</v>
      </c>
      <c r="T208" s="5" t="s">
        <v>14</v>
      </c>
      <c r="U208" s="5" t="s">
        <v>15</v>
      </c>
      <c r="V208" s="5" t="s">
        <v>16</v>
      </c>
      <c r="W208" s="5" t="s">
        <v>17</v>
      </c>
      <c r="X208" s="5" t="s">
        <v>18</v>
      </c>
      <c r="Y208" s="5" t="s">
        <v>19</v>
      </c>
      <c r="Z208" s="5" t="s">
        <v>20</v>
      </c>
    </row>
    <row r="209" customFormat="false" ht="12.8" hidden="false" customHeight="false" outlineLevel="0" collapsed="false">
      <c r="A209" s="1" t="n">
        <v>3</v>
      </c>
      <c r="D209" s="17" t="s">
        <v>21</v>
      </c>
      <c r="E209" s="18" t="n">
        <v>41</v>
      </c>
      <c r="F209" s="18" t="s">
        <v>23</v>
      </c>
      <c r="G209" s="19" t="n">
        <f aca="false">G219+G236</f>
        <v>55462.08</v>
      </c>
      <c r="H209" s="19" t="n">
        <f aca="false">H219+H236</f>
        <v>41136.58</v>
      </c>
      <c r="I209" s="19" t="n">
        <f aca="false">I219+I236</f>
        <v>41309</v>
      </c>
      <c r="J209" s="19" t="n">
        <f aca="false">J219+J236</f>
        <v>51970.42</v>
      </c>
      <c r="K209" s="19" t="n">
        <f aca="false">K219+K236</f>
        <v>74606</v>
      </c>
      <c r="L209" s="19" t="n">
        <f aca="false">L219+L236</f>
        <v>0</v>
      </c>
      <c r="M209" s="19" t="n">
        <f aca="false">M219+M236</f>
        <v>0</v>
      </c>
      <c r="N209" s="19" t="n">
        <f aca="false">N219+N236</f>
        <v>-2000</v>
      </c>
      <c r="O209" s="19" t="n">
        <f aca="false">O219+O236</f>
        <v>-143</v>
      </c>
      <c r="P209" s="19" t="n">
        <f aca="false">P219+P236</f>
        <v>72463</v>
      </c>
      <c r="Q209" s="19" t="n">
        <f aca="false">Q219+Q236</f>
        <v>18783.63</v>
      </c>
      <c r="R209" s="20" t="n">
        <f aca="false">Q209/$P209</f>
        <v>0.259216841698522</v>
      </c>
      <c r="S209" s="19" t="n">
        <f aca="false">S219+S236</f>
        <v>27045.76</v>
      </c>
      <c r="T209" s="20" t="n">
        <f aca="false">S209/$P209</f>
        <v>0.37323544429571</v>
      </c>
      <c r="U209" s="19" t="n">
        <f aca="false">U219+U236</f>
        <v>38382.23</v>
      </c>
      <c r="V209" s="20" t="n">
        <f aca="false">U209/$P209</f>
        <v>0.529680388612119</v>
      </c>
      <c r="W209" s="19" t="n">
        <f aca="false">W219+W236</f>
        <v>51834.96</v>
      </c>
      <c r="X209" s="20" t="n">
        <f aca="false">W209/$P209</f>
        <v>0.715330030498323</v>
      </c>
      <c r="Y209" s="19" t="n">
        <f aca="false">Y219+Y236</f>
        <v>71096</v>
      </c>
      <c r="Z209" s="19" t="n">
        <f aca="false">Z219+Z236</f>
        <v>71873</v>
      </c>
    </row>
    <row r="210" customFormat="false" ht="12.8" hidden="false" customHeight="false" outlineLevel="0" collapsed="false">
      <c r="D210" s="17" t="s">
        <v>21</v>
      </c>
      <c r="E210" s="18" t="n">
        <v>72</v>
      </c>
      <c r="F210" s="18" t="s">
        <v>25</v>
      </c>
      <c r="G210" s="19" t="n">
        <f aca="false">G221</f>
        <v>0</v>
      </c>
      <c r="H210" s="19" t="n">
        <f aca="false">H221</f>
        <v>0</v>
      </c>
      <c r="I210" s="19" t="n">
        <f aca="false">I221</f>
        <v>120</v>
      </c>
      <c r="J210" s="19" t="n">
        <f aca="false">J221</f>
        <v>116.87</v>
      </c>
      <c r="K210" s="19" t="n">
        <f aca="false">K221</f>
        <v>120</v>
      </c>
      <c r="L210" s="19" t="n">
        <f aca="false">L221</f>
        <v>0</v>
      </c>
      <c r="M210" s="19" t="n">
        <f aca="false">M221</f>
        <v>0</v>
      </c>
      <c r="N210" s="19" t="n">
        <f aca="false">N221</f>
        <v>0</v>
      </c>
      <c r="O210" s="19" t="n">
        <f aca="false">O221</f>
        <v>0</v>
      </c>
      <c r="P210" s="19" t="n">
        <f aca="false">P221</f>
        <v>120</v>
      </c>
      <c r="Q210" s="19" t="n">
        <f aca="false">Q221</f>
        <v>0</v>
      </c>
      <c r="R210" s="20" t="n">
        <f aca="false">Q210/$P210</f>
        <v>0</v>
      </c>
      <c r="S210" s="19" t="n">
        <f aca="false">S221</f>
        <v>0</v>
      </c>
      <c r="T210" s="20" t="n">
        <f aca="false">S210/$P210</f>
        <v>0</v>
      </c>
      <c r="U210" s="19" t="n">
        <f aca="false">U221</f>
        <v>0</v>
      </c>
      <c r="V210" s="20" t="n">
        <f aca="false">U210/$P210</f>
        <v>0</v>
      </c>
      <c r="W210" s="19" t="n">
        <f aca="false">W221</f>
        <v>120.23</v>
      </c>
      <c r="X210" s="20" t="n">
        <f aca="false">W210/$P210</f>
        <v>1.00191666666667</v>
      </c>
      <c r="Y210" s="19" t="n">
        <f aca="false">Y221</f>
        <v>120</v>
      </c>
      <c r="Z210" s="19" t="n">
        <f aca="false">Z221</f>
        <v>120</v>
      </c>
    </row>
    <row r="211" customFormat="false" ht="12.8" hidden="false" customHeight="false" outlineLevel="0" collapsed="false">
      <c r="A211" s="1" t="n">
        <v>3</v>
      </c>
      <c r="D211" s="14"/>
      <c r="E211" s="15"/>
      <c r="F211" s="21" t="s">
        <v>126</v>
      </c>
      <c r="G211" s="22" t="n">
        <f aca="false">SUM(G209:G210)</f>
        <v>55462.08</v>
      </c>
      <c r="H211" s="22" t="n">
        <f aca="false">SUM(H209:H210)</f>
        <v>41136.58</v>
      </c>
      <c r="I211" s="22" t="n">
        <f aca="false">SUM(I209:I210)</f>
        <v>41429</v>
      </c>
      <c r="J211" s="22" t="n">
        <f aca="false">SUM(J209:J210)</f>
        <v>52087.29</v>
      </c>
      <c r="K211" s="22" t="n">
        <f aca="false">SUM(K209:K210)</f>
        <v>74726</v>
      </c>
      <c r="L211" s="22" t="n">
        <f aca="false">SUM(L209:L210)</f>
        <v>0</v>
      </c>
      <c r="M211" s="22" t="n">
        <f aca="false">SUM(M209:M210)</f>
        <v>0</v>
      </c>
      <c r="N211" s="22" t="n">
        <f aca="false">SUM(N209:N210)</f>
        <v>-2000</v>
      </c>
      <c r="O211" s="22" t="n">
        <f aca="false">SUM(O209:O210)</f>
        <v>-143</v>
      </c>
      <c r="P211" s="22" t="n">
        <f aca="false">SUM(P209:P210)</f>
        <v>72583</v>
      </c>
      <c r="Q211" s="22" t="n">
        <f aca="false">SUM(Q209:Q210)</f>
        <v>18783.63</v>
      </c>
      <c r="R211" s="23" t="n">
        <f aca="false">Q211/$P211</f>
        <v>0.258788283757905</v>
      </c>
      <c r="S211" s="22" t="n">
        <f aca="false">SUM(S209:S210)</f>
        <v>27045.76</v>
      </c>
      <c r="T211" s="23" t="n">
        <f aca="false">S211/$P211</f>
        <v>0.372618381714727</v>
      </c>
      <c r="U211" s="22" t="n">
        <f aca="false">SUM(U209:U210)</f>
        <v>38382.23</v>
      </c>
      <c r="V211" s="23" t="n">
        <f aca="false">U211/$P211</f>
        <v>0.528804678781533</v>
      </c>
      <c r="W211" s="22" t="n">
        <f aca="false">SUM(W209:W210)</f>
        <v>51955.19</v>
      </c>
      <c r="X211" s="23" t="n">
        <f aca="false">W211/$P211</f>
        <v>0.715803838364355</v>
      </c>
      <c r="Y211" s="22" t="n">
        <f aca="false">SUM(Y209:Y210)</f>
        <v>71216</v>
      </c>
      <c r="Z211" s="22" t="n">
        <f aca="false">SUM(Z209:Z210)</f>
        <v>71993</v>
      </c>
    </row>
    <row r="213" customFormat="false" ht="12.8" hidden="false" customHeight="false" outlineLevel="0" collapsed="false">
      <c r="D213" s="51" t="s">
        <v>184</v>
      </c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customFormat="false" ht="12.8" hidden="false" customHeight="false" outlineLevel="0" collapsed="false">
      <c r="D214" s="5" t="s">
        <v>33</v>
      </c>
      <c r="E214" s="5" t="s">
        <v>34</v>
      </c>
      <c r="F214" s="5" t="s">
        <v>35</v>
      </c>
      <c r="G214" s="5" t="s">
        <v>1</v>
      </c>
      <c r="H214" s="5" t="s">
        <v>2</v>
      </c>
      <c r="I214" s="5" t="s">
        <v>3</v>
      </c>
      <c r="J214" s="5" t="s">
        <v>4</v>
      </c>
      <c r="K214" s="5" t="s">
        <v>5</v>
      </c>
      <c r="L214" s="5" t="s">
        <v>6</v>
      </c>
      <c r="M214" s="5" t="s">
        <v>7</v>
      </c>
      <c r="N214" s="5" t="s">
        <v>8</v>
      </c>
      <c r="O214" s="5" t="s">
        <v>9</v>
      </c>
      <c r="P214" s="5" t="s">
        <v>10</v>
      </c>
      <c r="Q214" s="5" t="s">
        <v>11</v>
      </c>
      <c r="R214" s="5" t="s">
        <v>12</v>
      </c>
      <c r="S214" s="5" t="s">
        <v>13</v>
      </c>
      <c r="T214" s="5" t="s">
        <v>14</v>
      </c>
      <c r="U214" s="5" t="s">
        <v>15</v>
      </c>
      <c r="V214" s="5" t="s">
        <v>16</v>
      </c>
      <c r="W214" s="5" t="s">
        <v>17</v>
      </c>
      <c r="X214" s="5" t="s">
        <v>18</v>
      </c>
      <c r="Y214" s="5" t="s">
        <v>19</v>
      </c>
      <c r="Z214" s="5" t="s">
        <v>20</v>
      </c>
    </row>
    <row r="215" customFormat="false" ht="12.8" hidden="false" customHeight="false" outlineLevel="0" collapsed="false">
      <c r="A215" s="1" t="n">
        <v>3</v>
      </c>
      <c r="B215" s="1" t="n">
        <v>1</v>
      </c>
      <c r="D215" s="69" t="s">
        <v>185</v>
      </c>
      <c r="E215" s="8" t="n">
        <v>610</v>
      </c>
      <c r="F215" s="8" t="s">
        <v>131</v>
      </c>
      <c r="G215" s="9" t="n">
        <v>10143.52</v>
      </c>
      <c r="H215" s="9" t="n">
        <v>11847.89</v>
      </c>
      <c r="I215" s="9" t="n">
        <v>12715</v>
      </c>
      <c r="J215" s="9" t="n">
        <v>11455.43</v>
      </c>
      <c r="K215" s="9" t="n">
        <v>11915</v>
      </c>
      <c r="L215" s="9"/>
      <c r="M215" s="9"/>
      <c r="N215" s="9"/>
      <c r="O215" s="9" t="n">
        <v>250</v>
      </c>
      <c r="P215" s="9" t="n">
        <f aca="false">SUM(K215:O215)</f>
        <v>12165</v>
      </c>
      <c r="Q215" s="9" t="n">
        <v>3350.84</v>
      </c>
      <c r="R215" s="10" t="n">
        <f aca="false">Q215/$P215</f>
        <v>0.275449239621866</v>
      </c>
      <c r="S215" s="9" t="n">
        <v>6050.84</v>
      </c>
      <c r="T215" s="10" t="n">
        <f aca="false">S215/$P215</f>
        <v>0.497397451705713</v>
      </c>
      <c r="U215" s="9" t="n">
        <v>8750.84</v>
      </c>
      <c r="V215" s="10" t="n">
        <f aca="false">U215/$P215</f>
        <v>0.71934566378956</v>
      </c>
      <c r="W215" s="9" t="n">
        <v>12164.84</v>
      </c>
      <c r="X215" s="10" t="n">
        <f aca="false">W215/$P215</f>
        <v>0.999986847513358</v>
      </c>
      <c r="Y215" s="9" t="n">
        <v>13006</v>
      </c>
      <c r="Z215" s="9" t="n">
        <v>14207</v>
      </c>
    </row>
    <row r="216" customFormat="false" ht="12.8" hidden="false" customHeight="false" outlineLevel="0" collapsed="false">
      <c r="A216" s="1" t="n">
        <v>3</v>
      </c>
      <c r="B216" s="1" t="n">
        <v>1</v>
      </c>
      <c r="D216" s="69"/>
      <c r="E216" s="8" t="n">
        <v>620</v>
      </c>
      <c r="F216" s="8" t="s">
        <v>132</v>
      </c>
      <c r="G216" s="9" t="n">
        <v>3692.66</v>
      </c>
      <c r="H216" s="9" t="n">
        <v>4140.53</v>
      </c>
      <c r="I216" s="9" t="n">
        <v>4444</v>
      </c>
      <c r="J216" s="9" t="n">
        <v>4003.56</v>
      </c>
      <c r="K216" s="9" t="n">
        <v>4163</v>
      </c>
      <c r="L216" s="9"/>
      <c r="M216" s="9"/>
      <c r="N216" s="9"/>
      <c r="O216" s="9" t="n">
        <v>88</v>
      </c>
      <c r="P216" s="9" t="n">
        <f aca="false">SUM(K216:O216)</f>
        <v>4251</v>
      </c>
      <c r="Q216" s="9" t="n">
        <v>1171.06</v>
      </c>
      <c r="R216" s="10" t="n">
        <f aca="false">Q216/$P216</f>
        <v>0.275478710891555</v>
      </c>
      <c r="S216" s="9" t="n">
        <v>2114.71</v>
      </c>
      <c r="T216" s="10" t="n">
        <f aca="false">S216/$P216</f>
        <v>0.497461773700306</v>
      </c>
      <c r="U216" s="9" t="n">
        <v>3058.36</v>
      </c>
      <c r="V216" s="10" t="n">
        <f aca="false">U216/$P216</f>
        <v>0.719444836509057</v>
      </c>
      <c r="W216" s="9" t="n">
        <v>4251.54</v>
      </c>
      <c r="X216" s="10" t="n">
        <f aca="false">W216/$P216</f>
        <v>1.00012702893437</v>
      </c>
      <c r="Y216" s="9" t="n">
        <v>4546</v>
      </c>
      <c r="Z216" s="9" t="n">
        <v>4966</v>
      </c>
    </row>
    <row r="217" customFormat="false" ht="12.8" hidden="false" customHeight="false" outlineLevel="0" collapsed="false">
      <c r="A217" s="1" t="n">
        <v>3</v>
      </c>
      <c r="B217" s="1" t="n">
        <v>1</v>
      </c>
      <c r="D217" s="69"/>
      <c r="E217" s="8" t="n">
        <v>630</v>
      </c>
      <c r="F217" s="8" t="s">
        <v>133</v>
      </c>
      <c r="G217" s="9" t="n">
        <v>39642.8</v>
      </c>
      <c r="H217" s="9" t="n">
        <v>24996.5</v>
      </c>
      <c r="I217" s="9" t="n">
        <v>23950</v>
      </c>
      <c r="J217" s="9" t="n">
        <v>36511.43</v>
      </c>
      <c r="K217" s="9" t="n">
        <f aca="false">923+52405+5000</f>
        <v>58328</v>
      </c>
      <c r="L217" s="9"/>
      <c r="M217" s="9"/>
      <c r="N217" s="9" t="n">
        <v>-2000</v>
      </c>
      <c r="O217" s="9" t="n">
        <v>-481</v>
      </c>
      <c r="P217" s="9" t="n">
        <f aca="false">SUM(K217:O217)</f>
        <v>55847</v>
      </c>
      <c r="Q217" s="9" t="n">
        <v>14261.73</v>
      </c>
      <c r="R217" s="10" t="n">
        <f aca="false">Q217/$P217</f>
        <v>0.255371461313947</v>
      </c>
      <c r="S217" s="9" t="n">
        <v>18880.21</v>
      </c>
      <c r="T217" s="10" t="n">
        <f aca="false">S217/$P217</f>
        <v>0.338070263398213</v>
      </c>
      <c r="U217" s="9" t="n">
        <v>26573.03</v>
      </c>
      <c r="V217" s="10" t="n">
        <f aca="false">U217/$P217</f>
        <v>0.475818396690959</v>
      </c>
      <c r="W217" s="9" t="n">
        <v>35418.58</v>
      </c>
      <c r="X217" s="10" t="n">
        <f aca="false">W217/$P217</f>
        <v>0.63420738804233</v>
      </c>
      <c r="Y217" s="9" t="n">
        <f aca="false">939+52405</f>
        <v>53344</v>
      </c>
      <c r="Z217" s="9" t="n">
        <f aca="false">95+52405</f>
        <v>52500</v>
      </c>
    </row>
    <row r="218" customFormat="false" ht="12.8" hidden="false" customHeight="false" outlineLevel="0" collapsed="false">
      <c r="A218" s="1" t="n">
        <v>3</v>
      </c>
      <c r="B218" s="1" t="n">
        <v>1</v>
      </c>
      <c r="D218" s="69"/>
      <c r="E218" s="8" t="n">
        <v>640</v>
      </c>
      <c r="F218" s="8" t="s">
        <v>134</v>
      </c>
      <c r="G218" s="9" t="n">
        <v>1767</v>
      </c>
      <c r="H218" s="9" t="n">
        <v>0</v>
      </c>
      <c r="I218" s="9" t="n">
        <v>0</v>
      </c>
      <c r="J218" s="9" t="n">
        <v>0</v>
      </c>
      <c r="K218" s="9" t="n">
        <v>0</v>
      </c>
      <c r="L218" s="9"/>
      <c r="M218" s="9"/>
      <c r="N218" s="9"/>
      <c r="O218" s="9"/>
      <c r="P218" s="9" t="n">
        <f aca="false">SUM(K218:O218)</f>
        <v>0</v>
      </c>
      <c r="Q218" s="9" t="n">
        <v>0</v>
      </c>
      <c r="R218" s="10" t="e">
        <f aca="false">Q218/$P218</f>
        <v>#DIV/0!</v>
      </c>
      <c r="S218" s="9" t="n">
        <v>0</v>
      </c>
      <c r="T218" s="10" t="e">
        <f aca="false">S218/$P218</f>
        <v>#DIV/0!</v>
      </c>
      <c r="U218" s="9" t="n">
        <v>0</v>
      </c>
      <c r="V218" s="10" t="e">
        <f aca="false">U218/$P218</f>
        <v>#DIV/0!</v>
      </c>
      <c r="W218" s="9" t="n">
        <v>0</v>
      </c>
      <c r="X218" s="10" t="e">
        <f aca="false">W218/$P218</f>
        <v>#DIV/0!</v>
      </c>
      <c r="Y218" s="9" t="n">
        <v>0</v>
      </c>
      <c r="Z218" s="9" t="n">
        <v>0</v>
      </c>
    </row>
    <row r="219" customFormat="false" ht="12.8" hidden="false" customHeight="false" outlineLevel="0" collapsed="false">
      <c r="A219" s="1" t="n">
        <v>3</v>
      </c>
      <c r="B219" s="1" t="n">
        <v>1</v>
      </c>
      <c r="D219" s="70" t="s">
        <v>21</v>
      </c>
      <c r="E219" s="29" t="n">
        <v>41</v>
      </c>
      <c r="F219" s="29" t="s">
        <v>23</v>
      </c>
      <c r="G219" s="30" t="n">
        <f aca="false">SUM(G215:G218)</f>
        <v>55245.98</v>
      </c>
      <c r="H219" s="30" t="n">
        <f aca="false">SUM(H215:H218)</f>
        <v>40984.92</v>
      </c>
      <c r="I219" s="30" t="n">
        <f aca="false">SUM(I215:I218)</f>
        <v>41109</v>
      </c>
      <c r="J219" s="30" t="n">
        <f aca="false">SUM(J215:J218)</f>
        <v>51970.42</v>
      </c>
      <c r="K219" s="30" t="n">
        <f aca="false">SUM(K215:K218)</f>
        <v>74406</v>
      </c>
      <c r="L219" s="30" t="n">
        <f aca="false">SUM(L215:L218)</f>
        <v>0</v>
      </c>
      <c r="M219" s="30" t="n">
        <f aca="false">SUM(M215:M218)</f>
        <v>0</v>
      </c>
      <c r="N219" s="30" t="n">
        <f aca="false">SUM(N215:N218)</f>
        <v>-2000</v>
      </c>
      <c r="O219" s="30" t="n">
        <f aca="false">SUM(O215:O218)</f>
        <v>-143</v>
      </c>
      <c r="P219" s="30" t="n">
        <f aca="false">SUM(P215:P218)</f>
        <v>72263</v>
      </c>
      <c r="Q219" s="30" t="n">
        <f aca="false">SUM(Q215:Q218)</f>
        <v>18783.63</v>
      </c>
      <c r="R219" s="71" t="n">
        <f aca="false">Q219/$P219</f>
        <v>0.259934267882596</v>
      </c>
      <c r="S219" s="30" t="n">
        <f aca="false">SUM(S215:S218)</f>
        <v>27045.76</v>
      </c>
      <c r="T219" s="71" t="n">
        <f aca="false">S219/$P219</f>
        <v>0.374268436129139</v>
      </c>
      <c r="U219" s="30" t="n">
        <f aca="false">SUM(U215:U218)</f>
        <v>38382.23</v>
      </c>
      <c r="V219" s="71" t="n">
        <f aca="false">U219/$P219</f>
        <v>0.531146368127534</v>
      </c>
      <c r="W219" s="30" t="n">
        <f aca="false">SUM(W215:W218)</f>
        <v>51834.96</v>
      </c>
      <c r="X219" s="71" t="n">
        <f aca="false">W219/$P219</f>
        <v>0.717309826605594</v>
      </c>
      <c r="Y219" s="30" t="n">
        <f aca="false">SUM(Y215:Y218)</f>
        <v>70896</v>
      </c>
      <c r="Z219" s="30" t="n">
        <f aca="false">SUM(Z215:Z218)</f>
        <v>71673</v>
      </c>
    </row>
    <row r="220" customFormat="false" ht="12.8" hidden="false" customHeight="false" outlineLevel="0" collapsed="false">
      <c r="D220" s="56" t="s">
        <v>185</v>
      </c>
      <c r="E220" s="8" t="n">
        <v>640</v>
      </c>
      <c r="F220" s="8" t="s">
        <v>134</v>
      </c>
      <c r="G220" s="9" t="n">
        <v>0</v>
      </c>
      <c r="H220" s="9" t="n">
        <v>0</v>
      </c>
      <c r="I220" s="9" t="n">
        <v>120</v>
      </c>
      <c r="J220" s="9" t="n">
        <v>116.87</v>
      </c>
      <c r="K220" s="9" t="n">
        <v>120</v>
      </c>
      <c r="L220" s="9"/>
      <c r="M220" s="9"/>
      <c r="N220" s="9"/>
      <c r="O220" s="9"/>
      <c r="P220" s="9" t="n">
        <f aca="false">SUM(K220:O220)</f>
        <v>120</v>
      </c>
      <c r="Q220" s="9" t="n">
        <v>0</v>
      </c>
      <c r="R220" s="10" t="n">
        <f aca="false">Q220/$P220</f>
        <v>0</v>
      </c>
      <c r="S220" s="9" t="n">
        <v>0</v>
      </c>
      <c r="T220" s="10" t="n">
        <f aca="false">S220/$P220</f>
        <v>0</v>
      </c>
      <c r="U220" s="9" t="n">
        <v>0</v>
      </c>
      <c r="V220" s="10" t="n">
        <f aca="false">U220/$P220</f>
        <v>0</v>
      </c>
      <c r="W220" s="9" t="n">
        <v>120.23</v>
      </c>
      <c r="X220" s="10" t="n">
        <f aca="false">W220/$P220</f>
        <v>1.00191666666667</v>
      </c>
      <c r="Y220" s="9" t="n">
        <f aca="false">K220</f>
        <v>120</v>
      </c>
      <c r="Z220" s="9" t="n">
        <f aca="false">Y220</f>
        <v>120</v>
      </c>
    </row>
    <row r="221" customFormat="false" ht="12.8" hidden="false" customHeight="false" outlineLevel="0" collapsed="false">
      <c r="D221" s="70" t="s">
        <v>21</v>
      </c>
      <c r="E221" s="29" t="n">
        <v>72</v>
      </c>
      <c r="F221" s="29" t="s">
        <v>25</v>
      </c>
      <c r="G221" s="30" t="n">
        <f aca="false">SUM(G220:G220)</f>
        <v>0</v>
      </c>
      <c r="H221" s="30" t="n">
        <f aca="false">SUM(H220:H220)</f>
        <v>0</v>
      </c>
      <c r="I221" s="30" t="n">
        <f aca="false">SUM(I220:I220)</f>
        <v>120</v>
      </c>
      <c r="J221" s="30" t="n">
        <f aca="false">SUM(J220:J220)</f>
        <v>116.87</v>
      </c>
      <c r="K221" s="30" t="n">
        <f aca="false">SUM(K220:K220)</f>
        <v>120</v>
      </c>
      <c r="L221" s="30" t="n">
        <f aca="false">SUM(L220:L220)</f>
        <v>0</v>
      </c>
      <c r="M221" s="30" t="n">
        <f aca="false">SUM(M220:M220)</f>
        <v>0</v>
      </c>
      <c r="N221" s="30" t="n">
        <f aca="false">SUM(N220:N220)</f>
        <v>0</v>
      </c>
      <c r="O221" s="30" t="n">
        <f aca="false">SUM(O220:O220)</f>
        <v>0</v>
      </c>
      <c r="P221" s="30" t="n">
        <f aca="false">SUM(P220:P220)</f>
        <v>120</v>
      </c>
      <c r="Q221" s="30" t="n">
        <f aca="false">SUM(Q220:Q220)</f>
        <v>0</v>
      </c>
      <c r="R221" s="71" t="n">
        <f aca="false">Q221/$P221</f>
        <v>0</v>
      </c>
      <c r="S221" s="30" t="n">
        <f aca="false">SUM(S220:S220)</f>
        <v>0</v>
      </c>
      <c r="T221" s="71" t="n">
        <f aca="false">S221/$P221</f>
        <v>0</v>
      </c>
      <c r="U221" s="30" t="n">
        <f aca="false">SUM(U220:U220)</f>
        <v>0</v>
      </c>
      <c r="V221" s="71" t="n">
        <f aca="false">U221/$P221</f>
        <v>0</v>
      </c>
      <c r="W221" s="30" t="n">
        <f aca="false">SUM(W220:W220)</f>
        <v>120.23</v>
      </c>
      <c r="X221" s="71" t="n">
        <f aca="false">W221/$P221</f>
        <v>1.00191666666667</v>
      </c>
      <c r="Y221" s="30" t="n">
        <f aca="false">SUM(Y220:Y220)</f>
        <v>120</v>
      </c>
      <c r="Z221" s="30" t="n">
        <f aca="false">SUM(Z220:Z220)</f>
        <v>120</v>
      </c>
    </row>
    <row r="222" customFormat="false" ht="12.8" hidden="false" customHeight="false" outlineLevel="0" collapsed="false">
      <c r="D222" s="87"/>
      <c r="E222" s="15"/>
      <c r="F222" s="11" t="s">
        <v>126</v>
      </c>
      <c r="G222" s="12" t="n">
        <f aca="false">G219+G221</f>
        <v>55245.98</v>
      </c>
      <c r="H222" s="12" t="n">
        <f aca="false">H219+H221</f>
        <v>40984.92</v>
      </c>
      <c r="I222" s="12" t="n">
        <f aca="false">I219+I221</f>
        <v>41229</v>
      </c>
      <c r="J222" s="12" t="n">
        <f aca="false">J219+J221</f>
        <v>52087.29</v>
      </c>
      <c r="K222" s="12" t="n">
        <f aca="false">K219+K221</f>
        <v>74526</v>
      </c>
      <c r="L222" s="12" t="n">
        <f aca="false">L219+L221</f>
        <v>0</v>
      </c>
      <c r="M222" s="12" t="n">
        <f aca="false">M219+M221</f>
        <v>0</v>
      </c>
      <c r="N222" s="12" t="n">
        <f aca="false">N219+N221</f>
        <v>-2000</v>
      </c>
      <c r="O222" s="12" t="n">
        <f aca="false">O219+O221</f>
        <v>-143</v>
      </c>
      <c r="P222" s="12" t="n">
        <f aca="false">P219+P221</f>
        <v>72383</v>
      </c>
      <c r="Q222" s="12" t="n">
        <f aca="false">Q219+Q221</f>
        <v>18783.63</v>
      </c>
      <c r="R222" s="13" t="n">
        <f aca="false">Q222/$P222</f>
        <v>0.259503336418772</v>
      </c>
      <c r="S222" s="12" t="n">
        <f aca="false">S219+S221</f>
        <v>27045.76</v>
      </c>
      <c r="T222" s="13" t="n">
        <f aca="false">S222/$P222</f>
        <v>0.373647956011771</v>
      </c>
      <c r="U222" s="12" t="n">
        <f aca="false">U219+U221</f>
        <v>38382.23</v>
      </c>
      <c r="V222" s="13" t="n">
        <f aca="false">U222/$P222</f>
        <v>0.530265808269898</v>
      </c>
      <c r="W222" s="12" t="n">
        <f aca="false">W219+W221</f>
        <v>51955.19</v>
      </c>
      <c r="X222" s="13" t="n">
        <f aca="false">W222/$P222</f>
        <v>0.717781661439841</v>
      </c>
      <c r="Y222" s="12" t="n">
        <f aca="false">Y219+Y221</f>
        <v>71016</v>
      </c>
      <c r="Z222" s="12" t="n">
        <f aca="false">Z219+Z221</f>
        <v>71793</v>
      </c>
    </row>
    <row r="224" customFormat="false" ht="12.8" hidden="false" customHeight="false" outlineLevel="0" collapsed="false">
      <c r="E224" s="32" t="s">
        <v>57</v>
      </c>
      <c r="F224" s="14" t="s">
        <v>62</v>
      </c>
      <c r="G224" s="33" t="n">
        <v>1068.55</v>
      </c>
      <c r="H224" s="33" t="n">
        <v>774.83</v>
      </c>
      <c r="I224" s="33" t="n">
        <v>800</v>
      </c>
      <c r="J224" s="33" t="n">
        <v>11004.29</v>
      </c>
      <c r="K224" s="33" t="n">
        <v>20000</v>
      </c>
      <c r="L224" s="33"/>
      <c r="M224" s="33"/>
      <c r="N224" s="33" t="n">
        <v>-2000</v>
      </c>
      <c r="O224" s="33"/>
      <c r="P224" s="33" t="n">
        <f aca="false">SUM(K224:O224)</f>
        <v>18000</v>
      </c>
      <c r="Q224" s="33" t="n">
        <v>6243.27</v>
      </c>
      <c r="R224" s="34" t="n">
        <f aca="false">Q224/$P224</f>
        <v>0.346848333333333</v>
      </c>
      <c r="S224" s="33" t="n">
        <v>7013.66</v>
      </c>
      <c r="T224" s="34" t="n">
        <f aca="false">S224/$P224</f>
        <v>0.389647777777778</v>
      </c>
      <c r="U224" s="33" t="n">
        <v>9747.4</v>
      </c>
      <c r="V224" s="34" t="n">
        <f aca="false">U224/$P224</f>
        <v>0.541522222222222</v>
      </c>
      <c r="W224" s="33" t="n">
        <v>13071.88</v>
      </c>
      <c r="X224" s="35" t="n">
        <f aca="false">W224/$P224</f>
        <v>0.726215555555555</v>
      </c>
      <c r="Y224" s="33" t="n">
        <f aca="false">K224</f>
        <v>20000</v>
      </c>
      <c r="Z224" s="36" t="n">
        <f aca="false">Y224</f>
        <v>20000</v>
      </c>
    </row>
    <row r="225" customFormat="false" ht="12.8" hidden="false" customHeight="false" outlineLevel="0" collapsed="false">
      <c r="E225" s="37"/>
      <c r="F225" s="78" t="s">
        <v>150</v>
      </c>
      <c r="G225" s="79" t="n">
        <v>3672.41</v>
      </c>
      <c r="H225" s="79" t="n">
        <v>1212.31</v>
      </c>
      <c r="I225" s="79" t="n">
        <v>1212</v>
      </c>
      <c r="J225" s="79" t="n">
        <v>1834.54</v>
      </c>
      <c r="K225" s="79" t="n">
        <v>5757</v>
      </c>
      <c r="L225" s="79"/>
      <c r="M225" s="79"/>
      <c r="N225" s="79"/>
      <c r="O225" s="79"/>
      <c r="P225" s="79" t="n">
        <f aca="false">SUM(K225:O225)</f>
        <v>5757</v>
      </c>
      <c r="Q225" s="79" t="n">
        <v>2697.29</v>
      </c>
      <c r="R225" s="40" t="n">
        <f aca="false">Q225/$P225</f>
        <v>0.468523536564183</v>
      </c>
      <c r="S225" s="79" t="n">
        <v>3717.29</v>
      </c>
      <c r="T225" s="40" t="n">
        <f aca="false">S225/$P225</f>
        <v>0.645699148862255</v>
      </c>
      <c r="U225" s="79" t="n">
        <v>4737.29</v>
      </c>
      <c r="V225" s="40" t="n">
        <f aca="false">U225/$P225</f>
        <v>0.822874761160326</v>
      </c>
      <c r="W225" s="79" t="n">
        <v>5757.29</v>
      </c>
      <c r="X225" s="41" t="n">
        <f aca="false">W225/$P225</f>
        <v>1.0000503734584</v>
      </c>
      <c r="Y225" s="39" t="n">
        <f aca="false">K225</f>
        <v>5757</v>
      </c>
      <c r="Z225" s="42" t="n">
        <f aca="false">Y225</f>
        <v>5757</v>
      </c>
    </row>
    <row r="226" customFormat="false" ht="12.8" hidden="false" customHeight="false" outlineLevel="0" collapsed="false">
      <c r="E226" s="37"/>
      <c r="F226" s="38" t="s">
        <v>186</v>
      </c>
      <c r="G226" s="39" t="n">
        <v>22955.44</v>
      </c>
      <c r="H226" s="39" t="n">
        <v>11236.2</v>
      </c>
      <c r="I226" s="39" t="n">
        <v>5000</v>
      </c>
      <c r="J226" s="39" t="n">
        <v>12597.73</v>
      </c>
      <c r="K226" s="43" t="n">
        <v>15000</v>
      </c>
      <c r="L226" s="43"/>
      <c r="M226" s="43"/>
      <c r="N226" s="43"/>
      <c r="O226" s="43"/>
      <c r="P226" s="43" t="n">
        <f aca="false">SUM(K226:O226)</f>
        <v>15000</v>
      </c>
      <c r="Q226" s="43" t="n">
        <v>3120.74</v>
      </c>
      <c r="R226" s="40" t="n">
        <f aca="false">Q226/$P226</f>
        <v>0.208049333333333</v>
      </c>
      <c r="S226" s="43" t="n">
        <v>3391.05</v>
      </c>
      <c r="T226" s="40" t="n">
        <f aca="false">S226/$P226</f>
        <v>0.22607</v>
      </c>
      <c r="U226" s="43" t="n">
        <v>6159.07</v>
      </c>
      <c r="V226" s="40" t="n">
        <f aca="false">U226/$P226</f>
        <v>0.410604666666667</v>
      </c>
      <c r="W226" s="43" t="n">
        <v>7505.5</v>
      </c>
      <c r="X226" s="41" t="n">
        <f aca="false">W226/$P226</f>
        <v>0.500366666666667</v>
      </c>
      <c r="Y226" s="39" t="n">
        <f aca="false">K226</f>
        <v>15000</v>
      </c>
      <c r="Z226" s="42" t="n">
        <f aca="false">Y226</f>
        <v>15000</v>
      </c>
    </row>
    <row r="227" customFormat="false" ht="12.8" hidden="false" customHeight="false" outlineLevel="0" collapsed="false">
      <c r="E227" s="37"/>
      <c r="F227" s="38" t="s">
        <v>187</v>
      </c>
      <c r="G227" s="39" t="n">
        <v>3457.06</v>
      </c>
      <c r="H227" s="39" t="n">
        <v>0</v>
      </c>
      <c r="I227" s="39" t="n">
        <v>3500</v>
      </c>
      <c r="J227" s="39" t="n">
        <v>0</v>
      </c>
      <c r="K227" s="39" t="n">
        <v>0</v>
      </c>
      <c r="L227" s="39"/>
      <c r="M227" s="39" t="n">
        <v>37</v>
      </c>
      <c r="N227" s="39"/>
      <c r="O227" s="39"/>
      <c r="P227" s="39" t="n">
        <f aca="false">SUM(K227:O227)</f>
        <v>37</v>
      </c>
      <c r="Q227" s="39" t="n">
        <v>0</v>
      </c>
      <c r="R227" s="40" t="n">
        <f aca="false">Q227/$P227</f>
        <v>0</v>
      </c>
      <c r="S227" s="39" t="n">
        <v>0</v>
      </c>
      <c r="T227" s="40" t="n">
        <f aca="false">S227/$P227</f>
        <v>0</v>
      </c>
      <c r="U227" s="39" t="n">
        <v>37.2</v>
      </c>
      <c r="V227" s="40" t="n">
        <f aca="false">U227/$P227</f>
        <v>1.00540540540541</v>
      </c>
      <c r="W227" s="39" t="n">
        <v>37.2</v>
      </c>
      <c r="X227" s="41" t="n">
        <f aca="false">W227/$P227</f>
        <v>1.00540540540541</v>
      </c>
      <c r="Y227" s="39" t="n">
        <f aca="false">K227</f>
        <v>0</v>
      </c>
      <c r="Z227" s="42" t="n">
        <f aca="false">Y227</f>
        <v>0</v>
      </c>
    </row>
    <row r="228" customFormat="false" ht="12.8" hidden="false" customHeight="false" outlineLevel="0" collapsed="false">
      <c r="E228" s="37"/>
      <c r="F228" s="1" t="s">
        <v>188</v>
      </c>
      <c r="G228" s="39" t="n">
        <v>1309.49</v>
      </c>
      <c r="H228" s="39" t="n">
        <v>672.28</v>
      </c>
      <c r="I228" s="39" t="n">
        <v>2500</v>
      </c>
      <c r="J228" s="39" t="n">
        <v>499.8</v>
      </c>
      <c r="K228" s="39" t="n">
        <v>2500</v>
      </c>
      <c r="L228" s="39" t="n">
        <v>-600</v>
      </c>
      <c r="M228" s="39"/>
      <c r="N228" s="39"/>
      <c r="O228" s="39"/>
      <c r="P228" s="39" t="n">
        <f aca="false">SUM(K228:O228)</f>
        <v>1900</v>
      </c>
      <c r="Q228" s="39" t="n">
        <v>259.79</v>
      </c>
      <c r="R228" s="40" t="n">
        <f aca="false">Q228/$P228</f>
        <v>0.136731578947368</v>
      </c>
      <c r="S228" s="39" t="n">
        <v>259.79</v>
      </c>
      <c r="T228" s="40" t="n">
        <f aca="false">S228/$P228</f>
        <v>0.136731578947368</v>
      </c>
      <c r="U228" s="39" t="n">
        <v>259.79</v>
      </c>
      <c r="V228" s="40" t="n">
        <f aca="false">U228/$P228</f>
        <v>0.136731578947368</v>
      </c>
      <c r="W228" s="39" t="n">
        <v>649.49</v>
      </c>
      <c r="X228" s="41" t="n">
        <f aca="false">W228/$P228</f>
        <v>0.341836842105263</v>
      </c>
      <c r="Y228" s="39" t="n">
        <f aca="false">K228</f>
        <v>2500</v>
      </c>
      <c r="Z228" s="42" t="n">
        <f aca="false">Y228</f>
        <v>2500</v>
      </c>
    </row>
    <row r="229" customFormat="false" ht="12.8" hidden="false" customHeight="false" outlineLevel="0" collapsed="false">
      <c r="E229" s="37"/>
      <c r="F229" s="1" t="s">
        <v>189</v>
      </c>
      <c r="G229" s="39" t="n">
        <v>0</v>
      </c>
      <c r="H229" s="39" t="n">
        <v>2160</v>
      </c>
      <c r="I229" s="39" t="n">
        <v>2160</v>
      </c>
      <c r="J229" s="39" t="n">
        <v>3120</v>
      </c>
      <c r="K229" s="39" t="n">
        <v>3120</v>
      </c>
      <c r="L229" s="39"/>
      <c r="M229" s="39"/>
      <c r="N229" s="39"/>
      <c r="O229" s="39"/>
      <c r="P229" s="39" t="n">
        <f aca="false">SUM(K229:O229)</f>
        <v>3120</v>
      </c>
      <c r="Q229" s="39" t="n">
        <v>540</v>
      </c>
      <c r="R229" s="40" t="n">
        <f aca="false">Q229/$P229</f>
        <v>0.173076923076923</v>
      </c>
      <c r="S229" s="39" t="n">
        <v>1080</v>
      </c>
      <c r="T229" s="40" t="n">
        <f aca="false">S229/$P229</f>
        <v>0.346153846153846</v>
      </c>
      <c r="U229" s="39" t="n">
        <v>1080</v>
      </c>
      <c r="V229" s="40" t="n">
        <f aca="false">U229/$P229</f>
        <v>0.346153846153846</v>
      </c>
      <c r="W229" s="39" t="n">
        <v>1980</v>
      </c>
      <c r="X229" s="41" t="n">
        <f aca="false">W229/$P229</f>
        <v>0.634615384615385</v>
      </c>
      <c r="Y229" s="39" t="n">
        <f aca="false">K229</f>
        <v>3120</v>
      </c>
      <c r="Z229" s="42" t="n">
        <f aca="false">Y229</f>
        <v>3120</v>
      </c>
    </row>
    <row r="230" customFormat="false" ht="12.8" hidden="false" customHeight="false" outlineLevel="0" collapsed="false">
      <c r="E230" s="37"/>
      <c r="F230" s="1" t="s">
        <v>190</v>
      </c>
      <c r="G230" s="39" t="n">
        <v>2439.01</v>
      </c>
      <c r="H230" s="39" t="n">
        <v>4683.78</v>
      </c>
      <c r="I230" s="39" t="n">
        <v>4700</v>
      </c>
      <c r="J230" s="39" t="n">
        <v>4312.08</v>
      </c>
      <c r="K230" s="39" t="n">
        <v>4300</v>
      </c>
      <c r="L230" s="39"/>
      <c r="M230" s="39"/>
      <c r="N230" s="39"/>
      <c r="O230" s="39"/>
      <c r="P230" s="39" t="n">
        <f aca="false">SUM(K230:O230)</f>
        <v>4300</v>
      </c>
      <c r="Q230" s="39" t="n">
        <v>946</v>
      </c>
      <c r="R230" s="40" t="n">
        <f aca="false">Q230/$P230</f>
        <v>0.22</v>
      </c>
      <c r="S230" s="39" t="n">
        <v>1892</v>
      </c>
      <c r="T230" s="40" t="n">
        <f aca="false">S230/$P230</f>
        <v>0.44</v>
      </c>
      <c r="U230" s="39" t="n">
        <v>2838</v>
      </c>
      <c r="V230" s="40" t="n">
        <f aca="false">U230/$P230</f>
        <v>0.66</v>
      </c>
      <c r="W230" s="39" t="n">
        <v>3781.11</v>
      </c>
      <c r="X230" s="41" t="n">
        <f aca="false">W230/$P230</f>
        <v>0.879327906976744</v>
      </c>
      <c r="Y230" s="39" t="n">
        <v>4300</v>
      </c>
      <c r="Z230" s="42" t="n">
        <v>4300</v>
      </c>
    </row>
    <row r="231" customFormat="false" ht="12.8" hidden="false" customHeight="false" outlineLevel="0" collapsed="false">
      <c r="E231" s="44"/>
      <c r="F231" s="57" t="s">
        <v>191</v>
      </c>
      <c r="G231" s="46"/>
      <c r="H231" s="46"/>
      <c r="I231" s="46"/>
      <c r="J231" s="46"/>
      <c r="K231" s="46" t="n">
        <v>5000</v>
      </c>
      <c r="L231" s="46"/>
      <c r="M231" s="46"/>
      <c r="N231" s="46"/>
      <c r="O231" s="46"/>
      <c r="P231" s="46" t="n">
        <f aca="false">SUM(K231:O231)</f>
        <v>5000</v>
      </c>
      <c r="Q231" s="46" t="n">
        <v>0</v>
      </c>
      <c r="R231" s="47" t="n">
        <f aca="false">Q231/$P231</f>
        <v>0</v>
      </c>
      <c r="S231" s="46" t="n">
        <v>0</v>
      </c>
      <c r="T231" s="47" t="n">
        <f aca="false">S231/$P231</f>
        <v>0</v>
      </c>
      <c r="U231" s="46" t="n">
        <v>0</v>
      </c>
      <c r="V231" s="47" t="n">
        <f aca="false">U231/$P231</f>
        <v>0</v>
      </c>
      <c r="W231" s="46" t="n">
        <v>0</v>
      </c>
      <c r="X231" s="48" t="n">
        <f aca="false">W231/$P231</f>
        <v>0</v>
      </c>
      <c r="Y231" s="46" t="n">
        <v>0</v>
      </c>
      <c r="Z231" s="49" t="n">
        <f aca="false">Y231</f>
        <v>0</v>
      </c>
    </row>
    <row r="233" customFormat="false" ht="12.8" hidden="false" customHeight="false" outlineLevel="0" collapsed="false">
      <c r="D233" s="51" t="s">
        <v>192</v>
      </c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customFormat="false" ht="12.8" hidden="false" customHeight="false" outlineLevel="0" collapsed="false">
      <c r="D234" s="5" t="s">
        <v>33</v>
      </c>
      <c r="E234" s="5" t="s">
        <v>34</v>
      </c>
      <c r="F234" s="5" t="s">
        <v>35</v>
      </c>
      <c r="G234" s="5" t="s">
        <v>1</v>
      </c>
      <c r="H234" s="5" t="s">
        <v>2</v>
      </c>
      <c r="I234" s="5" t="s">
        <v>3</v>
      </c>
      <c r="J234" s="5" t="s">
        <v>4</v>
      </c>
      <c r="K234" s="5" t="s">
        <v>5</v>
      </c>
      <c r="L234" s="5" t="s">
        <v>6</v>
      </c>
      <c r="M234" s="5" t="s">
        <v>7</v>
      </c>
      <c r="N234" s="5" t="s">
        <v>8</v>
      </c>
      <c r="O234" s="5" t="s">
        <v>9</v>
      </c>
      <c r="P234" s="5" t="s">
        <v>10</v>
      </c>
      <c r="Q234" s="5" t="s">
        <v>11</v>
      </c>
      <c r="R234" s="5" t="s">
        <v>12</v>
      </c>
      <c r="S234" s="5" t="s">
        <v>13</v>
      </c>
      <c r="T234" s="5" t="s">
        <v>14</v>
      </c>
      <c r="U234" s="5" t="s">
        <v>15</v>
      </c>
      <c r="V234" s="5" t="s">
        <v>16</v>
      </c>
      <c r="W234" s="5" t="s">
        <v>17</v>
      </c>
      <c r="X234" s="5" t="s">
        <v>18</v>
      </c>
      <c r="Y234" s="5" t="s">
        <v>19</v>
      </c>
      <c r="Z234" s="5" t="s">
        <v>20</v>
      </c>
    </row>
    <row r="235" customFormat="false" ht="12.8" hidden="false" customHeight="false" outlineLevel="0" collapsed="false">
      <c r="A235" s="1" t="n">
        <v>3</v>
      </c>
      <c r="B235" s="1" t="n">
        <v>2</v>
      </c>
      <c r="D235" s="69" t="s">
        <v>185</v>
      </c>
      <c r="E235" s="8" t="n">
        <v>640</v>
      </c>
      <c r="F235" s="8" t="s">
        <v>134</v>
      </c>
      <c r="G235" s="9" t="n">
        <v>216.1</v>
      </c>
      <c r="H235" s="9" t="n">
        <v>151.66</v>
      </c>
      <c r="I235" s="9" t="n">
        <v>200</v>
      </c>
      <c r="J235" s="9" t="n">
        <v>0</v>
      </c>
      <c r="K235" s="9" t="n">
        <v>200</v>
      </c>
      <c r="L235" s="9"/>
      <c r="M235" s="9"/>
      <c r="N235" s="9"/>
      <c r="O235" s="9"/>
      <c r="P235" s="9" t="n">
        <f aca="false">SUM(K235:O235)</f>
        <v>200</v>
      </c>
      <c r="Q235" s="9" t="n">
        <v>0</v>
      </c>
      <c r="R235" s="10" t="n">
        <f aca="false">Q235/$P235</f>
        <v>0</v>
      </c>
      <c r="S235" s="9" t="n">
        <v>0</v>
      </c>
      <c r="T235" s="10" t="n">
        <f aca="false">S235/$P235</f>
        <v>0</v>
      </c>
      <c r="U235" s="9" t="n">
        <v>0</v>
      </c>
      <c r="V235" s="10" t="n">
        <f aca="false">U235/$P235</f>
        <v>0</v>
      </c>
      <c r="W235" s="9" t="n">
        <v>0</v>
      </c>
      <c r="X235" s="10" t="n">
        <f aca="false">W235/$P235</f>
        <v>0</v>
      </c>
      <c r="Y235" s="9" t="n">
        <f aca="false">K235</f>
        <v>200</v>
      </c>
      <c r="Z235" s="9" t="n">
        <f aca="false">Y235</f>
        <v>200</v>
      </c>
    </row>
    <row r="236" customFormat="false" ht="12.8" hidden="false" customHeight="false" outlineLevel="0" collapsed="false">
      <c r="A236" s="1" t="n">
        <v>3</v>
      </c>
      <c r="B236" s="1" t="n">
        <v>2</v>
      </c>
      <c r="D236" s="55" t="s">
        <v>21</v>
      </c>
      <c r="E236" s="11" t="n">
        <v>41</v>
      </c>
      <c r="F236" s="11" t="s">
        <v>23</v>
      </c>
      <c r="G236" s="12" t="n">
        <f aca="false">SUM(G235:G235)</f>
        <v>216.1</v>
      </c>
      <c r="H236" s="12" t="n">
        <f aca="false">SUM(H235:H235)</f>
        <v>151.66</v>
      </c>
      <c r="I236" s="12" t="n">
        <f aca="false">SUM(I235:I235)</f>
        <v>200</v>
      </c>
      <c r="J236" s="12" t="n">
        <f aca="false">SUM(J235:J235)</f>
        <v>0</v>
      </c>
      <c r="K236" s="12" t="n">
        <f aca="false">SUM(K235:K235)</f>
        <v>200</v>
      </c>
      <c r="L236" s="12" t="n">
        <f aca="false">SUM(L235:L235)</f>
        <v>0</v>
      </c>
      <c r="M236" s="12" t="n">
        <f aca="false">SUM(M235:M235)</f>
        <v>0</v>
      </c>
      <c r="N236" s="12" t="n">
        <f aca="false">SUM(N235:N235)</f>
        <v>0</v>
      </c>
      <c r="O236" s="12" t="n">
        <f aca="false">SUM(O235:O235)</f>
        <v>0</v>
      </c>
      <c r="P236" s="12" t="n">
        <f aca="false">SUM(P235:P235)</f>
        <v>200</v>
      </c>
      <c r="Q236" s="12" t="n">
        <f aca="false">SUM(Q235:Q235)</f>
        <v>0</v>
      </c>
      <c r="R236" s="13" t="n">
        <f aca="false">Q236/$P236</f>
        <v>0</v>
      </c>
      <c r="S236" s="12" t="n">
        <f aca="false">SUM(S235:S235)</f>
        <v>0</v>
      </c>
      <c r="T236" s="13" t="n">
        <f aca="false">S236/$P236</f>
        <v>0</v>
      </c>
      <c r="U236" s="12" t="n">
        <f aca="false">SUM(U235:U235)</f>
        <v>0</v>
      </c>
      <c r="V236" s="13" t="n">
        <f aca="false">U236/$P236</f>
        <v>0</v>
      </c>
      <c r="W236" s="12" t="n">
        <f aca="false">SUM(W235:W235)</f>
        <v>0</v>
      </c>
      <c r="X236" s="13" t="n">
        <f aca="false">W236/$P236</f>
        <v>0</v>
      </c>
      <c r="Y236" s="12" t="n">
        <f aca="false">SUM(Y235:Y235)</f>
        <v>200</v>
      </c>
      <c r="Z236" s="12" t="n">
        <f aca="false">SUM(Z235:Z235)</f>
        <v>200</v>
      </c>
    </row>
    <row r="238" customFormat="false" ht="12.8" hidden="false" customHeight="false" outlineLevel="0" collapsed="false">
      <c r="D238" s="16" t="s">
        <v>193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customFormat="false" ht="12.8" hidden="false" customHeight="false" outlineLevel="0" collapsed="false">
      <c r="D239" s="4"/>
      <c r="E239" s="4"/>
      <c r="F239" s="4"/>
      <c r="G239" s="5" t="s">
        <v>1</v>
      </c>
      <c r="H239" s="5" t="s">
        <v>2</v>
      </c>
      <c r="I239" s="5" t="s">
        <v>3</v>
      </c>
      <c r="J239" s="5" t="s">
        <v>4</v>
      </c>
      <c r="K239" s="5" t="s">
        <v>5</v>
      </c>
      <c r="L239" s="5" t="s">
        <v>6</v>
      </c>
      <c r="M239" s="5" t="s">
        <v>7</v>
      </c>
      <c r="N239" s="5" t="s">
        <v>8</v>
      </c>
      <c r="O239" s="5" t="s">
        <v>9</v>
      </c>
      <c r="P239" s="5" t="s">
        <v>10</v>
      </c>
      <c r="Q239" s="5" t="s">
        <v>11</v>
      </c>
      <c r="R239" s="5" t="s">
        <v>12</v>
      </c>
      <c r="S239" s="5" t="s">
        <v>13</v>
      </c>
      <c r="T239" s="5" t="s">
        <v>14</v>
      </c>
      <c r="U239" s="5" t="s">
        <v>15</v>
      </c>
      <c r="V239" s="5" t="s">
        <v>16</v>
      </c>
      <c r="W239" s="5" t="s">
        <v>17</v>
      </c>
      <c r="X239" s="5" t="s">
        <v>18</v>
      </c>
      <c r="Y239" s="5" t="s">
        <v>19</v>
      </c>
      <c r="Z239" s="5" t="s">
        <v>20</v>
      </c>
    </row>
    <row r="240" customFormat="false" ht="12.8" hidden="false" customHeight="false" outlineLevel="0" collapsed="false">
      <c r="D240" s="88" t="s">
        <v>21</v>
      </c>
      <c r="E240" s="18" t="n">
        <v>111</v>
      </c>
      <c r="F240" s="18" t="s">
        <v>47</v>
      </c>
      <c r="G240" s="19" t="n">
        <f aca="false">G253</f>
        <v>0</v>
      </c>
      <c r="H240" s="19" t="n">
        <f aca="false">H253</f>
        <v>0</v>
      </c>
      <c r="I240" s="19" t="n">
        <f aca="false">I253</f>
        <v>137658</v>
      </c>
      <c r="J240" s="19" t="n">
        <f aca="false">J253</f>
        <v>0</v>
      </c>
      <c r="K240" s="19" t="n">
        <f aca="false">K253+K265</f>
        <v>137658</v>
      </c>
      <c r="L240" s="19" t="n">
        <f aca="false">L253+L265</f>
        <v>0</v>
      </c>
      <c r="M240" s="19" t="n">
        <f aca="false">M253+M265</f>
        <v>-137658</v>
      </c>
      <c r="N240" s="19" t="n">
        <f aca="false">N253+N265</f>
        <v>3094</v>
      </c>
      <c r="O240" s="19" t="n">
        <f aca="false">O253+O265</f>
        <v>0</v>
      </c>
      <c r="P240" s="19" t="n">
        <f aca="false">P253+P265</f>
        <v>3094</v>
      </c>
      <c r="Q240" s="19" t="n">
        <f aca="false">Q253+Q265</f>
        <v>0</v>
      </c>
      <c r="R240" s="20" t="n">
        <f aca="false">Q240/$P240</f>
        <v>0</v>
      </c>
      <c r="S240" s="19" t="n">
        <f aca="false">S253+S265</f>
        <v>0</v>
      </c>
      <c r="T240" s="20" t="n">
        <f aca="false">S240/$P240</f>
        <v>0</v>
      </c>
      <c r="U240" s="19" t="n">
        <f aca="false">U253+U265</f>
        <v>3093.96</v>
      </c>
      <c r="V240" s="20" t="n">
        <f aca="false">U240/$P240</f>
        <v>0.999987071751778</v>
      </c>
      <c r="W240" s="19" t="n">
        <f aca="false">W253+W265</f>
        <v>3093.96</v>
      </c>
      <c r="X240" s="20" t="n">
        <f aca="false">W240/$P240</f>
        <v>0.999987071751778</v>
      </c>
      <c r="Y240" s="19" t="n">
        <f aca="false">Y253</f>
        <v>0</v>
      </c>
      <c r="Z240" s="19" t="n">
        <f aca="false">Z253</f>
        <v>0</v>
      </c>
    </row>
    <row r="241" customFormat="false" ht="12.8" hidden="false" customHeight="false" outlineLevel="0" collapsed="false">
      <c r="A241" s="1" t="n">
        <v>4</v>
      </c>
      <c r="D241" s="88"/>
      <c r="E241" s="18" t="n">
        <v>41</v>
      </c>
      <c r="F241" s="18" t="s">
        <v>23</v>
      </c>
      <c r="G241" s="19" t="n">
        <f aca="false">G248+G256+G270+G283</f>
        <v>61481.63</v>
      </c>
      <c r="H241" s="19" t="n">
        <f aca="false">H248+H256+H270+H283</f>
        <v>56222.96</v>
      </c>
      <c r="I241" s="19" t="n">
        <f aca="false">I248+I256+I270+I283</f>
        <v>63995</v>
      </c>
      <c r="J241" s="19" t="n">
        <f aca="false">J248+J256+J270+J283</f>
        <v>61589.91</v>
      </c>
      <c r="K241" s="19" t="n">
        <f aca="false">K248+K256+K270+K283</f>
        <v>106279</v>
      </c>
      <c r="L241" s="19" t="n">
        <f aca="false">L248+L256+L270+L283</f>
        <v>2000</v>
      </c>
      <c r="M241" s="19" t="n">
        <f aca="false">M248+M256+M270+M283</f>
        <v>-2580</v>
      </c>
      <c r="N241" s="19" t="n">
        <f aca="false">N248+N256+N270+N283</f>
        <v>-1837</v>
      </c>
      <c r="O241" s="19" t="n">
        <f aca="false">O248+O256+O270+O283</f>
        <v>0</v>
      </c>
      <c r="P241" s="19" t="n">
        <f aca="false">P248+P256+P270+P283</f>
        <v>103862</v>
      </c>
      <c r="Q241" s="19" t="n">
        <f aca="false">Q248+Q256+Q270+Q283</f>
        <v>12697.66</v>
      </c>
      <c r="R241" s="20" t="n">
        <f aca="false">Q241/$P241</f>
        <v>0.122255107739115</v>
      </c>
      <c r="S241" s="19" t="n">
        <f aca="false">S248+S256+S270+S283</f>
        <v>39407.96</v>
      </c>
      <c r="T241" s="20" t="n">
        <f aca="false">S241/$P241</f>
        <v>0.379426161637558</v>
      </c>
      <c r="U241" s="19" t="n">
        <f aca="false">U248+U256+U270+U283</f>
        <v>62964.38</v>
      </c>
      <c r="V241" s="20" t="n">
        <f aca="false">U241/$P241</f>
        <v>0.606231152875932</v>
      </c>
      <c r="W241" s="19" t="n">
        <f aca="false">W248+W256+W270+W283</f>
        <v>87449.38</v>
      </c>
      <c r="X241" s="20" t="n">
        <f aca="false">W241/$P241</f>
        <v>0.841976661339085</v>
      </c>
      <c r="Y241" s="19" t="n">
        <f aca="false">Y248+Y256+Y270+Y283</f>
        <v>110557</v>
      </c>
      <c r="Z241" s="19" t="n">
        <f aca="false">Z248+Z256+Z270+Z283</f>
        <v>113792</v>
      </c>
    </row>
    <row r="242" customFormat="false" ht="12.8" hidden="false" customHeight="false" outlineLevel="0" collapsed="false">
      <c r="D242" s="88"/>
      <c r="E242" s="18" t="n">
        <v>72</v>
      </c>
      <c r="F242" s="18" t="s">
        <v>25</v>
      </c>
      <c r="G242" s="19" t="n">
        <f aca="false">G272</f>
        <v>0</v>
      </c>
      <c r="H242" s="19" t="n">
        <f aca="false">H272</f>
        <v>0</v>
      </c>
      <c r="I242" s="19" t="n">
        <f aca="false">I272</f>
        <v>0</v>
      </c>
      <c r="J242" s="19" t="n">
        <f aca="false">J272</f>
        <v>0</v>
      </c>
      <c r="K242" s="19" t="n">
        <f aca="false">K272</f>
        <v>0</v>
      </c>
      <c r="L242" s="19" t="n">
        <f aca="false">L272</f>
        <v>0</v>
      </c>
      <c r="M242" s="19" t="n">
        <f aca="false">M272</f>
        <v>0</v>
      </c>
      <c r="N242" s="19" t="n">
        <f aca="false">N272</f>
        <v>0</v>
      </c>
      <c r="O242" s="19" t="n">
        <f aca="false">O272</f>
        <v>160</v>
      </c>
      <c r="P242" s="19" t="n">
        <f aca="false">P272</f>
        <v>160</v>
      </c>
      <c r="Q242" s="19" t="n">
        <f aca="false">Q272</f>
        <v>0</v>
      </c>
      <c r="R242" s="20" t="n">
        <f aca="false">Q242/$P242</f>
        <v>0</v>
      </c>
      <c r="S242" s="19" t="n">
        <f aca="false">S272</f>
        <v>0</v>
      </c>
      <c r="T242" s="20" t="n">
        <f aca="false">S242/$P242</f>
        <v>0</v>
      </c>
      <c r="U242" s="19" t="n">
        <f aca="false">U272</f>
        <v>0</v>
      </c>
      <c r="V242" s="20" t="n">
        <f aca="false">U242/$P242</f>
        <v>0</v>
      </c>
      <c r="W242" s="19" t="n">
        <f aca="false">W272</f>
        <v>159.47</v>
      </c>
      <c r="X242" s="20" t="n">
        <f aca="false">W242/$P242</f>
        <v>0.9966875</v>
      </c>
      <c r="Y242" s="19" t="n">
        <f aca="false">Y272</f>
        <v>0</v>
      </c>
      <c r="Z242" s="19" t="n">
        <f aca="false">Z272</f>
        <v>0</v>
      </c>
    </row>
    <row r="243" customFormat="false" ht="12.8" hidden="false" customHeight="false" outlineLevel="0" collapsed="false">
      <c r="A243" s="1" t="n">
        <v>4</v>
      </c>
      <c r="D243" s="14"/>
      <c r="E243" s="15"/>
      <c r="F243" s="21" t="s">
        <v>126</v>
      </c>
      <c r="G243" s="22" t="n">
        <f aca="false">SUM(G240:G242)</f>
        <v>61481.63</v>
      </c>
      <c r="H243" s="22" t="n">
        <f aca="false">SUM(H240:H242)</f>
        <v>56222.96</v>
      </c>
      <c r="I243" s="22" t="n">
        <f aca="false">SUM(I240:I242)</f>
        <v>201653</v>
      </c>
      <c r="J243" s="22" t="n">
        <f aca="false">SUM(J240:J242)</f>
        <v>61589.91</v>
      </c>
      <c r="K243" s="22" t="n">
        <f aca="false">SUM(K240:K242)</f>
        <v>243937</v>
      </c>
      <c r="L243" s="22" t="n">
        <f aca="false">SUM(L240:L242)</f>
        <v>2000</v>
      </c>
      <c r="M243" s="22" t="n">
        <f aca="false">SUM(M240:M242)</f>
        <v>-140238</v>
      </c>
      <c r="N243" s="22" t="n">
        <f aca="false">SUM(N240:N242)</f>
        <v>1257</v>
      </c>
      <c r="O243" s="22" t="n">
        <f aca="false">SUM(O240:O242)</f>
        <v>160</v>
      </c>
      <c r="P243" s="22" t="n">
        <f aca="false">SUM(P240:P242)</f>
        <v>107116</v>
      </c>
      <c r="Q243" s="22" t="n">
        <f aca="false">SUM(Q240:Q242)</f>
        <v>12697.66</v>
      </c>
      <c r="R243" s="23" t="n">
        <f aca="false">Q243/$P243</f>
        <v>0.118541207662721</v>
      </c>
      <c r="S243" s="22" t="n">
        <f aca="false">SUM(S240:S242)</f>
        <v>39407.96</v>
      </c>
      <c r="T243" s="23" t="n">
        <f aca="false">S243/$P243</f>
        <v>0.367899846894955</v>
      </c>
      <c r="U243" s="22" t="n">
        <f aca="false">SUM(U240:U242)</f>
        <v>66058.34</v>
      </c>
      <c r="V243" s="23" t="n">
        <f aca="false">U243/$P243</f>
        <v>0.616699092572538</v>
      </c>
      <c r="W243" s="22" t="n">
        <f aca="false">SUM(W240:W242)</f>
        <v>90702.81</v>
      </c>
      <c r="X243" s="23" t="n">
        <f aca="false">W243/$P243</f>
        <v>0.846771817468912</v>
      </c>
      <c r="Y243" s="22" t="n">
        <f aca="false">SUM(Y240:Y242)</f>
        <v>110557</v>
      </c>
      <c r="Z243" s="22" t="n">
        <f aca="false">SUM(Z240:Z242)</f>
        <v>113792</v>
      </c>
    </row>
    <row r="245" customFormat="false" ht="12.8" hidden="false" customHeight="false" outlineLevel="0" collapsed="false">
      <c r="D245" s="51" t="s">
        <v>194</v>
      </c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customFormat="false" ht="12.8" hidden="false" customHeight="false" outlineLevel="0" collapsed="false">
      <c r="D246" s="5" t="s">
        <v>33</v>
      </c>
      <c r="E246" s="5" t="s">
        <v>34</v>
      </c>
      <c r="F246" s="5" t="s">
        <v>35</v>
      </c>
      <c r="G246" s="5" t="s">
        <v>1</v>
      </c>
      <c r="H246" s="5" t="s">
        <v>2</v>
      </c>
      <c r="I246" s="5" t="s">
        <v>3</v>
      </c>
      <c r="J246" s="5" t="s">
        <v>4</v>
      </c>
      <c r="K246" s="5" t="s">
        <v>5</v>
      </c>
      <c r="L246" s="5" t="s">
        <v>6</v>
      </c>
      <c r="M246" s="5" t="s">
        <v>7</v>
      </c>
      <c r="N246" s="5" t="s">
        <v>8</v>
      </c>
      <c r="O246" s="5" t="s">
        <v>9</v>
      </c>
      <c r="P246" s="5" t="s">
        <v>10</v>
      </c>
      <c r="Q246" s="5" t="s">
        <v>11</v>
      </c>
      <c r="R246" s="5" t="s">
        <v>12</v>
      </c>
      <c r="S246" s="5" t="s">
        <v>13</v>
      </c>
      <c r="T246" s="5" t="s">
        <v>14</v>
      </c>
      <c r="U246" s="5" t="s">
        <v>15</v>
      </c>
      <c r="V246" s="5" t="s">
        <v>16</v>
      </c>
      <c r="W246" s="5" t="s">
        <v>17</v>
      </c>
      <c r="X246" s="5" t="s">
        <v>18</v>
      </c>
      <c r="Y246" s="5" t="s">
        <v>19</v>
      </c>
      <c r="Z246" s="5" t="s">
        <v>20</v>
      </c>
    </row>
    <row r="247" customFormat="false" ht="12.8" hidden="false" customHeight="false" outlineLevel="0" collapsed="false">
      <c r="A247" s="1" t="n">
        <v>4</v>
      </c>
      <c r="B247" s="1" t="n">
        <v>1</v>
      </c>
      <c r="D247" s="69" t="s">
        <v>195</v>
      </c>
      <c r="E247" s="8" t="n">
        <v>630</v>
      </c>
      <c r="F247" s="8" t="s">
        <v>133</v>
      </c>
      <c r="G247" s="9" t="n">
        <v>56240.74</v>
      </c>
      <c r="H247" s="9" t="n">
        <v>55222.96</v>
      </c>
      <c r="I247" s="9" t="n">
        <v>54750</v>
      </c>
      <c r="J247" s="9" t="n">
        <v>58343.26</v>
      </c>
      <c r="K247" s="9" t="n">
        <v>58340</v>
      </c>
      <c r="L247" s="9"/>
      <c r="M247" s="9"/>
      <c r="N247" s="9" t="n">
        <v>-2000</v>
      </c>
      <c r="O247" s="9"/>
      <c r="P247" s="9" t="n">
        <f aca="false">SUM(K247:O247)</f>
        <v>56340</v>
      </c>
      <c r="Q247" s="9" t="n">
        <v>10728.84</v>
      </c>
      <c r="R247" s="10" t="n">
        <f aca="false">Q247/$P247</f>
        <v>0.190430244941427</v>
      </c>
      <c r="S247" s="9" t="n">
        <v>26876.2</v>
      </c>
      <c r="T247" s="10" t="n">
        <f aca="false">S247/$P247</f>
        <v>0.477035853745119</v>
      </c>
      <c r="U247" s="9" t="n">
        <v>36501.67</v>
      </c>
      <c r="V247" s="10" t="n">
        <f aca="false">U247/$P247</f>
        <v>0.647881966631168</v>
      </c>
      <c r="W247" s="9" t="n">
        <v>50247</v>
      </c>
      <c r="X247" s="10" t="n">
        <f aca="false">W247/$P247</f>
        <v>0.89185303514377</v>
      </c>
      <c r="Y247" s="9" t="n">
        <f aca="false">K247</f>
        <v>58340</v>
      </c>
      <c r="Z247" s="9" t="n">
        <f aca="false">Y247</f>
        <v>58340</v>
      </c>
    </row>
    <row r="248" customFormat="false" ht="12.8" hidden="false" customHeight="false" outlineLevel="0" collapsed="false">
      <c r="A248" s="1" t="n">
        <v>4</v>
      </c>
      <c r="B248" s="1" t="n">
        <v>1</v>
      </c>
      <c r="D248" s="55" t="s">
        <v>21</v>
      </c>
      <c r="E248" s="11" t="n">
        <v>41</v>
      </c>
      <c r="F248" s="11" t="s">
        <v>23</v>
      </c>
      <c r="G248" s="12" t="n">
        <f aca="false">SUM(G247:G247)</f>
        <v>56240.74</v>
      </c>
      <c r="H248" s="12" t="n">
        <f aca="false">SUM(H247:H247)</f>
        <v>55222.96</v>
      </c>
      <c r="I248" s="12" t="n">
        <f aca="false">SUM(I247:I247)</f>
        <v>54750</v>
      </c>
      <c r="J248" s="12" t="n">
        <f aca="false">SUM(J247:J247)</f>
        <v>58343.26</v>
      </c>
      <c r="K248" s="12" t="n">
        <f aca="false">SUM(K247:K247)</f>
        <v>58340</v>
      </c>
      <c r="L248" s="12" t="n">
        <f aca="false">SUM(L247:L247)</f>
        <v>0</v>
      </c>
      <c r="M248" s="12" t="n">
        <f aca="false">SUM(M247:M247)</f>
        <v>0</v>
      </c>
      <c r="N248" s="12" t="n">
        <f aca="false">SUM(N247:N247)</f>
        <v>-2000</v>
      </c>
      <c r="O248" s="12" t="n">
        <f aca="false">SUM(O247:O247)</f>
        <v>0</v>
      </c>
      <c r="P248" s="12" t="n">
        <f aca="false">SUM(P247:P247)</f>
        <v>56340</v>
      </c>
      <c r="Q248" s="12" t="n">
        <f aca="false">SUM(Q247:Q247)</f>
        <v>10728.84</v>
      </c>
      <c r="R248" s="13" t="n">
        <f aca="false">Q248/$P248</f>
        <v>0.190430244941427</v>
      </c>
      <c r="S248" s="12" t="n">
        <f aca="false">SUM(S247:S247)</f>
        <v>26876.2</v>
      </c>
      <c r="T248" s="13" t="n">
        <f aca="false">S248/$P248</f>
        <v>0.477035853745119</v>
      </c>
      <c r="U248" s="12" t="n">
        <f aca="false">SUM(U247:U247)</f>
        <v>36501.67</v>
      </c>
      <c r="V248" s="13" t="n">
        <f aca="false">U248/$P248</f>
        <v>0.647881966631168</v>
      </c>
      <c r="W248" s="12" t="n">
        <f aca="false">SUM(W247:W247)</f>
        <v>50247</v>
      </c>
      <c r="X248" s="13" t="n">
        <f aca="false">W248/$P248</f>
        <v>0.89185303514377</v>
      </c>
      <c r="Y248" s="12" t="n">
        <f aca="false">SUM(Y247:Y247)</f>
        <v>58340</v>
      </c>
      <c r="Z248" s="12" t="n">
        <f aca="false">SUM(Z247:Z247)</f>
        <v>58340</v>
      </c>
    </row>
    <row r="250" customFormat="false" ht="12.8" hidden="false" customHeight="false" outlineLevel="0" collapsed="false">
      <c r="D250" s="51" t="s">
        <v>196</v>
      </c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customFormat="false" ht="12.8" hidden="false" customHeight="false" outlineLevel="0" collapsed="false">
      <c r="D251" s="5" t="s">
        <v>33</v>
      </c>
      <c r="E251" s="5" t="s">
        <v>34</v>
      </c>
      <c r="F251" s="5" t="s">
        <v>35</v>
      </c>
      <c r="G251" s="5" t="s">
        <v>1</v>
      </c>
      <c r="H251" s="5" t="s">
        <v>2</v>
      </c>
      <c r="I251" s="5" t="s">
        <v>3</v>
      </c>
      <c r="J251" s="5" t="s">
        <v>4</v>
      </c>
      <c r="K251" s="5" t="s">
        <v>5</v>
      </c>
      <c r="L251" s="5" t="s">
        <v>6</v>
      </c>
      <c r="M251" s="5" t="s">
        <v>7</v>
      </c>
      <c r="N251" s="5" t="s">
        <v>8</v>
      </c>
      <c r="O251" s="5" t="s">
        <v>9</v>
      </c>
      <c r="P251" s="5" t="s">
        <v>10</v>
      </c>
      <c r="Q251" s="5" t="s">
        <v>11</v>
      </c>
      <c r="R251" s="5" t="s">
        <v>12</v>
      </c>
      <c r="S251" s="5" t="s">
        <v>13</v>
      </c>
      <c r="T251" s="5" t="s">
        <v>14</v>
      </c>
      <c r="U251" s="5" t="s">
        <v>15</v>
      </c>
      <c r="V251" s="5" t="s">
        <v>16</v>
      </c>
      <c r="W251" s="5" t="s">
        <v>17</v>
      </c>
      <c r="X251" s="5" t="s">
        <v>18</v>
      </c>
      <c r="Y251" s="5" t="s">
        <v>19</v>
      </c>
      <c r="Z251" s="5" t="s">
        <v>20</v>
      </c>
    </row>
    <row r="252" customFormat="false" ht="12.8" hidden="false" customHeight="false" outlineLevel="0" collapsed="false">
      <c r="D252" s="69" t="s">
        <v>195</v>
      </c>
      <c r="E252" s="8" t="n">
        <v>630</v>
      </c>
      <c r="F252" s="8" t="s">
        <v>133</v>
      </c>
      <c r="G252" s="9" t="n">
        <v>0</v>
      </c>
      <c r="H252" s="9" t="n">
        <v>0</v>
      </c>
      <c r="I252" s="9" t="n">
        <v>137658</v>
      </c>
      <c r="J252" s="9" t="n">
        <v>0</v>
      </c>
      <c r="K252" s="9" t="n">
        <v>137658</v>
      </c>
      <c r="L252" s="9"/>
      <c r="M252" s="9" t="n">
        <v>-137658</v>
      </c>
      <c r="N252" s="9"/>
      <c r="O252" s="9"/>
      <c r="P252" s="9" t="n">
        <f aca="false">SUM(K252:O252)</f>
        <v>0</v>
      </c>
      <c r="Q252" s="9" t="n">
        <v>0</v>
      </c>
      <c r="R252" s="10" t="e">
        <f aca="false">Q252/$P252</f>
        <v>#DIV/0!</v>
      </c>
      <c r="S252" s="9" t="n">
        <v>0</v>
      </c>
      <c r="T252" s="10" t="e">
        <f aca="false">S252/$P252</f>
        <v>#DIV/0!</v>
      </c>
      <c r="U252" s="9" t="n">
        <v>0</v>
      </c>
      <c r="V252" s="10" t="e">
        <f aca="false">U252/$P252</f>
        <v>#DIV/0!</v>
      </c>
      <c r="W252" s="9" t="n">
        <v>0</v>
      </c>
      <c r="X252" s="10" t="e">
        <f aca="false">W252/$P252</f>
        <v>#DIV/0!</v>
      </c>
      <c r="Y252" s="9" t="n">
        <v>0</v>
      </c>
      <c r="Z252" s="9" t="n">
        <f aca="false">Y252</f>
        <v>0</v>
      </c>
    </row>
    <row r="253" customFormat="false" ht="12.8" hidden="false" customHeight="false" outlineLevel="0" collapsed="false">
      <c r="D253" s="70" t="s">
        <v>21</v>
      </c>
      <c r="E253" s="29" t="n">
        <v>111</v>
      </c>
      <c r="F253" s="29" t="s">
        <v>136</v>
      </c>
      <c r="G253" s="30" t="n">
        <f aca="false">SUM(G252:G252)</f>
        <v>0</v>
      </c>
      <c r="H253" s="30" t="n">
        <f aca="false">SUM(H252:H252)</f>
        <v>0</v>
      </c>
      <c r="I253" s="30" t="n">
        <f aca="false">SUM(I252:I252)</f>
        <v>137658</v>
      </c>
      <c r="J253" s="30" t="n">
        <f aca="false">SUM(J252:J252)</f>
        <v>0</v>
      </c>
      <c r="K253" s="30" t="n">
        <f aca="false">SUM(K252:K252)</f>
        <v>137658</v>
      </c>
      <c r="L253" s="30" t="n">
        <f aca="false">SUM(L252:L252)</f>
        <v>0</v>
      </c>
      <c r="M253" s="30" t="n">
        <f aca="false">SUM(M252:M252)</f>
        <v>-137658</v>
      </c>
      <c r="N253" s="30" t="n">
        <f aca="false">SUM(N252:N252)</f>
        <v>0</v>
      </c>
      <c r="O253" s="30" t="n">
        <f aca="false">SUM(O252:O252)</f>
        <v>0</v>
      </c>
      <c r="P253" s="30" t="n">
        <f aca="false">SUM(P252:P252)</f>
        <v>0</v>
      </c>
      <c r="Q253" s="30" t="n">
        <f aca="false">SUM(Q252:Q252)</f>
        <v>0</v>
      </c>
      <c r="R253" s="71" t="e">
        <f aca="false">Q253/$P253</f>
        <v>#DIV/0!</v>
      </c>
      <c r="S253" s="30" t="n">
        <f aca="false">SUM(S252:S252)</f>
        <v>0</v>
      </c>
      <c r="T253" s="71" t="e">
        <f aca="false">S253/$P253</f>
        <v>#DIV/0!</v>
      </c>
      <c r="U253" s="30" t="n">
        <f aca="false">SUM(U252:U252)</f>
        <v>0</v>
      </c>
      <c r="V253" s="71" t="e">
        <f aca="false">U253/$P253</f>
        <v>#DIV/0!</v>
      </c>
      <c r="W253" s="30" t="n">
        <f aca="false">SUM(W252:W252)</f>
        <v>0</v>
      </c>
      <c r="X253" s="71" t="e">
        <f aca="false">W253/$P253</f>
        <v>#DIV/0!</v>
      </c>
      <c r="Y253" s="30" t="n">
        <f aca="false">SUM(Y252:Y252)</f>
        <v>0</v>
      </c>
      <c r="Z253" s="30" t="n">
        <f aca="false">SUM(Z252:Z252)</f>
        <v>0</v>
      </c>
    </row>
    <row r="254" customFormat="false" ht="12.8" hidden="false" customHeight="false" outlineLevel="0" collapsed="false">
      <c r="D254" s="31" t="s">
        <v>195</v>
      </c>
      <c r="E254" s="8" t="n">
        <v>620</v>
      </c>
      <c r="F254" s="8" t="s">
        <v>132</v>
      </c>
      <c r="G254" s="9"/>
      <c r="H254" s="9"/>
      <c r="I254" s="9"/>
      <c r="J254" s="9"/>
      <c r="K254" s="9" t="n">
        <v>0</v>
      </c>
      <c r="L254" s="9" t="n">
        <v>426</v>
      </c>
      <c r="M254" s="9" t="n">
        <v>665</v>
      </c>
      <c r="N254" s="9"/>
      <c r="O254" s="9" t="n">
        <v>51</v>
      </c>
      <c r="P254" s="9" t="n">
        <f aca="false">SUM(K254:O254)</f>
        <v>1142</v>
      </c>
      <c r="Q254" s="9" t="n">
        <v>237.68</v>
      </c>
      <c r="R254" s="10" t="n">
        <f aca="false">Q254/$P254</f>
        <v>0.208126094570928</v>
      </c>
      <c r="S254" s="9" t="n">
        <v>925.8</v>
      </c>
      <c r="T254" s="10" t="n">
        <f aca="false">S254/$P254</f>
        <v>0.810683012259194</v>
      </c>
      <c r="U254" s="9" t="n">
        <v>1142.07</v>
      </c>
      <c r="V254" s="10" t="n">
        <f aca="false">U254/$P254</f>
        <v>1.00006129597198</v>
      </c>
      <c r="W254" s="9" t="n">
        <v>1142.07</v>
      </c>
      <c r="X254" s="10" t="n">
        <f aca="false">W254/$P254</f>
        <v>1.00006129597198</v>
      </c>
      <c r="Y254" s="9" t="n">
        <v>0</v>
      </c>
      <c r="Z254" s="9" t="n">
        <v>0</v>
      </c>
    </row>
    <row r="255" customFormat="false" ht="12.8" hidden="false" customHeight="false" outlineLevel="0" collapsed="false">
      <c r="A255" s="1" t="n">
        <v>4</v>
      </c>
      <c r="B255" s="1" t="n">
        <v>2</v>
      </c>
      <c r="D255" s="31" t="s">
        <v>195</v>
      </c>
      <c r="E255" s="8" t="n">
        <v>630</v>
      </c>
      <c r="F255" s="8" t="s">
        <v>133</v>
      </c>
      <c r="G255" s="9" t="n">
        <v>5240.89</v>
      </c>
      <c r="H255" s="9" t="n">
        <v>1000</v>
      </c>
      <c r="I255" s="9" t="n">
        <v>7245</v>
      </c>
      <c r="J255" s="9" t="n">
        <v>0</v>
      </c>
      <c r="K255" s="9" t="n">
        <f aca="false">7245</f>
        <v>7245</v>
      </c>
      <c r="L255" s="9" t="n">
        <v>1574</v>
      </c>
      <c r="M255" s="9" t="n">
        <f aca="false">-7245+2000+2000</f>
        <v>-3245</v>
      </c>
      <c r="N255" s="9"/>
      <c r="O255" s="9" t="n">
        <v>-51</v>
      </c>
      <c r="P255" s="9" t="n">
        <f aca="false">SUM(K255:O255)</f>
        <v>5523</v>
      </c>
      <c r="Q255" s="9" t="n">
        <v>1067.12</v>
      </c>
      <c r="R255" s="10" t="n">
        <f aca="false">Q255/$P255</f>
        <v>0.193213833061742</v>
      </c>
      <c r="S255" s="9" t="n">
        <v>3176.12</v>
      </c>
      <c r="T255" s="10" t="n">
        <f aca="false">S255/$P255</f>
        <v>0.575071519101937</v>
      </c>
      <c r="U255" s="9" t="n">
        <v>4302.96</v>
      </c>
      <c r="V255" s="10" t="n">
        <f aca="false">U255/$P255</f>
        <v>0.779098316132537</v>
      </c>
      <c r="W255" s="9" t="n">
        <v>4302.96</v>
      </c>
      <c r="X255" s="10" t="n">
        <f aca="false">W255/$P255</f>
        <v>0.779098316132537</v>
      </c>
      <c r="Y255" s="9" t="n">
        <v>1000</v>
      </c>
      <c r="Z255" s="9" t="n">
        <f aca="false">Y255</f>
        <v>1000</v>
      </c>
    </row>
    <row r="256" customFormat="false" ht="12.8" hidden="false" customHeight="false" outlineLevel="0" collapsed="false">
      <c r="A256" s="1" t="n">
        <v>4</v>
      </c>
      <c r="B256" s="1" t="n">
        <v>2</v>
      </c>
      <c r="D256" s="70" t="s">
        <v>21</v>
      </c>
      <c r="E256" s="29" t="n">
        <v>41</v>
      </c>
      <c r="F256" s="29" t="s">
        <v>23</v>
      </c>
      <c r="G256" s="30" t="n">
        <f aca="false">SUM(G255:G255)</f>
        <v>5240.89</v>
      </c>
      <c r="H256" s="30" t="n">
        <f aca="false">SUM(H255:H255)</f>
        <v>1000</v>
      </c>
      <c r="I256" s="30" t="n">
        <f aca="false">SUM(I255:I255)</f>
        <v>7245</v>
      </c>
      <c r="J256" s="30" t="n">
        <f aca="false">SUM(J255:J255)</f>
        <v>0</v>
      </c>
      <c r="K256" s="30" t="n">
        <f aca="false">SUM(K254:K255)</f>
        <v>7245</v>
      </c>
      <c r="L256" s="30" t="n">
        <f aca="false">SUM(L254:L255)</f>
        <v>2000</v>
      </c>
      <c r="M256" s="30" t="n">
        <f aca="false">SUM(M254:M255)</f>
        <v>-2580</v>
      </c>
      <c r="N256" s="30" t="n">
        <f aca="false">SUM(N254:N255)</f>
        <v>0</v>
      </c>
      <c r="O256" s="30" t="n">
        <f aca="false">SUM(O254:O255)</f>
        <v>0</v>
      </c>
      <c r="P256" s="30" t="n">
        <f aca="false">SUM(P254:P255)</f>
        <v>6665</v>
      </c>
      <c r="Q256" s="30" t="n">
        <f aca="false">SUM(Q254:Q255)</f>
        <v>1304.8</v>
      </c>
      <c r="R256" s="71" t="n">
        <f aca="false">Q256/$P256</f>
        <v>0.195768942235559</v>
      </c>
      <c r="S256" s="30" t="n">
        <f aca="false">SUM(S254:S255)</f>
        <v>4101.92</v>
      </c>
      <c r="T256" s="71" t="n">
        <f aca="false">S256/$P256</f>
        <v>0.615441860465116</v>
      </c>
      <c r="U256" s="30" t="n">
        <f aca="false">SUM(U254:U255)</f>
        <v>5445.03</v>
      </c>
      <c r="V256" s="71" t="n">
        <f aca="false">U256/$P256</f>
        <v>0.816958739684921</v>
      </c>
      <c r="W256" s="30" t="n">
        <f aca="false">SUM(W254:W255)</f>
        <v>5445.03</v>
      </c>
      <c r="X256" s="71" t="n">
        <f aca="false">W256/$P256</f>
        <v>0.816958739684921</v>
      </c>
      <c r="Y256" s="30" t="n">
        <f aca="false">SUM(Y255:Y255)</f>
        <v>1000</v>
      </c>
      <c r="Z256" s="30" t="n">
        <f aca="false">SUM(Z255:Z255)</f>
        <v>1000</v>
      </c>
    </row>
    <row r="257" customFormat="false" ht="12.8" hidden="false" customHeight="false" outlineLevel="0" collapsed="false">
      <c r="D257" s="73"/>
      <c r="E257" s="74"/>
      <c r="F257" s="11" t="s">
        <v>126</v>
      </c>
      <c r="G257" s="12" t="n">
        <f aca="false">G253+G256</f>
        <v>5240.89</v>
      </c>
      <c r="H257" s="12" t="n">
        <f aca="false">H253+H256</f>
        <v>1000</v>
      </c>
      <c r="I257" s="12" t="n">
        <f aca="false">I253+I256</f>
        <v>144903</v>
      </c>
      <c r="J257" s="12" t="n">
        <f aca="false">J253+J256</f>
        <v>0</v>
      </c>
      <c r="K257" s="12" t="n">
        <f aca="false">K253+K256</f>
        <v>144903</v>
      </c>
      <c r="L257" s="12" t="n">
        <f aca="false">L253+L256</f>
        <v>2000</v>
      </c>
      <c r="M257" s="12" t="n">
        <f aca="false">M253+M256</f>
        <v>-140238</v>
      </c>
      <c r="N257" s="12" t="n">
        <f aca="false">N253+N256</f>
        <v>0</v>
      </c>
      <c r="O257" s="12" t="n">
        <f aca="false">O253+O256</f>
        <v>0</v>
      </c>
      <c r="P257" s="12" t="n">
        <f aca="false">P253+P256</f>
        <v>6665</v>
      </c>
      <c r="Q257" s="12" t="n">
        <f aca="false">Q253+Q256</f>
        <v>1304.8</v>
      </c>
      <c r="R257" s="13" t="n">
        <f aca="false">Q257/$P257</f>
        <v>0.195768942235559</v>
      </c>
      <c r="S257" s="12" t="n">
        <f aca="false">S253+S256</f>
        <v>4101.92</v>
      </c>
      <c r="T257" s="13" t="n">
        <f aca="false">S257/$P257</f>
        <v>0.615441860465116</v>
      </c>
      <c r="U257" s="12" t="n">
        <f aca="false">U253+U256</f>
        <v>5445.03</v>
      </c>
      <c r="V257" s="13" t="n">
        <f aca="false">U257/$P257</f>
        <v>0.816958739684921</v>
      </c>
      <c r="W257" s="12" t="n">
        <f aca="false">W253+W256</f>
        <v>5445.03</v>
      </c>
      <c r="X257" s="13" t="n">
        <f aca="false">W257/$P257</f>
        <v>0.816958739684921</v>
      </c>
      <c r="Y257" s="12" t="n">
        <f aca="false">Y253+Y256</f>
        <v>1000</v>
      </c>
      <c r="Z257" s="12" t="n">
        <f aca="false">Z253+Z256</f>
        <v>1000</v>
      </c>
    </row>
    <row r="259" customFormat="false" ht="12.8" hidden="false" customHeight="false" outlineLevel="0" collapsed="false">
      <c r="E259" s="32" t="s">
        <v>57</v>
      </c>
      <c r="F259" s="14" t="s">
        <v>197</v>
      </c>
      <c r="G259" s="33"/>
      <c r="H259" s="33"/>
      <c r="I259" s="33" t="n">
        <v>144903</v>
      </c>
      <c r="J259" s="33" t="n">
        <v>0</v>
      </c>
      <c r="K259" s="89" t="n">
        <v>144688</v>
      </c>
      <c r="L259" s="89"/>
      <c r="M259" s="89" t="n">
        <v>-144688</v>
      </c>
      <c r="N259" s="89"/>
      <c r="O259" s="89"/>
      <c r="P259" s="89" t="n">
        <f aca="false">SUM(K259:O259)</f>
        <v>0</v>
      </c>
      <c r="Q259" s="89" t="n">
        <v>0</v>
      </c>
      <c r="R259" s="34" t="e">
        <f aca="false">Q259/$P259</f>
        <v>#DIV/0!</v>
      </c>
      <c r="S259" s="89" t="n">
        <v>0</v>
      </c>
      <c r="T259" s="34" t="e">
        <f aca="false">S259/$P259</f>
        <v>#DIV/0!</v>
      </c>
      <c r="U259" s="89" t="n">
        <v>0</v>
      </c>
      <c r="V259" s="34" t="e">
        <f aca="false">U259/$P259</f>
        <v>#DIV/0!</v>
      </c>
      <c r="W259" s="89" t="n">
        <v>0</v>
      </c>
      <c r="X259" s="35" t="e">
        <f aca="false">W259/$P259</f>
        <v>#DIV/0!</v>
      </c>
      <c r="Y259" s="33"/>
      <c r="Z259" s="36"/>
    </row>
    <row r="260" customFormat="false" ht="12.8" hidden="false" customHeight="false" outlineLevel="0" collapsed="false">
      <c r="E260" s="44"/>
      <c r="F260" s="57" t="s">
        <v>198</v>
      </c>
      <c r="G260" s="46" t="n">
        <v>5240.89</v>
      </c>
      <c r="H260" s="46"/>
      <c r="I260" s="46"/>
      <c r="J260" s="46"/>
      <c r="K260" s="46"/>
      <c r="L260" s="46"/>
      <c r="M260" s="46"/>
      <c r="N260" s="46"/>
      <c r="O260" s="46"/>
      <c r="P260" s="46" t="n">
        <f aca="false">SUM(K260:O260)</f>
        <v>0</v>
      </c>
      <c r="Q260" s="46" t="n">
        <v>0</v>
      </c>
      <c r="R260" s="47" t="e">
        <f aca="false">Q260/$P260</f>
        <v>#DIV/0!</v>
      </c>
      <c r="S260" s="46" t="n">
        <v>0</v>
      </c>
      <c r="T260" s="47" t="e">
        <f aca="false">S260/$P260</f>
        <v>#DIV/0!</v>
      </c>
      <c r="U260" s="46" t="n">
        <v>0</v>
      </c>
      <c r="V260" s="47" t="e">
        <f aca="false">U260/$P260</f>
        <v>#DIV/0!</v>
      </c>
      <c r="W260" s="46" t="n">
        <v>0</v>
      </c>
      <c r="X260" s="48" t="e">
        <f aca="false">W260/$P260</f>
        <v>#DIV/0!</v>
      </c>
      <c r="Y260" s="46"/>
      <c r="Z260" s="49"/>
    </row>
    <row r="262" customFormat="false" ht="12.8" hidden="false" customHeight="false" outlineLevel="0" collapsed="false">
      <c r="D262" s="51" t="s">
        <v>199</v>
      </c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customFormat="false" ht="12.8" hidden="false" customHeight="false" outlineLevel="0" collapsed="false">
      <c r="D263" s="5" t="s">
        <v>33</v>
      </c>
      <c r="E263" s="5" t="s">
        <v>34</v>
      </c>
      <c r="F263" s="5" t="s">
        <v>35</v>
      </c>
      <c r="G263" s="5" t="s">
        <v>1</v>
      </c>
      <c r="H263" s="5" t="s">
        <v>2</v>
      </c>
      <c r="I263" s="5" t="s">
        <v>3</v>
      </c>
      <c r="J263" s="5" t="s">
        <v>4</v>
      </c>
      <c r="K263" s="5" t="s">
        <v>5</v>
      </c>
      <c r="L263" s="5" t="s">
        <v>6</v>
      </c>
      <c r="M263" s="5" t="s">
        <v>7</v>
      </c>
      <c r="N263" s="5" t="s">
        <v>8</v>
      </c>
      <c r="O263" s="5" t="s">
        <v>9</v>
      </c>
      <c r="P263" s="5" t="s">
        <v>10</v>
      </c>
      <c r="Q263" s="5" t="s">
        <v>11</v>
      </c>
      <c r="R263" s="5" t="s">
        <v>12</v>
      </c>
      <c r="S263" s="5" t="s">
        <v>13</v>
      </c>
      <c r="T263" s="5" t="s">
        <v>14</v>
      </c>
      <c r="U263" s="5" t="s">
        <v>15</v>
      </c>
      <c r="V263" s="5" t="s">
        <v>16</v>
      </c>
      <c r="W263" s="5" t="s">
        <v>17</v>
      </c>
      <c r="X263" s="5" t="s">
        <v>18</v>
      </c>
      <c r="Y263" s="5" t="s">
        <v>19</v>
      </c>
      <c r="Z263" s="5" t="s">
        <v>20</v>
      </c>
    </row>
    <row r="264" customFormat="false" ht="12.8" hidden="false" customHeight="false" outlineLevel="0" collapsed="false">
      <c r="D264" s="69" t="s">
        <v>195</v>
      </c>
      <c r="E264" s="8" t="n">
        <v>630</v>
      </c>
      <c r="F264" s="8" t="s">
        <v>133</v>
      </c>
      <c r="G264" s="9" t="n">
        <v>0</v>
      </c>
      <c r="H264" s="9" t="n">
        <v>0</v>
      </c>
      <c r="I264" s="9" t="n">
        <v>137658</v>
      </c>
      <c r="J264" s="9" t="n">
        <v>0</v>
      </c>
      <c r="K264" s="9" t="n">
        <v>0</v>
      </c>
      <c r="L264" s="9"/>
      <c r="M264" s="9"/>
      <c r="N264" s="9" t="n">
        <v>3094</v>
      </c>
      <c r="O264" s="9"/>
      <c r="P264" s="9" t="n">
        <f aca="false">SUM(K264:O264)</f>
        <v>3094</v>
      </c>
      <c r="Q264" s="9" t="n">
        <v>0</v>
      </c>
      <c r="R264" s="10" t="n">
        <f aca="false">Q264/$P264</f>
        <v>0</v>
      </c>
      <c r="S264" s="9" t="n">
        <v>0</v>
      </c>
      <c r="T264" s="10" t="n">
        <f aca="false">S264/$P264</f>
        <v>0</v>
      </c>
      <c r="U264" s="9" t="n">
        <v>3093.96</v>
      </c>
      <c r="V264" s="10" t="n">
        <f aca="false">U264/$P264</f>
        <v>0.999987071751778</v>
      </c>
      <c r="W264" s="9" t="n">
        <v>3093.96</v>
      </c>
      <c r="X264" s="10" t="n">
        <f aca="false">W264/$P264</f>
        <v>0.999987071751778</v>
      </c>
      <c r="Y264" s="9" t="n">
        <v>0</v>
      </c>
      <c r="Z264" s="9" t="n">
        <f aca="false">Y264</f>
        <v>0</v>
      </c>
    </row>
    <row r="265" customFormat="false" ht="12.8" hidden="false" customHeight="false" outlineLevel="0" collapsed="false">
      <c r="D265" s="70" t="s">
        <v>21</v>
      </c>
      <c r="E265" s="29" t="n">
        <v>111</v>
      </c>
      <c r="F265" s="29" t="s">
        <v>136</v>
      </c>
      <c r="G265" s="30" t="n">
        <f aca="false">SUM(G264:G264)</f>
        <v>0</v>
      </c>
      <c r="H265" s="30" t="n">
        <f aca="false">SUM(H264:H264)</f>
        <v>0</v>
      </c>
      <c r="I265" s="30" t="n">
        <f aca="false">SUM(I264:I264)</f>
        <v>137658</v>
      </c>
      <c r="J265" s="30" t="n">
        <f aca="false">SUM(J264:J264)</f>
        <v>0</v>
      </c>
      <c r="K265" s="30" t="n">
        <f aca="false">SUM(K264:K264)</f>
        <v>0</v>
      </c>
      <c r="L265" s="30" t="n">
        <f aca="false">SUM(L264:L264)</f>
        <v>0</v>
      </c>
      <c r="M265" s="30" t="n">
        <f aca="false">SUM(M264:M264)</f>
        <v>0</v>
      </c>
      <c r="N265" s="30" t="n">
        <f aca="false">SUM(N264:N264)</f>
        <v>3094</v>
      </c>
      <c r="O265" s="30" t="n">
        <f aca="false">SUM(O264:O264)</f>
        <v>0</v>
      </c>
      <c r="P265" s="30" t="n">
        <f aca="false">SUM(P264:P264)</f>
        <v>3094</v>
      </c>
      <c r="Q265" s="30" t="n">
        <f aca="false">SUM(Q264:Q264)</f>
        <v>0</v>
      </c>
      <c r="R265" s="71" t="n">
        <f aca="false">Q265/$P265</f>
        <v>0</v>
      </c>
      <c r="S265" s="30" t="n">
        <f aca="false">SUM(S264:S264)</f>
        <v>0</v>
      </c>
      <c r="T265" s="71" t="n">
        <f aca="false">S265/$P265</f>
        <v>0</v>
      </c>
      <c r="U265" s="30" t="n">
        <f aca="false">SUM(U264:U264)</f>
        <v>3093.96</v>
      </c>
      <c r="V265" s="71" t="n">
        <f aca="false">U265/$P265</f>
        <v>0.999987071751778</v>
      </c>
      <c r="W265" s="30" t="n">
        <f aca="false">SUM(W264:W264)</f>
        <v>3093.96</v>
      </c>
      <c r="X265" s="71" t="n">
        <f aca="false">W265/$P265</f>
        <v>0.999987071751778</v>
      </c>
      <c r="Y265" s="30" t="n">
        <f aca="false">SUM(Y264:Y264)</f>
        <v>0</v>
      </c>
      <c r="Z265" s="30" t="n">
        <f aca="false">SUM(Z264:Z264)</f>
        <v>0</v>
      </c>
    </row>
    <row r="266" customFormat="false" ht="12.8" hidden="false" customHeight="false" outlineLevel="0" collapsed="false">
      <c r="D266" s="31" t="s">
        <v>195</v>
      </c>
      <c r="E266" s="8" t="n">
        <v>610</v>
      </c>
      <c r="F266" s="8" t="s">
        <v>131</v>
      </c>
      <c r="G266" s="9" t="n">
        <v>0</v>
      </c>
      <c r="H266" s="9" t="n">
        <v>0</v>
      </c>
      <c r="I266" s="9" t="n">
        <v>0</v>
      </c>
      <c r="J266" s="9" t="n">
        <v>0</v>
      </c>
      <c r="K266" s="9" t="n">
        <v>17031</v>
      </c>
      <c r="L266" s="9"/>
      <c r="M266" s="9"/>
      <c r="N266" s="9"/>
      <c r="O266" s="9" t="n">
        <v>-85</v>
      </c>
      <c r="P266" s="9" t="n">
        <f aca="false">SUM(K266:O266)</f>
        <v>16946</v>
      </c>
      <c r="Q266" s="9" t="n">
        <v>0</v>
      </c>
      <c r="R266" s="10" t="n">
        <f aca="false">Q266/$P266</f>
        <v>0</v>
      </c>
      <c r="S266" s="9" t="n">
        <v>3125</v>
      </c>
      <c r="T266" s="10" t="n">
        <f aca="false">S266/$P266</f>
        <v>0.184409300129824</v>
      </c>
      <c r="U266" s="9" t="n">
        <v>7812.5</v>
      </c>
      <c r="V266" s="10" t="n">
        <f aca="false">U266/$P266</f>
        <v>0.46102325032456</v>
      </c>
      <c r="W266" s="9" t="n">
        <v>11928.29</v>
      </c>
      <c r="X266" s="10" t="n">
        <f aca="false">W266/$P266</f>
        <v>0.703900035406586</v>
      </c>
      <c r="Y266" s="9" t="n">
        <v>24456</v>
      </c>
      <c r="Z266" s="9" t="n">
        <v>26802</v>
      </c>
    </row>
    <row r="267" customFormat="false" ht="12.8" hidden="false" customHeight="false" outlineLevel="0" collapsed="false">
      <c r="D267" s="31"/>
      <c r="E267" s="8" t="n">
        <v>620</v>
      </c>
      <c r="F267" s="8" t="s">
        <v>132</v>
      </c>
      <c r="G267" s="9" t="n">
        <v>0</v>
      </c>
      <c r="H267" s="9" t="n">
        <v>0</v>
      </c>
      <c r="I267" s="9" t="n">
        <v>0</v>
      </c>
      <c r="J267" s="9" t="n">
        <v>0</v>
      </c>
      <c r="K267" s="9" t="n">
        <v>6292</v>
      </c>
      <c r="L267" s="9"/>
      <c r="M267" s="9"/>
      <c r="N267" s="9"/>
      <c r="O267" s="9"/>
      <c r="P267" s="9" t="n">
        <f aca="false">SUM(K267:O267)</f>
        <v>6292</v>
      </c>
      <c r="Q267" s="9" t="n">
        <v>0</v>
      </c>
      <c r="R267" s="10" t="n">
        <f aca="false">Q267/$P267</f>
        <v>0</v>
      </c>
      <c r="S267" s="9" t="n">
        <v>1092.14</v>
      </c>
      <c r="T267" s="10" t="n">
        <f aca="false">S267/$P267</f>
        <v>0.17357596948506</v>
      </c>
      <c r="U267" s="9" t="n">
        <v>2730.35</v>
      </c>
      <c r="V267" s="10" t="n">
        <f aca="false">U267/$P267</f>
        <v>0.433939923712651</v>
      </c>
      <c r="W267" s="9" t="n">
        <v>4168.77</v>
      </c>
      <c r="X267" s="10" t="n">
        <f aca="false">W267/$P267</f>
        <v>0.662550858232676</v>
      </c>
      <c r="Y267" s="9" t="n">
        <v>9038</v>
      </c>
      <c r="Z267" s="9" t="n">
        <v>9902</v>
      </c>
    </row>
    <row r="268" customFormat="false" ht="12.8" hidden="false" customHeight="false" outlineLevel="0" collapsed="false">
      <c r="A268" s="1" t="n">
        <v>4</v>
      </c>
      <c r="B268" s="1" t="n">
        <v>3</v>
      </c>
      <c r="D268" s="31"/>
      <c r="E268" s="8" t="n">
        <v>630</v>
      </c>
      <c r="F268" s="8" t="s">
        <v>133</v>
      </c>
      <c r="G268" s="9" t="n">
        <v>0</v>
      </c>
      <c r="H268" s="9" t="n">
        <v>0</v>
      </c>
      <c r="I268" s="9" t="n">
        <v>1000</v>
      </c>
      <c r="J268" s="9" t="n">
        <v>3225.65</v>
      </c>
      <c r="K268" s="9" t="n">
        <f aca="false">1508+14863</f>
        <v>16371</v>
      </c>
      <c r="L268" s="9"/>
      <c r="M268" s="9"/>
      <c r="N268" s="9" t="n">
        <f aca="false">3257-N264</f>
        <v>163</v>
      </c>
      <c r="O268" s="9"/>
      <c r="P268" s="9" t="n">
        <f aca="false">SUM(K268:O268)</f>
        <v>16534</v>
      </c>
      <c r="Q268" s="9" t="n">
        <v>664.02</v>
      </c>
      <c r="R268" s="10" t="n">
        <f aca="false">Q268/$P268</f>
        <v>0.0401608806096528</v>
      </c>
      <c r="S268" s="9" t="n">
        <v>4212.7</v>
      </c>
      <c r="T268" s="10" t="n">
        <f aca="false">S268/$P268</f>
        <v>0.254790129430265</v>
      </c>
      <c r="U268" s="9" t="n">
        <f aca="false">13568.79-U264</f>
        <v>10474.83</v>
      </c>
      <c r="V268" s="10" t="n">
        <f aca="false">U268/$P268</f>
        <v>0.63353272045482</v>
      </c>
      <c r="W268" s="9" t="n">
        <f aca="false">18669.68-W264</f>
        <v>15575.72</v>
      </c>
      <c r="X268" s="10" t="n">
        <f aca="false">W268/$P268</f>
        <v>0.942041853151083</v>
      </c>
      <c r="Y268" s="9" t="n">
        <f aca="false">1860+14863</f>
        <v>16723</v>
      </c>
      <c r="Z268" s="9" t="n">
        <f aca="false">1885+14863</f>
        <v>16748</v>
      </c>
    </row>
    <row r="269" customFormat="false" ht="12.8" hidden="false" customHeight="false" outlineLevel="0" collapsed="false">
      <c r="D269" s="31"/>
      <c r="E269" s="8" t="n">
        <v>640</v>
      </c>
      <c r="F269" s="8" t="s">
        <v>134</v>
      </c>
      <c r="G269" s="9" t="n">
        <v>0</v>
      </c>
      <c r="H269" s="9" t="n">
        <v>0</v>
      </c>
      <c r="I269" s="9" t="n">
        <v>0</v>
      </c>
      <c r="J269" s="9" t="n">
        <v>0</v>
      </c>
      <c r="K269" s="9" t="n">
        <v>0</v>
      </c>
      <c r="L269" s="9"/>
      <c r="M269" s="9"/>
      <c r="N269" s="9"/>
      <c r="O269" s="9" t="n">
        <v>85</v>
      </c>
      <c r="P269" s="9" t="n">
        <f aca="false">SUM(K269:O269)</f>
        <v>85</v>
      </c>
      <c r="Q269" s="9" t="n">
        <v>0</v>
      </c>
      <c r="R269" s="10" t="n">
        <f aca="false">Q269/$P269</f>
        <v>0</v>
      </c>
      <c r="S269" s="9" t="n">
        <v>0</v>
      </c>
      <c r="T269" s="10" t="n">
        <f aca="false">S269/$P269</f>
        <v>0</v>
      </c>
      <c r="U269" s="9" t="n">
        <v>0</v>
      </c>
      <c r="V269" s="10" t="n">
        <f aca="false">U269/$P269</f>
        <v>0</v>
      </c>
      <c r="W269" s="9" t="n">
        <v>84.57</v>
      </c>
      <c r="X269" s="10" t="n">
        <f aca="false">W269/$P269</f>
        <v>0.994941176470588</v>
      </c>
      <c r="Y269" s="9"/>
      <c r="Z269" s="9"/>
    </row>
    <row r="270" customFormat="false" ht="12.8" hidden="false" customHeight="false" outlineLevel="0" collapsed="false">
      <c r="A270" s="1" t="n">
        <v>4</v>
      </c>
      <c r="B270" s="1" t="n">
        <v>3</v>
      </c>
      <c r="D270" s="70" t="s">
        <v>21</v>
      </c>
      <c r="E270" s="29" t="n">
        <v>41</v>
      </c>
      <c r="F270" s="29" t="s">
        <v>23</v>
      </c>
      <c r="G270" s="30" t="n">
        <f aca="false">SUM(G266:G268)</f>
        <v>0</v>
      </c>
      <c r="H270" s="30" t="n">
        <f aca="false">SUM(H266:H268)</f>
        <v>0</v>
      </c>
      <c r="I270" s="30" t="n">
        <f aca="false">SUM(I266:I268)</f>
        <v>1000</v>
      </c>
      <c r="J270" s="30" t="n">
        <f aca="false">SUM(J266:J268)</f>
        <v>3225.65</v>
      </c>
      <c r="K270" s="30" t="n">
        <f aca="false">SUM(K266:K269)</f>
        <v>39694</v>
      </c>
      <c r="L270" s="30" t="n">
        <f aca="false">SUM(L266:L269)</f>
        <v>0</v>
      </c>
      <c r="M270" s="30" t="n">
        <f aca="false">SUM(M266:M269)</f>
        <v>0</v>
      </c>
      <c r="N270" s="30" t="n">
        <f aca="false">SUM(N266:N269)</f>
        <v>163</v>
      </c>
      <c r="O270" s="30" t="n">
        <f aca="false">SUM(O266:O269)</f>
        <v>0</v>
      </c>
      <c r="P270" s="30" t="n">
        <f aca="false">SUM(P266:P269)</f>
        <v>39857</v>
      </c>
      <c r="Q270" s="30" t="n">
        <f aca="false">SUM(Q266:Q269)</f>
        <v>664.02</v>
      </c>
      <c r="R270" s="71" t="n">
        <f aca="false">Q270/$P270</f>
        <v>0.0166600597134757</v>
      </c>
      <c r="S270" s="30" t="n">
        <f aca="false">SUM(S266:S269)</f>
        <v>8429.84</v>
      </c>
      <c r="T270" s="71" t="n">
        <f aca="false">S270/$P270</f>
        <v>0.211502120079283</v>
      </c>
      <c r="U270" s="30" t="n">
        <f aca="false">SUM(U266:U269)</f>
        <v>21017.68</v>
      </c>
      <c r="V270" s="71" t="n">
        <f aca="false">U270/$P270</f>
        <v>0.527327194721128</v>
      </c>
      <c r="W270" s="30" t="n">
        <f aca="false">SUM(W266:W269)</f>
        <v>31757.35</v>
      </c>
      <c r="X270" s="71" t="n">
        <f aca="false">W270/$P270</f>
        <v>0.79678224653135</v>
      </c>
      <c r="Y270" s="30" t="n">
        <f aca="false">SUM(Y266:Y268)</f>
        <v>50217</v>
      </c>
      <c r="Z270" s="30" t="n">
        <f aca="false">SUM(Z266:Z268)</f>
        <v>53452</v>
      </c>
    </row>
    <row r="271" customFormat="false" ht="12.8" hidden="false" customHeight="false" outlineLevel="0" collapsed="false">
      <c r="D271" s="56" t="s">
        <v>185</v>
      </c>
      <c r="E271" s="8" t="n">
        <v>640</v>
      </c>
      <c r="F271" s="8" t="s">
        <v>134</v>
      </c>
      <c r="G271" s="9" t="n">
        <v>0</v>
      </c>
      <c r="H271" s="9" t="n">
        <v>0</v>
      </c>
      <c r="I271" s="9" t="n">
        <v>0</v>
      </c>
      <c r="J271" s="9" t="n">
        <v>0</v>
      </c>
      <c r="K271" s="9" t="n">
        <v>0</v>
      </c>
      <c r="L271" s="9"/>
      <c r="M271" s="9"/>
      <c r="N271" s="9"/>
      <c r="O271" s="9" t="n">
        <v>160</v>
      </c>
      <c r="P271" s="9" t="n">
        <f aca="false">SUM(K271:O271)</f>
        <v>160</v>
      </c>
      <c r="Q271" s="9" t="n">
        <v>0</v>
      </c>
      <c r="R271" s="10" t="n">
        <f aca="false">Q271/$P271</f>
        <v>0</v>
      </c>
      <c r="S271" s="9" t="n">
        <v>0</v>
      </c>
      <c r="T271" s="10" t="n">
        <f aca="false">S271/$P271</f>
        <v>0</v>
      </c>
      <c r="U271" s="9" t="n">
        <v>0</v>
      </c>
      <c r="V271" s="10" t="n">
        <f aca="false">U271/$P271</f>
        <v>0</v>
      </c>
      <c r="W271" s="9" t="n">
        <v>159.47</v>
      </c>
      <c r="X271" s="10" t="n">
        <f aca="false">W271/$P271</f>
        <v>0.9966875</v>
      </c>
      <c r="Y271" s="9" t="n">
        <f aca="false">K271</f>
        <v>0</v>
      </c>
      <c r="Z271" s="9" t="n">
        <f aca="false">Y271</f>
        <v>0</v>
      </c>
    </row>
    <row r="272" customFormat="false" ht="12.8" hidden="false" customHeight="false" outlineLevel="0" collapsed="false">
      <c r="D272" s="70" t="s">
        <v>21</v>
      </c>
      <c r="E272" s="29" t="n">
        <v>72</v>
      </c>
      <c r="F272" s="29" t="s">
        <v>25</v>
      </c>
      <c r="G272" s="30" t="n">
        <f aca="false">SUM(G271:G271)</f>
        <v>0</v>
      </c>
      <c r="H272" s="30" t="n">
        <f aca="false">SUM(H271:H271)</f>
        <v>0</v>
      </c>
      <c r="I272" s="30" t="n">
        <f aca="false">SUM(I271:I271)</f>
        <v>0</v>
      </c>
      <c r="J272" s="30" t="n">
        <f aca="false">SUM(J271:J271)</f>
        <v>0</v>
      </c>
      <c r="K272" s="30" t="n">
        <f aca="false">SUM(K271:K271)</f>
        <v>0</v>
      </c>
      <c r="L272" s="30" t="n">
        <f aca="false">SUM(L271:L271)</f>
        <v>0</v>
      </c>
      <c r="M272" s="30" t="n">
        <f aca="false">SUM(M271:M271)</f>
        <v>0</v>
      </c>
      <c r="N272" s="30" t="n">
        <f aca="false">SUM(N271:N271)</f>
        <v>0</v>
      </c>
      <c r="O272" s="30" t="n">
        <f aca="false">SUM(O271:O271)</f>
        <v>160</v>
      </c>
      <c r="P272" s="30" t="n">
        <f aca="false">SUM(P271:P271)</f>
        <v>160</v>
      </c>
      <c r="Q272" s="30" t="n">
        <f aca="false">SUM(Q271:Q271)</f>
        <v>0</v>
      </c>
      <c r="R272" s="71" t="n">
        <f aca="false">Q272/$P272</f>
        <v>0</v>
      </c>
      <c r="S272" s="30" t="n">
        <f aca="false">SUM(S271:S271)</f>
        <v>0</v>
      </c>
      <c r="T272" s="71" t="n">
        <f aca="false">S272/$P272</f>
        <v>0</v>
      </c>
      <c r="U272" s="30" t="n">
        <f aca="false">SUM(U271:U271)</f>
        <v>0</v>
      </c>
      <c r="V272" s="71" t="n">
        <f aca="false">U272/$P272</f>
        <v>0</v>
      </c>
      <c r="W272" s="30" t="n">
        <f aca="false">SUM(W271:W271)</f>
        <v>159.47</v>
      </c>
      <c r="X272" s="71" t="n">
        <f aca="false">W272/$P272</f>
        <v>0.9966875</v>
      </c>
      <c r="Y272" s="30" t="n">
        <f aca="false">SUM(Y271:Y271)</f>
        <v>0</v>
      </c>
      <c r="Z272" s="30" t="n">
        <f aca="false">SUM(Z271:Z271)</f>
        <v>0</v>
      </c>
    </row>
    <row r="273" customFormat="false" ht="12.8" hidden="false" customHeight="false" outlineLevel="0" collapsed="false">
      <c r="D273" s="87"/>
      <c r="E273" s="15"/>
      <c r="F273" s="11" t="s">
        <v>126</v>
      </c>
      <c r="G273" s="12" t="n">
        <f aca="false">G270+G272</f>
        <v>0</v>
      </c>
      <c r="H273" s="12" t="n">
        <f aca="false">H270+H272</f>
        <v>0</v>
      </c>
      <c r="I273" s="12" t="n">
        <f aca="false">I270+I272</f>
        <v>1000</v>
      </c>
      <c r="J273" s="12" t="n">
        <f aca="false">J270+J272</f>
        <v>3225.65</v>
      </c>
      <c r="K273" s="12" t="n">
        <f aca="false">K265+K270+K272</f>
        <v>39694</v>
      </c>
      <c r="L273" s="12" t="n">
        <f aca="false">L265+L270+L272</f>
        <v>0</v>
      </c>
      <c r="M273" s="12" t="n">
        <f aca="false">M265+M270+M272</f>
        <v>0</v>
      </c>
      <c r="N273" s="12" t="n">
        <f aca="false">N265+N270+N272</f>
        <v>3257</v>
      </c>
      <c r="O273" s="12" t="n">
        <f aca="false">O265+O270+O272</f>
        <v>160</v>
      </c>
      <c r="P273" s="12" t="n">
        <f aca="false">P265+P270+P272</f>
        <v>43111</v>
      </c>
      <c r="Q273" s="12" t="n">
        <f aca="false">Q265+Q270+Q272</f>
        <v>664.02</v>
      </c>
      <c r="R273" s="13" t="n">
        <f aca="false">Q273/$P273</f>
        <v>0.0154025654705296</v>
      </c>
      <c r="S273" s="12" t="n">
        <f aca="false">S265+S270+S272</f>
        <v>8429.84</v>
      </c>
      <c r="T273" s="13" t="n">
        <f aca="false">S273/$P273</f>
        <v>0.19553802973719</v>
      </c>
      <c r="U273" s="12" t="n">
        <f aca="false">U265+U270+U272</f>
        <v>24111.64</v>
      </c>
      <c r="V273" s="13" t="n">
        <f aca="false">U273/$P273</f>
        <v>0.559292060031083</v>
      </c>
      <c r="W273" s="12" t="n">
        <f aca="false">W265+W270+W272</f>
        <v>35010.78</v>
      </c>
      <c r="X273" s="13" t="n">
        <f aca="false">W273/$P273</f>
        <v>0.812107814710863</v>
      </c>
      <c r="Y273" s="12" t="n">
        <f aca="false">Y270+Y272</f>
        <v>50217</v>
      </c>
      <c r="Z273" s="12" t="n">
        <f aca="false">Z270+Z272</f>
        <v>53452</v>
      </c>
    </row>
    <row r="275" customFormat="false" ht="12.8" hidden="false" customHeight="false" outlineLevel="0" collapsed="false">
      <c r="E275" s="32" t="s">
        <v>57</v>
      </c>
      <c r="F275" s="14" t="s">
        <v>150</v>
      </c>
      <c r="G275" s="33"/>
      <c r="H275" s="33"/>
      <c r="I275" s="33"/>
      <c r="J275" s="33" t="n">
        <v>20</v>
      </c>
      <c r="K275" s="33" t="n">
        <v>357</v>
      </c>
      <c r="L275" s="33"/>
      <c r="M275" s="33"/>
      <c r="N275" s="33"/>
      <c r="O275" s="33"/>
      <c r="P275" s="33" t="n">
        <f aca="false">SUM(K275:O275)</f>
        <v>357</v>
      </c>
      <c r="Q275" s="33" t="n">
        <v>77.82</v>
      </c>
      <c r="R275" s="34" t="n">
        <f aca="false">Q275/$P275</f>
        <v>0.217983193277311</v>
      </c>
      <c r="S275" s="33" t="n">
        <v>170.82</v>
      </c>
      <c r="T275" s="34" t="n">
        <f aca="false">S275/$P275</f>
        <v>0.478487394957983</v>
      </c>
      <c r="U275" s="33" t="n">
        <v>263.82</v>
      </c>
      <c r="V275" s="34" t="n">
        <f aca="false">U275/$P275</f>
        <v>0.738991596638655</v>
      </c>
      <c r="W275" s="33" t="n">
        <v>392.8</v>
      </c>
      <c r="X275" s="35" t="n">
        <f aca="false">W275/$P275</f>
        <v>1.10028011204482</v>
      </c>
      <c r="Y275" s="33" t="n">
        <f aca="false">K275</f>
        <v>357</v>
      </c>
      <c r="Z275" s="36" t="n">
        <f aca="false">Y275</f>
        <v>357</v>
      </c>
    </row>
    <row r="276" customFormat="false" ht="12.8" hidden="false" customHeight="false" outlineLevel="0" collapsed="false">
      <c r="E276" s="37"/>
      <c r="F276" s="78" t="s">
        <v>152</v>
      </c>
      <c r="G276" s="79"/>
      <c r="H276" s="79"/>
      <c r="I276" s="79"/>
      <c r="J276" s="79"/>
      <c r="K276" s="79"/>
      <c r="L276" s="79"/>
      <c r="M276" s="79"/>
      <c r="N276" s="79"/>
      <c r="O276" s="79" t="n">
        <v>1734</v>
      </c>
      <c r="P276" s="79" t="n">
        <f aca="false">SUM(K276:O276)</f>
        <v>1734</v>
      </c>
      <c r="Q276" s="79"/>
      <c r="R276" s="40" t="n">
        <f aca="false">Q276/$P276</f>
        <v>0</v>
      </c>
      <c r="S276" s="79"/>
      <c r="T276" s="40" t="n">
        <f aca="false">S276/$P276</f>
        <v>0</v>
      </c>
      <c r="U276" s="79"/>
      <c r="V276" s="40" t="n">
        <f aca="false">U276/$P276</f>
        <v>0</v>
      </c>
      <c r="W276" s="79" t="n">
        <v>1733.62</v>
      </c>
      <c r="X276" s="41" t="n">
        <f aca="false">W276/$P276</f>
        <v>0.999780853517878</v>
      </c>
      <c r="Y276" s="79"/>
      <c r="Z276" s="42"/>
    </row>
    <row r="277" customFormat="false" ht="12.8" hidden="false" customHeight="false" outlineLevel="0" collapsed="false">
      <c r="E277" s="37"/>
      <c r="F277" s="78" t="s">
        <v>200</v>
      </c>
      <c r="G277" s="79"/>
      <c r="H277" s="79"/>
      <c r="I277" s="79"/>
      <c r="J277" s="79"/>
      <c r="K277" s="79"/>
      <c r="L277" s="79" t="n">
        <v>493</v>
      </c>
      <c r="M277" s="79"/>
      <c r="N277" s="79" t="n">
        <f aca="false">11+14+1040</f>
        <v>1065</v>
      </c>
      <c r="O277" s="79" t="n">
        <f aca="false">762+12+840</f>
        <v>1614</v>
      </c>
      <c r="P277" s="79" t="n">
        <f aca="false">SUM(K277:O277)</f>
        <v>3172</v>
      </c>
      <c r="Q277" s="79"/>
      <c r="R277" s="40" t="n">
        <f aca="false">Q277/$P277</f>
        <v>0</v>
      </c>
      <c r="S277" s="79" t="n">
        <v>493.2</v>
      </c>
      <c r="T277" s="40" t="n">
        <f aca="false">S277/$P277</f>
        <v>0.155485498108449</v>
      </c>
      <c r="U277" s="79" t="n">
        <f aca="false">1039.46+517.49</f>
        <v>1556.95</v>
      </c>
      <c r="V277" s="40" t="n">
        <f aca="false">U277/$P277</f>
        <v>0.490841740226986</v>
      </c>
      <c r="W277" s="79" t="n">
        <f aca="false">1879.46+1291.51</f>
        <v>3170.97</v>
      </c>
      <c r="X277" s="41" t="n">
        <f aca="false">W277/$P277</f>
        <v>0.999675283732661</v>
      </c>
      <c r="Y277" s="79"/>
      <c r="Z277" s="42"/>
    </row>
    <row r="278" customFormat="false" ht="12.8" hidden="false" customHeight="false" outlineLevel="0" collapsed="false">
      <c r="E278" s="44"/>
      <c r="F278" s="57" t="s">
        <v>201</v>
      </c>
      <c r="G278" s="46"/>
      <c r="H278" s="46"/>
      <c r="I278" s="46"/>
      <c r="J278" s="46"/>
      <c r="K278" s="46" t="n">
        <v>3700</v>
      </c>
      <c r="L278" s="46"/>
      <c r="M278" s="46"/>
      <c r="N278" s="46" t="n">
        <v>242</v>
      </c>
      <c r="O278" s="46"/>
      <c r="P278" s="46" t="n">
        <f aca="false">SUM(K278:O278)</f>
        <v>3942</v>
      </c>
      <c r="Q278" s="46" t="n">
        <v>430.23</v>
      </c>
      <c r="R278" s="47" t="n">
        <f aca="false">Q278/$P278</f>
        <v>0.1091400304414</v>
      </c>
      <c r="S278" s="46" t="n">
        <v>430.23</v>
      </c>
      <c r="T278" s="47" t="n">
        <f aca="false">S278/$P278</f>
        <v>0.1091400304414</v>
      </c>
      <c r="U278" s="46" t="n">
        <v>3755.83</v>
      </c>
      <c r="V278" s="47" t="n">
        <f aca="false">U278/$P278</f>
        <v>0.95277270421106</v>
      </c>
      <c r="W278" s="46" t="n">
        <f aca="false">3755.83+181.66</f>
        <v>3937.49</v>
      </c>
      <c r="X278" s="48" t="n">
        <f aca="false">W278/$P278</f>
        <v>0.998855910705226</v>
      </c>
      <c r="Y278" s="46" t="n">
        <f aca="false">K278</f>
        <v>3700</v>
      </c>
      <c r="Z278" s="49" t="n">
        <f aca="false">Y278</f>
        <v>3700</v>
      </c>
    </row>
    <row r="280" customFormat="false" ht="12.8" hidden="false" customHeight="false" outlineLevel="0" collapsed="false">
      <c r="D280" s="51" t="s">
        <v>202</v>
      </c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customFormat="false" ht="12.8" hidden="false" customHeight="false" outlineLevel="0" collapsed="false">
      <c r="D281" s="5" t="s">
        <v>33</v>
      </c>
      <c r="E281" s="5" t="s">
        <v>34</v>
      </c>
      <c r="F281" s="5" t="s">
        <v>35</v>
      </c>
      <c r="G281" s="5" t="s">
        <v>1</v>
      </c>
      <c r="H281" s="5" t="s">
        <v>2</v>
      </c>
      <c r="I281" s="5" t="s">
        <v>3</v>
      </c>
      <c r="J281" s="5" t="s">
        <v>4</v>
      </c>
      <c r="K281" s="5" t="s">
        <v>5</v>
      </c>
      <c r="L281" s="5" t="s">
        <v>6</v>
      </c>
      <c r="M281" s="5" t="s">
        <v>7</v>
      </c>
      <c r="N281" s="5" t="s">
        <v>8</v>
      </c>
      <c r="O281" s="5" t="s">
        <v>9</v>
      </c>
      <c r="P281" s="5" t="s">
        <v>10</v>
      </c>
      <c r="Q281" s="5" t="s">
        <v>11</v>
      </c>
      <c r="R281" s="5" t="s">
        <v>12</v>
      </c>
      <c r="S281" s="5" t="s">
        <v>13</v>
      </c>
      <c r="T281" s="5" t="s">
        <v>14</v>
      </c>
      <c r="U281" s="5" t="s">
        <v>15</v>
      </c>
      <c r="V281" s="5" t="s">
        <v>16</v>
      </c>
      <c r="W281" s="5" t="s">
        <v>17</v>
      </c>
      <c r="X281" s="5" t="s">
        <v>18</v>
      </c>
      <c r="Y281" s="5" t="s">
        <v>19</v>
      </c>
      <c r="Z281" s="5" t="s">
        <v>20</v>
      </c>
    </row>
    <row r="282" customFormat="false" ht="12.8" hidden="false" customHeight="false" outlineLevel="0" collapsed="false">
      <c r="A282" s="1" t="n">
        <v>4</v>
      </c>
      <c r="B282" s="1" t="n">
        <v>4</v>
      </c>
      <c r="D282" s="69" t="s">
        <v>195</v>
      </c>
      <c r="E282" s="8" t="n">
        <v>630</v>
      </c>
      <c r="F282" s="8" t="s">
        <v>133</v>
      </c>
      <c r="G282" s="9" t="n">
        <v>0</v>
      </c>
      <c r="H282" s="9" t="n">
        <v>0</v>
      </c>
      <c r="I282" s="9" t="n">
        <v>1000</v>
      </c>
      <c r="J282" s="9" t="n">
        <v>21</v>
      </c>
      <c r="K282" s="9" t="n">
        <f aca="false">I282</f>
        <v>1000</v>
      </c>
      <c r="L282" s="9"/>
      <c r="M282" s="9"/>
      <c r="N282" s="9"/>
      <c r="O282" s="9"/>
      <c r="P282" s="9" t="n">
        <f aca="false">SUM(K282:O282)</f>
        <v>1000</v>
      </c>
      <c r="Q282" s="9" t="n">
        <v>0</v>
      </c>
      <c r="R282" s="10" t="n">
        <f aca="false">Q282/$P282</f>
        <v>0</v>
      </c>
      <c r="S282" s="9" t="n">
        <v>0</v>
      </c>
      <c r="T282" s="10" t="n">
        <f aca="false">S282/$P282</f>
        <v>0</v>
      </c>
      <c r="U282" s="9" t="n">
        <v>0</v>
      </c>
      <c r="V282" s="10" t="n">
        <f aca="false">U282/$P282</f>
        <v>0</v>
      </c>
      <c r="W282" s="9" t="n">
        <v>0</v>
      </c>
      <c r="X282" s="10" t="n">
        <f aca="false">W282/$P282</f>
        <v>0</v>
      </c>
      <c r="Y282" s="9" t="n">
        <f aca="false">K282</f>
        <v>1000</v>
      </c>
      <c r="Z282" s="9" t="n">
        <f aca="false">Y282</f>
        <v>1000</v>
      </c>
    </row>
    <row r="283" customFormat="false" ht="12.8" hidden="false" customHeight="false" outlineLevel="0" collapsed="false">
      <c r="A283" s="1" t="n">
        <v>4</v>
      </c>
      <c r="B283" s="1" t="n">
        <v>4</v>
      </c>
      <c r="D283" s="55" t="s">
        <v>21</v>
      </c>
      <c r="E283" s="11" t="n">
        <v>41</v>
      </c>
      <c r="F283" s="11" t="s">
        <v>23</v>
      </c>
      <c r="G283" s="12" t="n">
        <f aca="false">SUM(G282:G282)</f>
        <v>0</v>
      </c>
      <c r="H283" s="12" t="n">
        <f aca="false">SUM(H282:H282)</f>
        <v>0</v>
      </c>
      <c r="I283" s="12" t="n">
        <f aca="false">SUM(I282:I282)</f>
        <v>1000</v>
      </c>
      <c r="J283" s="12" t="n">
        <f aca="false">SUM(J282:J282)</f>
        <v>21</v>
      </c>
      <c r="K283" s="12" t="n">
        <f aca="false">SUM(K282:K282)</f>
        <v>1000</v>
      </c>
      <c r="L283" s="12" t="n">
        <f aca="false">SUM(L282:L282)</f>
        <v>0</v>
      </c>
      <c r="M283" s="12" t="n">
        <f aca="false">SUM(M282:M282)</f>
        <v>0</v>
      </c>
      <c r="N283" s="12" t="n">
        <f aca="false">SUM(N282:N282)</f>
        <v>0</v>
      </c>
      <c r="O283" s="12" t="n">
        <f aca="false">SUM(O282:O282)</f>
        <v>0</v>
      </c>
      <c r="P283" s="12" t="n">
        <f aca="false">SUM(P282:P282)</f>
        <v>1000</v>
      </c>
      <c r="Q283" s="12" t="n">
        <f aca="false">SUM(Q282:Q282)</f>
        <v>0</v>
      </c>
      <c r="R283" s="13" t="n">
        <f aca="false">Q283/$P283</f>
        <v>0</v>
      </c>
      <c r="S283" s="12" t="n">
        <f aca="false">SUM(S282:S282)</f>
        <v>0</v>
      </c>
      <c r="T283" s="13" t="n">
        <f aca="false">S283/$P283</f>
        <v>0</v>
      </c>
      <c r="U283" s="12" t="n">
        <f aca="false">SUM(U282:U282)</f>
        <v>0</v>
      </c>
      <c r="V283" s="13" t="n">
        <f aca="false">U283/$P283</f>
        <v>0</v>
      </c>
      <c r="W283" s="12" t="n">
        <f aca="false">SUM(W282:W282)</f>
        <v>0</v>
      </c>
      <c r="X283" s="13" t="n">
        <f aca="false">W283/$P283</f>
        <v>0</v>
      </c>
      <c r="Y283" s="12" t="n">
        <f aca="false">SUM(Y282:Y282)</f>
        <v>1000</v>
      </c>
      <c r="Z283" s="12" t="n">
        <f aca="false">SUM(Z282:Z282)</f>
        <v>1000</v>
      </c>
    </row>
    <row r="285" customFormat="false" ht="12.8" hidden="false" customHeight="false" outlineLevel="0" collapsed="false">
      <c r="D285" s="16" t="s">
        <v>203</v>
      </c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customFormat="false" ht="12.8" hidden="false" customHeight="false" outlineLevel="0" collapsed="false">
      <c r="D286" s="4"/>
      <c r="E286" s="4"/>
      <c r="F286" s="4"/>
      <c r="G286" s="5" t="s">
        <v>1</v>
      </c>
      <c r="H286" s="5" t="s">
        <v>2</v>
      </c>
      <c r="I286" s="5" t="s">
        <v>3</v>
      </c>
      <c r="J286" s="5" t="s">
        <v>4</v>
      </c>
      <c r="K286" s="5" t="s">
        <v>5</v>
      </c>
      <c r="L286" s="5" t="s">
        <v>6</v>
      </c>
      <c r="M286" s="5" t="s">
        <v>7</v>
      </c>
      <c r="N286" s="5" t="s">
        <v>8</v>
      </c>
      <c r="O286" s="5" t="s">
        <v>9</v>
      </c>
      <c r="P286" s="5" t="s">
        <v>10</v>
      </c>
      <c r="Q286" s="5" t="s">
        <v>11</v>
      </c>
      <c r="R286" s="5" t="s">
        <v>12</v>
      </c>
      <c r="S286" s="5" t="s">
        <v>13</v>
      </c>
      <c r="T286" s="5" t="s">
        <v>14</v>
      </c>
      <c r="U286" s="5" t="s">
        <v>15</v>
      </c>
      <c r="V286" s="5" t="s">
        <v>16</v>
      </c>
      <c r="W286" s="5" t="s">
        <v>17</v>
      </c>
      <c r="X286" s="5" t="s">
        <v>18</v>
      </c>
      <c r="Y286" s="5" t="s">
        <v>19</v>
      </c>
      <c r="Z286" s="5" t="s">
        <v>20</v>
      </c>
    </row>
    <row r="287" customFormat="false" ht="12.8" hidden="false" customHeight="false" outlineLevel="0" collapsed="false">
      <c r="A287" s="1" t="n">
        <v>5</v>
      </c>
      <c r="D287" s="17" t="s">
        <v>21</v>
      </c>
      <c r="E287" s="18" t="n">
        <v>111</v>
      </c>
      <c r="F287" s="18" t="s">
        <v>47</v>
      </c>
      <c r="G287" s="19" t="n">
        <f aca="false">G295+G340</f>
        <v>37906.3</v>
      </c>
      <c r="H287" s="19" t="n">
        <f aca="false">H295+H340</f>
        <v>2893.7</v>
      </c>
      <c r="I287" s="19" t="n">
        <f aca="false">I295+I340</f>
        <v>18696</v>
      </c>
      <c r="J287" s="19" t="n">
        <f aca="false">J295+J340</f>
        <v>15776.08</v>
      </c>
      <c r="K287" s="19" t="n">
        <f aca="false">K295+K340</f>
        <v>29080</v>
      </c>
      <c r="L287" s="19" t="n">
        <f aca="false">L295+L340</f>
        <v>0</v>
      </c>
      <c r="M287" s="19" t="n">
        <f aca="false">M295+M340</f>
        <v>0</v>
      </c>
      <c r="N287" s="19" t="n">
        <f aca="false">N295+N340</f>
        <v>0</v>
      </c>
      <c r="O287" s="19" t="n">
        <f aca="false">O295+O340</f>
        <v>201</v>
      </c>
      <c r="P287" s="19" t="n">
        <f aca="false">P295+P340</f>
        <v>29281</v>
      </c>
      <c r="Q287" s="19" t="n">
        <f aca="false">Q295+Q340</f>
        <v>5212.38</v>
      </c>
      <c r="R287" s="20" t="n">
        <f aca="false">Q287/$P287</f>
        <v>0.178012362965746</v>
      </c>
      <c r="S287" s="19" t="n">
        <f aca="false">S295+S340</f>
        <v>13311.71</v>
      </c>
      <c r="T287" s="20" t="n">
        <f aca="false">S287/$P287</f>
        <v>0.454619377753492</v>
      </c>
      <c r="U287" s="19" t="n">
        <f aca="false">U295+U340</f>
        <v>18794.93</v>
      </c>
      <c r="V287" s="20" t="n">
        <f aca="false">U287/$P287</f>
        <v>0.641881424814726</v>
      </c>
      <c r="W287" s="19" t="n">
        <f aca="false">W295+W340</f>
        <v>25039.32</v>
      </c>
      <c r="X287" s="20" t="n">
        <f aca="false">W287/$P287</f>
        <v>0.855138827225846</v>
      </c>
      <c r="Y287" s="19" t="n">
        <f aca="false">Y295+Y340</f>
        <v>210</v>
      </c>
      <c r="Z287" s="19" t="n">
        <f aca="false">Z295+Z340</f>
        <v>210</v>
      </c>
    </row>
    <row r="288" customFormat="false" ht="12.8" hidden="false" customHeight="false" outlineLevel="0" collapsed="false">
      <c r="A288" s="1" t="n">
        <v>5</v>
      </c>
      <c r="D288" s="17"/>
      <c r="E288" s="18" t="n">
        <v>41</v>
      </c>
      <c r="F288" s="18" t="s">
        <v>23</v>
      </c>
      <c r="G288" s="19" t="n">
        <f aca="false">G296+G341</f>
        <v>49652.08</v>
      </c>
      <c r="H288" s="19" t="n">
        <f aca="false">H296+H341</f>
        <v>51437.72</v>
      </c>
      <c r="I288" s="19" t="n">
        <f aca="false">I296+I341</f>
        <v>52301</v>
      </c>
      <c r="J288" s="19" t="n">
        <f aca="false">J296+J341</f>
        <v>40057.09</v>
      </c>
      <c r="K288" s="19" t="n">
        <f aca="false">K296+K341</f>
        <v>34206</v>
      </c>
      <c r="L288" s="19" t="n">
        <f aca="false">L296+L341</f>
        <v>443</v>
      </c>
      <c r="M288" s="19" t="n">
        <f aca="false">M296+M341</f>
        <v>0</v>
      </c>
      <c r="N288" s="19" t="n">
        <f aca="false">N296+N341</f>
        <v>158</v>
      </c>
      <c r="O288" s="19" t="n">
        <f aca="false">O296+O341</f>
        <v>1141</v>
      </c>
      <c r="P288" s="19" t="n">
        <f aca="false">P296+P341</f>
        <v>35948</v>
      </c>
      <c r="Q288" s="19" t="n">
        <f aca="false">Q296+Q341</f>
        <v>6118.69</v>
      </c>
      <c r="R288" s="20" t="n">
        <f aca="false">Q288/$P288</f>
        <v>0.170209469233337</v>
      </c>
      <c r="S288" s="19" t="n">
        <f aca="false">S296+S341</f>
        <v>16679.07</v>
      </c>
      <c r="T288" s="20" t="n">
        <f aca="false">S288/$P288</f>
        <v>0.463977689996662</v>
      </c>
      <c r="U288" s="19" t="n">
        <f aca="false">U296+U341</f>
        <v>24952.17</v>
      </c>
      <c r="V288" s="20" t="n">
        <f aca="false">U288/$P288</f>
        <v>0.694118448870591</v>
      </c>
      <c r="W288" s="19" t="n">
        <f aca="false">W296+W341</f>
        <v>31104.1</v>
      </c>
      <c r="X288" s="20" t="n">
        <f aca="false">W288/$P288</f>
        <v>0.865252587070212</v>
      </c>
      <c r="Y288" s="19" t="n">
        <f aca="false">Y296+Y341</f>
        <v>26110</v>
      </c>
      <c r="Z288" s="19" t="n">
        <f aca="false">Z296+Z341</f>
        <v>26110</v>
      </c>
    </row>
    <row r="289" customFormat="false" ht="12.8" hidden="false" customHeight="false" outlineLevel="0" collapsed="false">
      <c r="D289" s="17"/>
      <c r="E289" s="18" t="n">
        <v>71</v>
      </c>
      <c r="F289" s="18" t="s">
        <v>24</v>
      </c>
      <c r="G289" s="19" t="n">
        <f aca="false">G297</f>
        <v>700</v>
      </c>
      <c r="H289" s="19" t="n">
        <f aca="false">H297</f>
        <v>1400</v>
      </c>
      <c r="I289" s="19" t="n">
        <f aca="false">I297</f>
        <v>1400</v>
      </c>
      <c r="J289" s="19" t="n">
        <f aca="false">J297</f>
        <v>1400</v>
      </c>
      <c r="K289" s="19" t="n">
        <f aca="false">K297</f>
        <v>1400</v>
      </c>
      <c r="L289" s="19" t="n">
        <f aca="false">L297</f>
        <v>0</v>
      </c>
      <c r="M289" s="19" t="n">
        <f aca="false">M297</f>
        <v>0</v>
      </c>
      <c r="N289" s="19" t="n">
        <f aca="false">N297</f>
        <v>0</v>
      </c>
      <c r="O289" s="19" t="n">
        <f aca="false">O297</f>
        <v>0</v>
      </c>
      <c r="P289" s="19" t="n">
        <f aca="false">P297</f>
        <v>1400</v>
      </c>
      <c r="Q289" s="19" t="n">
        <f aca="false">Q297</f>
        <v>0</v>
      </c>
      <c r="R289" s="20" t="n">
        <f aca="false">Q289/$P289</f>
        <v>0</v>
      </c>
      <c r="S289" s="19" t="n">
        <f aca="false">S297</f>
        <v>250</v>
      </c>
      <c r="T289" s="20" t="n">
        <f aca="false">S289/$P289</f>
        <v>0.178571428571429</v>
      </c>
      <c r="U289" s="19" t="n">
        <f aca="false">U297</f>
        <v>1400</v>
      </c>
      <c r="V289" s="20" t="n">
        <f aca="false">U289/$P289</f>
        <v>1</v>
      </c>
      <c r="W289" s="19" t="n">
        <f aca="false">W297</f>
        <v>1400</v>
      </c>
      <c r="X289" s="20" t="n">
        <f aca="false">W289/$P289</f>
        <v>1</v>
      </c>
      <c r="Y289" s="19" t="n">
        <f aca="false">Y297</f>
        <v>1400</v>
      </c>
      <c r="Z289" s="19" t="n">
        <f aca="false">Z297</f>
        <v>1400</v>
      </c>
    </row>
    <row r="290" customFormat="false" ht="12.8" hidden="false" customHeight="false" outlineLevel="0" collapsed="false">
      <c r="D290" s="17"/>
      <c r="E290" s="18" t="n">
        <v>72</v>
      </c>
      <c r="F290" s="18" t="s">
        <v>25</v>
      </c>
      <c r="G290" s="19" t="n">
        <f aca="false">G342</f>
        <v>0</v>
      </c>
      <c r="H290" s="19" t="n">
        <f aca="false">H342</f>
        <v>0</v>
      </c>
      <c r="I290" s="19" t="n">
        <f aca="false">I342</f>
        <v>180</v>
      </c>
      <c r="J290" s="19" t="n">
        <f aca="false">J342</f>
        <v>358.78</v>
      </c>
      <c r="K290" s="19" t="n">
        <f aca="false">K342</f>
        <v>360</v>
      </c>
      <c r="L290" s="19" t="n">
        <f aca="false">L342</f>
        <v>0</v>
      </c>
      <c r="M290" s="19" t="n">
        <f aca="false">M342</f>
        <v>0</v>
      </c>
      <c r="N290" s="19" t="n">
        <f aca="false">N342</f>
        <v>0</v>
      </c>
      <c r="O290" s="19" t="n">
        <f aca="false">O342</f>
        <v>0</v>
      </c>
      <c r="P290" s="19" t="n">
        <f aca="false">P342</f>
        <v>360</v>
      </c>
      <c r="Q290" s="19" t="n">
        <f aca="false">Q342</f>
        <v>0</v>
      </c>
      <c r="R290" s="20" t="n">
        <f aca="false">Q290/$P290</f>
        <v>0</v>
      </c>
      <c r="S290" s="19" t="n">
        <f aca="false">S342</f>
        <v>0</v>
      </c>
      <c r="T290" s="20" t="n">
        <f aca="false">S290/$P290</f>
        <v>0</v>
      </c>
      <c r="U290" s="19" t="n">
        <f aca="false">U342</f>
        <v>0</v>
      </c>
      <c r="V290" s="20" t="n">
        <f aca="false">U290/$P290</f>
        <v>0</v>
      </c>
      <c r="W290" s="19" t="n">
        <f aca="false">W342</f>
        <v>303.74</v>
      </c>
      <c r="X290" s="20" t="n">
        <f aca="false">W290/$P290</f>
        <v>0.843722222222222</v>
      </c>
      <c r="Y290" s="19" t="n">
        <f aca="false">Y342</f>
        <v>0</v>
      </c>
      <c r="Z290" s="19" t="n">
        <f aca="false">Z342</f>
        <v>0</v>
      </c>
    </row>
    <row r="291" customFormat="false" ht="12.8" hidden="false" customHeight="false" outlineLevel="0" collapsed="false">
      <c r="A291" s="1" t="n">
        <v>5</v>
      </c>
      <c r="D291" s="14"/>
      <c r="E291" s="15"/>
      <c r="F291" s="21" t="s">
        <v>126</v>
      </c>
      <c r="G291" s="22" t="n">
        <f aca="false">SUM(G287:G290)</f>
        <v>88258.38</v>
      </c>
      <c r="H291" s="22" t="n">
        <f aca="false">SUM(H287:H290)</f>
        <v>55731.42</v>
      </c>
      <c r="I291" s="22" t="n">
        <f aca="false">SUM(I287:I290)</f>
        <v>72577</v>
      </c>
      <c r="J291" s="22" t="n">
        <f aca="false">SUM(J287:J290)</f>
        <v>57591.95</v>
      </c>
      <c r="K291" s="22" t="n">
        <f aca="false">SUM(K287:K290)</f>
        <v>65046</v>
      </c>
      <c r="L291" s="22" t="n">
        <f aca="false">SUM(L287:L290)</f>
        <v>443</v>
      </c>
      <c r="M291" s="22" t="n">
        <f aca="false">SUM(M287:M290)</f>
        <v>0</v>
      </c>
      <c r="N291" s="22" t="n">
        <f aca="false">SUM(N287:N290)</f>
        <v>158</v>
      </c>
      <c r="O291" s="22" t="n">
        <f aca="false">SUM(O287:O290)</f>
        <v>1342</v>
      </c>
      <c r="P291" s="22" t="n">
        <f aca="false">SUM(P287:P290)</f>
        <v>66989</v>
      </c>
      <c r="Q291" s="22" t="n">
        <f aca="false">SUM(Q287:Q290)</f>
        <v>11331.07</v>
      </c>
      <c r="R291" s="23" t="n">
        <f aca="false">Q291/$P291</f>
        <v>0.169148218364209</v>
      </c>
      <c r="S291" s="22" t="n">
        <f aca="false">SUM(S287:S290)</f>
        <v>30240.78</v>
      </c>
      <c r="T291" s="23" t="n">
        <f aca="false">S291/$P291</f>
        <v>0.451429040588753</v>
      </c>
      <c r="U291" s="22" t="n">
        <f aca="false">SUM(U287:U290)</f>
        <v>45147.1</v>
      </c>
      <c r="V291" s="23" t="n">
        <f aca="false">U291/$P291</f>
        <v>0.673947961605637</v>
      </c>
      <c r="W291" s="22" t="n">
        <f aca="false">SUM(W287:W290)</f>
        <v>57847.16</v>
      </c>
      <c r="X291" s="23" t="n">
        <f aca="false">W291/$P291</f>
        <v>0.863532221708041</v>
      </c>
      <c r="Y291" s="22" t="n">
        <f aca="false">SUM(Y287:Y290)</f>
        <v>27720</v>
      </c>
      <c r="Z291" s="22" t="n">
        <f aca="false">SUM(Z287:Z290)</f>
        <v>27720</v>
      </c>
    </row>
    <row r="293" customFormat="false" ht="12.8" hidden="false" customHeight="false" outlineLevel="0" collapsed="false">
      <c r="D293" s="24" t="s">
        <v>204</v>
      </c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customFormat="false" ht="12.8" hidden="false" customHeight="false" outlineLevel="0" collapsed="false">
      <c r="D294" s="90"/>
      <c r="E294" s="90"/>
      <c r="F294" s="90"/>
      <c r="G294" s="5" t="s">
        <v>1</v>
      </c>
      <c r="H294" s="5" t="s">
        <v>2</v>
      </c>
      <c r="I294" s="5" t="s">
        <v>3</v>
      </c>
      <c r="J294" s="5" t="s">
        <v>4</v>
      </c>
      <c r="K294" s="5" t="s">
        <v>5</v>
      </c>
      <c r="L294" s="5" t="s">
        <v>6</v>
      </c>
      <c r="M294" s="5" t="s">
        <v>7</v>
      </c>
      <c r="N294" s="5" t="s">
        <v>8</v>
      </c>
      <c r="O294" s="5" t="s">
        <v>9</v>
      </c>
      <c r="P294" s="5" t="s">
        <v>10</v>
      </c>
      <c r="Q294" s="5" t="s">
        <v>11</v>
      </c>
      <c r="R294" s="5" t="s">
        <v>12</v>
      </c>
      <c r="S294" s="5" t="s">
        <v>13</v>
      </c>
      <c r="T294" s="5" t="s">
        <v>14</v>
      </c>
      <c r="U294" s="5" t="s">
        <v>15</v>
      </c>
      <c r="V294" s="5" t="s">
        <v>16</v>
      </c>
      <c r="W294" s="5" t="s">
        <v>17</v>
      </c>
      <c r="X294" s="5" t="s">
        <v>18</v>
      </c>
      <c r="Y294" s="5" t="s">
        <v>19</v>
      </c>
      <c r="Z294" s="5" t="s">
        <v>20</v>
      </c>
    </row>
    <row r="295" customFormat="false" ht="12.8" hidden="false" customHeight="false" outlineLevel="0" collapsed="false">
      <c r="A295" s="1" t="n">
        <v>5</v>
      </c>
      <c r="B295" s="1" t="n">
        <v>1</v>
      </c>
      <c r="D295" s="25" t="s">
        <v>21</v>
      </c>
      <c r="E295" s="8" t="n">
        <v>111</v>
      </c>
      <c r="F295" s="8" t="s">
        <v>47</v>
      </c>
      <c r="G295" s="9" t="n">
        <f aca="false">G316</f>
        <v>0</v>
      </c>
      <c r="H295" s="9" t="n">
        <f aca="false">H316</f>
        <v>210.77</v>
      </c>
      <c r="I295" s="9" t="n">
        <f aca="false">I316</f>
        <v>210</v>
      </c>
      <c r="J295" s="9" t="n">
        <f aca="false">J316</f>
        <v>210</v>
      </c>
      <c r="K295" s="9" t="n">
        <f aca="false">K316</f>
        <v>3210</v>
      </c>
      <c r="L295" s="9" t="n">
        <f aca="false">L316</f>
        <v>0</v>
      </c>
      <c r="M295" s="9" t="n">
        <f aca="false">M316</f>
        <v>0</v>
      </c>
      <c r="N295" s="9" t="n">
        <f aca="false">N316</f>
        <v>0</v>
      </c>
      <c r="O295" s="9" t="n">
        <f aca="false">O316</f>
        <v>201</v>
      </c>
      <c r="P295" s="9" t="n">
        <f aca="false">P316</f>
        <v>3411</v>
      </c>
      <c r="Q295" s="9" t="n">
        <f aca="false">Q316</f>
        <v>0</v>
      </c>
      <c r="R295" s="10" t="n">
        <f aca="false">Q295/$P295</f>
        <v>0</v>
      </c>
      <c r="S295" s="9" t="n">
        <f aca="false">S316</f>
        <v>2444.4</v>
      </c>
      <c r="T295" s="10" t="n">
        <f aca="false">S295/$P295</f>
        <v>0.716622691292876</v>
      </c>
      <c r="U295" s="9" t="n">
        <f aca="false">U316</f>
        <v>2444.4</v>
      </c>
      <c r="V295" s="10" t="n">
        <f aca="false">U295/$P295</f>
        <v>0.716622691292876</v>
      </c>
      <c r="W295" s="9" t="n">
        <f aca="false">W316</f>
        <v>3412.57</v>
      </c>
      <c r="X295" s="10" t="n">
        <f aca="false">W295/$P295</f>
        <v>1.00046027557901</v>
      </c>
      <c r="Y295" s="9" t="n">
        <f aca="false">Y316</f>
        <v>210</v>
      </c>
      <c r="Z295" s="9" t="n">
        <f aca="false">Y295</f>
        <v>210</v>
      </c>
    </row>
    <row r="296" customFormat="false" ht="12.8" hidden="false" customHeight="false" outlineLevel="0" collapsed="false">
      <c r="A296" s="1" t="n">
        <v>5</v>
      </c>
      <c r="B296" s="1" t="n">
        <v>1</v>
      </c>
      <c r="D296" s="25"/>
      <c r="E296" s="8" t="n">
        <v>41</v>
      </c>
      <c r="F296" s="8" t="s">
        <v>23</v>
      </c>
      <c r="G296" s="9" t="n">
        <f aca="false">G304+G318+G327+G336</f>
        <v>17915.92</v>
      </c>
      <c r="H296" s="9" t="n">
        <f aca="false">H304+H318+H327+H336</f>
        <v>19252.2</v>
      </c>
      <c r="I296" s="9" t="n">
        <f aca="false">I304+I318+I327+I336</f>
        <v>22830</v>
      </c>
      <c r="J296" s="9" t="n">
        <f aca="false">J304+J318+J327+J336</f>
        <v>18580.23</v>
      </c>
      <c r="K296" s="9" t="n">
        <f aca="false">K304+K318+K327+K336</f>
        <v>21340</v>
      </c>
      <c r="L296" s="9" t="n">
        <f aca="false">L304+L318+L327+L336</f>
        <v>0</v>
      </c>
      <c r="M296" s="9" t="n">
        <f aca="false">M304+M318+M327+M336</f>
        <v>0</v>
      </c>
      <c r="N296" s="9" t="n">
        <f aca="false">N304+N318+N327+N336</f>
        <v>0</v>
      </c>
      <c r="O296" s="9" t="n">
        <f aca="false">O304+O318+O327+O336</f>
        <v>924</v>
      </c>
      <c r="P296" s="9" t="n">
        <f aca="false">P304+P318+P327+P336</f>
        <v>22264</v>
      </c>
      <c r="Q296" s="9" t="n">
        <f aca="false">Q304+Q318+Q327+Q336</f>
        <v>3913.85</v>
      </c>
      <c r="R296" s="10" t="n">
        <f aca="false">Q296/$P296</f>
        <v>0.17579275961193</v>
      </c>
      <c r="S296" s="9" t="n">
        <f aca="false">S304+S318+S327+S336</f>
        <v>10643.49</v>
      </c>
      <c r="T296" s="10" t="n">
        <f aca="false">S296/$P296</f>
        <v>0.478058300395257</v>
      </c>
      <c r="U296" s="9" t="n">
        <f aca="false">U304+U318+U327+U336</f>
        <v>15608.81</v>
      </c>
      <c r="V296" s="10" t="n">
        <f aca="false">U296/$P296</f>
        <v>0.701078422565577</v>
      </c>
      <c r="W296" s="9" t="n">
        <f aca="false">W304+W318+W327+W336</f>
        <v>21340.98</v>
      </c>
      <c r="X296" s="10" t="n">
        <f aca="false">W296/$P296</f>
        <v>0.95854204096299</v>
      </c>
      <c r="Y296" s="9" t="n">
        <f aca="false">Y304+Y318+Y327+Y336</f>
        <v>21340</v>
      </c>
      <c r="Z296" s="9" t="n">
        <f aca="false">Z304+Z318+Z327+Z336</f>
        <v>21340</v>
      </c>
    </row>
    <row r="297" customFormat="false" ht="12.8" hidden="false" customHeight="false" outlineLevel="0" collapsed="false">
      <c r="D297" s="25"/>
      <c r="E297" s="8" t="n">
        <v>71</v>
      </c>
      <c r="F297" s="8" t="s">
        <v>24</v>
      </c>
      <c r="G297" s="9" t="n">
        <f aca="false">G306</f>
        <v>700</v>
      </c>
      <c r="H297" s="9" t="n">
        <f aca="false">H306</f>
        <v>1400</v>
      </c>
      <c r="I297" s="9" t="n">
        <f aca="false">I306</f>
        <v>1400</v>
      </c>
      <c r="J297" s="9" t="n">
        <f aca="false">J306</f>
        <v>1400</v>
      </c>
      <c r="K297" s="9" t="n">
        <f aca="false">K306</f>
        <v>1400</v>
      </c>
      <c r="L297" s="9" t="n">
        <f aca="false">L306</f>
        <v>0</v>
      </c>
      <c r="M297" s="9" t="n">
        <f aca="false">M306</f>
        <v>0</v>
      </c>
      <c r="N297" s="9" t="n">
        <f aca="false">N306</f>
        <v>0</v>
      </c>
      <c r="O297" s="9" t="n">
        <f aca="false">O306</f>
        <v>0</v>
      </c>
      <c r="P297" s="9" t="n">
        <f aca="false">P306</f>
        <v>1400</v>
      </c>
      <c r="Q297" s="9" t="n">
        <f aca="false">Q306</f>
        <v>0</v>
      </c>
      <c r="R297" s="10" t="n">
        <f aca="false">Q297/$P297</f>
        <v>0</v>
      </c>
      <c r="S297" s="9" t="n">
        <f aca="false">S306</f>
        <v>250</v>
      </c>
      <c r="T297" s="10" t="n">
        <f aca="false">S297/$P297</f>
        <v>0.178571428571429</v>
      </c>
      <c r="U297" s="9" t="n">
        <f aca="false">U306</f>
        <v>1400</v>
      </c>
      <c r="V297" s="10" t="n">
        <f aca="false">U297/$P297</f>
        <v>1</v>
      </c>
      <c r="W297" s="9" t="n">
        <f aca="false">W306</f>
        <v>1400</v>
      </c>
      <c r="X297" s="10" t="n">
        <f aca="false">W297/$P297</f>
        <v>1</v>
      </c>
      <c r="Y297" s="9" t="n">
        <f aca="false">Y306</f>
        <v>1400</v>
      </c>
      <c r="Z297" s="9" t="n">
        <f aca="false">Z306</f>
        <v>1400</v>
      </c>
    </row>
    <row r="298" customFormat="false" ht="12.8" hidden="false" customHeight="false" outlineLevel="0" collapsed="false">
      <c r="A298" s="1" t="n">
        <v>5</v>
      </c>
      <c r="B298" s="1" t="n">
        <v>1</v>
      </c>
      <c r="D298" s="14"/>
      <c r="E298" s="15"/>
      <c r="F298" s="11" t="s">
        <v>126</v>
      </c>
      <c r="G298" s="12" t="n">
        <f aca="false">SUM(G295:G297)</f>
        <v>18615.92</v>
      </c>
      <c r="H298" s="12" t="n">
        <f aca="false">SUM(H295:H297)</f>
        <v>20862.97</v>
      </c>
      <c r="I298" s="12" t="n">
        <f aca="false">SUM(I295:I297)</f>
        <v>24440</v>
      </c>
      <c r="J298" s="12" t="n">
        <f aca="false">SUM(J295:J297)</f>
        <v>20190.23</v>
      </c>
      <c r="K298" s="12" t="n">
        <f aca="false">SUM(K295:K297)</f>
        <v>25950</v>
      </c>
      <c r="L298" s="12" t="n">
        <f aca="false">SUM(L295:L297)</f>
        <v>0</v>
      </c>
      <c r="M298" s="12" t="n">
        <f aca="false">SUM(M295:M297)</f>
        <v>0</v>
      </c>
      <c r="N298" s="12" t="n">
        <f aca="false">SUM(N295:N297)</f>
        <v>0</v>
      </c>
      <c r="O298" s="12" t="n">
        <f aca="false">SUM(O295:O297)</f>
        <v>1125</v>
      </c>
      <c r="P298" s="12" t="n">
        <f aca="false">SUM(P295:P297)</f>
        <v>27075</v>
      </c>
      <c r="Q298" s="12" t="n">
        <f aca="false">SUM(Q295:Q297)</f>
        <v>3913.85</v>
      </c>
      <c r="R298" s="13" t="n">
        <f aca="false">Q298/$P298</f>
        <v>0.144555863342567</v>
      </c>
      <c r="S298" s="12" t="n">
        <f aca="false">SUM(S295:S297)</f>
        <v>13337.89</v>
      </c>
      <c r="T298" s="13" t="n">
        <f aca="false">S298/$P298</f>
        <v>0.492627516158818</v>
      </c>
      <c r="U298" s="12" t="n">
        <f aca="false">SUM(U295:U297)</f>
        <v>19453.21</v>
      </c>
      <c r="V298" s="13" t="n">
        <f aca="false">U298/$P298</f>
        <v>0.718493444136657</v>
      </c>
      <c r="W298" s="12" t="n">
        <f aca="false">SUM(W295:W297)</f>
        <v>26153.55</v>
      </c>
      <c r="X298" s="13" t="n">
        <f aca="false">W298/$P298</f>
        <v>0.96596675900277</v>
      </c>
      <c r="Y298" s="12" t="n">
        <f aca="false">SUM(Y295:Y297)</f>
        <v>22950</v>
      </c>
      <c r="Z298" s="12" t="n">
        <f aca="false">SUM(Z295:Z297)</f>
        <v>22950</v>
      </c>
    </row>
    <row r="300" customFormat="false" ht="12.8" hidden="false" customHeight="false" outlineLevel="0" collapsed="false">
      <c r="D300" s="51" t="s">
        <v>205</v>
      </c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customFormat="false" ht="12.8" hidden="false" customHeight="false" outlineLevel="0" collapsed="false">
      <c r="D301" s="5" t="s">
        <v>33</v>
      </c>
      <c r="E301" s="5" t="s">
        <v>34</v>
      </c>
      <c r="F301" s="5" t="s">
        <v>35</v>
      </c>
      <c r="G301" s="5" t="s">
        <v>1</v>
      </c>
      <c r="H301" s="5" t="s">
        <v>2</v>
      </c>
      <c r="I301" s="5" t="s">
        <v>3</v>
      </c>
      <c r="J301" s="5" t="s">
        <v>4</v>
      </c>
      <c r="K301" s="5" t="s">
        <v>5</v>
      </c>
      <c r="L301" s="5" t="s">
        <v>6</v>
      </c>
      <c r="M301" s="5" t="s">
        <v>7</v>
      </c>
      <c r="N301" s="5" t="s">
        <v>8</v>
      </c>
      <c r="O301" s="5" t="s">
        <v>9</v>
      </c>
      <c r="P301" s="5" t="s">
        <v>10</v>
      </c>
      <c r="Q301" s="5" t="s">
        <v>11</v>
      </c>
      <c r="R301" s="5" t="s">
        <v>12</v>
      </c>
      <c r="S301" s="5" t="s">
        <v>13</v>
      </c>
      <c r="T301" s="5" t="s">
        <v>14</v>
      </c>
      <c r="U301" s="5" t="s">
        <v>15</v>
      </c>
      <c r="V301" s="5" t="s">
        <v>16</v>
      </c>
      <c r="W301" s="5" t="s">
        <v>17</v>
      </c>
      <c r="X301" s="5" t="s">
        <v>18</v>
      </c>
      <c r="Y301" s="5" t="s">
        <v>19</v>
      </c>
      <c r="Z301" s="5" t="s">
        <v>20</v>
      </c>
    </row>
    <row r="302" customFormat="false" ht="12.8" hidden="false" customHeight="false" outlineLevel="0" collapsed="false">
      <c r="A302" s="1" t="n">
        <v>5</v>
      </c>
      <c r="B302" s="1" t="n">
        <v>1</v>
      </c>
      <c r="C302" s="1" t="n">
        <v>1</v>
      </c>
      <c r="D302" s="69" t="s">
        <v>206</v>
      </c>
      <c r="E302" s="8" t="n">
        <v>630</v>
      </c>
      <c r="F302" s="8" t="s">
        <v>133</v>
      </c>
      <c r="G302" s="9" t="n">
        <v>751.34</v>
      </c>
      <c r="H302" s="9" t="n">
        <v>1676</v>
      </c>
      <c r="I302" s="9" t="n">
        <v>1350</v>
      </c>
      <c r="J302" s="9" t="n">
        <v>1645.54</v>
      </c>
      <c r="K302" s="9" t="n">
        <v>1200</v>
      </c>
      <c r="L302" s="9"/>
      <c r="M302" s="9"/>
      <c r="N302" s="9"/>
      <c r="O302" s="9"/>
      <c r="P302" s="9" t="n">
        <f aca="false">SUM(K302:O302)</f>
        <v>1200</v>
      </c>
      <c r="Q302" s="9" t="n">
        <v>261.87</v>
      </c>
      <c r="R302" s="10" t="n">
        <f aca="false">Q302/$P302</f>
        <v>0.218225</v>
      </c>
      <c r="S302" s="9" t="n">
        <v>481.89</v>
      </c>
      <c r="T302" s="10" t="n">
        <f aca="false">S302/$P302</f>
        <v>0.401575</v>
      </c>
      <c r="U302" s="9" t="n">
        <v>916.99</v>
      </c>
      <c r="V302" s="10" t="n">
        <f aca="false">U302/$P302</f>
        <v>0.764158333333333</v>
      </c>
      <c r="W302" s="9" t="n">
        <v>1140.77</v>
      </c>
      <c r="X302" s="10" t="n">
        <f aca="false">W302/$P302</f>
        <v>0.950641666666667</v>
      </c>
      <c r="Y302" s="9" t="n">
        <f aca="false">K302</f>
        <v>1200</v>
      </c>
      <c r="Z302" s="9" t="n">
        <f aca="false">Y302</f>
        <v>1200</v>
      </c>
    </row>
    <row r="303" customFormat="false" ht="12.8" hidden="false" customHeight="false" outlineLevel="0" collapsed="false">
      <c r="A303" s="1" t="n">
        <v>5</v>
      </c>
      <c r="B303" s="1" t="n">
        <v>1</v>
      </c>
      <c r="C303" s="1" t="n">
        <v>1</v>
      </c>
      <c r="D303" s="69"/>
      <c r="E303" s="8" t="n">
        <v>640</v>
      </c>
      <c r="F303" s="8" t="s">
        <v>134</v>
      </c>
      <c r="G303" s="9" t="n">
        <v>3700</v>
      </c>
      <c r="H303" s="9" t="n">
        <v>2915</v>
      </c>
      <c r="I303" s="9" t="n">
        <v>2000</v>
      </c>
      <c r="J303" s="9" t="n">
        <v>2000</v>
      </c>
      <c r="K303" s="28" t="n">
        <v>1920</v>
      </c>
      <c r="L303" s="28"/>
      <c r="M303" s="28"/>
      <c r="N303" s="28"/>
      <c r="O303" s="28"/>
      <c r="P303" s="28" t="n">
        <f aca="false">SUM(K303:O303)</f>
        <v>1920</v>
      </c>
      <c r="Q303" s="28" t="n">
        <v>0</v>
      </c>
      <c r="R303" s="10" t="n">
        <f aca="false">Q303/$P303</f>
        <v>0</v>
      </c>
      <c r="S303" s="28" t="n">
        <v>1920</v>
      </c>
      <c r="T303" s="10" t="n">
        <f aca="false">S303/$P303</f>
        <v>1</v>
      </c>
      <c r="U303" s="28" t="n">
        <v>1920</v>
      </c>
      <c r="V303" s="10" t="n">
        <f aca="false">U303/$P303</f>
        <v>1</v>
      </c>
      <c r="W303" s="28" t="n">
        <v>1920</v>
      </c>
      <c r="X303" s="10" t="n">
        <f aca="false">W303/$P303</f>
        <v>1</v>
      </c>
      <c r="Y303" s="9" t="n">
        <f aca="false">K303</f>
        <v>1920</v>
      </c>
      <c r="Z303" s="9" t="n">
        <f aca="false">Y303</f>
        <v>1920</v>
      </c>
    </row>
    <row r="304" customFormat="false" ht="12.8" hidden="false" customHeight="false" outlineLevel="0" collapsed="false">
      <c r="A304" s="1" t="n">
        <v>5</v>
      </c>
      <c r="B304" s="1" t="n">
        <v>1</v>
      </c>
      <c r="C304" s="1" t="n">
        <v>1</v>
      </c>
      <c r="D304" s="70" t="s">
        <v>21</v>
      </c>
      <c r="E304" s="29" t="n">
        <v>41</v>
      </c>
      <c r="F304" s="29" t="s">
        <v>23</v>
      </c>
      <c r="G304" s="30" t="n">
        <f aca="false">SUM(G302:G303)</f>
        <v>4451.34</v>
      </c>
      <c r="H304" s="30" t="n">
        <f aca="false">SUM(H302:H303)</f>
        <v>4591</v>
      </c>
      <c r="I304" s="30" t="n">
        <f aca="false">SUM(I302:I303)</f>
        <v>3350</v>
      </c>
      <c r="J304" s="30" t="n">
        <f aca="false">SUM(J302:J303)</f>
        <v>3645.54</v>
      </c>
      <c r="K304" s="30" t="n">
        <f aca="false">SUM(K302:K303)</f>
        <v>3120</v>
      </c>
      <c r="L304" s="30" t="n">
        <f aca="false">SUM(L302:L303)</f>
        <v>0</v>
      </c>
      <c r="M304" s="30" t="n">
        <f aca="false">SUM(M302:M303)</f>
        <v>0</v>
      </c>
      <c r="N304" s="30" t="n">
        <f aca="false">SUM(N302:N303)</f>
        <v>0</v>
      </c>
      <c r="O304" s="30" t="n">
        <f aca="false">SUM(O302:O303)</f>
        <v>0</v>
      </c>
      <c r="P304" s="30" t="n">
        <f aca="false">SUM(P302:P303)</f>
        <v>3120</v>
      </c>
      <c r="Q304" s="30" t="n">
        <f aca="false">SUM(Q302:Q303)</f>
        <v>261.87</v>
      </c>
      <c r="R304" s="71" t="n">
        <f aca="false">Q304/$P304</f>
        <v>0.0839326923076923</v>
      </c>
      <c r="S304" s="30" t="n">
        <f aca="false">SUM(S302:S303)</f>
        <v>2401.89</v>
      </c>
      <c r="T304" s="71" t="n">
        <f aca="false">S304/$P304</f>
        <v>0.769836538461538</v>
      </c>
      <c r="U304" s="30" t="n">
        <f aca="false">SUM(U302:U303)</f>
        <v>2836.99</v>
      </c>
      <c r="V304" s="71" t="n">
        <f aca="false">U304/$P304</f>
        <v>0.909291666666667</v>
      </c>
      <c r="W304" s="30" t="n">
        <f aca="false">SUM(W302:W303)</f>
        <v>3060.77</v>
      </c>
      <c r="X304" s="71" t="n">
        <f aca="false">W304/$P304</f>
        <v>0.981016025641026</v>
      </c>
      <c r="Y304" s="30" t="n">
        <f aca="false">SUM(Y302:Y303)</f>
        <v>3120</v>
      </c>
      <c r="Z304" s="30" t="n">
        <f aca="false">SUM(Z302:Z303)</f>
        <v>3120</v>
      </c>
    </row>
    <row r="305" customFormat="false" ht="12.8" hidden="false" customHeight="false" outlineLevel="0" collapsed="false">
      <c r="D305" s="56" t="s">
        <v>206</v>
      </c>
      <c r="E305" s="8" t="n">
        <v>630</v>
      </c>
      <c r="F305" s="8" t="s">
        <v>133</v>
      </c>
      <c r="G305" s="9" t="n">
        <v>700</v>
      </c>
      <c r="H305" s="9" t="n">
        <v>1400</v>
      </c>
      <c r="I305" s="9" t="n">
        <v>1400</v>
      </c>
      <c r="J305" s="9" t="n">
        <v>1400</v>
      </c>
      <c r="K305" s="9" t="n">
        <v>1400</v>
      </c>
      <c r="L305" s="9"/>
      <c r="M305" s="9"/>
      <c r="N305" s="9"/>
      <c r="O305" s="9"/>
      <c r="P305" s="9" t="n">
        <f aca="false">SUM(K305:O305)</f>
        <v>1400</v>
      </c>
      <c r="Q305" s="9" t="n">
        <v>0</v>
      </c>
      <c r="R305" s="10" t="n">
        <f aca="false">Q305/$P305</f>
        <v>0</v>
      </c>
      <c r="S305" s="9" t="n">
        <v>250</v>
      </c>
      <c r="T305" s="10" t="n">
        <f aca="false">S305/$P305</f>
        <v>0.178571428571429</v>
      </c>
      <c r="U305" s="9" t="n">
        <v>1400</v>
      </c>
      <c r="V305" s="10" t="n">
        <f aca="false">U305/$P305</f>
        <v>1</v>
      </c>
      <c r="W305" s="9" t="n">
        <v>1400</v>
      </c>
      <c r="X305" s="10" t="n">
        <f aca="false">W305/$P305</f>
        <v>1</v>
      </c>
      <c r="Y305" s="9" t="n">
        <f aca="false">K305</f>
        <v>1400</v>
      </c>
      <c r="Z305" s="9" t="n">
        <f aca="false">Y305</f>
        <v>1400</v>
      </c>
    </row>
    <row r="306" customFormat="false" ht="12.8" hidden="false" customHeight="false" outlineLevel="0" collapsed="false">
      <c r="D306" s="70" t="s">
        <v>21</v>
      </c>
      <c r="E306" s="29" t="n">
        <v>71</v>
      </c>
      <c r="F306" s="29" t="s">
        <v>24</v>
      </c>
      <c r="G306" s="30" t="n">
        <f aca="false">SUM(G305:G305)</f>
        <v>700</v>
      </c>
      <c r="H306" s="30" t="n">
        <f aca="false">SUM(H305:H305)</f>
        <v>1400</v>
      </c>
      <c r="I306" s="30" t="n">
        <f aca="false">SUM(I305:I305)</f>
        <v>1400</v>
      </c>
      <c r="J306" s="30" t="n">
        <f aca="false">SUM(J305:J305)</f>
        <v>1400</v>
      </c>
      <c r="K306" s="30" t="n">
        <f aca="false">SUM(K305:K305)</f>
        <v>1400</v>
      </c>
      <c r="L306" s="30" t="n">
        <f aca="false">SUM(L305:L305)</f>
        <v>0</v>
      </c>
      <c r="M306" s="30" t="n">
        <f aca="false">SUM(M305:M305)</f>
        <v>0</v>
      </c>
      <c r="N306" s="30" t="n">
        <f aca="false">SUM(N305:N305)</f>
        <v>0</v>
      </c>
      <c r="O306" s="30" t="n">
        <f aca="false">SUM(O305:O305)</f>
        <v>0</v>
      </c>
      <c r="P306" s="30" t="n">
        <f aca="false">SUM(P305:P305)</f>
        <v>1400</v>
      </c>
      <c r="Q306" s="30" t="n">
        <f aca="false">SUM(Q305:Q305)</f>
        <v>0</v>
      </c>
      <c r="R306" s="71" t="n">
        <f aca="false">Q306/$P306</f>
        <v>0</v>
      </c>
      <c r="S306" s="30" t="n">
        <f aca="false">SUM(S305:S305)</f>
        <v>250</v>
      </c>
      <c r="T306" s="71" t="n">
        <f aca="false">S306/$P306</f>
        <v>0.178571428571429</v>
      </c>
      <c r="U306" s="30" t="n">
        <f aca="false">SUM(U305:U305)</f>
        <v>1400</v>
      </c>
      <c r="V306" s="71" t="n">
        <f aca="false">U306/$P306</f>
        <v>1</v>
      </c>
      <c r="W306" s="30" t="n">
        <f aca="false">SUM(W305:W305)</f>
        <v>1400</v>
      </c>
      <c r="X306" s="71" t="n">
        <f aca="false">W306/$P306</f>
        <v>1</v>
      </c>
      <c r="Y306" s="30" t="n">
        <f aca="false">SUM(Y305:Y305)</f>
        <v>1400</v>
      </c>
      <c r="Z306" s="30" t="n">
        <f aca="false">SUM(Z305:Z305)</f>
        <v>1400</v>
      </c>
    </row>
    <row r="307" customFormat="false" ht="12.8" hidden="false" customHeight="false" outlineLevel="0" collapsed="false">
      <c r="D307" s="87"/>
      <c r="E307" s="15"/>
      <c r="F307" s="11" t="s">
        <v>126</v>
      </c>
      <c r="G307" s="12" t="n">
        <f aca="false">G304+G306</f>
        <v>5151.34</v>
      </c>
      <c r="H307" s="12" t="n">
        <f aca="false">H304+H306</f>
        <v>5991</v>
      </c>
      <c r="I307" s="12" t="n">
        <f aca="false">I304+I306</f>
        <v>4750</v>
      </c>
      <c r="J307" s="12" t="n">
        <f aca="false">J304+J306</f>
        <v>5045.54</v>
      </c>
      <c r="K307" s="12" t="n">
        <f aca="false">K304+K306</f>
        <v>4520</v>
      </c>
      <c r="L307" s="12" t="n">
        <f aca="false">L304+L306</f>
        <v>0</v>
      </c>
      <c r="M307" s="12" t="n">
        <f aca="false">M304+M306</f>
        <v>0</v>
      </c>
      <c r="N307" s="12" t="n">
        <f aca="false">N304+N306</f>
        <v>0</v>
      </c>
      <c r="O307" s="12" t="n">
        <f aca="false">O304+O306</f>
        <v>0</v>
      </c>
      <c r="P307" s="12" t="n">
        <f aca="false">P304+P306</f>
        <v>4520</v>
      </c>
      <c r="Q307" s="12" t="n">
        <f aca="false">Q304+Q306</f>
        <v>261.87</v>
      </c>
      <c r="R307" s="13" t="n">
        <f aca="false">Q307/$P307</f>
        <v>0.0579358407079646</v>
      </c>
      <c r="S307" s="12" t="n">
        <f aca="false">S304+S306</f>
        <v>2651.89</v>
      </c>
      <c r="T307" s="13" t="n">
        <f aca="false">S307/$P307</f>
        <v>0.586701327433628</v>
      </c>
      <c r="U307" s="12" t="n">
        <f aca="false">U304+U306</f>
        <v>4236.99</v>
      </c>
      <c r="V307" s="13" t="n">
        <f aca="false">U307/$P307</f>
        <v>0.937387168141593</v>
      </c>
      <c r="W307" s="12" t="n">
        <f aca="false">W304+W306</f>
        <v>4460.77</v>
      </c>
      <c r="X307" s="13" t="n">
        <f aca="false">W307/$P307</f>
        <v>0.986896017699115</v>
      </c>
      <c r="Y307" s="12" t="n">
        <f aca="false">Y304+Y306</f>
        <v>4520</v>
      </c>
      <c r="Z307" s="12" t="n">
        <f aca="false">Z304+Z306</f>
        <v>4520</v>
      </c>
    </row>
    <row r="309" customFormat="false" ht="12.8" hidden="false" customHeight="false" outlineLevel="0" collapsed="false">
      <c r="E309" s="91" t="s">
        <v>57</v>
      </c>
      <c r="F309" s="92" t="s">
        <v>150</v>
      </c>
      <c r="G309" s="93" t="n">
        <v>209</v>
      </c>
      <c r="H309" s="93" t="n">
        <v>209</v>
      </c>
      <c r="I309" s="94" t="n">
        <v>209</v>
      </c>
      <c r="J309" s="94" t="n">
        <v>979</v>
      </c>
      <c r="K309" s="94" t="n">
        <v>803</v>
      </c>
      <c r="L309" s="94"/>
      <c r="M309" s="94"/>
      <c r="N309" s="94"/>
      <c r="O309" s="94"/>
      <c r="P309" s="94" t="n">
        <f aca="false">SUM(K309:O309)</f>
        <v>803</v>
      </c>
      <c r="Q309" s="94" t="n">
        <v>146</v>
      </c>
      <c r="R309" s="95" t="n">
        <f aca="false">Q309/$P309</f>
        <v>0.181818181818182</v>
      </c>
      <c r="S309" s="94" t="n">
        <v>365</v>
      </c>
      <c r="T309" s="95" t="n">
        <f aca="false">S309/$P309</f>
        <v>0.454545454545455</v>
      </c>
      <c r="U309" s="94" t="n">
        <v>584</v>
      </c>
      <c r="V309" s="95" t="n">
        <f aca="false">U309/$P309</f>
        <v>0.727272727272727</v>
      </c>
      <c r="W309" s="94" t="n">
        <v>803</v>
      </c>
      <c r="X309" s="96" t="n">
        <f aca="false">W309/$P309</f>
        <v>1</v>
      </c>
      <c r="Y309" s="94" t="n">
        <f aca="false">K309</f>
        <v>803</v>
      </c>
      <c r="Z309" s="97" t="n">
        <f aca="false">Y309</f>
        <v>803</v>
      </c>
    </row>
    <row r="311" customFormat="false" ht="12.8" hidden="false" customHeight="false" outlineLevel="0" collapsed="false">
      <c r="D311" s="51" t="s">
        <v>207</v>
      </c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customFormat="false" ht="12.8" hidden="false" customHeight="false" outlineLevel="0" collapsed="false">
      <c r="D312" s="5" t="s">
        <v>33</v>
      </c>
      <c r="E312" s="5" t="s">
        <v>34</v>
      </c>
      <c r="F312" s="5" t="s">
        <v>35</v>
      </c>
      <c r="G312" s="5" t="s">
        <v>1</v>
      </c>
      <c r="H312" s="5" t="s">
        <v>2</v>
      </c>
      <c r="I312" s="5" t="s">
        <v>3</v>
      </c>
      <c r="J312" s="5" t="s">
        <v>4</v>
      </c>
      <c r="K312" s="5" t="s">
        <v>5</v>
      </c>
      <c r="L312" s="5" t="s">
        <v>6</v>
      </c>
      <c r="M312" s="5" t="s">
        <v>7</v>
      </c>
      <c r="N312" s="5" t="s">
        <v>8</v>
      </c>
      <c r="O312" s="5" t="s">
        <v>9</v>
      </c>
      <c r="P312" s="5" t="s">
        <v>10</v>
      </c>
      <c r="Q312" s="5" t="s">
        <v>11</v>
      </c>
      <c r="R312" s="5" t="s">
        <v>12</v>
      </c>
      <c r="S312" s="5" t="s">
        <v>13</v>
      </c>
      <c r="T312" s="5" t="s">
        <v>14</v>
      </c>
      <c r="U312" s="5" t="s">
        <v>15</v>
      </c>
      <c r="V312" s="5" t="s">
        <v>16</v>
      </c>
      <c r="W312" s="5" t="s">
        <v>17</v>
      </c>
      <c r="X312" s="5" t="s">
        <v>18</v>
      </c>
      <c r="Y312" s="5" t="s">
        <v>19</v>
      </c>
      <c r="Z312" s="5" t="s">
        <v>20</v>
      </c>
    </row>
    <row r="313" customFormat="false" ht="12.8" hidden="false" customHeight="false" outlineLevel="0" collapsed="false">
      <c r="A313" s="1" t="n">
        <v>5</v>
      </c>
      <c r="B313" s="1" t="n">
        <v>1</v>
      </c>
      <c r="C313" s="1" t="n">
        <v>2</v>
      </c>
      <c r="D313" s="69" t="s">
        <v>208</v>
      </c>
      <c r="E313" s="8" t="n">
        <v>610</v>
      </c>
      <c r="F313" s="8" t="s">
        <v>131</v>
      </c>
      <c r="G313" s="9" t="n">
        <v>0</v>
      </c>
      <c r="H313" s="9" t="n">
        <v>0</v>
      </c>
      <c r="I313" s="9" t="n">
        <v>0</v>
      </c>
      <c r="J313" s="9" t="n">
        <v>0</v>
      </c>
      <c r="K313" s="9" t="n">
        <v>0</v>
      </c>
      <c r="L313" s="9"/>
      <c r="M313" s="9"/>
      <c r="N313" s="9"/>
      <c r="O313" s="9" t="n">
        <v>214</v>
      </c>
      <c r="P313" s="9" t="n">
        <f aca="false">SUM(K313:O313)</f>
        <v>214</v>
      </c>
      <c r="Q313" s="9" t="n">
        <v>0</v>
      </c>
      <c r="R313" s="10" t="n">
        <f aca="false">Q313/$P313</f>
        <v>0</v>
      </c>
      <c r="S313" s="9" t="n">
        <v>0</v>
      </c>
      <c r="T313" s="10" t="n">
        <f aca="false">S313/$P313</f>
        <v>0</v>
      </c>
      <c r="U313" s="9" t="n">
        <v>0</v>
      </c>
      <c r="V313" s="10" t="n">
        <f aca="false">U313/$P313</f>
        <v>0</v>
      </c>
      <c r="W313" s="9" t="n">
        <v>213.96</v>
      </c>
      <c r="X313" s="10" t="n">
        <f aca="false">W313/$P313</f>
        <v>0.999813084112149</v>
      </c>
      <c r="Y313" s="9" t="n">
        <f aca="false">K313</f>
        <v>0</v>
      </c>
      <c r="Z313" s="9" t="n">
        <f aca="false">Y313</f>
        <v>0</v>
      </c>
    </row>
    <row r="314" customFormat="false" ht="12.8" hidden="false" customHeight="false" outlineLevel="0" collapsed="false">
      <c r="D314" s="69"/>
      <c r="E314" s="8" t="n">
        <v>620</v>
      </c>
      <c r="F314" s="8" t="s">
        <v>132</v>
      </c>
      <c r="G314" s="9" t="n">
        <v>0</v>
      </c>
      <c r="H314" s="9" t="n">
        <v>51.75</v>
      </c>
      <c r="I314" s="9" t="n">
        <v>52</v>
      </c>
      <c r="J314" s="9" t="n">
        <v>51.55</v>
      </c>
      <c r="K314" s="9" t="n">
        <v>35</v>
      </c>
      <c r="L314" s="9"/>
      <c r="M314" s="9"/>
      <c r="N314" s="9"/>
      <c r="O314" s="9" t="n">
        <v>100</v>
      </c>
      <c r="P314" s="9" t="n">
        <f aca="false">SUM(K314:O314)</f>
        <v>135</v>
      </c>
      <c r="Q314" s="9" t="n">
        <v>0</v>
      </c>
      <c r="R314" s="10" t="n">
        <f aca="false">Q314/$P314</f>
        <v>0</v>
      </c>
      <c r="S314" s="9" t="n">
        <v>0</v>
      </c>
      <c r="T314" s="10" t="n">
        <f aca="false">S314/$P314</f>
        <v>0</v>
      </c>
      <c r="U314" s="9" t="n">
        <v>0</v>
      </c>
      <c r="V314" s="10" t="n">
        <f aca="false">U314/$P314</f>
        <v>0</v>
      </c>
      <c r="W314" s="9" t="n">
        <v>136.21</v>
      </c>
      <c r="X314" s="10" t="n">
        <f aca="false">W314/$P314</f>
        <v>1.00896296296296</v>
      </c>
      <c r="Y314" s="9" t="n">
        <f aca="false">K314</f>
        <v>35</v>
      </c>
      <c r="Z314" s="9" t="n">
        <f aca="false">Y314</f>
        <v>35</v>
      </c>
    </row>
    <row r="315" customFormat="false" ht="12.8" hidden="false" customHeight="false" outlineLevel="0" collapsed="false">
      <c r="A315" s="1" t="n">
        <v>5</v>
      </c>
      <c r="B315" s="1" t="n">
        <v>1</v>
      </c>
      <c r="C315" s="1" t="n">
        <v>2</v>
      </c>
      <c r="D315" s="69"/>
      <c r="E315" s="8" t="n">
        <v>630</v>
      </c>
      <c r="F315" s="8" t="s">
        <v>133</v>
      </c>
      <c r="G315" s="9" t="n">
        <v>0</v>
      </c>
      <c r="H315" s="9" t="n">
        <v>159.02</v>
      </c>
      <c r="I315" s="9" t="n">
        <v>158</v>
      </c>
      <c r="J315" s="9" t="n">
        <v>158.45</v>
      </c>
      <c r="K315" s="9" t="n">
        <f aca="false">175+3000</f>
        <v>3175</v>
      </c>
      <c r="L315" s="9"/>
      <c r="M315" s="9"/>
      <c r="N315" s="9"/>
      <c r="O315" s="9" t="n">
        <v>-113</v>
      </c>
      <c r="P315" s="9" t="n">
        <f aca="false">SUM(K315:O315)</f>
        <v>3062</v>
      </c>
      <c r="Q315" s="9" t="n">
        <v>0</v>
      </c>
      <c r="R315" s="10" t="n">
        <f aca="false">Q315/$P315</f>
        <v>0</v>
      </c>
      <c r="S315" s="9" t="n">
        <v>2444.4</v>
      </c>
      <c r="T315" s="10" t="n">
        <f aca="false">S315/$P315</f>
        <v>0.798301763553233</v>
      </c>
      <c r="U315" s="9" t="n">
        <v>2444.4</v>
      </c>
      <c r="V315" s="10" t="n">
        <f aca="false">U315/$P315</f>
        <v>0.798301763553233</v>
      </c>
      <c r="W315" s="9" t="n">
        <v>3062.4</v>
      </c>
      <c r="X315" s="10" t="n">
        <f aca="false">W315/$P315</f>
        <v>1.00013063357283</v>
      </c>
      <c r="Y315" s="9" t="n">
        <v>175</v>
      </c>
      <c r="Z315" s="9" t="n">
        <f aca="false">Y315</f>
        <v>175</v>
      </c>
    </row>
    <row r="316" customFormat="false" ht="12.8" hidden="false" customHeight="false" outlineLevel="0" collapsed="false">
      <c r="A316" s="1" t="n">
        <v>5</v>
      </c>
      <c r="B316" s="1" t="n">
        <v>1</v>
      </c>
      <c r="C316" s="1" t="n">
        <v>2</v>
      </c>
      <c r="D316" s="70" t="s">
        <v>21</v>
      </c>
      <c r="E316" s="29" t="n">
        <v>111</v>
      </c>
      <c r="F316" s="29" t="s">
        <v>136</v>
      </c>
      <c r="G316" s="30" t="n">
        <f aca="false">SUM(G313:G315)</f>
        <v>0</v>
      </c>
      <c r="H316" s="30" t="n">
        <f aca="false">SUM(H313:H315)</f>
        <v>210.77</v>
      </c>
      <c r="I316" s="30" t="n">
        <f aca="false">SUM(I313:I315)</f>
        <v>210</v>
      </c>
      <c r="J316" s="30" t="n">
        <f aca="false">SUM(J313:J315)</f>
        <v>210</v>
      </c>
      <c r="K316" s="30" t="n">
        <f aca="false">SUM(K313:K315)</f>
        <v>3210</v>
      </c>
      <c r="L316" s="30" t="n">
        <f aca="false">SUM(L313:L315)</f>
        <v>0</v>
      </c>
      <c r="M316" s="30" t="n">
        <f aca="false">SUM(M313:M315)</f>
        <v>0</v>
      </c>
      <c r="N316" s="30" t="n">
        <f aca="false">SUM(N313:N315)</f>
        <v>0</v>
      </c>
      <c r="O316" s="30" t="n">
        <f aca="false">SUM(O313:O315)</f>
        <v>201</v>
      </c>
      <c r="P316" s="30" t="n">
        <f aca="false">SUM(P313:P315)</f>
        <v>3411</v>
      </c>
      <c r="Q316" s="30" t="n">
        <f aca="false">SUM(Q313:Q315)</f>
        <v>0</v>
      </c>
      <c r="R316" s="71" t="n">
        <f aca="false">Q316/$P316</f>
        <v>0</v>
      </c>
      <c r="S316" s="30" t="n">
        <f aca="false">SUM(S313:S315)</f>
        <v>2444.4</v>
      </c>
      <c r="T316" s="71" t="n">
        <f aca="false">S316/$P316</f>
        <v>0.716622691292876</v>
      </c>
      <c r="U316" s="30" t="n">
        <f aca="false">SUM(U313:U315)</f>
        <v>2444.4</v>
      </c>
      <c r="V316" s="71" t="n">
        <f aca="false">U316/$P316</f>
        <v>0.716622691292876</v>
      </c>
      <c r="W316" s="30" t="n">
        <f aca="false">SUM(W313:W315)</f>
        <v>3412.57</v>
      </c>
      <c r="X316" s="71" t="n">
        <f aca="false">W316/$P316</f>
        <v>1.00046027557901</v>
      </c>
      <c r="Y316" s="30" t="n">
        <f aca="false">SUM(Y313:Y315)</f>
        <v>210</v>
      </c>
      <c r="Z316" s="30" t="n">
        <f aca="false">SUM(Z313:Z315)</f>
        <v>210</v>
      </c>
    </row>
    <row r="317" customFormat="false" ht="12.8" hidden="false" customHeight="false" outlineLevel="0" collapsed="false">
      <c r="A317" s="1" t="n">
        <v>5</v>
      </c>
      <c r="B317" s="1" t="n">
        <v>1</v>
      </c>
      <c r="C317" s="1" t="n">
        <v>2</v>
      </c>
      <c r="D317" s="69" t="s">
        <v>208</v>
      </c>
      <c r="E317" s="8" t="n">
        <v>630</v>
      </c>
      <c r="F317" s="8" t="s">
        <v>133</v>
      </c>
      <c r="G317" s="9" t="n">
        <v>0</v>
      </c>
      <c r="H317" s="9" t="n">
        <v>144.73</v>
      </c>
      <c r="I317" s="9" t="n">
        <v>0</v>
      </c>
      <c r="J317" s="9" t="n">
        <v>0</v>
      </c>
      <c r="K317" s="9" t="n">
        <v>0</v>
      </c>
      <c r="L317" s="9"/>
      <c r="M317" s="9"/>
      <c r="N317" s="9"/>
      <c r="O317" s="9"/>
      <c r="P317" s="9" t="n">
        <f aca="false">SUM(K317:O317)</f>
        <v>0</v>
      </c>
      <c r="Q317" s="9" t="n">
        <v>0</v>
      </c>
      <c r="R317" s="10" t="e">
        <f aca="false">Q317/$P317</f>
        <v>#DIV/0!</v>
      </c>
      <c r="S317" s="9" t="n">
        <v>0</v>
      </c>
      <c r="T317" s="10" t="e">
        <f aca="false">S317/$P317</f>
        <v>#DIV/0!</v>
      </c>
      <c r="U317" s="9" t="n">
        <v>0</v>
      </c>
      <c r="V317" s="10" t="e">
        <f aca="false">U317/$P317</f>
        <v>#DIV/0!</v>
      </c>
      <c r="W317" s="9" t="n">
        <v>0</v>
      </c>
      <c r="X317" s="10" t="e">
        <f aca="false">W317/$P317</f>
        <v>#DIV/0!</v>
      </c>
      <c r="Y317" s="9" t="n">
        <f aca="false">K317</f>
        <v>0</v>
      </c>
      <c r="Z317" s="9" t="n">
        <f aca="false">Y317</f>
        <v>0</v>
      </c>
    </row>
    <row r="318" customFormat="false" ht="12.8" hidden="false" customHeight="false" outlineLevel="0" collapsed="false">
      <c r="A318" s="1" t="n">
        <v>5</v>
      </c>
      <c r="B318" s="1" t="n">
        <v>1</v>
      </c>
      <c r="C318" s="1" t="n">
        <v>2</v>
      </c>
      <c r="D318" s="70" t="s">
        <v>21</v>
      </c>
      <c r="E318" s="29" t="n">
        <v>41</v>
      </c>
      <c r="F318" s="29" t="s">
        <v>23</v>
      </c>
      <c r="G318" s="30" t="n">
        <f aca="false">SUM(G317:G317)</f>
        <v>0</v>
      </c>
      <c r="H318" s="30" t="n">
        <f aca="false">SUM(H317:H317)</f>
        <v>144.73</v>
      </c>
      <c r="I318" s="30" t="n">
        <f aca="false">SUM(I317)</f>
        <v>0</v>
      </c>
      <c r="J318" s="30" t="n">
        <f aca="false">SUM(J317)</f>
        <v>0</v>
      </c>
      <c r="K318" s="30" t="n">
        <f aca="false">SUM(K317)</f>
        <v>0</v>
      </c>
      <c r="L318" s="30" t="n">
        <f aca="false">SUM(L317)</f>
        <v>0</v>
      </c>
      <c r="M318" s="30" t="n">
        <f aca="false">SUM(M317)</f>
        <v>0</v>
      </c>
      <c r="N318" s="30" t="n">
        <f aca="false">SUM(N317)</f>
        <v>0</v>
      </c>
      <c r="O318" s="30" t="n">
        <f aca="false">SUM(O317)</f>
        <v>0</v>
      </c>
      <c r="P318" s="30" t="n">
        <f aca="false">SUM(P317)</f>
        <v>0</v>
      </c>
      <c r="Q318" s="30" t="n">
        <f aca="false">SUM(Q317)</f>
        <v>0</v>
      </c>
      <c r="R318" s="71" t="e">
        <f aca="false">Q318/$P318</f>
        <v>#DIV/0!</v>
      </c>
      <c r="S318" s="30" t="n">
        <f aca="false">SUM(S317)</f>
        <v>0</v>
      </c>
      <c r="T318" s="71" t="e">
        <f aca="false">S318/$P318</f>
        <v>#DIV/0!</v>
      </c>
      <c r="U318" s="30" t="n">
        <f aca="false">SUM(U317)</f>
        <v>0</v>
      </c>
      <c r="V318" s="71" t="e">
        <f aca="false">U318/$P318</f>
        <v>#DIV/0!</v>
      </c>
      <c r="W318" s="30" t="n">
        <f aca="false">SUM(W317)</f>
        <v>0</v>
      </c>
      <c r="X318" s="71" t="e">
        <f aca="false">W318/$P318</f>
        <v>#DIV/0!</v>
      </c>
      <c r="Y318" s="30" t="n">
        <f aca="false">SUM(Y317:Y317)</f>
        <v>0</v>
      </c>
      <c r="Z318" s="30" t="n">
        <f aca="false">SUM(Z317:Z317)</f>
        <v>0</v>
      </c>
    </row>
    <row r="319" customFormat="false" ht="12.8" hidden="false" customHeight="false" outlineLevel="0" collapsed="false">
      <c r="D319" s="14"/>
      <c r="E319" s="15"/>
      <c r="F319" s="11" t="s">
        <v>126</v>
      </c>
      <c r="G319" s="12" t="n">
        <f aca="false">G316+G318</f>
        <v>0</v>
      </c>
      <c r="H319" s="12" t="n">
        <f aca="false">H316+H318</f>
        <v>355.5</v>
      </c>
      <c r="I319" s="12" t="n">
        <f aca="false">I316+I318</f>
        <v>210</v>
      </c>
      <c r="J319" s="12" t="n">
        <f aca="false">J316+J318</f>
        <v>210</v>
      </c>
      <c r="K319" s="12" t="n">
        <f aca="false">K316+K318</f>
        <v>3210</v>
      </c>
      <c r="L319" s="12" t="n">
        <f aca="false">L316+L318</f>
        <v>0</v>
      </c>
      <c r="M319" s="12" t="n">
        <f aca="false">M316+M318</f>
        <v>0</v>
      </c>
      <c r="N319" s="12" t="n">
        <f aca="false">N316+N318</f>
        <v>0</v>
      </c>
      <c r="O319" s="12" t="n">
        <f aca="false">O316+O318</f>
        <v>201</v>
      </c>
      <c r="P319" s="12" t="n">
        <f aca="false">P316+P318</f>
        <v>3411</v>
      </c>
      <c r="Q319" s="12" t="n">
        <f aca="false">Q316+Q318</f>
        <v>0</v>
      </c>
      <c r="R319" s="13" t="n">
        <f aca="false">Q319/$P319</f>
        <v>0</v>
      </c>
      <c r="S319" s="12" t="n">
        <f aca="false">S316+S318</f>
        <v>2444.4</v>
      </c>
      <c r="T319" s="13" t="n">
        <f aca="false">S319/$P319</f>
        <v>0.716622691292876</v>
      </c>
      <c r="U319" s="12" t="n">
        <f aca="false">U316+U318</f>
        <v>2444.4</v>
      </c>
      <c r="V319" s="13" t="n">
        <f aca="false">U319/$P319</f>
        <v>0.716622691292876</v>
      </c>
      <c r="W319" s="12" t="n">
        <f aca="false">W316+W318</f>
        <v>3412.57</v>
      </c>
      <c r="X319" s="13" t="n">
        <f aca="false">W319/$P319</f>
        <v>1.00046027557901</v>
      </c>
      <c r="Y319" s="12" t="n">
        <f aca="false">Y316+Y318</f>
        <v>210</v>
      </c>
      <c r="Z319" s="12" t="n">
        <f aca="false">Z316+Z318</f>
        <v>210</v>
      </c>
    </row>
    <row r="321" customFormat="false" ht="12.8" hidden="false" customHeight="false" outlineLevel="0" collapsed="false">
      <c r="E321" s="91" t="s">
        <v>57</v>
      </c>
      <c r="F321" s="92" t="s">
        <v>209</v>
      </c>
      <c r="G321" s="93"/>
      <c r="H321" s="93"/>
      <c r="I321" s="94"/>
      <c r="J321" s="94"/>
      <c r="K321" s="94" t="n">
        <v>3000</v>
      </c>
      <c r="L321" s="94"/>
      <c r="M321" s="94"/>
      <c r="N321" s="94"/>
      <c r="O321" s="94" t="n">
        <v>161</v>
      </c>
      <c r="P321" s="94" t="n">
        <f aca="false">SUM(K321:O321)</f>
        <v>3161</v>
      </c>
      <c r="Q321" s="94" t="n">
        <v>0</v>
      </c>
      <c r="R321" s="95" t="n">
        <f aca="false">Q321/$P321</f>
        <v>0</v>
      </c>
      <c r="S321" s="94" t="n">
        <v>2444.4</v>
      </c>
      <c r="T321" s="95" t="n">
        <f aca="false">S321/$P321</f>
        <v>0.773299588737741</v>
      </c>
      <c r="U321" s="94" t="n">
        <v>2444.4</v>
      </c>
      <c r="V321" s="95" t="n">
        <f aca="false">U321/$P321</f>
        <v>0.773299588737741</v>
      </c>
      <c r="W321" s="94" t="n">
        <v>3161.48</v>
      </c>
      <c r="X321" s="96" t="n">
        <f aca="false">W321/$P321</f>
        <v>1.00015185068016</v>
      </c>
      <c r="Y321" s="94"/>
      <c r="Z321" s="97"/>
    </row>
    <row r="323" customFormat="false" ht="12.8" hidden="false" customHeight="false" outlineLevel="0" collapsed="false">
      <c r="D323" s="51" t="s">
        <v>210</v>
      </c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customFormat="false" ht="12.8" hidden="false" customHeight="false" outlineLevel="0" collapsed="false">
      <c r="D324" s="5" t="s">
        <v>33</v>
      </c>
      <c r="E324" s="5" t="s">
        <v>34</v>
      </c>
      <c r="F324" s="5" t="s">
        <v>35</v>
      </c>
      <c r="G324" s="5" t="s">
        <v>1</v>
      </c>
      <c r="H324" s="5" t="s">
        <v>2</v>
      </c>
      <c r="I324" s="5" t="s">
        <v>3</v>
      </c>
      <c r="J324" s="5" t="s">
        <v>4</v>
      </c>
      <c r="K324" s="5" t="s">
        <v>5</v>
      </c>
      <c r="L324" s="5" t="s">
        <v>6</v>
      </c>
      <c r="M324" s="5" t="s">
        <v>7</v>
      </c>
      <c r="N324" s="5" t="s">
        <v>8</v>
      </c>
      <c r="O324" s="5" t="s">
        <v>9</v>
      </c>
      <c r="P324" s="5" t="s">
        <v>10</v>
      </c>
      <c r="Q324" s="5" t="s">
        <v>11</v>
      </c>
      <c r="R324" s="5" t="s">
        <v>12</v>
      </c>
      <c r="S324" s="5" t="s">
        <v>13</v>
      </c>
      <c r="T324" s="5" t="s">
        <v>14</v>
      </c>
      <c r="U324" s="5" t="s">
        <v>15</v>
      </c>
      <c r="V324" s="5" t="s">
        <v>16</v>
      </c>
      <c r="W324" s="5" t="s">
        <v>17</v>
      </c>
      <c r="X324" s="5" t="s">
        <v>18</v>
      </c>
      <c r="Y324" s="5" t="s">
        <v>19</v>
      </c>
      <c r="Z324" s="5" t="s">
        <v>20</v>
      </c>
    </row>
    <row r="325" customFormat="false" ht="12.8" hidden="false" customHeight="false" outlineLevel="0" collapsed="false">
      <c r="A325" s="1" t="n">
        <v>5</v>
      </c>
      <c r="B325" s="1" t="n">
        <v>1</v>
      </c>
      <c r="C325" s="1" t="n">
        <v>3</v>
      </c>
      <c r="D325" s="69" t="s">
        <v>211</v>
      </c>
      <c r="E325" s="8" t="n">
        <v>620</v>
      </c>
      <c r="F325" s="8" t="s">
        <v>132</v>
      </c>
      <c r="G325" s="9" t="n">
        <v>828.31</v>
      </c>
      <c r="H325" s="9" t="n">
        <v>892.48</v>
      </c>
      <c r="I325" s="9" t="n">
        <v>840</v>
      </c>
      <c r="J325" s="9" t="n">
        <v>1170.71</v>
      </c>
      <c r="K325" s="9" t="n">
        <v>1470</v>
      </c>
      <c r="L325" s="9"/>
      <c r="M325" s="9"/>
      <c r="N325" s="9"/>
      <c r="O325" s="9"/>
      <c r="P325" s="9" t="n">
        <f aca="false">SUM(K325:O325)</f>
        <v>1470</v>
      </c>
      <c r="Q325" s="9" t="n">
        <v>348.67</v>
      </c>
      <c r="R325" s="10" t="n">
        <f aca="false">Q325/$P325</f>
        <v>0.237190476190476</v>
      </c>
      <c r="S325" s="9" t="n">
        <v>722.23</v>
      </c>
      <c r="T325" s="10" t="n">
        <f aca="false">S325/$P325</f>
        <v>0.491312925170068</v>
      </c>
      <c r="U325" s="9" t="n">
        <v>1095.79</v>
      </c>
      <c r="V325" s="10" t="n">
        <f aca="false">U325/$P325</f>
        <v>0.74543537414966</v>
      </c>
      <c r="W325" s="9" t="n">
        <v>1469.35</v>
      </c>
      <c r="X325" s="10" t="n">
        <f aca="false">W325/$P325</f>
        <v>0.999557823129252</v>
      </c>
      <c r="Y325" s="9" t="n">
        <f aca="false">K325</f>
        <v>1470</v>
      </c>
      <c r="Z325" s="9" t="n">
        <f aca="false">Y325</f>
        <v>1470</v>
      </c>
    </row>
    <row r="326" customFormat="false" ht="12.8" hidden="false" customHeight="false" outlineLevel="0" collapsed="false">
      <c r="A326" s="1" t="n">
        <v>5</v>
      </c>
      <c r="B326" s="1" t="n">
        <v>1</v>
      </c>
      <c r="C326" s="1" t="n">
        <v>3</v>
      </c>
      <c r="D326" s="69"/>
      <c r="E326" s="8" t="n">
        <v>630</v>
      </c>
      <c r="F326" s="8" t="s">
        <v>133</v>
      </c>
      <c r="G326" s="9" t="n">
        <v>12581.27</v>
      </c>
      <c r="H326" s="9" t="n">
        <v>12346.19</v>
      </c>
      <c r="I326" s="9" t="n">
        <v>18140</v>
      </c>
      <c r="J326" s="9" t="n">
        <v>13708.98</v>
      </c>
      <c r="K326" s="9" t="n">
        <v>15750</v>
      </c>
      <c r="L326" s="9"/>
      <c r="M326" s="9"/>
      <c r="N326" s="9"/>
      <c r="O326" s="9" t="n">
        <v>924</v>
      </c>
      <c r="P326" s="9" t="n">
        <f aca="false">SUM(K326:O326)</f>
        <v>16674</v>
      </c>
      <c r="Q326" s="9" t="n">
        <v>3225.81</v>
      </c>
      <c r="R326" s="10" t="n">
        <f aca="false">Q326/$P326</f>
        <v>0.193463476070529</v>
      </c>
      <c r="S326" s="9" t="n">
        <v>7382.47</v>
      </c>
      <c r="T326" s="10" t="n">
        <f aca="false">S326/$P326</f>
        <v>0.442753388509056</v>
      </c>
      <c r="U326" s="9" t="n">
        <v>11539.13</v>
      </c>
      <c r="V326" s="10" t="n">
        <f aca="false">U326/$P326</f>
        <v>0.692043300947583</v>
      </c>
      <c r="W326" s="9" t="n">
        <v>16673.96</v>
      </c>
      <c r="X326" s="10" t="n">
        <f aca="false">W326/$P326</f>
        <v>0.999997601055535</v>
      </c>
      <c r="Y326" s="9" t="n">
        <f aca="false">K326</f>
        <v>15750</v>
      </c>
      <c r="Z326" s="9" t="n">
        <f aca="false">Y326</f>
        <v>15750</v>
      </c>
    </row>
    <row r="327" customFormat="false" ht="12.8" hidden="false" customHeight="false" outlineLevel="0" collapsed="false">
      <c r="A327" s="1" t="n">
        <v>5</v>
      </c>
      <c r="B327" s="1" t="n">
        <v>1</v>
      </c>
      <c r="C327" s="1" t="n">
        <v>3</v>
      </c>
      <c r="D327" s="55" t="s">
        <v>21</v>
      </c>
      <c r="E327" s="11" t="n">
        <v>41</v>
      </c>
      <c r="F327" s="11" t="s">
        <v>23</v>
      </c>
      <c r="G327" s="12" t="n">
        <f aca="false">SUM(G325:G326)</f>
        <v>13409.58</v>
      </c>
      <c r="H327" s="12" t="n">
        <f aca="false">SUM(H325:H326)</f>
        <v>13238.67</v>
      </c>
      <c r="I327" s="12" t="n">
        <f aca="false">SUM(I325:I326)</f>
        <v>18980</v>
      </c>
      <c r="J327" s="12" t="n">
        <f aca="false">SUM(J325:J326)</f>
        <v>14879.69</v>
      </c>
      <c r="K327" s="12" t="n">
        <f aca="false">SUM(K325:K326)</f>
        <v>17220</v>
      </c>
      <c r="L327" s="12" t="n">
        <f aca="false">SUM(L325:L326)</f>
        <v>0</v>
      </c>
      <c r="M327" s="12" t="n">
        <f aca="false">SUM(M325:M326)</f>
        <v>0</v>
      </c>
      <c r="N327" s="12" t="n">
        <f aca="false">SUM(N325:N326)</f>
        <v>0</v>
      </c>
      <c r="O327" s="12" t="n">
        <f aca="false">SUM(O325:O326)</f>
        <v>924</v>
      </c>
      <c r="P327" s="12" t="n">
        <f aca="false">SUM(P325:P326)</f>
        <v>18144</v>
      </c>
      <c r="Q327" s="12" t="n">
        <f aca="false">SUM(Q325:Q326)</f>
        <v>3574.48</v>
      </c>
      <c r="R327" s="13" t="n">
        <f aca="false">Q327/$P327</f>
        <v>0.197006172839506</v>
      </c>
      <c r="S327" s="12" t="n">
        <f aca="false">SUM(S325:S326)</f>
        <v>8104.7</v>
      </c>
      <c r="T327" s="13" t="n">
        <f aca="false">S327/$P327</f>
        <v>0.446687610229277</v>
      </c>
      <c r="U327" s="12" t="n">
        <f aca="false">SUM(U325:U326)</f>
        <v>12634.92</v>
      </c>
      <c r="V327" s="13" t="n">
        <f aca="false">U327/$P327</f>
        <v>0.696369047619048</v>
      </c>
      <c r="W327" s="12" t="n">
        <f aca="false">SUM(W325:W326)</f>
        <v>18143.31</v>
      </c>
      <c r="X327" s="13" t="n">
        <f aca="false">W327/$P327</f>
        <v>0.999961970899471</v>
      </c>
      <c r="Y327" s="12" t="n">
        <f aca="false">SUM(Y325:Y326)</f>
        <v>17220</v>
      </c>
      <c r="Z327" s="12" t="n">
        <f aca="false">SUM(Z325:Z326)</f>
        <v>17220</v>
      </c>
    </row>
    <row r="329" customFormat="false" ht="12.8" hidden="false" customHeight="false" outlineLevel="0" collapsed="false">
      <c r="E329" s="32" t="s">
        <v>57</v>
      </c>
      <c r="F329" s="14" t="s">
        <v>150</v>
      </c>
      <c r="G329" s="33" t="n">
        <v>9525.85</v>
      </c>
      <c r="H329" s="33" t="n">
        <v>9251</v>
      </c>
      <c r="I329" s="33" t="n">
        <v>9251</v>
      </c>
      <c r="J329" s="33" t="n">
        <v>9713</v>
      </c>
      <c r="K329" s="33" t="n">
        <v>10895</v>
      </c>
      <c r="L329" s="33"/>
      <c r="M329" s="33"/>
      <c r="N329" s="33"/>
      <c r="O329" s="33"/>
      <c r="P329" s="33" t="n">
        <f aca="false">SUM(K329:O329)</f>
        <v>10895</v>
      </c>
      <c r="Q329" s="33" t="n">
        <v>2227.97</v>
      </c>
      <c r="R329" s="34" t="n">
        <f aca="false">Q329/$P329</f>
        <v>0.204494722349702</v>
      </c>
      <c r="S329" s="33" t="n">
        <v>5116.97</v>
      </c>
      <c r="T329" s="34" t="n">
        <f aca="false">S329/$P329</f>
        <v>0.469662230380909</v>
      </c>
      <c r="U329" s="33" t="n">
        <v>8005.97</v>
      </c>
      <c r="V329" s="34" t="n">
        <f aca="false">U329/$P329</f>
        <v>0.734829738412116</v>
      </c>
      <c r="W329" s="33" t="n">
        <v>10894.97</v>
      </c>
      <c r="X329" s="35" t="n">
        <f aca="false">W329/$P329</f>
        <v>0.999997246443323</v>
      </c>
      <c r="Y329" s="33" t="n">
        <f aca="false">K329</f>
        <v>10895</v>
      </c>
      <c r="Z329" s="36" t="n">
        <f aca="false">Y329</f>
        <v>10895</v>
      </c>
    </row>
    <row r="330" customFormat="false" ht="12.8" hidden="false" customHeight="false" outlineLevel="0" collapsed="false">
      <c r="E330" s="37"/>
      <c r="F330" s="78" t="s">
        <v>212</v>
      </c>
      <c r="G330" s="79" t="n">
        <v>2370</v>
      </c>
      <c r="H330" s="79" t="n">
        <v>2554</v>
      </c>
      <c r="I330" s="79" t="n">
        <v>3940</v>
      </c>
      <c r="J330" s="79" t="n">
        <v>4520.81</v>
      </c>
      <c r="K330" s="79" t="n">
        <v>5675</v>
      </c>
      <c r="L330" s="79"/>
      <c r="M330" s="79"/>
      <c r="N330" s="79"/>
      <c r="O330" s="79"/>
      <c r="P330" s="79" t="n">
        <f aca="false">SUM(K330:O330)</f>
        <v>5675</v>
      </c>
      <c r="Q330" s="79" t="n">
        <v>1346.51</v>
      </c>
      <c r="R330" s="40" t="n">
        <f aca="false">Q330/$P330</f>
        <v>0.237270484581498</v>
      </c>
      <c r="S330" s="79" t="n">
        <v>2789.18</v>
      </c>
      <c r="T330" s="40" t="n">
        <f aca="false">S330/$P330</f>
        <v>0.491485462555066</v>
      </c>
      <c r="U330" s="79" t="n">
        <v>4231.85</v>
      </c>
      <c r="V330" s="40" t="n">
        <f aca="false">U330/$P330</f>
        <v>0.745700440528634</v>
      </c>
      <c r="W330" s="79" t="n">
        <v>5674.52</v>
      </c>
      <c r="X330" s="41" t="n">
        <f aca="false">W330/$P330</f>
        <v>0.999915418502203</v>
      </c>
      <c r="Y330" s="79" t="n">
        <f aca="false">K330</f>
        <v>5675</v>
      </c>
      <c r="Z330" s="42" t="n">
        <f aca="false">Y330</f>
        <v>5675</v>
      </c>
    </row>
    <row r="331" customFormat="false" ht="12.8" hidden="false" customHeight="false" outlineLevel="0" collapsed="false">
      <c r="E331" s="44"/>
      <c r="F331" s="57" t="s">
        <v>213</v>
      </c>
      <c r="G331" s="46"/>
      <c r="H331" s="46"/>
      <c r="I331" s="46" t="n">
        <v>5000</v>
      </c>
      <c r="J331" s="46" t="n">
        <v>0</v>
      </c>
      <c r="K331" s="46" t="n">
        <v>0</v>
      </c>
      <c r="L331" s="46"/>
      <c r="M331" s="46"/>
      <c r="N331" s="46"/>
      <c r="O331" s="46"/>
      <c r="P331" s="46" t="n">
        <f aca="false">SUM(K331:O331)</f>
        <v>0</v>
      </c>
      <c r="Q331" s="46" t="n">
        <v>0</v>
      </c>
      <c r="R331" s="47" t="e">
        <f aca="false">Q331/$P331</f>
        <v>#DIV/0!</v>
      </c>
      <c r="S331" s="46" t="n">
        <v>0</v>
      </c>
      <c r="T331" s="47" t="e">
        <f aca="false">S331/$P331</f>
        <v>#DIV/0!</v>
      </c>
      <c r="U331" s="46" t="n">
        <v>0</v>
      </c>
      <c r="V331" s="47" t="e">
        <f aca="false">U331/$P331</f>
        <v>#DIV/0!</v>
      </c>
      <c r="W331" s="46" t="n">
        <v>0</v>
      </c>
      <c r="X331" s="48" t="e">
        <f aca="false">W331/$P331</f>
        <v>#DIV/0!</v>
      </c>
      <c r="Y331" s="46"/>
      <c r="Z331" s="49"/>
    </row>
    <row r="333" customFormat="false" ht="12.8" hidden="false" customHeight="false" outlineLevel="0" collapsed="false">
      <c r="D333" s="51" t="s">
        <v>214</v>
      </c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customFormat="false" ht="12.8" hidden="false" customHeight="false" outlineLevel="0" collapsed="false">
      <c r="D334" s="5" t="s">
        <v>33</v>
      </c>
      <c r="E334" s="5" t="s">
        <v>34</v>
      </c>
      <c r="F334" s="5" t="s">
        <v>35</v>
      </c>
      <c r="G334" s="5" t="s">
        <v>1</v>
      </c>
      <c r="H334" s="5" t="s">
        <v>2</v>
      </c>
      <c r="I334" s="5" t="s">
        <v>3</v>
      </c>
      <c r="J334" s="5" t="s">
        <v>4</v>
      </c>
      <c r="K334" s="5" t="s">
        <v>5</v>
      </c>
      <c r="L334" s="5" t="s">
        <v>6</v>
      </c>
      <c r="M334" s="5" t="s">
        <v>7</v>
      </c>
      <c r="N334" s="5" t="s">
        <v>8</v>
      </c>
      <c r="O334" s="5" t="s">
        <v>9</v>
      </c>
      <c r="P334" s="5" t="s">
        <v>10</v>
      </c>
      <c r="Q334" s="5" t="s">
        <v>11</v>
      </c>
      <c r="R334" s="5" t="s">
        <v>12</v>
      </c>
      <c r="S334" s="5" t="s">
        <v>13</v>
      </c>
      <c r="T334" s="5" t="s">
        <v>14</v>
      </c>
      <c r="U334" s="5" t="s">
        <v>15</v>
      </c>
      <c r="V334" s="5" t="s">
        <v>16</v>
      </c>
      <c r="W334" s="5" t="s">
        <v>17</v>
      </c>
      <c r="X334" s="5" t="s">
        <v>18</v>
      </c>
      <c r="Y334" s="5" t="s">
        <v>19</v>
      </c>
      <c r="Z334" s="5" t="s">
        <v>20</v>
      </c>
    </row>
    <row r="335" customFormat="false" ht="12.8" hidden="false" customHeight="false" outlineLevel="0" collapsed="false">
      <c r="A335" s="1" t="n">
        <v>5</v>
      </c>
      <c r="B335" s="1" t="n">
        <v>1</v>
      </c>
      <c r="C335" s="1" t="n">
        <v>4</v>
      </c>
      <c r="D335" s="69" t="s">
        <v>215</v>
      </c>
      <c r="E335" s="8" t="n">
        <v>630</v>
      </c>
      <c r="F335" s="8" t="s">
        <v>133</v>
      </c>
      <c r="G335" s="9" t="n">
        <v>55</v>
      </c>
      <c r="H335" s="9" t="n">
        <v>1277.8</v>
      </c>
      <c r="I335" s="9" t="n">
        <v>500</v>
      </c>
      <c r="J335" s="9" t="n">
        <v>55</v>
      </c>
      <c r="K335" s="9" t="n">
        <v>1000</v>
      </c>
      <c r="L335" s="9"/>
      <c r="M335" s="9"/>
      <c r="N335" s="9"/>
      <c r="O335" s="9"/>
      <c r="P335" s="9" t="n">
        <f aca="false">SUM(K335:O335)</f>
        <v>1000</v>
      </c>
      <c r="Q335" s="9" t="n">
        <v>77.5</v>
      </c>
      <c r="R335" s="10" t="n">
        <f aca="false">Q335/$P335</f>
        <v>0.0775</v>
      </c>
      <c r="S335" s="9" t="n">
        <v>136.9</v>
      </c>
      <c r="T335" s="10" t="n">
        <f aca="false">S335/$P335</f>
        <v>0.1369</v>
      </c>
      <c r="U335" s="9" t="n">
        <v>136.9</v>
      </c>
      <c r="V335" s="10" t="n">
        <f aca="false">U335/$P335</f>
        <v>0.1369</v>
      </c>
      <c r="W335" s="9" t="n">
        <v>136.9</v>
      </c>
      <c r="X335" s="10" t="n">
        <f aca="false">W335/$P335</f>
        <v>0.1369</v>
      </c>
      <c r="Y335" s="9" t="n">
        <f aca="false">K335</f>
        <v>1000</v>
      </c>
      <c r="Z335" s="9" t="n">
        <f aca="false">Y335</f>
        <v>1000</v>
      </c>
    </row>
    <row r="336" customFormat="false" ht="12.8" hidden="false" customHeight="false" outlineLevel="0" collapsed="false">
      <c r="A336" s="1" t="n">
        <v>5</v>
      </c>
      <c r="B336" s="1" t="n">
        <v>1</v>
      </c>
      <c r="C336" s="1" t="n">
        <v>4</v>
      </c>
      <c r="D336" s="55" t="s">
        <v>21</v>
      </c>
      <c r="E336" s="11" t="n">
        <v>41</v>
      </c>
      <c r="F336" s="11" t="s">
        <v>23</v>
      </c>
      <c r="G336" s="12" t="n">
        <f aca="false">SUM(G335:G335)</f>
        <v>55</v>
      </c>
      <c r="H336" s="12" t="n">
        <f aca="false">SUM(H335:H335)</f>
        <v>1277.8</v>
      </c>
      <c r="I336" s="12" t="n">
        <f aca="false">SUM(I335:I335)</f>
        <v>500</v>
      </c>
      <c r="J336" s="12" t="n">
        <f aca="false">SUM(J335:J335)</f>
        <v>55</v>
      </c>
      <c r="K336" s="12" t="n">
        <f aca="false">SUM(K335:K335)</f>
        <v>1000</v>
      </c>
      <c r="L336" s="12" t="n">
        <f aca="false">SUM(L335:L335)</f>
        <v>0</v>
      </c>
      <c r="M336" s="12" t="n">
        <f aca="false">SUM(M335:M335)</f>
        <v>0</v>
      </c>
      <c r="N336" s="12" t="n">
        <f aca="false">SUM(N335:N335)</f>
        <v>0</v>
      </c>
      <c r="O336" s="12" t="n">
        <f aca="false">SUM(O335:O335)</f>
        <v>0</v>
      </c>
      <c r="P336" s="12" t="n">
        <f aca="false">SUM(P335:P335)</f>
        <v>1000</v>
      </c>
      <c r="Q336" s="12" t="n">
        <f aca="false">SUM(Q335:Q335)</f>
        <v>77.5</v>
      </c>
      <c r="R336" s="13" t="n">
        <f aca="false">Q336/$P336</f>
        <v>0.0775</v>
      </c>
      <c r="S336" s="12" t="n">
        <f aca="false">SUM(S335:S335)</f>
        <v>136.9</v>
      </c>
      <c r="T336" s="13" t="n">
        <f aca="false">S336/$P336</f>
        <v>0.1369</v>
      </c>
      <c r="U336" s="12" t="n">
        <f aca="false">SUM(U335:U335)</f>
        <v>136.9</v>
      </c>
      <c r="V336" s="13" t="n">
        <f aca="false">U336/$P336</f>
        <v>0.1369</v>
      </c>
      <c r="W336" s="12" t="n">
        <f aca="false">SUM(W335:W335)</f>
        <v>136.9</v>
      </c>
      <c r="X336" s="13" t="n">
        <f aca="false">W336/$P336</f>
        <v>0.1369</v>
      </c>
      <c r="Y336" s="12" t="n">
        <f aca="false">SUM(Y335:Y335)</f>
        <v>1000</v>
      </c>
      <c r="Z336" s="12" t="n">
        <f aca="false">SUM(Z335:Z335)</f>
        <v>1000</v>
      </c>
    </row>
    <row r="338" customFormat="false" ht="12.8" hidden="false" customHeight="false" outlineLevel="0" collapsed="false">
      <c r="D338" s="24" t="s">
        <v>216</v>
      </c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customFormat="false" ht="12.8" hidden="false" customHeight="false" outlineLevel="0" collapsed="false">
      <c r="D339" s="90"/>
      <c r="E339" s="90"/>
      <c r="F339" s="90"/>
      <c r="G339" s="5" t="s">
        <v>1</v>
      </c>
      <c r="H339" s="5" t="s">
        <v>2</v>
      </c>
      <c r="I339" s="5" t="s">
        <v>3</v>
      </c>
      <c r="J339" s="5" t="s">
        <v>4</v>
      </c>
      <c r="K339" s="5" t="s">
        <v>5</v>
      </c>
      <c r="L339" s="5" t="s">
        <v>6</v>
      </c>
      <c r="M339" s="5" t="s">
        <v>7</v>
      </c>
      <c r="N339" s="5" t="s">
        <v>8</v>
      </c>
      <c r="O339" s="5" t="s">
        <v>9</v>
      </c>
      <c r="P339" s="5" t="s">
        <v>10</v>
      </c>
      <c r="Q339" s="5" t="s">
        <v>11</v>
      </c>
      <c r="R339" s="5" t="s">
        <v>12</v>
      </c>
      <c r="S339" s="5" t="s">
        <v>13</v>
      </c>
      <c r="T339" s="5" t="s">
        <v>14</v>
      </c>
      <c r="U339" s="5" t="s">
        <v>15</v>
      </c>
      <c r="V339" s="5" t="s">
        <v>16</v>
      </c>
      <c r="W339" s="5" t="s">
        <v>17</v>
      </c>
      <c r="X339" s="5" t="s">
        <v>18</v>
      </c>
      <c r="Y339" s="5" t="s">
        <v>19</v>
      </c>
      <c r="Z339" s="5" t="s">
        <v>20</v>
      </c>
    </row>
    <row r="340" customFormat="false" ht="12.8" hidden="false" customHeight="true" outlineLevel="0" collapsed="false">
      <c r="A340" s="1" t="n">
        <v>5</v>
      </c>
      <c r="B340" s="1" t="n">
        <v>2</v>
      </c>
      <c r="D340" s="7" t="s">
        <v>21</v>
      </c>
      <c r="E340" s="98" t="s">
        <v>140</v>
      </c>
      <c r="F340" s="8" t="s">
        <v>47</v>
      </c>
      <c r="G340" s="9" t="n">
        <f aca="false">G364</f>
        <v>37906.3</v>
      </c>
      <c r="H340" s="9" t="n">
        <f aca="false">H364</f>
        <v>2682.93</v>
      </c>
      <c r="I340" s="9" t="n">
        <f aca="false">I364</f>
        <v>18486</v>
      </c>
      <c r="J340" s="9" t="n">
        <f aca="false">J364</f>
        <v>15566.08</v>
      </c>
      <c r="K340" s="9" t="n">
        <f aca="false">K364</f>
        <v>25870</v>
      </c>
      <c r="L340" s="9" t="n">
        <f aca="false">L364</f>
        <v>0</v>
      </c>
      <c r="M340" s="9" t="n">
        <f aca="false">M364</f>
        <v>0</v>
      </c>
      <c r="N340" s="9" t="n">
        <f aca="false">N364</f>
        <v>0</v>
      </c>
      <c r="O340" s="9" t="n">
        <f aca="false">O364</f>
        <v>0</v>
      </c>
      <c r="P340" s="9" t="n">
        <f aca="false">P364</f>
        <v>25870</v>
      </c>
      <c r="Q340" s="9" t="n">
        <f aca="false">Q364</f>
        <v>5212.38</v>
      </c>
      <c r="R340" s="10" t="n">
        <f aca="false">Q340/$P340</f>
        <v>0.201483571704677</v>
      </c>
      <c r="S340" s="9" t="n">
        <f aca="false">S364</f>
        <v>10867.31</v>
      </c>
      <c r="T340" s="10" t="n">
        <f aca="false">S340/$P340</f>
        <v>0.420073830691921</v>
      </c>
      <c r="U340" s="9" t="n">
        <f aca="false">U364</f>
        <v>16350.53</v>
      </c>
      <c r="V340" s="10" t="n">
        <f aca="false">U340/$P340</f>
        <v>0.632026671820642</v>
      </c>
      <c r="W340" s="9" t="n">
        <f aca="false">W364</f>
        <v>21626.75</v>
      </c>
      <c r="X340" s="10" t="n">
        <f aca="false">W340/$P340</f>
        <v>0.835977966756861</v>
      </c>
      <c r="Y340" s="9" t="n">
        <f aca="false">Y364</f>
        <v>0</v>
      </c>
      <c r="Z340" s="9" t="n">
        <f aca="false">Z364</f>
        <v>0</v>
      </c>
    </row>
    <row r="341" customFormat="false" ht="12.8" hidden="false" customHeight="false" outlineLevel="0" collapsed="false">
      <c r="A341" s="1" t="n">
        <v>5</v>
      </c>
      <c r="B341" s="1" t="n">
        <v>2</v>
      </c>
      <c r="D341" s="7" t="s">
        <v>21</v>
      </c>
      <c r="E341" s="8" t="n">
        <v>41</v>
      </c>
      <c r="F341" s="8" t="s">
        <v>23</v>
      </c>
      <c r="G341" s="9" t="n">
        <f aca="false">G348+G357+G369</f>
        <v>31736.16</v>
      </c>
      <c r="H341" s="9" t="n">
        <f aca="false">H348+H357+H369</f>
        <v>32185.52</v>
      </c>
      <c r="I341" s="9" t="n">
        <f aca="false">I348+I357+I369</f>
        <v>29471</v>
      </c>
      <c r="J341" s="9" t="n">
        <f aca="false">J348+J357+J369</f>
        <v>21476.86</v>
      </c>
      <c r="K341" s="9" t="n">
        <f aca="false">K348+K357+K369</f>
        <v>12866</v>
      </c>
      <c r="L341" s="9" t="n">
        <f aca="false">L348+L357+L369</f>
        <v>443</v>
      </c>
      <c r="M341" s="9" t="n">
        <f aca="false">M348+M357+M369</f>
        <v>0</v>
      </c>
      <c r="N341" s="9" t="n">
        <f aca="false">N348+N357+N369</f>
        <v>158</v>
      </c>
      <c r="O341" s="9" t="n">
        <f aca="false">O348+O357+O369</f>
        <v>217</v>
      </c>
      <c r="P341" s="9" t="n">
        <f aca="false">P348+P357+P369</f>
        <v>13684</v>
      </c>
      <c r="Q341" s="9" t="n">
        <f aca="false">Q348+Q357+Q369</f>
        <v>2204.84</v>
      </c>
      <c r="R341" s="10" t="n">
        <f aca="false">Q341/$P341</f>
        <v>0.16112540192926</v>
      </c>
      <c r="S341" s="9" t="n">
        <f aca="false">S348+S357+S369</f>
        <v>6035.58</v>
      </c>
      <c r="T341" s="10" t="n">
        <f aca="false">S341/$P341</f>
        <v>0.441068401052324</v>
      </c>
      <c r="U341" s="9" t="n">
        <f aca="false">U348+U357+U369</f>
        <v>9343.36</v>
      </c>
      <c r="V341" s="10" t="n">
        <f aca="false">U341/$P341</f>
        <v>0.682794504530839</v>
      </c>
      <c r="W341" s="9" t="n">
        <f aca="false">W348+W357+W369</f>
        <v>9763.12</v>
      </c>
      <c r="X341" s="10" t="n">
        <f aca="false">W341/$P341</f>
        <v>0.713469745688395</v>
      </c>
      <c r="Y341" s="9" t="n">
        <f aca="false">Y348+Y357+Y369</f>
        <v>4770</v>
      </c>
      <c r="Z341" s="9" t="n">
        <f aca="false">Z348+Z357+Z369</f>
        <v>4770</v>
      </c>
    </row>
    <row r="342" customFormat="false" ht="12.8" hidden="false" customHeight="false" outlineLevel="0" collapsed="false">
      <c r="D342" s="7" t="s">
        <v>21</v>
      </c>
      <c r="E342" s="8" t="n">
        <v>72</v>
      </c>
      <c r="F342" s="8" t="s">
        <v>25</v>
      </c>
      <c r="G342" s="9" t="n">
        <f aca="false">G371</f>
        <v>0</v>
      </c>
      <c r="H342" s="9" t="n">
        <f aca="false">H371</f>
        <v>0</v>
      </c>
      <c r="I342" s="9" t="n">
        <f aca="false">I371</f>
        <v>180</v>
      </c>
      <c r="J342" s="9" t="n">
        <f aca="false">J371</f>
        <v>358.78</v>
      </c>
      <c r="K342" s="9" t="n">
        <f aca="false">K371</f>
        <v>360</v>
      </c>
      <c r="L342" s="9" t="n">
        <f aca="false">L371</f>
        <v>0</v>
      </c>
      <c r="M342" s="9" t="n">
        <f aca="false">M371</f>
        <v>0</v>
      </c>
      <c r="N342" s="9" t="n">
        <f aca="false">N371</f>
        <v>0</v>
      </c>
      <c r="O342" s="9" t="n">
        <f aca="false">O371</f>
        <v>0</v>
      </c>
      <c r="P342" s="9" t="n">
        <f aca="false">P371</f>
        <v>360</v>
      </c>
      <c r="Q342" s="9" t="n">
        <f aca="false">Q371</f>
        <v>0</v>
      </c>
      <c r="R342" s="10" t="n">
        <f aca="false">Q342/$P342</f>
        <v>0</v>
      </c>
      <c r="S342" s="9" t="n">
        <f aca="false">S371</f>
        <v>0</v>
      </c>
      <c r="T342" s="10" t="n">
        <f aca="false">S342/$P342</f>
        <v>0</v>
      </c>
      <c r="U342" s="9" t="n">
        <f aca="false">U371</f>
        <v>0</v>
      </c>
      <c r="V342" s="10" t="n">
        <f aca="false">U342/$P342</f>
        <v>0</v>
      </c>
      <c r="W342" s="9" t="n">
        <f aca="false">W371</f>
        <v>303.74</v>
      </c>
      <c r="X342" s="10" t="n">
        <f aca="false">W342/$P342</f>
        <v>0.843722222222222</v>
      </c>
      <c r="Y342" s="9" t="n">
        <f aca="false">Y371</f>
        <v>0</v>
      </c>
      <c r="Z342" s="9" t="n">
        <f aca="false">Z371</f>
        <v>0</v>
      </c>
    </row>
    <row r="343" customFormat="false" ht="12.8" hidden="false" customHeight="false" outlineLevel="0" collapsed="false">
      <c r="D343" s="14"/>
      <c r="E343" s="15"/>
      <c r="F343" s="11" t="s">
        <v>126</v>
      </c>
      <c r="G343" s="12" t="n">
        <f aca="false">SUM(G340:G342)</f>
        <v>69642.46</v>
      </c>
      <c r="H343" s="12" t="n">
        <f aca="false">SUM(H340:H342)</f>
        <v>34868.45</v>
      </c>
      <c r="I343" s="12" t="n">
        <f aca="false">SUM(I340:I342)</f>
        <v>48137</v>
      </c>
      <c r="J343" s="12" t="n">
        <f aca="false">SUM(J340:J342)</f>
        <v>37401.72</v>
      </c>
      <c r="K343" s="12" t="n">
        <f aca="false">SUM(K340:K342)</f>
        <v>39096</v>
      </c>
      <c r="L343" s="12" t="n">
        <f aca="false">SUM(L340:L342)</f>
        <v>443</v>
      </c>
      <c r="M343" s="12" t="n">
        <f aca="false">SUM(M340:M342)</f>
        <v>0</v>
      </c>
      <c r="N343" s="12" t="n">
        <f aca="false">SUM(N340:N342)</f>
        <v>158</v>
      </c>
      <c r="O343" s="12" t="n">
        <f aca="false">SUM(O340:O342)</f>
        <v>217</v>
      </c>
      <c r="P343" s="12" t="n">
        <f aca="false">SUM(P340:P342)</f>
        <v>39914</v>
      </c>
      <c r="Q343" s="12" t="n">
        <f aca="false">SUM(Q340:Q342)</f>
        <v>7417.22</v>
      </c>
      <c r="R343" s="13" t="n">
        <f aca="false">Q343/$P343</f>
        <v>0.185830034574335</v>
      </c>
      <c r="S343" s="12" t="n">
        <f aca="false">SUM(S340:S342)</f>
        <v>16902.89</v>
      </c>
      <c r="T343" s="13" t="n">
        <f aca="false">S343/$P343</f>
        <v>0.423482737886456</v>
      </c>
      <c r="U343" s="12" t="n">
        <f aca="false">SUM(U340:U342)</f>
        <v>25693.89</v>
      </c>
      <c r="V343" s="13" t="n">
        <f aca="false">U343/$P343</f>
        <v>0.643731272235306</v>
      </c>
      <c r="W343" s="12" t="n">
        <f aca="false">SUM(W340:W342)</f>
        <v>31693.61</v>
      </c>
      <c r="X343" s="13" t="n">
        <f aca="false">W343/$P343</f>
        <v>0.794047452021847</v>
      </c>
      <c r="Y343" s="12" t="n">
        <f aca="false">SUM(Y340:Y342)</f>
        <v>4770</v>
      </c>
      <c r="Z343" s="12" t="n">
        <f aca="false">SUM(Z340:Z342)</f>
        <v>4770</v>
      </c>
    </row>
    <row r="345" customFormat="false" ht="12.8" hidden="false" customHeight="false" outlineLevel="0" collapsed="false">
      <c r="D345" s="51" t="s">
        <v>217</v>
      </c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customFormat="false" ht="12.8" hidden="false" customHeight="false" outlineLevel="0" collapsed="false">
      <c r="D346" s="5" t="s">
        <v>33</v>
      </c>
      <c r="E346" s="5" t="s">
        <v>34</v>
      </c>
      <c r="F346" s="5" t="s">
        <v>35</v>
      </c>
      <c r="G346" s="5" t="s">
        <v>1</v>
      </c>
      <c r="H346" s="5" t="s">
        <v>2</v>
      </c>
      <c r="I346" s="5" t="s">
        <v>3</v>
      </c>
      <c r="J346" s="5" t="s">
        <v>4</v>
      </c>
      <c r="K346" s="5" t="s">
        <v>5</v>
      </c>
      <c r="L346" s="5" t="s">
        <v>6</v>
      </c>
      <c r="M346" s="5" t="s">
        <v>7</v>
      </c>
      <c r="N346" s="5" t="s">
        <v>8</v>
      </c>
      <c r="O346" s="5" t="s">
        <v>9</v>
      </c>
      <c r="P346" s="5" t="s">
        <v>10</v>
      </c>
      <c r="Q346" s="5" t="s">
        <v>11</v>
      </c>
      <c r="R346" s="5" t="s">
        <v>12</v>
      </c>
      <c r="S346" s="5" t="s">
        <v>13</v>
      </c>
      <c r="T346" s="5" t="s">
        <v>14</v>
      </c>
      <c r="U346" s="5" t="s">
        <v>15</v>
      </c>
      <c r="V346" s="5" t="s">
        <v>16</v>
      </c>
      <c r="W346" s="5" t="s">
        <v>17</v>
      </c>
      <c r="X346" s="5" t="s">
        <v>18</v>
      </c>
      <c r="Y346" s="5" t="s">
        <v>19</v>
      </c>
      <c r="Z346" s="5" t="s">
        <v>20</v>
      </c>
    </row>
    <row r="347" customFormat="false" ht="12.8" hidden="false" customHeight="false" outlineLevel="0" collapsed="false">
      <c r="A347" s="1" t="n">
        <v>5</v>
      </c>
      <c r="B347" s="1" t="n">
        <v>2</v>
      </c>
      <c r="C347" s="1" t="n">
        <v>1</v>
      </c>
      <c r="D347" s="31" t="s">
        <v>218</v>
      </c>
      <c r="E347" s="8" t="n">
        <v>630</v>
      </c>
      <c r="F347" s="8" t="s">
        <v>133</v>
      </c>
      <c r="G347" s="9" t="n">
        <v>3959.21</v>
      </c>
      <c r="H347" s="9" t="n">
        <v>7936.38</v>
      </c>
      <c r="I347" s="9" t="n">
        <v>13250</v>
      </c>
      <c r="J347" s="9" t="n">
        <v>4368.31</v>
      </c>
      <c r="K347" s="9" t="n">
        <v>4270</v>
      </c>
      <c r="L347" s="9" t="n">
        <v>-36</v>
      </c>
      <c r="M347" s="9"/>
      <c r="N347" s="9"/>
      <c r="O347" s="9"/>
      <c r="P347" s="9" t="n">
        <f aca="false">SUM(K347:O347)</f>
        <v>4234</v>
      </c>
      <c r="Q347" s="9" t="n">
        <v>999.09</v>
      </c>
      <c r="R347" s="10" t="n">
        <f aca="false">Q347/$P347</f>
        <v>0.235968351440718</v>
      </c>
      <c r="S347" s="9" t="n">
        <v>1563.31</v>
      </c>
      <c r="T347" s="10" t="n">
        <f aca="false">S347/$P347</f>
        <v>0.369227680680208</v>
      </c>
      <c r="U347" s="9" t="n">
        <v>2070.85</v>
      </c>
      <c r="V347" s="10" t="n">
        <f aca="false">U347/$P347</f>
        <v>0.489100141709967</v>
      </c>
      <c r="W347" s="9" t="n">
        <v>3009.25</v>
      </c>
      <c r="X347" s="10" t="n">
        <f aca="false">W347/$P347</f>
        <v>0.710734529995276</v>
      </c>
      <c r="Y347" s="9" t="n">
        <f aca="false">K347</f>
        <v>4270</v>
      </c>
      <c r="Z347" s="9" t="n">
        <f aca="false">Y347</f>
        <v>4270</v>
      </c>
    </row>
    <row r="348" customFormat="false" ht="12.8" hidden="false" customHeight="false" outlineLevel="0" collapsed="false">
      <c r="A348" s="1" t="n">
        <v>5</v>
      </c>
      <c r="B348" s="1" t="n">
        <v>2</v>
      </c>
      <c r="C348" s="1" t="n">
        <v>1</v>
      </c>
      <c r="D348" s="55" t="s">
        <v>21</v>
      </c>
      <c r="E348" s="11" t="n">
        <v>41</v>
      </c>
      <c r="F348" s="11" t="s">
        <v>23</v>
      </c>
      <c r="G348" s="12" t="n">
        <f aca="false">SUM(G347:G347)</f>
        <v>3959.21</v>
      </c>
      <c r="H348" s="12" t="n">
        <f aca="false">SUM(H347:H347)</f>
        <v>7936.38</v>
      </c>
      <c r="I348" s="12" t="n">
        <f aca="false">SUM(I347:I347)</f>
        <v>13250</v>
      </c>
      <c r="J348" s="12" t="n">
        <f aca="false">SUM(J347:J347)</f>
        <v>4368.31</v>
      </c>
      <c r="K348" s="12" t="n">
        <f aca="false">SUM(K347:K347)</f>
        <v>4270</v>
      </c>
      <c r="L348" s="12" t="n">
        <f aca="false">SUM(L347:L347)</f>
        <v>-36</v>
      </c>
      <c r="M348" s="12" t="n">
        <f aca="false">SUM(M347:M347)</f>
        <v>0</v>
      </c>
      <c r="N348" s="12" t="n">
        <f aca="false">SUM(N347:N347)</f>
        <v>0</v>
      </c>
      <c r="O348" s="12" t="n">
        <f aca="false">SUM(O347:O347)</f>
        <v>0</v>
      </c>
      <c r="P348" s="12" t="n">
        <f aca="false">SUM(P347:P347)</f>
        <v>4234</v>
      </c>
      <c r="Q348" s="12" t="n">
        <f aca="false">SUM(Q347:Q347)</f>
        <v>999.09</v>
      </c>
      <c r="R348" s="13" t="n">
        <f aca="false">Q348/$P348</f>
        <v>0.235968351440718</v>
      </c>
      <c r="S348" s="12" t="n">
        <f aca="false">SUM(S347:S347)</f>
        <v>1563.31</v>
      </c>
      <c r="T348" s="13" t="n">
        <f aca="false">S348/$P348</f>
        <v>0.369227680680208</v>
      </c>
      <c r="U348" s="12" t="n">
        <f aca="false">SUM(U347:U347)</f>
        <v>2070.85</v>
      </c>
      <c r="V348" s="13" t="n">
        <f aca="false">U348/$P348</f>
        <v>0.489100141709967</v>
      </c>
      <c r="W348" s="12" t="n">
        <f aca="false">SUM(W347:W347)</f>
        <v>3009.25</v>
      </c>
      <c r="X348" s="13" t="n">
        <f aca="false">W348/$P348</f>
        <v>0.710734529995276</v>
      </c>
      <c r="Y348" s="12" t="n">
        <f aca="false">SUM(Y347:Y347)</f>
        <v>4270</v>
      </c>
      <c r="Z348" s="12" t="n">
        <f aca="false">SUM(Z347:Z347)</f>
        <v>4270</v>
      </c>
    </row>
    <row r="350" customFormat="false" ht="12.8" hidden="false" customHeight="false" outlineLevel="0" collapsed="false">
      <c r="E350" s="32" t="s">
        <v>57</v>
      </c>
      <c r="F350" s="14" t="s">
        <v>219</v>
      </c>
      <c r="G350" s="33" t="n">
        <f aca="false">462+642.36</f>
        <v>1104.36</v>
      </c>
      <c r="H350" s="33" t="n">
        <v>2148.73</v>
      </c>
      <c r="I350" s="33" t="n">
        <v>2500</v>
      </c>
      <c r="J350" s="33" t="n">
        <v>1219.15</v>
      </c>
      <c r="K350" s="33" t="n">
        <v>1220</v>
      </c>
      <c r="L350" s="33"/>
      <c r="M350" s="33"/>
      <c r="N350" s="33"/>
      <c r="O350" s="33" t="n">
        <v>526</v>
      </c>
      <c r="P350" s="33" t="n">
        <f aca="false">SUM(K350:O350)</f>
        <v>1746</v>
      </c>
      <c r="Q350" s="33" t="n">
        <v>705.09</v>
      </c>
      <c r="R350" s="34" t="n">
        <f aca="false">Q350/$P350</f>
        <v>0.403831615120275</v>
      </c>
      <c r="S350" s="33" t="n">
        <v>705.09</v>
      </c>
      <c r="T350" s="34" t="n">
        <f aca="false">S350/$P350</f>
        <v>0.403831615120275</v>
      </c>
      <c r="U350" s="33" t="n">
        <v>705.09</v>
      </c>
      <c r="V350" s="34" t="n">
        <f aca="false">U350/$P350</f>
        <v>0.403831615120275</v>
      </c>
      <c r="W350" s="33" t="n">
        <v>1643.49</v>
      </c>
      <c r="X350" s="35" t="n">
        <f aca="false">W350/$P350</f>
        <v>0.941288659793814</v>
      </c>
      <c r="Y350" s="33" t="n">
        <f aca="false">K350</f>
        <v>1220</v>
      </c>
      <c r="Z350" s="36" t="n">
        <f aca="false">Y350</f>
        <v>1220</v>
      </c>
    </row>
    <row r="351" customFormat="false" ht="12.8" hidden="false" customHeight="false" outlineLevel="0" collapsed="false">
      <c r="E351" s="37"/>
      <c r="F351" s="38" t="s">
        <v>220</v>
      </c>
      <c r="G351" s="39" t="n">
        <v>1415.59</v>
      </c>
      <c r="H351" s="39" t="n">
        <v>1014.35</v>
      </c>
      <c r="I351" s="39" t="n">
        <v>1500</v>
      </c>
      <c r="J351" s="39" t="n">
        <v>53.53</v>
      </c>
      <c r="K351" s="39" t="n">
        <v>50</v>
      </c>
      <c r="L351" s="39" t="n">
        <v>514</v>
      </c>
      <c r="M351" s="39"/>
      <c r="N351" s="39" t="n">
        <v>62</v>
      </c>
      <c r="O351" s="39"/>
      <c r="P351" s="39" t="n">
        <f aca="false">SUM(K351:O351)</f>
        <v>626</v>
      </c>
      <c r="Q351" s="39" t="n">
        <v>0</v>
      </c>
      <c r="R351" s="40" t="n">
        <f aca="false">Q351/$P351</f>
        <v>0</v>
      </c>
      <c r="S351" s="39" t="n">
        <v>564.22</v>
      </c>
      <c r="T351" s="40" t="n">
        <f aca="false">S351/$P351</f>
        <v>0.901309904153355</v>
      </c>
      <c r="U351" s="39" t="n">
        <v>625.91</v>
      </c>
      <c r="V351" s="40" t="n">
        <f aca="false">U351/$P351</f>
        <v>0.999856230031949</v>
      </c>
      <c r="W351" s="39" t="n">
        <v>625.91</v>
      </c>
      <c r="X351" s="41" t="n">
        <f aca="false">W351/$P351</f>
        <v>0.999856230031949</v>
      </c>
      <c r="Y351" s="39" t="n">
        <f aca="false">K351</f>
        <v>50</v>
      </c>
      <c r="Z351" s="42" t="n">
        <f aca="false">Y351</f>
        <v>50</v>
      </c>
    </row>
    <row r="352" customFormat="false" ht="12.8" hidden="false" customHeight="false" outlineLevel="0" collapsed="false">
      <c r="E352" s="44"/>
      <c r="F352" s="57" t="s">
        <v>221</v>
      </c>
      <c r="G352" s="46" t="n">
        <v>358.42</v>
      </c>
      <c r="H352" s="46" t="n">
        <v>4083.58</v>
      </c>
      <c r="I352" s="46" t="n">
        <v>8000</v>
      </c>
      <c r="J352" s="46" t="n">
        <v>1999.68</v>
      </c>
      <c r="K352" s="46" t="n">
        <v>2000</v>
      </c>
      <c r="L352" s="46"/>
      <c r="M352" s="46"/>
      <c r="N352" s="46" t="n">
        <v>-62</v>
      </c>
      <c r="O352" s="46" t="n">
        <v>-526</v>
      </c>
      <c r="P352" s="46" t="n">
        <f aca="false">SUM(K352:O352)</f>
        <v>1412</v>
      </c>
      <c r="Q352" s="46" t="n">
        <v>0</v>
      </c>
      <c r="R352" s="47" t="n">
        <f aca="false">Q352/$P352</f>
        <v>0</v>
      </c>
      <c r="S352" s="46" t="n">
        <v>0</v>
      </c>
      <c r="T352" s="47" t="n">
        <f aca="false">S352/$P352</f>
        <v>0</v>
      </c>
      <c r="U352" s="46" t="n">
        <v>445.85</v>
      </c>
      <c r="V352" s="47" t="n">
        <f aca="false">U352/$P352</f>
        <v>0.315757790368272</v>
      </c>
      <c r="W352" s="46" t="n">
        <v>445.85</v>
      </c>
      <c r="X352" s="48" t="n">
        <f aca="false">W352/$P352</f>
        <v>0.315757790368272</v>
      </c>
      <c r="Y352" s="46" t="n">
        <f aca="false">K352</f>
        <v>2000</v>
      </c>
      <c r="Z352" s="49" t="n">
        <f aca="false">Y352</f>
        <v>2000</v>
      </c>
    </row>
    <row r="353" customFormat="false" ht="12.8" hidden="false" customHeight="false" outlineLevel="0" collapsed="false"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customFormat="false" ht="12.8" hidden="false" customHeight="false" outlineLevel="0" collapsed="false">
      <c r="D354" s="51" t="s">
        <v>222</v>
      </c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customFormat="false" ht="12.8" hidden="false" customHeight="false" outlineLevel="0" collapsed="false">
      <c r="D355" s="5" t="s">
        <v>33</v>
      </c>
      <c r="E355" s="5" t="s">
        <v>34</v>
      </c>
      <c r="F355" s="5" t="s">
        <v>35</v>
      </c>
      <c r="G355" s="5" t="s">
        <v>1</v>
      </c>
      <c r="H355" s="5" t="s">
        <v>2</v>
      </c>
      <c r="I355" s="5" t="s">
        <v>3</v>
      </c>
      <c r="J355" s="5" t="s">
        <v>4</v>
      </c>
      <c r="K355" s="5" t="s">
        <v>5</v>
      </c>
      <c r="L355" s="5" t="s">
        <v>6</v>
      </c>
      <c r="M355" s="5" t="s">
        <v>7</v>
      </c>
      <c r="N355" s="5" t="s">
        <v>8</v>
      </c>
      <c r="O355" s="5" t="s">
        <v>9</v>
      </c>
      <c r="P355" s="5" t="s">
        <v>10</v>
      </c>
      <c r="Q355" s="5" t="s">
        <v>11</v>
      </c>
      <c r="R355" s="5" t="s">
        <v>12</v>
      </c>
      <c r="S355" s="5" t="s">
        <v>13</v>
      </c>
      <c r="T355" s="5" t="s">
        <v>14</v>
      </c>
      <c r="U355" s="5" t="s">
        <v>15</v>
      </c>
      <c r="V355" s="5" t="s">
        <v>16</v>
      </c>
      <c r="W355" s="5" t="s">
        <v>17</v>
      </c>
      <c r="X355" s="5" t="s">
        <v>18</v>
      </c>
      <c r="Y355" s="5" t="s">
        <v>19</v>
      </c>
      <c r="Z355" s="5" t="s">
        <v>20</v>
      </c>
    </row>
    <row r="356" customFormat="false" ht="12.8" hidden="false" customHeight="false" outlineLevel="0" collapsed="false">
      <c r="A356" s="1" t="n">
        <v>5</v>
      </c>
      <c r="B356" s="1" t="n">
        <v>2</v>
      </c>
      <c r="C356" s="1" t="n">
        <v>2</v>
      </c>
      <c r="D356" s="69" t="s">
        <v>223</v>
      </c>
      <c r="E356" s="8" t="n">
        <v>630</v>
      </c>
      <c r="F356" s="8" t="s">
        <v>133</v>
      </c>
      <c r="G356" s="9" t="n">
        <f aca="false">2933.5+105.54</f>
        <v>3039.04</v>
      </c>
      <c r="H356" s="9" t="n">
        <v>3231.61</v>
      </c>
      <c r="I356" s="9" t="n">
        <v>2400</v>
      </c>
      <c r="J356" s="9" t="n">
        <v>467.84</v>
      </c>
      <c r="K356" s="9" t="n">
        <v>500</v>
      </c>
      <c r="L356" s="9" t="n">
        <v>479</v>
      </c>
      <c r="M356" s="9"/>
      <c r="N356" s="9" t="n">
        <v>458</v>
      </c>
      <c r="O356" s="9" t="n">
        <v>217</v>
      </c>
      <c r="P356" s="9" t="n">
        <f aca="false">SUM(K356:O356)</f>
        <v>1654</v>
      </c>
      <c r="Q356" s="9" t="n">
        <v>113.39</v>
      </c>
      <c r="R356" s="10" t="n">
        <f aca="false">Q356/$P356</f>
        <v>0.0685550181378476</v>
      </c>
      <c r="S356" s="9" t="n">
        <v>742.39</v>
      </c>
      <c r="T356" s="10" t="n">
        <f aca="false">S356/$P356</f>
        <v>0.448845223700121</v>
      </c>
      <c r="U356" s="9" t="n">
        <v>1437.46</v>
      </c>
      <c r="V356" s="10" t="n">
        <f aca="false">U356/$P356</f>
        <v>0.869081015719468</v>
      </c>
      <c r="W356" s="9" t="n">
        <v>1557.46</v>
      </c>
      <c r="X356" s="10" t="n">
        <f aca="false">W356/$P356</f>
        <v>0.941632406287787</v>
      </c>
      <c r="Y356" s="9" t="n">
        <f aca="false">K356</f>
        <v>500</v>
      </c>
      <c r="Z356" s="9" t="n">
        <f aca="false">Y356</f>
        <v>500</v>
      </c>
    </row>
    <row r="357" customFormat="false" ht="12.8" hidden="false" customHeight="false" outlineLevel="0" collapsed="false">
      <c r="A357" s="1" t="n">
        <v>5</v>
      </c>
      <c r="B357" s="1" t="n">
        <v>2</v>
      </c>
      <c r="C357" s="1" t="n">
        <v>2</v>
      </c>
      <c r="D357" s="55" t="s">
        <v>21</v>
      </c>
      <c r="E357" s="11" t="n">
        <v>41</v>
      </c>
      <c r="F357" s="11" t="s">
        <v>23</v>
      </c>
      <c r="G357" s="12" t="n">
        <f aca="false">SUM(G356:G356)</f>
        <v>3039.04</v>
      </c>
      <c r="H357" s="12" t="n">
        <f aca="false">SUM(H356:H356)</f>
        <v>3231.61</v>
      </c>
      <c r="I357" s="12" t="n">
        <f aca="false">SUM(I356:I356)</f>
        <v>2400</v>
      </c>
      <c r="J357" s="12" t="n">
        <f aca="false">SUM(J356:J356)</f>
        <v>467.84</v>
      </c>
      <c r="K357" s="12" t="n">
        <f aca="false">SUM(K356:K356)</f>
        <v>500</v>
      </c>
      <c r="L357" s="12" t="n">
        <f aca="false">SUM(L356:L356)</f>
        <v>479</v>
      </c>
      <c r="M357" s="12" t="n">
        <f aca="false">SUM(M356:M356)</f>
        <v>0</v>
      </c>
      <c r="N357" s="12" t="n">
        <f aca="false">SUM(N356:N356)</f>
        <v>458</v>
      </c>
      <c r="O357" s="12" t="n">
        <f aca="false">SUM(O356:O356)</f>
        <v>217</v>
      </c>
      <c r="P357" s="12" t="n">
        <f aca="false">SUM(P356:P356)</f>
        <v>1654</v>
      </c>
      <c r="Q357" s="12" t="n">
        <f aca="false">SUM(Q356:Q356)</f>
        <v>113.39</v>
      </c>
      <c r="R357" s="13" t="n">
        <f aca="false">Q357/$P357</f>
        <v>0.0685550181378476</v>
      </c>
      <c r="S357" s="12" t="n">
        <f aca="false">SUM(S356:S356)</f>
        <v>742.39</v>
      </c>
      <c r="T357" s="13" t="n">
        <f aca="false">S357/$P357</f>
        <v>0.448845223700121</v>
      </c>
      <c r="U357" s="12" t="n">
        <f aca="false">SUM(U356:U356)</f>
        <v>1437.46</v>
      </c>
      <c r="V357" s="13" t="n">
        <f aca="false">U357/$P357</f>
        <v>0.869081015719468</v>
      </c>
      <c r="W357" s="12" t="n">
        <f aca="false">SUM(W356:W356)</f>
        <v>1557.46</v>
      </c>
      <c r="X357" s="13" t="n">
        <f aca="false">W357/$P357</f>
        <v>0.941632406287787</v>
      </c>
      <c r="Y357" s="12" t="n">
        <f aca="false">SUM(Y356:Y356)</f>
        <v>500</v>
      </c>
      <c r="Z357" s="12" t="n">
        <f aca="false">SUM(Z356:Z356)</f>
        <v>500</v>
      </c>
    </row>
    <row r="359" customFormat="false" ht="12.8" hidden="false" customHeight="false" outlineLevel="0" collapsed="false">
      <c r="D359" s="51" t="s">
        <v>224</v>
      </c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customFormat="false" ht="12.8" hidden="false" customHeight="false" outlineLevel="0" collapsed="false">
      <c r="D360" s="5" t="s">
        <v>33</v>
      </c>
      <c r="E360" s="5" t="s">
        <v>34</v>
      </c>
      <c r="F360" s="5" t="s">
        <v>35</v>
      </c>
      <c r="G360" s="5" t="s">
        <v>1</v>
      </c>
      <c r="H360" s="5" t="s">
        <v>2</v>
      </c>
      <c r="I360" s="5" t="s">
        <v>3</v>
      </c>
      <c r="J360" s="5" t="s">
        <v>4</v>
      </c>
      <c r="K360" s="5" t="s">
        <v>5</v>
      </c>
      <c r="L360" s="5" t="s">
        <v>6</v>
      </c>
      <c r="M360" s="5" t="s">
        <v>7</v>
      </c>
      <c r="N360" s="5" t="s">
        <v>8</v>
      </c>
      <c r="O360" s="5" t="s">
        <v>9</v>
      </c>
      <c r="P360" s="5" t="s">
        <v>10</v>
      </c>
      <c r="Q360" s="5" t="s">
        <v>11</v>
      </c>
      <c r="R360" s="5" t="s">
        <v>12</v>
      </c>
      <c r="S360" s="5" t="s">
        <v>13</v>
      </c>
      <c r="T360" s="5" t="s">
        <v>14</v>
      </c>
      <c r="U360" s="5" t="s">
        <v>15</v>
      </c>
      <c r="V360" s="5" t="s">
        <v>16</v>
      </c>
      <c r="W360" s="5" t="s">
        <v>17</v>
      </c>
      <c r="X360" s="5" t="s">
        <v>18</v>
      </c>
      <c r="Y360" s="5" t="s">
        <v>19</v>
      </c>
      <c r="Z360" s="5" t="s">
        <v>20</v>
      </c>
    </row>
    <row r="361" customFormat="false" ht="12.8" hidden="false" customHeight="false" outlineLevel="0" collapsed="false">
      <c r="A361" s="1" t="n">
        <v>5</v>
      </c>
      <c r="B361" s="1" t="n">
        <v>2</v>
      </c>
      <c r="C361" s="1" t="n">
        <v>3</v>
      </c>
      <c r="D361" s="99" t="s">
        <v>223</v>
      </c>
      <c r="E361" s="8" t="n">
        <v>610</v>
      </c>
      <c r="F361" s="8" t="s">
        <v>131</v>
      </c>
      <c r="G361" s="9" t="n">
        <v>27712.89</v>
      </c>
      <c r="H361" s="9" t="n">
        <v>0</v>
      </c>
      <c r="I361" s="9" t="n">
        <v>12688</v>
      </c>
      <c r="J361" s="9" t="n">
        <v>10268.1</v>
      </c>
      <c r="K361" s="9" t="n">
        <v>14720</v>
      </c>
      <c r="L361" s="9"/>
      <c r="M361" s="9"/>
      <c r="N361" s="9"/>
      <c r="O361" s="9" t="n">
        <v>1246</v>
      </c>
      <c r="P361" s="9" t="n">
        <f aca="false">SUM(K361:O361)</f>
        <v>15966</v>
      </c>
      <c r="Q361" s="9" t="n">
        <v>3802.54</v>
      </c>
      <c r="R361" s="10" t="n">
        <f aca="false">Q361/$P361</f>
        <v>0.238164850306902</v>
      </c>
      <c r="S361" s="9" t="n">
        <v>7992.97</v>
      </c>
      <c r="T361" s="10" t="n">
        <f aca="false">S361/$P361</f>
        <v>0.500624451960416</v>
      </c>
      <c r="U361" s="9" t="n">
        <v>12056.15</v>
      </c>
      <c r="V361" s="10" t="n">
        <f aca="false">U361/$P361</f>
        <v>0.755113992233496</v>
      </c>
      <c r="W361" s="9" t="n">
        <v>15965.95</v>
      </c>
      <c r="X361" s="10" t="n">
        <f aca="false">W361/$P361</f>
        <v>0.999996868345234</v>
      </c>
      <c r="Y361" s="9" t="n">
        <v>0</v>
      </c>
      <c r="Z361" s="9" t="n">
        <f aca="false">Y361</f>
        <v>0</v>
      </c>
    </row>
    <row r="362" customFormat="false" ht="12.8" hidden="false" customHeight="false" outlineLevel="0" collapsed="false">
      <c r="A362" s="1" t="n">
        <v>5</v>
      </c>
      <c r="B362" s="1" t="n">
        <v>2</v>
      </c>
      <c r="C362" s="1" t="n">
        <v>3</v>
      </c>
      <c r="D362" s="99"/>
      <c r="E362" s="8" t="n">
        <v>620</v>
      </c>
      <c r="F362" s="8" t="s">
        <v>132</v>
      </c>
      <c r="G362" s="9" t="n">
        <v>9788.5</v>
      </c>
      <c r="H362" s="9" t="n">
        <v>2682.93</v>
      </c>
      <c r="I362" s="9" t="n">
        <v>5798</v>
      </c>
      <c r="J362" s="9" t="n">
        <v>5297.98</v>
      </c>
      <c r="K362" s="9" t="n">
        <v>11150</v>
      </c>
      <c r="L362" s="9"/>
      <c r="M362" s="9"/>
      <c r="N362" s="9"/>
      <c r="O362" s="9" t="n">
        <v>-1246</v>
      </c>
      <c r="P362" s="9" t="n">
        <f aca="false">SUM(K362:O362)</f>
        <v>9904</v>
      </c>
      <c r="Q362" s="9" t="n">
        <v>1409.84</v>
      </c>
      <c r="R362" s="10" t="n">
        <f aca="false">Q362/$P362</f>
        <v>0.14235056542811</v>
      </c>
      <c r="S362" s="9" t="n">
        <v>2874.34</v>
      </c>
      <c r="T362" s="10" t="n">
        <f aca="false">S362/$P362</f>
        <v>0.290220113085622</v>
      </c>
      <c r="U362" s="9" t="n">
        <v>4294.38</v>
      </c>
      <c r="V362" s="10" t="n">
        <f aca="false">U362/$P362</f>
        <v>0.43360056542811</v>
      </c>
      <c r="W362" s="9" t="n">
        <v>5660.8</v>
      </c>
      <c r="X362" s="10" t="n">
        <f aca="false">W362/$P362</f>
        <v>0.57156704361874</v>
      </c>
      <c r="Y362" s="9" t="n">
        <v>0</v>
      </c>
      <c r="Z362" s="9" t="n">
        <f aca="false">Y362</f>
        <v>0</v>
      </c>
    </row>
    <row r="363" customFormat="false" ht="12.8" hidden="false" customHeight="false" outlineLevel="0" collapsed="false">
      <c r="A363" s="1" t="n">
        <v>5</v>
      </c>
      <c r="B363" s="1" t="n">
        <v>2</v>
      </c>
      <c r="C363" s="1" t="n">
        <v>3</v>
      </c>
      <c r="D363" s="99"/>
      <c r="E363" s="8" t="n">
        <v>630</v>
      </c>
      <c r="F363" s="8" t="s">
        <v>133</v>
      </c>
      <c r="G363" s="9" t="n">
        <v>404.91</v>
      </c>
      <c r="H363" s="9" t="n">
        <v>0</v>
      </c>
      <c r="I363" s="9" t="n">
        <v>0</v>
      </c>
      <c r="J363" s="9" t="n">
        <v>0</v>
      </c>
      <c r="K363" s="9" t="n">
        <v>0</v>
      </c>
      <c r="L363" s="9"/>
      <c r="M363" s="9"/>
      <c r="N363" s="9"/>
      <c r="O363" s="9"/>
      <c r="P363" s="9" t="n">
        <f aca="false">SUM(K363:O363)</f>
        <v>0</v>
      </c>
      <c r="Q363" s="9" t="n">
        <v>0</v>
      </c>
      <c r="R363" s="10" t="e">
        <f aca="false">Q363/$P363</f>
        <v>#DIV/0!</v>
      </c>
      <c r="S363" s="9" t="n">
        <v>0</v>
      </c>
      <c r="T363" s="10" t="e">
        <f aca="false">S363/$P363</f>
        <v>#DIV/0!</v>
      </c>
      <c r="U363" s="9" t="n">
        <v>0</v>
      </c>
      <c r="V363" s="10" t="e">
        <f aca="false">U363/$P363</f>
        <v>#DIV/0!</v>
      </c>
      <c r="W363" s="9" t="n">
        <v>0</v>
      </c>
      <c r="X363" s="10" t="e">
        <f aca="false">W363/$P363</f>
        <v>#DIV/0!</v>
      </c>
      <c r="Y363" s="9" t="n">
        <v>0</v>
      </c>
      <c r="Z363" s="9" t="n">
        <f aca="false">Y363</f>
        <v>0</v>
      </c>
    </row>
    <row r="364" customFormat="false" ht="12.8" hidden="false" customHeight="false" outlineLevel="0" collapsed="false">
      <c r="A364" s="1" t="n">
        <v>5</v>
      </c>
      <c r="B364" s="1" t="n">
        <v>2</v>
      </c>
      <c r="C364" s="1" t="n">
        <v>3</v>
      </c>
      <c r="D364" s="100" t="s">
        <v>21</v>
      </c>
      <c r="E364" s="72" t="s">
        <v>140</v>
      </c>
      <c r="F364" s="29" t="s">
        <v>225</v>
      </c>
      <c r="G364" s="30" t="n">
        <f aca="false">SUM(G361:G363)</f>
        <v>37906.3</v>
      </c>
      <c r="H364" s="30" t="n">
        <f aca="false">SUM(H361:H363)</f>
        <v>2682.93</v>
      </c>
      <c r="I364" s="30" t="n">
        <f aca="false">SUM(I361:I363)</f>
        <v>18486</v>
      </c>
      <c r="J364" s="30" t="n">
        <f aca="false">SUM(J361:J363)</f>
        <v>15566.08</v>
      </c>
      <c r="K364" s="30" t="n">
        <f aca="false">SUM(K361:K363)</f>
        <v>25870</v>
      </c>
      <c r="L364" s="30" t="n">
        <f aca="false">SUM(L361:L363)</f>
        <v>0</v>
      </c>
      <c r="M364" s="30" t="n">
        <f aca="false">SUM(M361:M363)</f>
        <v>0</v>
      </c>
      <c r="N364" s="30" t="n">
        <f aca="false">SUM(N361:N363)</f>
        <v>0</v>
      </c>
      <c r="O364" s="30" t="n">
        <f aca="false">SUM(O361:O363)</f>
        <v>0</v>
      </c>
      <c r="P364" s="30" t="n">
        <f aca="false">SUM(P361:P363)</f>
        <v>25870</v>
      </c>
      <c r="Q364" s="30" t="n">
        <f aca="false">SUM(Q361:Q363)</f>
        <v>5212.38</v>
      </c>
      <c r="R364" s="71" t="n">
        <f aca="false">Q364/$P364</f>
        <v>0.201483571704677</v>
      </c>
      <c r="S364" s="30" t="n">
        <f aca="false">SUM(S361:S363)</f>
        <v>10867.31</v>
      </c>
      <c r="T364" s="71" t="n">
        <f aca="false">S364/$P364</f>
        <v>0.420073830691921</v>
      </c>
      <c r="U364" s="30" t="n">
        <f aca="false">SUM(U361:U363)</f>
        <v>16350.53</v>
      </c>
      <c r="V364" s="71" t="n">
        <f aca="false">U364/$P364</f>
        <v>0.632026671820642</v>
      </c>
      <c r="W364" s="30" t="n">
        <f aca="false">SUM(W361:W363)</f>
        <v>21626.75</v>
      </c>
      <c r="X364" s="71" t="n">
        <f aca="false">W364/$P364</f>
        <v>0.835977966756861</v>
      </c>
      <c r="Y364" s="30" t="n">
        <f aca="false">SUM(Y361:Y363)</f>
        <v>0</v>
      </c>
      <c r="Z364" s="30" t="n">
        <f aca="false">SUM(Z361:Z363)</f>
        <v>0</v>
      </c>
    </row>
    <row r="365" customFormat="false" ht="12.8" hidden="false" customHeight="false" outlineLevel="0" collapsed="false">
      <c r="A365" s="1" t="n">
        <v>5</v>
      </c>
      <c r="B365" s="1" t="n">
        <v>2</v>
      </c>
      <c r="C365" s="1" t="n">
        <v>3</v>
      </c>
      <c r="D365" s="99" t="s">
        <v>223</v>
      </c>
      <c r="E365" s="8" t="n">
        <v>610</v>
      </c>
      <c r="F365" s="8" t="s">
        <v>131</v>
      </c>
      <c r="G365" s="9" t="n">
        <v>14361.67</v>
      </c>
      <c r="H365" s="9" t="n">
        <v>16310.54</v>
      </c>
      <c r="I365" s="9" t="n">
        <v>8402</v>
      </c>
      <c r="J365" s="9" t="n">
        <v>11699.58</v>
      </c>
      <c r="K365" s="9" t="n">
        <v>4080</v>
      </c>
      <c r="L365" s="9" t="n">
        <v>-111</v>
      </c>
      <c r="M365" s="9"/>
      <c r="N365" s="9"/>
      <c r="O365" s="9" t="n">
        <v>-87</v>
      </c>
      <c r="P365" s="9" t="n">
        <f aca="false">SUM(K365:O365)</f>
        <v>3882</v>
      </c>
      <c r="Q365" s="9" t="n">
        <v>352.33</v>
      </c>
      <c r="R365" s="10" t="n">
        <f aca="false">Q365/$P365</f>
        <v>0.0907599175682638</v>
      </c>
      <c r="S365" s="9" t="n">
        <v>1861.03</v>
      </c>
      <c r="T365" s="10" t="n">
        <f aca="false">S365/$P365</f>
        <v>0.479399793920659</v>
      </c>
      <c r="U365" s="9" t="n">
        <v>2870.78</v>
      </c>
      <c r="V365" s="10" t="n">
        <f aca="false">U365/$P365</f>
        <v>0.739510561566203</v>
      </c>
      <c r="W365" s="9" t="n">
        <v>2118.69</v>
      </c>
      <c r="X365" s="10" t="n">
        <f aca="false">W365/$P365</f>
        <v>0.545772797527048</v>
      </c>
      <c r="Y365" s="9" t="n">
        <v>0</v>
      </c>
      <c r="Z365" s="9" t="n">
        <f aca="false">Y365</f>
        <v>0</v>
      </c>
    </row>
    <row r="366" customFormat="false" ht="12.8" hidden="false" customHeight="false" outlineLevel="0" collapsed="false">
      <c r="A366" s="1" t="n">
        <v>5</v>
      </c>
      <c r="B366" s="1" t="n">
        <v>2</v>
      </c>
      <c r="C366" s="1" t="n">
        <v>3</v>
      </c>
      <c r="D366" s="99"/>
      <c r="E366" s="8" t="n">
        <v>620</v>
      </c>
      <c r="F366" s="8" t="s">
        <v>132</v>
      </c>
      <c r="G366" s="9" t="n">
        <v>4903.17</v>
      </c>
      <c r="H366" s="9" t="n">
        <v>3083.15</v>
      </c>
      <c r="I366" s="9" t="n">
        <v>2936</v>
      </c>
      <c r="J366" s="9" t="n">
        <v>2326.95</v>
      </c>
      <c r="K366" s="9" t="n">
        <v>1426</v>
      </c>
      <c r="L366" s="9"/>
      <c r="M366" s="9"/>
      <c r="N366" s="9"/>
      <c r="O366" s="9"/>
      <c r="P366" s="9" t="n">
        <f aca="false">SUM(K366:O366)</f>
        <v>1426</v>
      </c>
      <c r="Q366" s="9" t="n">
        <v>42.24</v>
      </c>
      <c r="R366" s="10" t="n">
        <f aca="false">Q366/$P366</f>
        <v>0.0296213183730715</v>
      </c>
      <c r="S366" s="9" t="n">
        <v>569.5</v>
      </c>
      <c r="T366" s="10" t="n">
        <f aca="false">S366/$P366</f>
        <v>0.399368863955119</v>
      </c>
      <c r="U366" s="9" t="n">
        <v>924.5</v>
      </c>
      <c r="V366" s="10" t="n">
        <f aca="false">U366/$P366</f>
        <v>0.648316970546985</v>
      </c>
      <c r="W366" s="9" t="n">
        <v>670.17</v>
      </c>
      <c r="X366" s="10" t="n">
        <f aca="false">W366/$P366</f>
        <v>0.469964936886395</v>
      </c>
      <c r="Y366" s="9" t="n">
        <v>0</v>
      </c>
      <c r="Z366" s="9" t="n">
        <f aca="false">Y366</f>
        <v>0</v>
      </c>
    </row>
    <row r="367" customFormat="false" ht="12.8" hidden="false" customHeight="false" outlineLevel="0" collapsed="false">
      <c r="A367" s="1" t="n">
        <v>5</v>
      </c>
      <c r="B367" s="1" t="n">
        <v>2</v>
      </c>
      <c r="C367" s="1" t="n">
        <v>3</v>
      </c>
      <c r="D367" s="99"/>
      <c r="E367" s="8" t="n">
        <v>630</v>
      </c>
      <c r="F367" s="8" t="s">
        <v>133</v>
      </c>
      <c r="G367" s="9" t="n">
        <v>5336.29</v>
      </c>
      <c r="H367" s="9" t="n">
        <v>1437.46</v>
      </c>
      <c r="I367" s="9" t="n">
        <v>2483</v>
      </c>
      <c r="J367" s="9" t="n">
        <v>2614.18</v>
      </c>
      <c r="K367" s="9" t="n">
        <v>2590</v>
      </c>
      <c r="L367" s="9"/>
      <c r="M367" s="9"/>
      <c r="N367" s="9" t="n">
        <v>-300</v>
      </c>
      <c r="O367" s="9"/>
      <c r="P367" s="9" t="n">
        <f aca="false">SUM(K367:O367)</f>
        <v>2290</v>
      </c>
      <c r="Q367" s="9" t="n">
        <v>586.71</v>
      </c>
      <c r="R367" s="10" t="n">
        <f aca="false">Q367/$P367</f>
        <v>0.256205240174672</v>
      </c>
      <c r="S367" s="9" t="n">
        <v>1188.27</v>
      </c>
      <c r="T367" s="10" t="n">
        <f aca="false">S367/$P367</f>
        <v>0.51889519650655</v>
      </c>
      <c r="U367" s="9" t="n">
        <v>1928.69</v>
      </c>
      <c r="V367" s="10" t="n">
        <f aca="false">U367/$P367</f>
        <v>0.842222707423581</v>
      </c>
      <c r="W367" s="9" t="n">
        <v>2209.13</v>
      </c>
      <c r="X367" s="10" t="n">
        <f aca="false">W367/$P367</f>
        <v>0.964685589519651</v>
      </c>
      <c r="Y367" s="9" t="n">
        <v>0</v>
      </c>
      <c r="Z367" s="9" t="n">
        <f aca="false">Y367</f>
        <v>0</v>
      </c>
    </row>
    <row r="368" customFormat="false" ht="12.8" hidden="false" customHeight="false" outlineLevel="0" collapsed="false">
      <c r="A368" s="1" t="n">
        <v>5</v>
      </c>
      <c r="B368" s="1" t="n">
        <v>2</v>
      </c>
      <c r="C368" s="1" t="n">
        <v>3</v>
      </c>
      <c r="D368" s="99"/>
      <c r="E368" s="8" t="n">
        <v>640</v>
      </c>
      <c r="F368" s="8" t="s">
        <v>134</v>
      </c>
      <c r="G368" s="9" t="n">
        <v>136.78</v>
      </c>
      <c r="H368" s="9" t="n">
        <v>186.38</v>
      </c>
      <c r="I368" s="9" t="n">
        <v>0</v>
      </c>
      <c r="J368" s="9" t="n">
        <v>0</v>
      </c>
      <c r="K368" s="9" t="n">
        <v>0</v>
      </c>
      <c r="L368" s="9" t="n">
        <v>111</v>
      </c>
      <c r="M368" s="9"/>
      <c r="N368" s="9"/>
      <c r="O368" s="9" t="n">
        <v>87</v>
      </c>
      <c r="P368" s="9" t="n">
        <f aca="false">SUM(K368:O368)</f>
        <v>198</v>
      </c>
      <c r="Q368" s="9" t="n">
        <v>111.08</v>
      </c>
      <c r="R368" s="10" t="n">
        <f aca="false">Q368/$P368</f>
        <v>0.561010101010101</v>
      </c>
      <c r="S368" s="9" t="n">
        <v>111.08</v>
      </c>
      <c r="T368" s="10" t="n">
        <f aca="false">S368/$P368</f>
        <v>0.561010101010101</v>
      </c>
      <c r="U368" s="9" t="n">
        <v>111.08</v>
      </c>
      <c r="V368" s="10" t="n">
        <f aca="false">U368/$P368</f>
        <v>0.561010101010101</v>
      </c>
      <c r="W368" s="9" t="n">
        <v>198.42</v>
      </c>
      <c r="X368" s="10" t="n">
        <f aca="false">W368/$P368</f>
        <v>1.00212121212121</v>
      </c>
      <c r="Y368" s="9" t="n">
        <v>0</v>
      </c>
      <c r="Z368" s="9" t="n">
        <f aca="false">Y368</f>
        <v>0</v>
      </c>
    </row>
    <row r="369" customFormat="false" ht="12.8" hidden="false" customHeight="false" outlineLevel="0" collapsed="false">
      <c r="A369" s="1" t="n">
        <v>5</v>
      </c>
      <c r="B369" s="1" t="n">
        <v>2</v>
      </c>
      <c r="C369" s="1" t="n">
        <v>3</v>
      </c>
      <c r="D369" s="100" t="s">
        <v>21</v>
      </c>
      <c r="E369" s="29" t="n">
        <v>41</v>
      </c>
      <c r="F369" s="29" t="s">
        <v>23</v>
      </c>
      <c r="G369" s="30" t="n">
        <f aca="false">SUM(G365:G368)</f>
        <v>24737.91</v>
      </c>
      <c r="H369" s="30" t="n">
        <f aca="false">SUM(H365:H368)</f>
        <v>21017.53</v>
      </c>
      <c r="I369" s="30" t="n">
        <f aca="false">SUM(I365:I368)</f>
        <v>13821</v>
      </c>
      <c r="J369" s="30" t="n">
        <f aca="false">SUM(J365:J368)</f>
        <v>16640.71</v>
      </c>
      <c r="K369" s="30" t="n">
        <f aca="false">SUM(K365:K368)</f>
        <v>8096</v>
      </c>
      <c r="L369" s="30" t="n">
        <f aca="false">SUM(L365:L368)</f>
        <v>0</v>
      </c>
      <c r="M369" s="30" t="n">
        <f aca="false">SUM(M365:M368)</f>
        <v>0</v>
      </c>
      <c r="N369" s="30" t="n">
        <f aca="false">SUM(N365:N368)</f>
        <v>-300</v>
      </c>
      <c r="O369" s="30" t="n">
        <f aca="false">SUM(O365:O368)</f>
        <v>0</v>
      </c>
      <c r="P369" s="30" t="n">
        <f aca="false">SUM(P365:P368)</f>
        <v>7796</v>
      </c>
      <c r="Q369" s="30" t="n">
        <f aca="false">SUM(Q365:Q368)</f>
        <v>1092.36</v>
      </c>
      <c r="R369" s="71" t="n">
        <f aca="false">Q369/$P369</f>
        <v>0.140118009235505</v>
      </c>
      <c r="S369" s="30" t="n">
        <f aca="false">SUM(S365:S368)</f>
        <v>3729.88</v>
      </c>
      <c r="T369" s="71" t="n">
        <f aca="false">S369/$P369</f>
        <v>0.478435094920472</v>
      </c>
      <c r="U369" s="30" t="n">
        <f aca="false">SUM(U365:U368)</f>
        <v>5835.05</v>
      </c>
      <c r="V369" s="71" t="n">
        <f aca="false">U369/$P369</f>
        <v>0.748467162647512</v>
      </c>
      <c r="W369" s="30" t="n">
        <f aca="false">SUM(W365:W368)</f>
        <v>5196.41</v>
      </c>
      <c r="X369" s="71" t="n">
        <f aca="false">W369/$P369</f>
        <v>0.666548229861467</v>
      </c>
      <c r="Y369" s="30" t="n">
        <f aca="false">SUM(Y365:Y368)</f>
        <v>0</v>
      </c>
      <c r="Z369" s="30" t="n">
        <f aca="false">SUM(Z365:Z368)</f>
        <v>0</v>
      </c>
    </row>
    <row r="370" customFormat="false" ht="12.8" hidden="false" customHeight="false" outlineLevel="0" collapsed="false">
      <c r="D370" s="101" t="s">
        <v>223</v>
      </c>
      <c r="E370" s="8" t="n">
        <v>640</v>
      </c>
      <c r="F370" s="8" t="s">
        <v>134</v>
      </c>
      <c r="G370" s="9" t="n">
        <v>0</v>
      </c>
      <c r="H370" s="9" t="n">
        <v>0</v>
      </c>
      <c r="I370" s="9" t="n">
        <v>180</v>
      </c>
      <c r="J370" s="9" t="n">
        <v>358.78</v>
      </c>
      <c r="K370" s="9" t="n">
        <v>360</v>
      </c>
      <c r="L370" s="9"/>
      <c r="M370" s="9"/>
      <c r="N370" s="9"/>
      <c r="O370" s="9"/>
      <c r="P370" s="9" t="n">
        <f aca="false">SUM(K370:O370)</f>
        <v>360</v>
      </c>
      <c r="Q370" s="9" t="n">
        <v>0</v>
      </c>
      <c r="R370" s="10" t="n">
        <f aca="false">Q370/$P370</f>
        <v>0</v>
      </c>
      <c r="S370" s="9" t="n">
        <v>0</v>
      </c>
      <c r="T370" s="10" t="n">
        <f aca="false">S370/$P370</f>
        <v>0</v>
      </c>
      <c r="U370" s="9" t="n">
        <v>0</v>
      </c>
      <c r="V370" s="10" t="n">
        <f aca="false">U370/$P370</f>
        <v>0</v>
      </c>
      <c r="W370" s="9" t="n">
        <v>303.74</v>
      </c>
      <c r="X370" s="10" t="n">
        <f aca="false">W370/$P370</f>
        <v>0.843722222222222</v>
      </c>
      <c r="Y370" s="9" t="n">
        <v>0</v>
      </c>
      <c r="Z370" s="9" t="n">
        <v>0</v>
      </c>
    </row>
    <row r="371" customFormat="false" ht="12.8" hidden="false" customHeight="false" outlineLevel="0" collapsed="false">
      <c r="D371" s="100" t="s">
        <v>21</v>
      </c>
      <c r="E371" s="29" t="n">
        <v>72</v>
      </c>
      <c r="F371" s="29" t="s">
        <v>25</v>
      </c>
      <c r="G371" s="30" t="n">
        <f aca="false">SUM(G370:G370)</f>
        <v>0</v>
      </c>
      <c r="H371" s="30" t="n">
        <f aca="false">SUM(H370:H370)</f>
        <v>0</v>
      </c>
      <c r="I371" s="30" t="n">
        <f aca="false">SUM(I370:I370)</f>
        <v>180</v>
      </c>
      <c r="J371" s="30" t="n">
        <f aca="false">SUM(J370:J370)</f>
        <v>358.78</v>
      </c>
      <c r="K371" s="30" t="n">
        <f aca="false">SUM(K370:K370)</f>
        <v>360</v>
      </c>
      <c r="L371" s="30" t="n">
        <f aca="false">SUM(L370:L370)</f>
        <v>0</v>
      </c>
      <c r="M371" s="30" t="n">
        <f aca="false">SUM(M370:M370)</f>
        <v>0</v>
      </c>
      <c r="N371" s="30" t="n">
        <f aca="false">SUM(N370:N370)</f>
        <v>0</v>
      </c>
      <c r="O371" s="30" t="n">
        <f aca="false">SUM(O370:O370)</f>
        <v>0</v>
      </c>
      <c r="P371" s="30" t="n">
        <f aca="false">SUM(P370:P370)</f>
        <v>360</v>
      </c>
      <c r="Q371" s="30" t="n">
        <f aca="false">SUM(Q370:Q370)</f>
        <v>0</v>
      </c>
      <c r="R371" s="71" t="n">
        <f aca="false">Q371/$P371</f>
        <v>0</v>
      </c>
      <c r="S371" s="30" t="n">
        <f aca="false">SUM(S370:S370)</f>
        <v>0</v>
      </c>
      <c r="T371" s="71" t="n">
        <f aca="false">S371/$P371</f>
        <v>0</v>
      </c>
      <c r="U371" s="30" t="n">
        <f aca="false">SUM(U370:U370)</f>
        <v>0</v>
      </c>
      <c r="V371" s="71" t="n">
        <f aca="false">U371/$P371</f>
        <v>0</v>
      </c>
      <c r="W371" s="30" t="n">
        <f aca="false">SUM(W370:W370)</f>
        <v>303.74</v>
      </c>
      <c r="X371" s="71" t="n">
        <f aca="false">W371/$P371</f>
        <v>0.843722222222222</v>
      </c>
      <c r="Y371" s="30" t="n">
        <f aca="false">SUM(Y370:Y370)</f>
        <v>0</v>
      </c>
      <c r="Z371" s="30" t="n">
        <f aca="false">SUM(Z370:Z370)</f>
        <v>0</v>
      </c>
    </row>
    <row r="372" customFormat="false" ht="12.8" hidden="false" customHeight="false" outlineLevel="0" collapsed="false">
      <c r="D372" s="14"/>
      <c r="E372" s="15"/>
      <c r="F372" s="11" t="s">
        <v>126</v>
      </c>
      <c r="G372" s="12" t="n">
        <f aca="false">G364+G369+G371</f>
        <v>62644.21</v>
      </c>
      <c r="H372" s="12" t="n">
        <f aca="false">H364+H369+H371</f>
        <v>23700.46</v>
      </c>
      <c r="I372" s="12" t="n">
        <f aca="false">I364+I369+I371</f>
        <v>32487</v>
      </c>
      <c r="J372" s="12" t="n">
        <f aca="false">J364+J369+J371</f>
        <v>32565.57</v>
      </c>
      <c r="K372" s="12" t="n">
        <f aca="false">K364+K369+K371</f>
        <v>34326</v>
      </c>
      <c r="L372" s="12" t="n">
        <f aca="false">L364+L369+L371</f>
        <v>0</v>
      </c>
      <c r="M372" s="12" t="n">
        <f aca="false">M364+M369+M371</f>
        <v>0</v>
      </c>
      <c r="N372" s="12" t="n">
        <f aca="false">N364+N369+N371</f>
        <v>-300</v>
      </c>
      <c r="O372" s="12" t="n">
        <f aca="false">O364+O369+O371</f>
        <v>0</v>
      </c>
      <c r="P372" s="12" t="n">
        <f aca="false">P364+P369+P371</f>
        <v>34026</v>
      </c>
      <c r="Q372" s="12" t="n">
        <f aca="false">Q364+Q369+Q371</f>
        <v>6304.74</v>
      </c>
      <c r="R372" s="13" t="n">
        <f aca="false">Q372/$P372</f>
        <v>0.185291835655087</v>
      </c>
      <c r="S372" s="12" t="n">
        <f aca="false">S364+S369+S371</f>
        <v>14597.19</v>
      </c>
      <c r="T372" s="13" t="n">
        <f aca="false">S372/$P372</f>
        <v>0.42900105801446</v>
      </c>
      <c r="U372" s="12" t="n">
        <f aca="false">U364+U369+U371</f>
        <v>22185.58</v>
      </c>
      <c r="V372" s="13" t="n">
        <f aca="false">U372/$P372</f>
        <v>0.652018456474461</v>
      </c>
      <c r="W372" s="12" t="n">
        <f aca="false">W364+W369+W371</f>
        <v>27126.9</v>
      </c>
      <c r="X372" s="13" t="n">
        <f aca="false">W372/$P372</f>
        <v>0.797240345618057</v>
      </c>
      <c r="Y372" s="12" t="n">
        <f aca="false">Y364+Y369+Y371</f>
        <v>0</v>
      </c>
      <c r="Z372" s="12" t="n">
        <f aca="false">Z364+Z369+Z371</f>
        <v>0</v>
      </c>
    </row>
    <row r="374" customFormat="false" ht="12.8" hidden="false" customHeight="false" outlineLevel="0" collapsed="false">
      <c r="D374" s="16" t="s">
        <v>226</v>
      </c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customFormat="false" ht="12.8" hidden="false" customHeight="false" outlineLevel="0" collapsed="false">
      <c r="D375" s="4"/>
      <c r="E375" s="4"/>
      <c r="F375" s="4"/>
      <c r="G375" s="5" t="s">
        <v>1</v>
      </c>
      <c r="H375" s="5" t="s">
        <v>2</v>
      </c>
      <c r="I375" s="5" t="s">
        <v>3</v>
      </c>
      <c r="J375" s="5" t="s">
        <v>4</v>
      </c>
      <c r="K375" s="5" t="s">
        <v>5</v>
      </c>
      <c r="L375" s="5" t="s">
        <v>6</v>
      </c>
      <c r="M375" s="5" t="s">
        <v>7</v>
      </c>
      <c r="N375" s="5" t="s">
        <v>8</v>
      </c>
      <c r="O375" s="5" t="s">
        <v>9</v>
      </c>
      <c r="P375" s="5" t="s">
        <v>10</v>
      </c>
      <c r="Q375" s="5" t="s">
        <v>11</v>
      </c>
      <c r="R375" s="5" t="s">
        <v>12</v>
      </c>
      <c r="S375" s="5" t="s">
        <v>13</v>
      </c>
      <c r="T375" s="5" t="s">
        <v>14</v>
      </c>
      <c r="U375" s="5" t="s">
        <v>15</v>
      </c>
      <c r="V375" s="5" t="s">
        <v>16</v>
      </c>
      <c r="W375" s="5" t="s">
        <v>17</v>
      </c>
      <c r="X375" s="5" t="s">
        <v>18</v>
      </c>
      <c r="Y375" s="5" t="s">
        <v>19</v>
      </c>
      <c r="Z375" s="5" t="s">
        <v>20</v>
      </c>
    </row>
    <row r="376" customFormat="false" ht="12.8" hidden="false" customHeight="false" outlineLevel="0" collapsed="false">
      <c r="D376" s="17" t="s">
        <v>21</v>
      </c>
      <c r="E376" s="18" t="n">
        <v>111</v>
      </c>
      <c r="F376" s="18" t="s">
        <v>136</v>
      </c>
      <c r="G376" s="19" t="n">
        <f aca="false">G382</f>
        <v>0</v>
      </c>
      <c r="H376" s="19" t="n">
        <f aca="false">H382</f>
        <v>0</v>
      </c>
      <c r="I376" s="19" t="n">
        <f aca="false">I382</f>
        <v>0</v>
      </c>
      <c r="J376" s="19" t="n">
        <f aca="false">J382</f>
        <v>0</v>
      </c>
      <c r="K376" s="19" t="n">
        <f aca="false">K382</f>
        <v>1625</v>
      </c>
      <c r="L376" s="19" t="n">
        <f aca="false">L382</f>
        <v>0</v>
      </c>
      <c r="M376" s="19" t="n">
        <f aca="false">M382</f>
        <v>0</v>
      </c>
      <c r="N376" s="19" t="n">
        <f aca="false">N382</f>
        <v>0</v>
      </c>
      <c r="O376" s="19" t="n">
        <f aca="false">O382</f>
        <v>0</v>
      </c>
      <c r="P376" s="19" t="n">
        <f aca="false">P382</f>
        <v>1625</v>
      </c>
      <c r="Q376" s="19" t="n">
        <f aca="false">Q382</f>
        <v>1464.54</v>
      </c>
      <c r="R376" s="20" t="n">
        <f aca="false">Q376/$P376</f>
        <v>0.901255384615384</v>
      </c>
      <c r="S376" s="19" t="n">
        <f aca="false">S382</f>
        <v>1625</v>
      </c>
      <c r="T376" s="20" t="n">
        <f aca="false">S376/$P376</f>
        <v>1</v>
      </c>
      <c r="U376" s="19" t="n">
        <f aca="false">U382</f>
        <v>1625</v>
      </c>
      <c r="V376" s="20" t="n">
        <f aca="false">U376/$P376</f>
        <v>1</v>
      </c>
      <c r="W376" s="19" t="n">
        <f aca="false">W382</f>
        <v>1625</v>
      </c>
      <c r="X376" s="20" t="n">
        <f aca="false">W376/$P376</f>
        <v>1</v>
      </c>
      <c r="Y376" s="19" t="n">
        <f aca="false">Y382</f>
        <v>0</v>
      </c>
      <c r="Z376" s="19" t="n">
        <f aca="false">Z382</f>
        <v>0</v>
      </c>
    </row>
    <row r="377" customFormat="false" ht="12.8" hidden="false" customHeight="false" outlineLevel="0" collapsed="false">
      <c r="A377" s="1" t="n">
        <v>6</v>
      </c>
      <c r="D377" s="17" t="s">
        <v>21</v>
      </c>
      <c r="E377" s="18" t="n">
        <v>41</v>
      </c>
      <c r="F377" s="18" t="s">
        <v>23</v>
      </c>
      <c r="G377" s="19" t="n">
        <f aca="false">G384+G410+G447</f>
        <v>34403.53</v>
      </c>
      <c r="H377" s="19" t="n">
        <f aca="false">H384+H410+H447</f>
        <v>45905.89</v>
      </c>
      <c r="I377" s="19" t="n">
        <f aca="false">I384+I410+I447</f>
        <v>42583</v>
      </c>
      <c r="J377" s="19" t="n">
        <f aca="false">J384+J410+J447</f>
        <v>42079.43</v>
      </c>
      <c r="K377" s="19" t="n">
        <f aca="false">K383+K410+K447</f>
        <v>48604</v>
      </c>
      <c r="L377" s="19" t="n">
        <f aca="false">L383+L410+L447</f>
        <v>96</v>
      </c>
      <c r="M377" s="19" t="n">
        <f aca="false">M383+M410+M447</f>
        <v>837</v>
      </c>
      <c r="N377" s="19" t="n">
        <f aca="false">N383+N410+N447</f>
        <v>163</v>
      </c>
      <c r="O377" s="19" t="n">
        <f aca="false">O383+O410+O447</f>
        <v>-1800</v>
      </c>
      <c r="P377" s="19" t="n">
        <f aca="false">P383+P410+P447</f>
        <v>47900</v>
      </c>
      <c r="Q377" s="19" t="n">
        <f aca="false">Q383+Q410+Q447</f>
        <v>12982.73</v>
      </c>
      <c r="R377" s="20" t="n">
        <f aca="false">Q377/$P377</f>
        <v>0.271038204592902</v>
      </c>
      <c r="S377" s="19" t="n">
        <f aca="false">S383+S410+S447</f>
        <v>23372.5</v>
      </c>
      <c r="T377" s="20" t="n">
        <f aca="false">S377/$P377</f>
        <v>0.48794363256785</v>
      </c>
      <c r="U377" s="19" t="n">
        <f aca="false">U383+U410+U447</f>
        <v>38443.22</v>
      </c>
      <c r="V377" s="20" t="n">
        <f aca="false">U377/$P377</f>
        <v>0.802572442588727</v>
      </c>
      <c r="W377" s="19" t="n">
        <f aca="false">W383+W410+W447</f>
        <v>45752.65</v>
      </c>
      <c r="X377" s="20" t="n">
        <f aca="false">W377/$P377</f>
        <v>0.955170146137787</v>
      </c>
      <c r="Y377" s="19" t="n">
        <f aca="false">Y384+Y410+Y447</f>
        <v>41902</v>
      </c>
      <c r="Z377" s="19" t="n">
        <f aca="false">Z384+Z410+Z447</f>
        <v>41902</v>
      </c>
    </row>
    <row r="378" customFormat="false" ht="12.8" hidden="false" customHeight="false" outlineLevel="0" collapsed="false">
      <c r="D378" s="14"/>
      <c r="E378" s="15"/>
      <c r="F378" s="21" t="s">
        <v>126</v>
      </c>
      <c r="G378" s="22" t="n">
        <f aca="false">SUM(G377:G377)</f>
        <v>34403.53</v>
      </c>
      <c r="H378" s="22" t="n">
        <f aca="false">SUM(H377:H377)</f>
        <v>45905.89</v>
      </c>
      <c r="I378" s="22" t="n">
        <f aca="false">SUM(I377:I377)</f>
        <v>42583</v>
      </c>
      <c r="J378" s="22" t="n">
        <f aca="false">SUM(J377:J377)</f>
        <v>42079.43</v>
      </c>
      <c r="K378" s="22" t="n">
        <f aca="false">SUM(K376:K377)</f>
        <v>50229</v>
      </c>
      <c r="L378" s="22" t="n">
        <f aca="false">SUM(L376:L377)</f>
        <v>96</v>
      </c>
      <c r="M378" s="22" t="n">
        <f aca="false">SUM(M376:M377)</f>
        <v>837</v>
      </c>
      <c r="N378" s="22" t="n">
        <f aca="false">SUM(N376:N377)</f>
        <v>163</v>
      </c>
      <c r="O378" s="22" t="n">
        <f aca="false">SUM(O376:O377)</f>
        <v>-1800</v>
      </c>
      <c r="P378" s="22" t="n">
        <f aca="false">SUM(P376:P377)</f>
        <v>49525</v>
      </c>
      <c r="Q378" s="22" t="n">
        <f aca="false">SUM(Q376:Q377)</f>
        <v>14447.27</v>
      </c>
      <c r="R378" s="23" t="n">
        <f aca="false">Q378/$P378</f>
        <v>0.291716708732963</v>
      </c>
      <c r="S378" s="22" t="n">
        <f aca="false">SUM(S376:S377)</f>
        <v>24997.5</v>
      </c>
      <c r="T378" s="23" t="n">
        <f aca="false">S378/$P378</f>
        <v>0.504745078243311</v>
      </c>
      <c r="U378" s="22" t="n">
        <f aca="false">SUM(U376:U377)</f>
        <v>40068.22</v>
      </c>
      <c r="V378" s="23" t="n">
        <f aca="false">U378/$P378</f>
        <v>0.809050378596668</v>
      </c>
      <c r="W378" s="22" t="n">
        <f aca="false">SUM(W376:W377)</f>
        <v>47377.65</v>
      </c>
      <c r="X378" s="23" t="n">
        <f aca="false">W378/$P378</f>
        <v>0.956641090358405</v>
      </c>
      <c r="Y378" s="22" t="n">
        <f aca="false">SUM(Y377:Y377)</f>
        <v>41902</v>
      </c>
      <c r="Z378" s="22" t="n">
        <f aca="false">SUM(Z377:Z377)</f>
        <v>41902</v>
      </c>
    </row>
    <row r="380" customFormat="false" ht="12.8" hidden="false" customHeight="false" outlineLevel="0" collapsed="false">
      <c r="D380" s="24" t="s">
        <v>227</v>
      </c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customFormat="false" ht="12.8" hidden="false" customHeight="false" outlineLevel="0" collapsed="false">
      <c r="D381" s="90"/>
      <c r="E381" s="90"/>
      <c r="F381" s="90"/>
      <c r="G381" s="5" t="s">
        <v>1</v>
      </c>
      <c r="H381" s="5" t="s">
        <v>2</v>
      </c>
      <c r="I381" s="5" t="s">
        <v>3</v>
      </c>
      <c r="J381" s="5" t="s">
        <v>4</v>
      </c>
      <c r="K381" s="5" t="s">
        <v>5</v>
      </c>
      <c r="L381" s="5" t="s">
        <v>6</v>
      </c>
      <c r="M381" s="5" t="s">
        <v>7</v>
      </c>
      <c r="N381" s="5" t="s">
        <v>8</v>
      </c>
      <c r="O381" s="5" t="s">
        <v>9</v>
      </c>
      <c r="P381" s="5" t="s">
        <v>10</v>
      </c>
      <c r="Q381" s="5" t="s">
        <v>11</v>
      </c>
      <c r="R381" s="5" t="s">
        <v>12</v>
      </c>
      <c r="S381" s="5" t="s">
        <v>13</v>
      </c>
      <c r="T381" s="5" t="s">
        <v>14</v>
      </c>
      <c r="U381" s="5" t="s">
        <v>15</v>
      </c>
      <c r="V381" s="5" t="s">
        <v>16</v>
      </c>
      <c r="W381" s="5" t="s">
        <v>17</v>
      </c>
      <c r="X381" s="5" t="s">
        <v>18</v>
      </c>
      <c r="Y381" s="5" t="s">
        <v>19</v>
      </c>
      <c r="Z381" s="5" t="s">
        <v>20</v>
      </c>
    </row>
    <row r="382" customFormat="false" ht="12.8" hidden="false" customHeight="false" outlineLevel="0" collapsed="false">
      <c r="D382" s="25" t="s">
        <v>21</v>
      </c>
      <c r="E382" s="8" t="n">
        <v>111</v>
      </c>
      <c r="F382" s="8" t="s">
        <v>136</v>
      </c>
      <c r="G382" s="9" t="n">
        <f aca="false">G389</f>
        <v>0</v>
      </c>
      <c r="H382" s="9" t="n">
        <f aca="false">H389</f>
        <v>0</v>
      </c>
      <c r="I382" s="9" t="n">
        <f aca="false">I389</f>
        <v>0</v>
      </c>
      <c r="J382" s="9" t="n">
        <f aca="false">J389</f>
        <v>0</v>
      </c>
      <c r="K382" s="9" t="n">
        <f aca="false">K389</f>
        <v>1625</v>
      </c>
      <c r="L382" s="9" t="n">
        <f aca="false">L389</f>
        <v>0</v>
      </c>
      <c r="M382" s="9" t="n">
        <f aca="false">M389</f>
        <v>0</v>
      </c>
      <c r="N382" s="9" t="n">
        <f aca="false">N389</f>
        <v>0</v>
      </c>
      <c r="O382" s="9" t="n">
        <f aca="false">O389</f>
        <v>0</v>
      </c>
      <c r="P382" s="9" t="n">
        <f aca="false">P389</f>
        <v>1625</v>
      </c>
      <c r="Q382" s="9" t="n">
        <f aca="false">Q389</f>
        <v>1464.54</v>
      </c>
      <c r="R382" s="10" t="n">
        <f aca="false">Q382/$P382</f>
        <v>0.901255384615384</v>
      </c>
      <c r="S382" s="9" t="n">
        <f aca="false">S389</f>
        <v>1625</v>
      </c>
      <c r="T382" s="10" t="n">
        <f aca="false">S382/$P382</f>
        <v>1</v>
      </c>
      <c r="U382" s="9" t="n">
        <f aca="false">U389</f>
        <v>1625</v>
      </c>
      <c r="V382" s="10" t="n">
        <f aca="false">U382/$P382</f>
        <v>1</v>
      </c>
      <c r="W382" s="9" t="n">
        <f aca="false">W389</f>
        <v>1625</v>
      </c>
      <c r="X382" s="10" t="n">
        <f aca="false">W382/$P382</f>
        <v>1</v>
      </c>
      <c r="Y382" s="9" t="n">
        <f aca="false">Y389</f>
        <v>0</v>
      </c>
      <c r="Z382" s="9" t="n">
        <f aca="false">Z389</f>
        <v>0</v>
      </c>
    </row>
    <row r="383" customFormat="false" ht="12.8" hidden="false" customHeight="false" outlineLevel="0" collapsed="false">
      <c r="A383" s="1" t="n">
        <v>6</v>
      </c>
      <c r="B383" s="1" t="n">
        <v>1</v>
      </c>
      <c r="D383" s="25" t="s">
        <v>21</v>
      </c>
      <c r="E383" s="8" t="n">
        <v>41</v>
      </c>
      <c r="F383" s="8" t="s">
        <v>23</v>
      </c>
      <c r="G383" s="9" t="n">
        <f aca="false">G393+G401</f>
        <v>10380.96</v>
      </c>
      <c r="H383" s="9" t="n">
        <f aca="false">H393+H401</f>
        <v>8284.26</v>
      </c>
      <c r="I383" s="9" t="n">
        <f aca="false">I393+I401</f>
        <v>9240</v>
      </c>
      <c r="J383" s="9" t="n">
        <f aca="false">J393+J401</f>
        <v>9275.47</v>
      </c>
      <c r="K383" s="9" t="n">
        <f aca="false">K393+K401</f>
        <v>10040</v>
      </c>
      <c r="L383" s="9" t="n">
        <f aca="false">L393+L401</f>
        <v>0</v>
      </c>
      <c r="M383" s="9" t="n">
        <f aca="false">M393+M401</f>
        <v>0</v>
      </c>
      <c r="N383" s="9" t="n">
        <f aca="false">N393+N401</f>
        <v>400</v>
      </c>
      <c r="O383" s="9" t="n">
        <f aca="false">O393+O401</f>
        <v>0</v>
      </c>
      <c r="P383" s="9" t="n">
        <f aca="false">P393+P401</f>
        <v>10440</v>
      </c>
      <c r="Q383" s="9" t="n">
        <f aca="false">Q393+Q401</f>
        <v>6819.26</v>
      </c>
      <c r="R383" s="10" t="n">
        <f aca="false">Q383/$P383</f>
        <v>0.653185823754789</v>
      </c>
      <c r="S383" s="9" t="n">
        <f aca="false">S393+S401</f>
        <v>8308.75</v>
      </c>
      <c r="T383" s="10" t="n">
        <f aca="false">S383/$P383</f>
        <v>0.795857279693487</v>
      </c>
      <c r="U383" s="9" t="n">
        <f aca="false">U393+U401</f>
        <v>9937.31</v>
      </c>
      <c r="V383" s="10" t="n">
        <f aca="false">U383/$P383</f>
        <v>0.951849616858238</v>
      </c>
      <c r="W383" s="9" t="n">
        <f aca="false">W393+W401</f>
        <v>10099.93</v>
      </c>
      <c r="X383" s="10" t="n">
        <f aca="false">W383/$P383</f>
        <v>0.967426245210728</v>
      </c>
      <c r="Y383" s="9" t="n">
        <f aca="false">Y393+Y401</f>
        <v>10040</v>
      </c>
      <c r="Z383" s="9" t="n">
        <f aca="false">Z393+Z401</f>
        <v>10040</v>
      </c>
    </row>
    <row r="384" customFormat="false" ht="12.8" hidden="false" customHeight="false" outlineLevel="0" collapsed="false">
      <c r="A384" s="1" t="n">
        <v>6</v>
      </c>
      <c r="B384" s="1" t="n">
        <v>1</v>
      </c>
      <c r="D384" s="14"/>
      <c r="E384" s="15"/>
      <c r="F384" s="11" t="s">
        <v>126</v>
      </c>
      <c r="G384" s="12" t="n">
        <f aca="false">SUM(G383:G383)</f>
        <v>10380.96</v>
      </c>
      <c r="H384" s="12" t="n">
        <f aca="false">SUM(H383:H383)</f>
        <v>8284.26</v>
      </c>
      <c r="I384" s="12" t="n">
        <f aca="false">SUM(I383:I383)</f>
        <v>9240</v>
      </c>
      <c r="J384" s="12" t="n">
        <f aca="false">SUM(J383:J383)</f>
        <v>9275.47</v>
      </c>
      <c r="K384" s="12" t="n">
        <f aca="false">SUM(K382:K383)</f>
        <v>11665</v>
      </c>
      <c r="L384" s="12" t="n">
        <f aca="false">SUM(L382:L383)</f>
        <v>0</v>
      </c>
      <c r="M384" s="12" t="n">
        <f aca="false">SUM(M382:M383)</f>
        <v>0</v>
      </c>
      <c r="N384" s="12" t="n">
        <f aca="false">SUM(N382:N383)</f>
        <v>400</v>
      </c>
      <c r="O384" s="12" t="n">
        <f aca="false">SUM(O382:O383)</f>
        <v>0</v>
      </c>
      <c r="P384" s="12" t="n">
        <f aca="false">SUM(P382:P383)</f>
        <v>12065</v>
      </c>
      <c r="Q384" s="12" t="n">
        <f aca="false">SUM(Q382:Q383)</f>
        <v>8283.8</v>
      </c>
      <c r="R384" s="13" t="n">
        <f aca="false">Q384/$P384</f>
        <v>0.686597596353087</v>
      </c>
      <c r="S384" s="12" t="n">
        <f aca="false">SUM(S382:S383)</f>
        <v>9933.75</v>
      </c>
      <c r="T384" s="13" t="n">
        <f aca="false">S384/$P384</f>
        <v>0.823352673021135</v>
      </c>
      <c r="U384" s="12" t="n">
        <f aca="false">SUM(U382:U383)</f>
        <v>11562.31</v>
      </c>
      <c r="V384" s="13" t="n">
        <f aca="false">U384/$P384</f>
        <v>0.958334852880232</v>
      </c>
      <c r="W384" s="12" t="n">
        <f aca="false">SUM(W382:W383)</f>
        <v>11724.93</v>
      </c>
      <c r="X384" s="13" t="n">
        <f aca="false">W384/$P384</f>
        <v>0.971813510153336</v>
      </c>
      <c r="Y384" s="12" t="n">
        <f aca="false">SUM(Y383:Y383)</f>
        <v>10040</v>
      </c>
      <c r="Z384" s="12" t="n">
        <f aca="false">SUM(Z383:Z383)</f>
        <v>10040</v>
      </c>
    </row>
    <row r="386" customFormat="false" ht="12.8" hidden="false" customHeight="false" outlineLevel="0" collapsed="false">
      <c r="D386" s="51" t="s">
        <v>228</v>
      </c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customFormat="false" ht="12.8" hidden="false" customHeight="false" outlineLevel="0" collapsed="false">
      <c r="D387" s="5" t="s">
        <v>33</v>
      </c>
      <c r="E387" s="5" t="s">
        <v>34</v>
      </c>
      <c r="F387" s="5" t="s">
        <v>35</v>
      </c>
      <c r="G387" s="5" t="s">
        <v>1</v>
      </c>
      <c r="H387" s="5" t="s">
        <v>2</v>
      </c>
      <c r="I387" s="5" t="s">
        <v>3</v>
      </c>
      <c r="J387" s="5" t="s">
        <v>4</v>
      </c>
      <c r="K387" s="5" t="s">
        <v>5</v>
      </c>
      <c r="L387" s="5" t="s">
        <v>6</v>
      </c>
      <c r="M387" s="5" t="s">
        <v>7</v>
      </c>
      <c r="N387" s="5" t="s">
        <v>8</v>
      </c>
      <c r="O387" s="5" t="s">
        <v>9</v>
      </c>
      <c r="P387" s="5" t="s">
        <v>10</v>
      </c>
      <c r="Q387" s="5" t="s">
        <v>11</v>
      </c>
      <c r="R387" s="5" t="s">
        <v>12</v>
      </c>
      <c r="S387" s="5" t="s">
        <v>13</v>
      </c>
      <c r="T387" s="5" t="s">
        <v>14</v>
      </c>
      <c r="U387" s="5" t="s">
        <v>15</v>
      </c>
      <c r="V387" s="5" t="s">
        <v>16</v>
      </c>
      <c r="W387" s="5" t="s">
        <v>17</v>
      </c>
      <c r="X387" s="5" t="s">
        <v>18</v>
      </c>
      <c r="Y387" s="5" t="s">
        <v>19</v>
      </c>
      <c r="Z387" s="5" t="s">
        <v>20</v>
      </c>
    </row>
    <row r="388" customFormat="false" ht="12.8" hidden="false" customHeight="false" outlineLevel="0" collapsed="false">
      <c r="D388" s="69" t="s">
        <v>229</v>
      </c>
      <c r="E388" s="8" t="n">
        <v>630</v>
      </c>
      <c r="F388" s="8" t="s">
        <v>133</v>
      </c>
      <c r="G388" s="9" t="n">
        <v>0</v>
      </c>
      <c r="H388" s="9" t="n">
        <v>0</v>
      </c>
      <c r="I388" s="9" t="n">
        <v>0</v>
      </c>
      <c r="J388" s="9" t="n">
        <v>0</v>
      </c>
      <c r="K388" s="9" t="n">
        <f aca="false">príjmy!G102</f>
        <v>1625</v>
      </c>
      <c r="L388" s="9"/>
      <c r="M388" s="9"/>
      <c r="N388" s="9"/>
      <c r="O388" s="9"/>
      <c r="P388" s="9" t="n">
        <f aca="false">SUM(K388:O388)</f>
        <v>1625</v>
      </c>
      <c r="Q388" s="9" t="n">
        <v>1464.54</v>
      </c>
      <c r="R388" s="10" t="n">
        <f aca="false">Q388/$P388</f>
        <v>0.901255384615384</v>
      </c>
      <c r="S388" s="9" t="n">
        <v>1625</v>
      </c>
      <c r="T388" s="10" t="n">
        <f aca="false">S388/$P388</f>
        <v>1</v>
      </c>
      <c r="U388" s="9" t="n">
        <v>1625</v>
      </c>
      <c r="V388" s="10" t="n">
        <f aca="false">U388/$P388</f>
        <v>1</v>
      </c>
      <c r="W388" s="9" t="n">
        <v>1625</v>
      </c>
      <c r="X388" s="10" t="n">
        <f aca="false">W388/$P388</f>
        <v>1</v>
      </c>
      <c r="Y388" s="9" t="n">
        <v>0</v>
      </c>
      <c r="Z388" s="9" t="n">
        <f aca="false">Y388</f>
        <v>0</v>
      </c>
    </row>
    <row r="389" customFormat="false" ht="12.8" hidden="false" customHeight="false" outlineLevel="0" collapsed="false">
      <c r="D389" s="70" t="s">
        <v>21</v>
      </c>
      <c r="E389" s="29" t="s">
        <v>230</v>
      </c>
      <c r="F389" s="29" t="s">
        <v>136</v>
      </c>
      <c r="G389" s="30" t="n">
        <f aca="false">SUM(G388:G388)</f>
        <v>0</v>
      </c>
      <c r="H389" s="30" t="n">
        <f aca="false">SUM(H388:H388)</f>
        <v>0</v>
      </c>
      <c r="I389" s="30" t="n">
        <f aca="false">SUM(I388:I388)</f>
        <v>0</v>
      </c>
      <c r="J389" s="30" t="n">
        <f aca="false">SUM(J388:J388)</f>
        <v>0</v>
      </c>
      <c r="K389" s="30" t="n">
        <f aca="false">SUM(K388:K388)</f>
        <v>1625</v>
      </c>
      <c r="L389" s="30" t="n">
        <f aca="false">SUM(L388:L388)</f>
        <v>0</v>
      </c>
      <c r="M389" s="30" t="n">
        <f aca="false">SUM(M388:M388)</f>
        <v>0</v>
      </c>
      <c r="N389" s="30" t="n">
        <f aca="false">SUM(N388:N388)</f>
        <v>0</v>
      </c>
      <c r="O389" s="30" t="n">
        <f aca="false">SUM(O388:O388)</f>
        <v>0</v>
      </c>
      <c r="P389" s="30" t="n">
        <f aca="false">SUM(P388:P388)</f>
        <v>1625</v>
      </c>
      <c r="Q389" s="30" t="n">
        <f aca="false">SUM(Q388:Q388)</f>
        <v>1464.54</v>
      </c>
      <c r="R389" s="71" t="n">
        <f aca="false">Q389/$P389</f>
        <v>0.901255384615384</v>
      </c>
      <c r="S389" s="30" t="n">
        <f aca="false">SUM(S388:S388)</f>
        <v>1625</v>
      </c>
      <c r="T389" s="71" t="n">
        <f aca="false">S389/$P389</f>
        <v>1</v>
      </c>
      <c r="U389" s="30" t="n">
        <f aca="false">SUM(U388:U388)</f>
        <v>1625</v>
      </c>
      <c r="V389" s="71" t="n">
        <f aca="false">U389/$P389</f>
        <v>1</v>
      </c>
      <c r="W389" s="30" t="n">
        <f aca="false">SUM(W388:W388)</f>
        <v>1625</v>
      </c>
      <c r="X389" s="71" t="n">
        <f aca="false">W389/$P389</f>
        <v>1</v>
      </c>
      <c r="Y389" s="30" t="n">
        <f aca="false">SUM(Y388:Y388)</f>
        <v>0</v>
      </c>
      <c r="Z389" s="30" t="n">
        <f aca="false">SUM(Z388:Z388)</f>
        <v>0</v>
      </c>
    </row>
    <row r="390" customFormat="false" ht="12.8" hidden="false" customHeight="false" outlineLevel="0" collapsed="false">
      <c r="A390" s="1" t="n">
        <v>6</v>
      </c>
      <c r="B390" s="1" t="n">
        <v>1</v>
      </c>
      <c r="C390" s="1" t="n">
        <v>1</v>
      </c>
      <c r="D390" s="31" t="s">
        <v>229</v>
      </c>
      <c r="E390" s="8" t="n">
        <v>620</v>
      </c>
      <c r="F390" s="8" t="s">
        <v>132</v>
      </c>
      <c r="G390" s="9" t="n">
        <v>108.36</v>
      </c>
      <c r="H390" s="9" t="n">
        <v>0</v>
      </c>
      <c r="I390" s="9" t="n">
        <v>0</v>
      </c>
      <c r="J390" s="9" t="n">
        <v>0</v>
      </c>
      <c r="K390" s="9" t="n">
        <v>0</v>
      </c>
      <c r="L390" s="9"/>
      <c r="M390" s="9"/>
      <c r="N390" s="9" t="n">
        <v>109</v>
      </c>
      <c r="O390" s="9"/>
      <c r="P390" s="9" t="n">
        <f aca="false">SUM(K390:O390)</f>
        <v>109</v>
      </c>
      <c r="Q390" s="9" t="n">
        <v>0</v>
      </c>
      <c r="R390" s="10" t="n">
        <f aca="false">Q390/$P390</f>
        <v>0</v>
      </c>
      <c r="S390" s="9" t="n">
        <v>0</v>
      </c>
      <c r="T390" s="10" t="n">
        <f aca="false">S390/$P390</f>
        <v>0</v>
      </c>
      <c r="U390" s="9" t="n">
        <v>108.24</v>
      </c>
      <c r="V390" s="10" t="n">
        <f aca="false">U390/$P390</f>
        <v>0.99302752293578</v>
      </c>
      <c r="W390" s="9" t="n">
        <v>108.24</v>
      </c>
      <c r="X390" s="10" t="n">
        <f aca="false">W390/$P390</f>
        <v>0.99302752293578</v>
      </c>
      <c r="Y390" s="9" t="n">
        <f aca="false">I390</f>
        <v>0</v>
      </c>
      <c r="Z390" s="9" t="n">
        <f aca="false">Y390</f>
        <v>0</v>
      </c>
    </row>
    <row r="391" customFormat="false" ht="12.8" hidden="false" customHeight="false" outlineLevel="0" collapsed="false">
      <c r="A391" s="1" t="n">
        <v>6</v>
      </c>
      <c r="B391" s="1" t="n">
        <v>1</v>
      </c>
      <c r="C391" s="1" t="n">
        <v>1</v>
      </c>
      <c r="D391" s="31" t="s">
        <v>229</v>
      </c>
      <c r="E391" s="8" t="n">
        <v>630</v>
      </c>
      <c r="F391" s="8" t="s">
        <v>133</v>
      </c>
      <c r="G391" s="9" t="n">
        <v>4964.81</v>
      </c>
      <c r="H391" s="9" t="n">
        <v>2234.26</v>
      </c>
      <c r="I391" s="9" t="n">
        <v>2240</v>
      </c>
      <c r="J391" s="9" t="n">
        <v>2275.47</v>
      </c>
      <c r="K391" s="9" t="n">
        <v>3240</v>
      </c>
      <c r="L391" s="9"/>
      <c r="M391" s="9" t="n">
        <v>50</v>
      </c>
      <c r="N391" s="9" t="n">
        <v>-109</v>
      </c>
      <c r="O391" s="9"/>
      <c r="P391" s="9" t="n">
        <f aca="false">SUM(K391:O391)</f>
        <v>3181</v>
      </c>
      <c r="Q391" s="9" t="n">
        <v>169.26</v>
      </c>
      <c r="R391" s="10" t="n">
        <f aca="false">Q391/$P391</f>
        <v>0.0532096824897831</v>
      </c>
      <c r="S391" s="9" t="n">
        <v>1658.75</v>
      </c>
      <c r="T391" s="10" t="n">
        <f aca="false">S391/$P391</f>
        <v>0.521455517132977</v>
      </c>
      <c r="U391" s="9" t="n">
        <v>2679.07</v>
      </c>
      <c r="V391" s="10" t="n">
        <f aca="false">U391/$P391</f>
        <v>0.842209996856334</v>
      </c>
      <c r="W391" s="9" t="n">
        <v>2841.69</v>
      </c>
      <c r="X391" s="10" t="n">
        <f aca="false">W391/$P391</f>
        <v>0.893332285444829</v>
      </c>
      <c r="Y391" s="9" t="n">
        <f aca="false">K391</f>
        <v>3240</v>
      </c>
      <c r="Z391" s="9" t="n">
        <f aca="false">Y391</f>
        <v>3240</v>
      </c>
    </row>
    <row r="392" customFormat="false" ht="12.8" hidden="false" customHeight="false" outlineLevel="0" collapsed="false">
      <c r="A392" s="1" t="n">
        <v>6</v>
      </c>
      <c r="B392" s="1" t="n">
        <v>1</v>
      </c>
      <c r="C392" s="1" t="n">
        <v>1</v>
      </c>
      <c r="D392" s="31" t="s">
        <v>229</v>
      </c>
      <c r="E392" s="8" t="n">
        <v>640</v>
      </c>
      <c r="F392" s="8" t="s">
        <v>134</v>
      </c>
      <c r="G392" s="9" t="n">
        <v>3117.79</v>
      </c>
      <c r="H392" s="9" t="n">
        <v>4200</v>
      </c>
      <c r="I392" s="9" t="n">
        <v>5800</v>
      </c>
      <c r="J392" s="9" t="n">
        <v>5800</v>
      </c>
      <c r="K392" s="9" t="n">
        <v>5500</v>
      </c>
      <c r="L392" s="9"/>
      <c r="M392" s="9" t="n">
        <v>-50</v>
      </c>
      <c r="N392" s="9"/>
      <c r="O392" s="9"/>
      <c r="P392" s="9" t="n">
        <f aca="false">SUM(K392:O392)</f>
        <v>5450</v>
      </c>
      <c r="Q392" s="9" t="n">
        <v>5450</v>
      </c>
      <c r="R392" s="10" t="n">
        <f aca="false">Q392/$P392</f>
        <v>1</v>
      </c>
      <c r="S392" s="9" t="n">
        <v>5450</v>
      </c>
      <c r="T392" s="10" t="n">
        <f aca="false">S392/$P392</f>
        <v>1</v>
      </c>
      <c r="U392" s="9" t="n">
        <v>5450</v>
      </c>
      <c r="V392" s="10" t="n">
        <f aca="false">U392/$P392</f>
        <v>1</v>
      </c>
      <c r="W392" s="9" t="n">
        <v>5450</v>
      </c>
      <c r="X392" s="10" t="n">
        <f aca="false">W392/$P392</f>
        <v>1</v>
      </c>
      <c r="Y392" s="9" t="n">
        <f aca="false">K392</f>
        <v>5500</v>
      </c>
      <c r="Z392" s="9" t="n">
        <f aca="false">Y392</f>
        <v>5500</v>
      </c>
    </row>
    <row r="393" customFormat="false" ht="12.8" hidden="false" customHeight="false" outlineLevel="0" collapsed="false">
      <c r="A393" s="1" t="n">
        <v>6</v>
      </c>
      <c r="B393" s="1" t="n">
        <v>1</v>
      </c>
      <c r="C393" s="1" t="n">
        <v>1</v>
      </c>
      <c r="D393" s="70" t="s">
        <v>21</v>
      </c>
      <c r="E393" s="29" t="n">
        <v>41</v>
      </c>
      <c r="F393" s="29" t="s">
        <v>23</v>
      </c>
      <c r="G393" s="30" t="n">
        <f aca="false">SUM(G390:G392)</f>
        <v>8190.96</v>
      </c>
      <c r="H393" s="30" t="n">
        <f aca="false">SUM(H390:H392)</f>
        <v>6434.26</v>
      </c>
      <c r="I393" s="30" t="n">
        <f aca="false">SUM(I390:I392)</f>
        <v>8040</v>
      </c>
      <c r="J393" s="30" t="n">
        <f aca="false">SUM(J390:J392)</f>
        <v>8075.47</v>
      </c>
      <c r="K393" s="30" t="n">
        <f aca="false">SUM(K390:K392)</f>
        <v>8740</v>
      </c>
      <c r="L393" s="30" t="n">
        <f aca="false">SUM(L390:L392)</f>
        <v>0</v>
      </c>
      <c r="M393" s="30" t="n">
        <f aca="false">SUM(M390:M392)</f>
        <v>0</v>
      </c>
      <c r="N393" s="30" t="n">
        <f aca="false">SUM(N390:N392)</f>
        <v>0</v>
      </c>
      <c r="O393" s="30" t="n">
        <f aca="false">SUM(O390:O392)</f>
        <v>0</v>
      </c>
      <c r="P393" s="30" t="n">
        <f aca="false">SUM(P390:P392)</f>
        <v>8740</v>
      </c>
      <c r="Q393" s="30" t="n">
        <f aca="false">SUM(Q390:Q392)</f>
        <v>5619.26</v>
      </c>
      <c r="R393" s="71" t="n">
        <f aca="false">Q393/$P393</f>
        <v>0.642935926773455</v>
      </c>
      <c r="S393" s="30" t="n">
        <f aca="false">SUM(S390:S392)</f>
        <v>7108.75</v>
      </c>
      <c r="T393" s="71" t="n">
        <f aca="false">S393/$P393</f>
        <v>0.813358123569794</v>
      </c>
      <c r="U393" s="30" t="n">
        <f aca="false">SUM(U390:U392)</f>
        <v>8237.31</v>
      </c>
      <c r="V393" s="71" t="n">
        <f aca="false">U393/$P393</f>
        <v>0.942483981693364</v>
      </c>
      <c r="W393" s="30" t="n">
        <f aca="false">SUM(W390:W392)</f>
        <v>8399.93</v>
      </c>
      <c r="X393" s="71" t="n">
        <f aca="false">W393/$P393</f>
        <v>0.961090389016018</v>
      </c>
      <c r="Y393" s="30" t="n">
        <f aca="false">SUM(Y390:Y392)</f>
        <v>8740</v>
      </c>
      <c r="Z393" s="30" t="n">
        <f aca="false">SUM(Z390:Z392)</f>
        <v>8740</v>
      </c>
    </row>
    <row r="394" customFormat="false" ht="12.8" hidden="false" customHeight="false" outlineLevel="0" collapsed="false">
      <c r="D394" s="73"/>
      <c r="E394" s="74"/>
      <c r="F394" s="11" t="s">
        <v>126</v>
      </c>
      <c r="G394" s="12" t="n">
        <f aca="false">G389+G393</f>
        <v>8190.96</v>
      </c>
      <c r="H394" s="12" t="n">
        <f aca="false">H389+H393</f>
        <v>6434.26</v>
      </c>
      <c r="I394" s="12" t="n">
        <f aca="false">I389+I393</f>
        <v>8040</v>
      </c>
      <c r="J394" s="12" t="n">
        <f aca="false">J389+J393</f>
        <v>8075.47</v>
      </c>
      <c r="K394" s="12" t="n">
        <f aca="false">K389+K393</f>
        <v>10365</v>
      </c>
      <c r="L394" s="12" t="n">
        <f aca="false">L389+L393</f>
        <v>0</v>
      </c>
      <c r="M394" s="12" t="n">
        <f aca="false">M389+M393</f>
        <v>0</v>
      </c>
      <c r="N394" s="12" t="n">
        <f aca="false">N389+N393</f>
        <v>0</v>
      </c>
      <c r="O394" s="12" t="n">
        <f aca="false">O389+O393</f>
        <v>0</v>
      </c>
      <c r="P394" s="12" t="n">
        <f aca="false">P389+P393</f>
        <v>10365</v>
      </c>
      <c r="Q394" s="12" t="n">
        <f aca="false">Q389+Q393</f>
        <v>7083.8</v>
      </c>
      <c r="R394" s="13" t="n">
        <f aca="false">Q394/$P394</f>
        <v>0.683434635793536</v>
      </c>
      <c r="S394" s="12" t="n">
        <f aca="false">S389+S393</f>
        <v>8733.75</v>
      </c>
      <c r="T394" s="13" t="n">
        <f aca="false">S394/$P394</f>
        <v>0.842619392185239</v>
      </c>
      <c r="U394" s="12" t="n">
        <f aca="false">U389+U393</f>
        <v>9862.31</v>
      </c>
      <c r="V394" s="13" t="n">
        <f aca="false">U394/$P394</f>
        <v>0.951501205981669</v>
      </c>
      <c r="W394" s="12" t="n">
        <f aca="false">W389+W393</f>
        <v>10024.93</v>
      </c>
      <c r="X394" s="13" t="n">
        <f aca="false">W394/$P394</f>
        <v>0.967190545103714</v>
      </c>
      <c r="Y394" s="12" t="n">
        <f aca="false">Y389+Y393</f>
        <v>8740</v>
      </c>
      <c r="Z394" s="12" t="n">
        <f aca="false">Z389+Z393</f>
        <v>8740</v>
      </c>
    </row>
    <row r="396" customFormat="false" ht="12.8" hidden="false" customHeight="false" outlineLevel="0" collapsed="false">
      <c r="E396" s="91" t="s">
        <v>57</v>
      </c>
      <c r="F396" s="92" t="s">
        <v>150</v>
      </c>
      <c r="G396" s="93" t="n">
        <v>814</v>
      </c>
      <c r="H396" s="93" t="n">
        <v>814</v>
      </c>
      <c r="I396" s="94" t="n">
        <v>814</v>
      </c>
      <c r="J396" s="94" t="n">
        <v>308</v>
      </c>
      <c r="K396" s="94" t="n">
        <v>381</v>
      </c>
      <c r="L396" s="94"/>
      <c r="M396" s="94"/>
      <c r="N396" s="94"/>
      <c r="O396" s="94"/>
      <c r="P396" s="94" t="n">
        <f aca="false">SUM(K396:O396)</f>
        <v>381</v>
      </c>
      <c r="Q396" s="94" t="n">
        <v>74.76</v>
      </c>
      <c r="R396" s="95" t="n">
        <f aca="false">Q396/$P396</f>
        <v>0.196220472440945</v>
      </c>
      <c r="S396" s="94" t="n">
        <v>176.76</v>
      </c>
      <c r="T396" s="95" t="n">
        <f aca="false">S396/$P396</f>
        <v>0.463937007874016</v>
      </c>
      <c r="U396" s="94" t="n">
        <v>278.76</v>
      </c>
      <c r="V396" s="95" t="n">
        <f aca="false">U396/$P396</f>
        <v>0.731653543307087</v>
      </c>
      <c r="W396" s="94" t="n">
        <v>380.76</v>
      </c>
      <c r="X396" s="96" t="n">
        <f aca="false">W396/$P396</f>
        <v>0.999370078740157</v>
      </c>
      <c r="Y396" s="94" t="n">
        <f aca="false">K396</f>
        <v>381</v>
      </c>
      <c r="Z396" s="97" t="n">
        <f aca="false">Y396</f>
        <v>381</v>
      </c>
    </row>
    <row r="398" customFormat="false" ht="12.8" hidden="false" customHeight="false" outlineLevel="0" collapsed="false">
      <c r="D398" s="51" t="s">
        <v>231</v>
      </c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customFormat="false" ht="12.8" hidden="false" customHeight="false" outlineLevel="0" collapsed="false">
      <c r="D399" s="5" t="s">
        <v>33</v>
      </c>
      <c r="E399" s="5" t="s">
        <v>34</v>
      </c>
      <c r="F399" s="5" t="s">
        <v>35</v>
      </c>
      <c r="G399" s="5" t="s">
        <v>1</v>
      </c>
      <c r="H399" s="5" t="s">
        <v>2</v>
      </c>
      <c r="I399" s="5" t="s">
        <v>3</v>
      </c>
      <c r="J399" s="5" t="s">
        <v>4</v>
      </c>
      <c r="K399" s="5" t="s">
        <v>5</v>
      </c>
      <c r="L399" s="5" t="s">
        <v>6</v>
      </c>
      <c r="M399" s="5" t="s">
        <v>7</v>
      </c>
      <c r="N399" s="5" t="s">
        <v>8</v>
      </c>
      <c r="O399" s="5" t="s">
        <v>9</v>
      </c>
      <c r="P399" s="5" t="s">
        <v>10</v>
      </c>
      <c r="Q399" s="5" t="s">
        <v>11</v>
      </c>
      <c r="R399" s="5" t="s">
        <v>12</v>
      </c>
      <c r="S399" s="5" t="s">
        <v>13</v>
      </c>
      <c r="T399" s="5" t="s">
        <v>14</v>
      </c>
      <c r="U399" s="5" t="s">
        <v>15</v>
      </c>
      <c r="V399" s="5" t="s">
        <v>16</v>
      </c>
      <c r="W399" s="5" t="s">
        <v>17</v>
      </c>
      <c r="X399" s="5" t="s">
        <v>18</v>
      </c>
      <c r="Y399" s="5" t="s">
        <v>19</v>
      </c>
      <c r="Z399" s="5" t="s">
        <v>20</v>
      </c>
    </row>
    <row r="400" customFormat="false" ht="12.8" hidden="false" customHeight="false" outlineLevel="0" collapsed="false">
      <c r="A400" s="1" t="n">
        <v>6</v>
      </c>
      <c r="B400" s="1" t="n">
        <v>1</v>
      </c>
      <c r="C400" s="1" t="n">
        <v>2</v>
      </c>
      <c r="D400" s="69" t="s">
        <v>229</v>
      </c>
      <c r="E400" s="8" t="n">
        <v>640</v>
      </c>
      <c r="F400" s="8" t="s">
        <v>134</v>
      </c>
      <c r="G400" s="9" t="n">
        <v>2190</v>
      </c>
      <c r="H400" s="9" t="n">
        <v>1850</v>
      </c>
      <c r="I400" s="9" t="n">
        <v>1200</v>
      </c>
      <c r="J400" s="9" t="n">
        <v>1200</v>
      </c>
      <c r="K400" s="9" t="n">
        <f aca="false">SUM(K403:K405)</f>
        <v>1300</v>
      </c>
      <c r="L400" s="9"/>
      <c r="M400" s="9"/>
      <c r="N400" s="9" t="n">
        <v>400</v>
      </c>
      <c r="O400" s="9"/>
      <c r="P400" s="9" t="n">
        <f aca="false">SUM(K400:O400)</f>
        <v>1700</v>
      </c>
      <c r="Q400" s="9" t="n">
        <v>1200</v>
      </c>
      <c r="R400" s="10" t="n">
        <f aca="false">Q400/$P400</f>
        <v>0.705882352941176</v>
      </c>
      <c r="S400" s="9" t="n">
        <v>1200</v>
      </c>
      <c r="T400" s="10" t="n">
        <f aca="false">S400/$P400</f>
        <v>0.705882352941176</v>
      </c>
      <c r="U400" s="9" t="n">
        <v>1700</v>
      </c>
      <c r="V400" s="10" t="n">
        <f aca="false">U400/$P400</f>
        <v>1</v>
      </c>
      <c r="W400" s="9" t="n">
        <v>1700</v>
      </c>
      <c r="X400" s="10" t="n">
        <f aca="false">W400/$P400</f>
        <v>1</v>
      </c>
      <c r="Y400" s="9" t="n">
        <f aca="false">SUM(Y403:Y405)</f>
        <v>1300</v>
      </c>
      <c r="Z400" s="9" t="n">
        <f aca="false">SUM(Z403:Z405)</f>
        <v>1300</v>
      </c>
    </row>
    <row r="401" customFormat="false" ht="12.8" hidden="false" customHeight="false" outlineLevel="0" collapsed="false">
      <c r="A401" s="1" t="n">
        <v>6</v>
      </c>
      <c r="B401" s="1" t="n">
        <v>1</v>
      </c>
      <c r="C401" s="1" t="n">
        <v>2</v>
      </c>
      <c r="D401" s="55" t="s">
        <v>21</v>
      </c>
      <c r="E401" s="11" t="n">
        <v>41</v>
      </c>
      <c r="F401" s="11" t="s">
        <v>23</v>
      </c>
      <c r="G401" s="12" t="n">
        <f aca="false">SUM(G400:G400)</f>
        <v>2190</v>
      </c>
      <c r="H401" s="12" t="n">
        <f aca="false">SUM(H400:H400)</f>
        <v>1850</v>
      </c>
      <c r="I401" s="12" t="n">
        <f aca="false">SUM(I400:I400)</f>
        <v>1200</v>
      </c>
      <c r="J401" s="12" t="n">
        <f aca="false">SUM(J400:J400)</f>
        <v>1200</v>
      </c>
      <c r="K401" s="12" t="n">
        <f aca="false">SUM(K400:K400)</f>
        <v>1300</v>
      </c>
      <c r="L401" s="12" t="n">
        <f aca="false">SUM(L400:L400)</f>
        <v>0</v>
      </c>
      <c r="M401" s="12" t="n">
        <f aca="false">SUM(M400:M400)</f>
        <v>0</v>
      </c>
      <c r="N401" s="12" t="n">
        <f aca="false">SUM(N400:N400)</f>
        <v>400</v>
      </c>
      <c r="O401" s="12" t="n">
        <f aca="false">SUM(O400:O400)</f>
        <v>0</v>
      </c>
      <c r="P401" s="12" t="n">
        <f aca="false">SUM(P400:P400)</f>
        <v>1700</v>
      </c>
      <c r="Q401" s="12" t="n">
        <f aca="false">SUM(Q400:Q400)</f>
        <v>1200</v>
      </c>
      <c r="R401" s="13" t="n">
        <f aca="false">Q401/$P401</f>
        <v>0.705882352941176</v>
      </c>
      <c r="S401" s="12" t="n">
        <f aca="false">SUM(S400:S400)</f>
        <v>1200</v>
      </c>
      <c r="T401" s="13" t="n">
        <f aca="false">S401/$P401</f>
        <v>0.705882352941176</v>
      </c>
      <c r="U401" s="12" t="n">
        <f aca="false">SUM(U400:U400)</f>
        <v>1700</v>
      </c>
      <c r="V401" s="13" t="n">
        <f aca="false">U401/$P401</f>
        <v>1</v>
      </c>
      <c r="W401" s="12" t="n">
        <f aca="false">SUM(W400:W400)</f>
        <v>1700</v>
      </c>
      <c r="X401" s="13" t="n">
        <f aca="false">W401/$P401</f>
        <v>1</v>
      </c>
      <c r="Y401" s="12" t="n">
        <f aca="false">SUM(Y400:Y400)</f>
        <v>1300</v>
      </c>
      <c r="Z401" s="12" t="n">
        <f aca="false">SUM(Z400:Z400)</f>
        <v>1300</v>
      </c>
    </row>
    <row r="403" customFormat="false" ht="12.8" hidden="false" customHeight="false" outlineLevel="0" collapsed="false">
      <c r="E403" s="32" t="s">
        <v>57</v>
      </c>
      <c r="F403" s="14" t="s">
        <v>232</v>
      </c>
      <c r="G403" s="33" t="n">
        <v>1100</v>
      </c>
      <c r="H403" s="33" t="n">
        <v>1000</v>
      </c>
      <c r="I403" s="33" t="n">
        <v>1200</v>
      </c>
      <c r="J403" s="33" t="n">
        <v>1200</v>
      </c>
      <c r="K403" s="33" t="n">
        <v>600</v>
      </c>
      <c r="L403" s="33"/>
      <c r="M403" s="33"/>
      <c r="N403" s="33" t="n">
        <v>400</v>
      </c>
      <c r="O403" s="33"/>
      <c r="P403" s="33" t="n">
        <f aca="false">SUM(K403:O403)</f>
        <v>1000</v>
      </c>
      <c r="Q403" s="33" t="n">
        <v>500</v>
      </c>
      <c r="R403" s="34" t="n">
        <f aca="false">Q403/$P403</f>
        <v>0.5</v>
      </c>
      <c r="S403" s="33" t="n">
        <v>500</v>
      </c>
      <c r="T403" s="34" t="n">
        <f aca="false">S403/$P403</f>
        <v>0.5</v>
      </c>
      <c r="U403" s="33" t="n">
        <v>1000</v>
      </c>
      <c r="V403" s="34" t="n">
        <f aca="false">U403/$P403</f>
        <v>1</v>
      </c>
      <c r="W403" s="33" t="n">
        <v>1000</v>
      </c>
      <c r="X403" s="35" t="n">
        <f aca="false">W403/$P403</f>
        <v>1</v>
      </c>
      <c r="Y403" s="33" t="n">
        <v>600</v>
      </c>
      <c r="Z403" s="36" t="n">
        <v>600</v>
      </c>
    </row>
    <row r="404" customFormat="false" ht="12.8" hidden="false" customHeight="false" outlineLevel="0" collapsed="false">
      <c r="E404" s="37"/>
      <c r="F404" s="38" t="s">
        <v>233</v>
      </c>
      <c r="G404" s="39" t="n">
        <v>450</v>
      </c>
      <c r="H404" s="39" t="n">
        <v>850</v>
      </c>
      <c r="I404" s="39"/>
      <c r="J404" s="39"/>
      <c r="K404" s="39" t="n">
        <v>700</v>
      </c>
      <c r="L404" s="39"/>
      <c r="M404" s="39"/>
      <c r="N404" s="39"/>
      <c r="O404" s="39"/>
      <c r="P404" s="39" t="n">
        <f aca="false">SUM(K404:O404)</f>
        <v>700</v>
      </c>
      <c r="Q404" s="39" t="n">
        <v>700</v>
      </c>
      <c r="R404" s="40" t="n">
        <f aca="false">Q404/$P404</f>
        <v>1</v>
      </c>
      <c r="S404" s="39" t="n">
        <v>700</v>
      </c>
      <c r="T404" s="40" t="n">
        <f aca="false">S404/$P404</f>
        <v>1</v>
      </c>
      <c r="U404" s="39" t="n">
        <v>700</v>
      </c>
      <c r="V404" s="40" t="n">
        <f aca="false">U404/$P404</f>
        <v>1</v>
      </c>
      <c r="W404" s="39" t="n">
        <v>700</v>
      </c>
      <c r="X404" s="41" t="n">
        <f aca="false">W404/$P404</f>
        <v>1</v>
      </c>
      <c r="Y404" s="39" t="n">
        <f aca="false">K404</f>
        <v>700</v>
      </c>
      <c r="Z404" s="42" t="n">
        <f aca="false">Y404</f>
        <v>700</v>
      </c>
    </row>
    <row r="405" customFormat="false" ht="12.8" hidden="false" customHeight="false" outlineLevel="0" collapsed="false">
      <c r="E405" s="44"/>
      <c r="F405" s="45" t="s">
        <v>234</v>
      </c>
      <c r="G405" s="46" t="n">
        <v>640</v>
      </c>
      <c r="H405" s="46"/>
      <c r="I405" s="46"/>
      <c r="J405" s="46"/>
      <c r="K405" s="46" t="n">
        <v>0</v>
      </c>
      <c r="L405" s="46"/>
      <c r="M405" s="46"/>
      <c r="N405" s="46"/>
      <c r="O405" s="46"/>
      <c r="P405" s="46" t="n">
        <f aca="false">SUM(K405:O405)</f>
        <v>0</v>
      </c>
      <c r="Q405" s="46" t="n">
        <v>0</v>
      </c>
      <c r="R405" s="47" t="e">
        <f aca="false">Q405/$P405</f>
        <v>#DIV/0!</v>
      </c>
      <c r="S405" s="46" t="n">
        <v>0</v>
      </c>
      <c r="T405" s="47" t="e">
        <f aca="false">S405/$P405</f>
        <v>#DIV/0!</v>
      </c>
      <c r="U405" s="46" t="n">
        <v>0</v>
      </c>
      <c r="V405" s="47" t="e">
        <f aca="false">U405/$P405</f>
        <v>#DIV/0!</v>
      </c>
      <c r="W405" s="46" t="n">
        <v>0</v>
      </c>
      <c r="X405" s="48" t="e">
        <f aca="false">W405/$P405</f>
        <v>#DIV/0!</v>
      </c>
      <c r="Y405" s="46"/>
      <c r="Z405" s="49"/>
    </row>
    <row r="407" customFormat="false" ht="12.8" hidden="false" customHeight="false" outlineLevel="0" collapsed="false">
      <c r="D407" s="24" t="s">
        <v>235</v>
      </c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customFormat="false" ht="12.8" hidden="false" customHeight="false" outlineLevel="0" collapsed="false">
      <c r="D408" s="90"/>
      <c r="E408" s="90"/>
      <c r="F408" s="90"/>
      <c r="G408" s="5" t="s">
        <v>1</v>
      </c>
      <c r="H408" s="5" t="s">
        <v>2</v>
      </c>
      <c r="I408" s="5" t="s">
        <v>3</v>
      </c>
      <c r="J408" s="5" t="s">
        <v>4</v>
      </c>
      <c r="K408" s="5" t="s">
        <v>5</v>
      </c>
      <c r="L408" s="5" t="s">
        <v>6</v>
      </c>
      <c r="M408" s="5" t="s">
        <v>7</v>
      </c>
      <c r="N408" s="5" t="s">
        <v>8</v>
      </c>
      <c r="O408" s="5" t="s">
        <v>9</v>
      </c>
      <c r="P408" s="5" t="s">
        <v>10</v>
      </c>
      <c r="Q408" s="5" t="s">
        <v>11</v>
      </c>
      <c r="R408" s="5" t="s">
        <v>12</v>
      </c>
      <c r="S408" s="5" t="s">
        <v>13</v>
      </c>
      <c r="T408" s="5" t="s">
        <v>14</v>
      </c>
      <c r="U408" s="5" t="s">
        <v>15</v>
      </c>
      <c r="V408" s="5" t="s">
        <v>16</v>
      </c>
      <c r="W408" s="5" t="s">
        <v>17</v>
      </c>
      <c r="X408" s="5" t="s">
        <v>18</v>
      </c>
      <c r="Y408" s="5" t="s">
        <v>19</v>
      </c>
      <c r="Z408" s="5" t="s">
        <v>20</v>
      </c>
    </row>
    <row r="409" customFormat="false" ht="12.8" hidden="false" customHeight="false" outlineLevel="0" collapsed="false">
      <c r="A409" s="1" t="n">
        <v>6</v>
      </c>
      <c r="B409" s="1" t="n">
        <v>2</v>
      </c>
      <c r="D409" s="102" t="s">
        <v>21</v>
      </c>
      <c r="E409" s="103" t="n">
        <v>41</v>
      </c>
      <c r="F409" s="103" t="s">
        <v>23</v>
      </c>
      <c r="G409" s="9" t="n">
        <f aca="false">G416+G429+G442</f>
        <v>15189.14</v>
      </c>
      <c r="H409" s="9" t="n">
        <f aca="false">H416+H429+H442</f>
        <v>27176.07</v>
      </c>
      <c r="I409" s="9" t="n">
        <f aca="false">I416+I429+I442</f>
        <v>22878</v>
      </c>
      <c r="J409" s="9" t="n">
        <f aca="false">J416+J429+J442</f>
        <v>22839.24</v>
      </c>
      <c r="K409" s="9" t="n">
        <f aca="false">K416+K429+K442</f>
        <v>28425</v>
      </c>
      <c r="L409" s="9" t="n">
        <f aca="false">L416+L429+L442</f>
        <v>0</v>
      </c>
      <c r="M409" s="9" t="n">
        <f aca="false">M416+M429+M442</f>
        <v>0</v>
      </c>
      <c r="N409" s="9" t="n">
        <f aca="false">N416+N429+N442</f>
        <v>-237</v>
      </c>
      <c r="O409" s="9" t="n">
        <f aca="false">O416+O429+O442</f>
        <v>-1965</v>
      </c>
      <c r="P409" s="9" t="n">
        <f aca="false">P416+P429+P442</f>
        <v>26223</v>
      </c>
      <c r="Q409" s="9" t="n">
        <f aca="false">Q416+Q429+Q442</f>
        <v>3621.81</v>
      </c>
      <c r="R409" s="10" t="n">
        <f aca="false">Q409/$P409</f>
        <v>0.138115776226976</v>
      </c>
      <c r="S409" s="9" t="n">
        <f aca="false">S416+S429+S442</f>
        <v>7687.12</v>
      </c>
      <c r="T409" s="10" t="n">
        <f aca="false">S409/$P409</f>
        <v>0.293144186401251</v>
      </c>
      <c r="U409" s="9" t="n">
        <f aca="false">U416+U429+U442</f>
        <v>19298.29</v>
      </c>
      <c r="V409" s="10" t="n">
        <f aca="false">U409/$P409</f>
        <v>0.735929908858636</v>
      </c>
      <c r="W409" s="9" t="n">
        <f aca="false">W416+W429+W442</f>
        <v>24504.28</v>
      </c>
      <c r="X409" s="10" t="n">
        <f aca="false">W409/$P409</f>
        <v>0.934457537276437</v>
      </c>
      <c r="Y409" s="9" t="n">
        <f aca="false">Y416+Y429+Y442</f>
        <v>21623</v>
      </c>
      <c r="Z409" s="9" t="n">
        <f aca="false">Z416+Z429+Z442</f>
        <v>21623</v>
      </c>
    </row>
    <row r="410" customFormat="false" ht="12.8" hidden="false" customHeight="false" outlineLevel="0" collapsed="false">
      <c r="A410" s="1" t="n">
        <v>6</v>
      </c>
      <c r="B410" s="1" t="n">
        <v>2</v>
      </c>
      <c r="D410" s="14"/>
      <c r="E410" s="15"/>
      <c r="F410" s="11" t="s">
        <v>126</v>
      </c>
      <c r="G410" s="12" t="n">
        <f aca="false">SUM(G409:G409)</f>
        <v>15189.14</v>
      </c>
      <c r="H410" s="12" t="n">
        <f aca="false">SUM(H409:H409)</f>
        <v>27176.07</v>
      </c>
      <c r="I410" s="12" t="n">
        <f aca="false">SUM(I409:I409)</f>
        <v>22878</v>
      </c>
      <c r="J410" s="12" t="n">
        <f aca="false">SUM(J409:J409)</f>
        <v>22839.24</v>
      </c>
      <c r="K410" s="12" t="n">
        <f aca="false">SUM(K409:K409)</f>
        <v>28425</v>
      </c>
      <c r="L410" s="12" t="n">
        <f aca="false">SUM(L409:L409)</f>
        <v>0</v>
      </c>
      <c r="M410" s="12" t="n">
        <f aca="false">SUM(M409:M409)</f>
        <v>0</v>
      </c>
      <c r="N410" s="12" t="n">
        <f aca="false">SUM(N409:N409)</f>
        <v>-237</v>
      </c>
      <c r="O410" s="12" t="n">
        <f aca="false">SUM(O409:O409)</f>
        <v>-1965</v>
      </c>
      <c r="P410" s="12" t="n">
        <f aca="false">SUM(P409:P409)</f>
        <v>26223</v>
      </c>
      <c r="Q410" s="12" t="n">
        <f aca="false">SUM(Q409:Q409)</f>
        <v>3621.81</v>
      </c>
      <c r="R410" s="13" t="n">
        <f aca="false">Q410/$P410</f>
        <v>0.138115776226976</v>
      </c>
      <c r="S410" s="12" t="n">
        <f aca="false">SUM(S409:S409)</f>
        <v>7687.12</v>
      </c>
      <c r="T410" s="13" t="n">
        <f aca="false">S410/$P410</f>
        <v>0.293144186401251</v>
      </c>
      <c r="U410" s="12" t="n">
        <f aca="false">SUM(U409:U409)</f>
        <v>19298.29</v>
      </c>
      <c r="V410" s="13" t="n">
        <f aca="false">U410/$P410</f>
        <v>0.735929908858636</v>
      </c>
      <c r="W410" s="12" t="n">
        <f aca="false">SUM(W409:W409)</f>
        <v>24504.28</v>
      </c>
      <c r="X410" s="13" t="n">
        <f aca="false">W410/$P410</f>
        <v>0.934457537276437</v>
      </c>
      <c r="Y410" s="12" t="n">
        <f aca="false">SUM(Y409:Y409)</f>
        <v>21623</v>
      </c>
      <c r="Z410" s="12" t="n">
        <f aca="false">SUM(Z409:Z409)</f>
        <v>21623</v>
      </c>
    </row>
    <row r="412" customFormat="false" ht="12.8" hidden="false" customHeight="false" outlineLevel="0" collapsed="false">
      <c r="D412" s="51" t="s">
        <v>236</v>
      </c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customFormat="false" ht="12.8" hidden="false" customHeight="false" outlineLevel="0" collapsed="false">
      <c r="D413" s="5" t="s">
        <v>33</v>
      </c>
      <c r="E413" s="5" t="s">
        <v>34</v>
      </c>
      <c r="F413" s="5" t="s">
        <v>35</v>
      </c>
      <c r="G413" s="5" t="s">
        <v>1</v>
      </c>
      <c r="H413" s="5" t="s">
        <v>2</v>
      </c>
      <c r="I413" s="5" t="s">
        <v>3</v>
      </c>
      <c r="J413" s="5" t="s">
        <v>4</v>
      </c>
      <c r="K413" s="5" t="s">
        <v>5</v>
      </c>
      <c r="L413" s="5" t="s">
        <v>6</v>
      </c>
      <c r="M413" s="5" t="s">
        <v>7</v>
      </c>
      <c r="N413" s="5" t="s">
        <v>8</v>
      </c>
      <c r="O413" s="5" t="s">
        <v>9</v>
      </c>
      <c r="P413" s="5" t="s">
        <v>10</v>
      </c>
      <c r="Q413" s="5" t="s">
        <v>11</v>
      </c>
      <c r="R413" s="5" t="s">
        <v>12</v>
      </c>
      <c r="S413" s="5" t="s">
        <v>13</v>
      </c>
      <c r="T413" s="5" t="s">
        <v>14</v>
      </c>
      <c r="U413" s="5" t="s">
        <v>15</v>
      </c>
      <c r="V413" s="5" t="s">
        <v>16</v>
      </c>
      <c r="W413" s="5" t="s">
        <v>17</v>
      </c>
      <c r="X413" s="5" t="s">
        <v>18</v>
      </c>
      <c r="Y413" s="5" t="s">
        <v>19</v>
      </c>
      <c r="Z413" s="5" t="s">
        <v>20</v>
      </c>
    </row>
    <row r="414" customFormat="false" ht="12.8" hidden="false" customHeight="false" outlineLevel="0" collapsed="false">
      <c r="A414" s="1" t="n">
        <v>6</v>
      </c>
      <c r="B414" s="1" t="n">
        <v>2</v>
      </c>
      <c r="C414" s="1" t="n">
        <v>1</v>
      </c>
      <c r="D414" s="69" t="s">
        <v>237</v>
      </c>
      <c r="E414" s="8" t="n">
        <v>620</v>
      </c>
      <c r="F414" s="8" t="s">
        <v>132</v>
      </c>
      <c r="G414" s="9" t="n">
        <v>452.64</v>
      </c>
      <c r="H414" s="9" t="n">
        <v>315.03</v>
      </c>
      <c r="I414" s="9" t="n">
        <v>316</v>
      </c>
      <c r="J414" s="9" t="n">
        <v>302.52</v>
      </c>
      <c r="K414" s="9" t="n">
        <v>49</v>
      </c>
      <c r="L414" s="9"/>
      <c r="M414" s="9"/>
      <c r="N414" s="9"/>
      <c r="O414" s="9"/>
      <c r="P414" s="9" t="n">
        <f aca="false">SUM(K414:O414)</f>
        <v>49</v>
      </c>
      <c r="Q414" s="9" t="n">
        <v>26.19</v>
      </c>
      <c r="R414" s="10" t="n">
        <f aca="false">Q414/$P414</f>
        <v>0.534489795918367</v>
      </c>
      <c r="S414" s="9" t="n">
        <v>26.19</v>
      </c>
      <c r="T414" s="10" t="n">
        <f aca="false">S414/$P414</f>
        <v>0.534489795918367</v>
      </c>
      <c r="U414" s="9" t="n">
        <v>26.19</v>
      </c>
      <c r="V414" s="10" t="n">
        <f aca="false">U414/$P414</f>
        <v>0.534489795918367</v>
      </c>
      <c r="W414" s="9" t="n">
        <v>26.19</v>
      </c>
      <c r="X414" s="10" t="n">
        <f aca="false">W414/$P414</f>
        <v>0.534489795918367</v>
      </c>
      <c r="Y414" s="9" t="n">
        <v>0</v>
      </c>
      <c r="Z414" s="9" t="n">
        <f aca="false">Y414</f>
        <v>0</v>
      </c>
    </row>
    <row r="415" customFormat="false" ht="12.8" hidden="false" customHeight="false" outlineLevel="0" collapsed="false">
      <c r="A415" s="1" t="n">
        <v>6</v>
      </c>
      <c r="B415" s="1" t="n">
        <v>2</v>
      </c>
      <c r="C415" s="1" t="n">
        <v>1</v>
      </c>
      <c r="D415" s="69"/>
      <c r="E415" s="8" t="n">
        <v>630</v>
      </c>
      <c r="F415" s="8" t="s">
        <v>133</v>
      </c>
      <c r="G415" s="9" t="n">
        <v>5628.05</v>
      </c>
      <c r="H415" s="9" t="n">
        <v>4562.12</v>
      </c>
      <c r="I415" s="9" t="n">
        <v>4500</v>
      </c>
      <c r="J415" s="9" t="n">
        <v>4632.76</v>
      </c>
      <c r="K415" s="28" t="n">
        <f aca="false">4691+6500</f>
        <v>11191</v>
      </c>
      <c r="L415" s="28"/>
      <c r="M415" s="28"/>
      <c r="N415" s="28" t="n">
        <v>-1000</v>
      </c>
      <c r="O415" s="28" t="n">
        <v>-2000</v>
      </c>
      <c r="P415" s="28" t="n">
        <f aca="false">SUM(K415:O415)</f>
        <v>8191</v>
      </c>
      <c r="Q415" s="28" t="n">
        <v>1105.12</v>
      </c>
      <c r="R415" s="10" t="n">
        <f aca="false">Q415/$P415</f>
        <v>0.134918813331706</v>
      </c>
      <c r="S415" s="28" t="n">
        <v>1943.12</v>
      </c>
      <c r="T415" s="10" t="n">
        <f aca="false">S415/$P415</f>
        <v>0.237226223904285</v>
      </c>
      <c r="U415" s="28" t="n">
        <v>3951.32</v>
      </c>
      <c r="V415" s="10" t="n">
        <f aca="false">U415/$P415</f>
        <v>0.482397753632035</v>
      </c>
      <c r="W415" s="28" t="n">
        <v>6836.82</v>
      </c>
      <c r="X415" s="10" t="n">
        <f aca="false">W415/$P415</f>
        <v>0.834674642900745</v>
      </c>
      <c r="Y415" s="9" t="n">
        <f aca="false">K415-253-6500</f>
        <v>4438</v>
      </c>
      <c r="Z415" s="9" t="n">
        <f aca="false">Y415</f>
        <v>4438</v>
      </c>
    </row>
    <row r="416" customFormat="false" ht="12.8" hidden="false" customHeight="false" outlineLevel="0" collapsed="false">
      <c r="A416" s="1" t="n">
        <v>6</v>
      </c>
      <c r="B416" s="1" t="n">
        <v>2</v>
      </c>
      <c r="C416" s="1" t="n">
        <v>1</v>
      </c>
      <c r="D416" s="55" t="s">
        <v>21</v>
      </c>
      <c r="E416" s="11" t="n">
        <v>41</v>
      </c>
      <c r="F416" s="11" t="s">
        <v>23</v>
      </c>
      <c r="G416" s="12" t="n">
        <f aca="false">SUM(G414:G415)</f>
        <v>6080.69</v>
      </c>
      <c r="H416" s="12" t="n">
        <f aca="false">SUM(H414:H415)</f>
        <v>4877.15</v>
      </c>
      <c r="I416" s="12" t="n">
        <f aca="false">SUM(I414:I415)</f>
        <v>4816</v>
      </c>
      <c r="J416" s="12" t="n">
        <f aca="false">SUM(J414:J415)</f>
        <v>4935.28</v>
      </c>
      <c r="K416" s="12" t="n">
        <f aca="false">SUM(K414:K415)</f>
        <v>11240</v>
      </c>
      <c r="L416" s="12" t="n">
        <f aca="false">SUM(L414:L415)</f>
        <v>0</v>
      </c>
      <c r="M416" s="12" t="n">
        <f aca="false">SUM(M414:M415)</f>
        <v>0</v>
      </c>
      <c r="N416" s="12" t="n">
        <f aca="false">SUM(N414:N415)</f>
        <v>-1000</v>
      </c>
      <c r="O416" s="12" t="n">
        <f aca="false">SUM(O414:O415)</f>
        <v>-2000</v>
      </c>
      <c r="P416" s="12" t="n">
        <f aca="false">SUM(P414:P415)</f>
        <v>8240</v>
      </c>
      <c r="Q416" s="12" t="n">
        <f aca="false">SUM(Q414:Q415)</f>
        <v>1131.31</v>
      </c>
      <c r="R416" s="13" t="n">
        <f aca="false">Q416/$P416</f>
        <v>0.137294902912621</v>
      </c>
      <c r="S416" s="12" t="n">
        <f aca="false">SUM(S414:S415)</f>
        <v>1969.31</v>
      </c>
      <c r="T416" s="13" t="n">
        <f aca="false">S416/$P416</f>
        <v>0.238993932038835</v>
      </c>
      <c r="U416" s="12" t="n">
        <f aca="false">SUM(U414:U415)</f>
        <v>3977.51</v>
      </c>
      <c r="V416" s="13" t="n">
        <f aca="false">U416/$P416</f>
        <v>0.482707524271845</v>
      </c>
      <c r="W416" s="12" t="n">
        <f aca="false">SUM(W414:W415)</f>
        <v>6863.01</v>
      </c>
      <c r="X416" s="13" t="n">
        <f aca="false">W416/$P416</f>
        <v>0.832889563106796</v>
      </c>
      <c r="Y416" s="12" t="n">
        <f aca="false">SUM(Y414:Y415)</f>
        <v>4438</v>
      </c>
      <c r="Z416" s="12" t="n">
        <f aca="false">SUM(Z414:Z415)</f>
        <v>4438</v>
      </c>
    </row>
    <row r="418" customFormat="false" ht="12.8" hidden="false" customHeight="false" outlineLevel="0" collapsed="false">
      <c r="E418" s="32" t="s">
        <v>57</v>
      </c>
      <c r="F418" s="14" t="s">
        <v>150</v>
      </c>
      <c r="G418" s="33" t="n">
        <v>869</v>
      </c>
      <c r="H418" s="33" t="n">
        <v>869</v>
      </c>
      <c r="I418" s="33" t="n">
        <v>869</v>
      </c>
      <c r="J418" s="33" t="n">
        <v>803</v>
      </c>
      <c r="K418" s="33" t="n">
        <v>1018</v>
      </c>
      <c r="L418" s="33"/>
      <c r="M418" s="33"/>
      <c r="N418" s="33"/>
      <c r="O418" s="33"/>
      <c r="P418" s="33" t="n">
        <f aca="false">SUM(K418:O418)</f>
        <v>1018</v>
      </c>
      <c r="Q418" s="33" t="n">
        <v>225.94</v>
      </c>
      <c r="R418" s="34" t="n">
        <f aca="false">Q418/$P418</f>
        <v>0.221944990176817</v>
      </c>
      <c r="S418" s="33" t="n">
        <v>489.94</v>
      </c>
      <c r="T418" s="34" t="n">
        <f aca="false">S418/$P418</f>
        <v>0.481277013752456</v>
      </c>
      <c r="U418" s="33" t="n">
        <v>753.94</v>
      </c>
      <c r="V418" s="34" t="n">
        <f aca="false">U418/$P418</f>
        <v>0.740609037328094</v>
      </c>
      <c r="W418" s="33" t="n">
        <v>1017.94</v>
      </c>
      <c r="X418" s="35" t="n">
        <f aca="false">W418/$P418</f>
        <v>0.999941060903733</v>
      </c>
      <c r="Y418" s="33" t="n">
        <f aca="false">K418</f>
        <v>1018</v>
      </c>
      <c r="Z418" s="36" t="n">
        <f aca="false">Y418</f>
        <v>1018</v>
      </c>
    </row>
    <row r="419" customFormat="false" ht="12.8" hidden="false" customHeight="false" outlineLevel="0" collapsed="false">
      <c r="E419" s="37"/>
      <c r="F419" s="38" t="s">
        <v>151</v>
      </c>
      <c r="G419" s="39" t="n">
        <v>2268</v>
      </c>
      <c r="H419" s="39" t="n">
        <v>1830.74</v>
      </c>
      <c r="I419" s="39" t="n">
        <v>1831</v>
      </c>
      <c r="J419" s="39" t="n">
        <v>1608</v>
      </c>
      <c r="K419" s="39" t="n">
        <v>1920</v>
      </c>
      <c r="L419" s="39"/>
      <c r="M419" s="39"/>
      <c r="N419" s="39"/>
      <c r="O419" s="39"/>
      <c r="P419" s="39" t="n">
        <f aca="false">SUM(K419:O419)</f>
        <v>1920</v>
      </c>
      <c r="Q419" s="39" t="n">
        <v>588.12</v>
      </c>
      <c r="R419" s="40" t="n">
        <f aca="false">Q419/$P419</f>
        <v>0.3063125</v>
      </c>
      <c r="S419" s="39" t="n">
        <v>1032.12</v>
      </c>
      <c r="T419" s="40" t="n">
        <f aca="false">S419/$P419</f>
        <v>0.5375625</v>
      </c>
      <c r="U419" s="39" t="n">
        <v>1476.12</v>
      </c>
      <c r="V419" s="40" t="n">
        <f aca="false">U419/$P419</f>
        <v>0.7688125</v>
      </c>
      <c r="W419" s="39" t="n">
        <v>1920.12</v>
      </c>
      <c r="X419" s="41" t="n">
        <f aca="false">W419/$P419</f>
        <v>1.0000625</v>
      </c>
      <c r="Y419" s="39" t="n">
        <f aca="false">K419</f>
        <v>1920</v>
      </c>
      <c r="Z419" s="42" t="n">
        <f aca="false">Y419</f>
        <v>1920</v>
      </c>
    </row>
    <row r="420" customFormat="false" ht="12.8" hidden="false" customHeight="false" outlineLevel="0" collapsed="false">
      <c r="E420" s="37"/>
      <c r="F420" s="38" t="s">
        <v>238</v>
      </c>
      <c r="G420" s="39"/>
      <c r="H420" s="39"/>
      <c r="I420" s="39"/>
      <c r="J420" s="39"/>
      <c r="K420" s="39" t="n">
        <v>1500</v>
      </c>
      <c r="L420" s="39"/>
      <c r="M420" s="39"/>
      <c r="N420" s="39"/>
      <c r="O420" s="39" t="n">
        <v>-18</v>
      </c>
      <c r="P420" s="39" t="n">
        <f aca="false">SUM(K420:O420)</f>
        <v>1482</v>
      </c>
      <c r="Q420" s="39" t="n">
        <v>0</v>
      </c>
      <c r="R420" s="40" t="n">
        <f aca="false">Q420/$P420</f>
        <v>0</v>
      </c>
      <c r="S420" s="39" t="n">
        <v>0</v>
      </c>
      <c r="T420" s="40" t="n">
        <f aca="false">S420/$P420</f>
        <v>0</v>
      </c>
      <c r="U420" s="39" t="n">
        <v>1300.2</v>
      </c>
      <c r="V420" s="40" t="n">
        <f aca="false">U420/$P420</f>
        <v>0.877327935222672</v>
      </c>
      <c r="W420" s="39" t="n">
        <v>1300.2</v>
      </c>
      <c r="X420" s="41" t="n">
        <f aca="false">W420/$P420</f>
        <v>0.877327935222672</v>
      </c>
      <c r="Y420" s="39"/>
      <c r="Z420" s="42"/>
    </row>
    <row r="421" customFormat="false" ht="12.8" hidden="false" customHeight="false" outlineLevel="0" collapsed="false">
      <c r="E421" s="37"/>
      <c r="F421" s="38" t="s">
        <v>239</v>
      </c>
      <c r="G421" s="39"/>
      <c r="H421" s="39"/>
      <c r="I421" s="39"/>
      <c r="J421" s="39"/>
      <c r="K421" s="39" t="n">
        <v>5000</v>
      </c>
      <c r="L421" s="39"/>
      <c r="M421" s="39"/>
      <c r="N421" s="39"/>
      <c r="O421" s="39" t="n">
        <v>-2000</v>
      </c>
      <c r="P421" s="39" t="n">
        <f aca="false">SUM(K421:O421)</f>
        <v>3000</v>
      </c>
      <c r="Q421" s="39" t="n">
        <v>0</v>
      </c>
      <c r="R421" s="40" t="n">
        <f aca="false">Q421/$P421</f>
        <v>0</v>
      </c>
      <c r="S421" s="39" t="n">
        <v>0</v>
      </c>
      <c r="T421" s="40" t="n">
        <f aca="false">S421/$P421</f>
        <v>0</v>
      </c>
      <c r="U421" s="39" t="n">
        <v>0</v>
      </c>
      <c r="V421" s="40" t="n">
        <f aca="false">U421/$P421</f>
        <v>0</v>
      </c>
      <c r="W421" s="39" t="n">
        <v>2160</v>
      </c>
      <c r="X421" s="41" t="n">
        <f aca="false">W421/$P421</f>
        <v>0.72</v>
      </c>
      <c r="Y421" s="39"/>
      <c r="Z421" s="42"/>
    </row>
    <row r="422" customFormat="false" ht="12.8" hidden="false" customHeight="false" outlineLevel="0" collapsed="false">
      <c r="E422" s="44"/>
      <c r="F422" s="57" t="s">
        <v>240</v>
      </c>
      <c r="G422" s="46" t="n">
        <v>2316</v>
      </c>
      <c r="H422" s="46" t="n">
        <v>1612</v>
      </c>
      <c r="I422" s="46" t="n">
        <v>1864</v>
      </c>
      <c r="J422" s="46" t="n">
        <v>1850.52</v>
      </c>
      <c r="K422" s="46" t="n">
        <v>302</v>
      </c>
      <c r="L422" s="46"/>
      <c r="M422" s="46"/>
      <c r="N422" s="46"/>
      <c r="O422" s="46"/>
      <c r="P422" s="46" t="n">
        <f aca="false">SUM(K422:O422)</f>
        <v>302</v>
      </c>
      <c r="Q422" s="46" t="n">
        <v>278.63</v>
      </c>
      <c r="R422" s="47" t="n">
        <f aca="false">Q422/$P422</f>
        <v>0.922615894039735</v>
      </c>
      <c r="S422" s="46" t="n">
        <v>278.63</v>
      </c>
      <c r="T422" s="47" t="n">
        <f aca="false">S422/$P422</f>
        <v>0.922615894039735</v>
      </c>
      <c r="U422" s="46" t="n">
        <v>278.63</v>
      </c>
      <c r="V422" s="47" t="n">
        <f aca="false">U422/$P422</f>
        <v>0.922615894039735</v>
      </c>
      <c r="W422" s="46" t="n">
        <v>278.63</v>
      </c>
      <c r="X422" s="48" t="n">
        <f aca="false">W422/$P422</f>
        <v>0.922615894039735</v>
      </c>
      <c r="Y422" s="46"/>
      <c r="Z422" s="49"/>
    </row>
    <row r="424" customFormat="false" ht="12.8" hidden="false" customHeight="false" outlineLevel="0" collapsed="false">
      <c r="D424" s="51" t="s">
        <v>241</v>
      </c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customFormat="false" ht="12.8" hidden="false" customHeight="false" outlineLevel="0" collapsed="false">
      <c r="D425" s="5" t="s">
        <v>33</v>
      </c>
      <c r="E425" s="5" t="s">
        <v>34</v>
      </c>
      <c r="F425" s="5" t="s">
        <v>35</v>
      </c>
      <c r="G425" s="5" t="s">
        <v>1</v>
      </c>
      <c r="H425" s="5" t="s">
        <v>2</v>
      </c>
      <c r="I425" s="5" t="s">
        <v>3</v>
      </c>
      <c r="J425" s="5" t="s">
        <v>4</v>
      </c>
      <c r="K425" s="5" t="s">
        <v>5</v>
      </c>
      <c r="L425" s="5" t="s">
        <v>6</v>
      </c>
      <c r="M425" s="5" t="s">
        <v>7</v>
      </c>
      <c r="N425" s="5" t="s">
        <v>8</v>
      </c>
      <c r="O425" s="5" t="s">
        <v>9</v>
      </c>
      <c r="P425" s="5" t="s">
        <v>10</v>
      </c>
      <c r="Q425" s="5" t="s">
        <v>11</v>
      </c>
      <c r="R425" s="5" t="s">
        <v>12</v>
      </c>
      <c r="S425" s="5" t="s">
        <v>13</v>
      </c>
      <c r="T425" s="5" t="s">
        <v>14</v>
      </c>
      <c r="U425" s="5" t="s">
        <v>15</v>
      </c>
      <c r="V425" s="5" t="s">
        <v>16</v>
      </c>
      <c r="W425" s="5" t="s">
        <v>17</v>
      </c>
      <c r="X425" s="5" t="s">
        <v>18</v>
      </c>
      <c r="Y425" s="5" t="s">
        <v>19</v>
      </c>
      <c r="Z425" s="5" t="s">
        <v>20</v>
      </c>
    </row>
    <row r="426" customFormat="false" ht="12.8" hidden="false" customHeight="false" outlineLevel="0" collapsed="false">
      <c r="A426" s="1" t="n">
        <v>6</v>
      </c>
      <c r="B426" s="1" t="n">
        <v>2</v>
      </c>
      <c r="C426" s="1" t="n">
        <v>2</v>
      </c>
      <c r="D426" s="69" t="s">
        <v>237</v>
      </c>
      <c r="E426" s="8" t="n">
        <v>620</v>
      </c>
      <c r="F426" s="8" t="s">
        <v>132</v>
      </c>
      <c r="G426" s="9" t="n">
        <v>143.57</v>
      </c>
      <c r="H426" s="9" t="n">
        <v>283.87</v>
      </c>
      <c r="I426" s="9" t="n">
        <v>0</v>
      </c>
      <c r="J426" s="9" t="n">
        <v>113.17</v>
      </c>
      <c r="K426" s="9" t="n">
        <v>0</v>
      </c>
      <c r="L426" s="9" t="n">
        <v>72</v>
      </c>
      <c r="M426" s="9"/>
      <c r="N426" s="9" t="n">
        <v>50</v>
      </c>
      <c r="O426" s="9"/>
      <c r="P426" s="9" t="n">
        <f aca="false">SUM(K426:O426)</f>
        <v>122</v>
      </c>
      <c r="Q426" s="9" t="n">
        <v>71.39</v>
      </c>
      <c r="R426" s="10" t="n">
        <f aca="false">Q426/$P426</f>
        <v>0.58516393442623</v>
      </c>
      <c r="S426" s="9" t="n">
        <v>71.39</v>
      </c>
      <c r="T426" s="10" t="n">
        <f aca="false">S426/$P426</f>
        <v>0.58516393442623</v>
      </c>
      <c r="U426" s="9" t="n">
        <v>120.62</v>
      </c>
      <c r="V426" s="10" t="n">
        <f aca="false">U426/$P426</f>
        <v>0.988688524590164</v>
      </c>
      <c r="W426" s="9" t="n">
        <v>122.1</v>
      </c>
      <c r="X426" s="10" t="n">
        <f aca="false">W426/$P426</f>
        <v>1.00081967213115</v>
      </c>
      <c r="Y426" s="9" t="n">
        <f aca="false">K426</f>
        <v>0</v>
      </c>
      <c r="Z426" s="9" t="n">
        <f aca="false">Y426</f>
        <v>0</v>
      </c>
    </row>
    <row r="427" customFormat="false" ht="12.8" hidden="false" customHeight="false" outlineLevel="0" collapsed="false">
      <c r="A427" s="1" t="n">
        <v>6</v>
      </c>
      <c r="B427" s="1" t="n">
        <v>2</v>
      </c>
      <c r="C427" s="1" t="n">
        <v>2</v>
      </c>
      <c r="D427" s="69"/>
      <c r="E427" s="8" t="n">
        <v>630</v>
      </c>
      <c r="F427" s="8" t="s">
        <v>133</v>
      </c>
      <c r="G427" s="9" t="n">
        <v>4368.38</v>
      </c>
      <c r="H427" s="9" t="n">
        <v>12322.91</v>
      </c>
      <c r="I427" s="9" t="n">
        <v>8500</v>
      </c>
      <c r="J427" s="9" t="n">
        <v>7878.75</v>
      </c>
      <c r="K427" s="9" t="n">
        <v>9500</v>
      </c>
      <c r="L427" s="9" t="n">
        <v>-72</v>
      </c>
      <c r="M427" s="9"/>
      <c r="N427" s="9"/>
      <c r="O427" s="9"/>
      <c r="P427" s="9" t="n">
        <f aca="false">SUM(K427:O427)</f>
        <v>9428</v>
      </c>
      <c r="Q427" s="9" t="n">
        <v>1107.76</v>
      </c>
      <c r="R427" s="10" t="n">
        <f aca="false">Q427/$P427</f>
        <v>0.117496817988969</v>
      </c>
      <c r="S427" s="9" t="n">
        <v>3259.71</v>
      </c>
      <c r="T427" s="10" t="n">
        <f aca="false">S427/$P427</f>
        <v>0.345747772592278</v>
      </c>
      <c r="U427" s="9" t="n">
        <v>7649.32</v>
      </c>
      <c r="V427" s="10" t="n">
        <f aca="false">U427/$P427</f>
        <v>0.811340687314383</v>
      </c>
      <c r="W427" s="9" t="n">
        <v>9036</v>
      </c>
      <c r="X427" s="10" t="n">
        <f aca="false">W427/$P427</f>
        <v>0.958421722528638</v>
      </c>
      <c r="Y427" s="9" t="n">
        <v>9500</v>
      </c>
      <c r="Z427" s="9" t="n">
        <f aca="false">Y427</f>
        <v>9500</v>
      </c>
    </row>
    <row r="428" customFormat="false" ht="12.8" hidden="false" customHeight="false" outlineLevel="0" collapsed="false">
      <c r="A428" s="1" t="n">
        <v>6</v>
      </c>
      <c r="B428" s="1" t="n">
        <v>2</v>
      </c>
      <c r="C428" s="1" t="n">
        <v>2</v>
      </c>
      <c r="D428" s="69"/>
      <c r="E428" s="8" t="n">
        <v>640</v>
      </c>
      <c r="F428" s="8" t="s">
        <v>134</v>
      </c>
      <c r="G428" s="9" t="n">
        <v>4000</v>
      </c>
      <c r="H428" s="9" t="n">
        <v>8350</v>
      </c>
      <c r="I428" s="9" t="n">
        <v>4350</v>
      </c>
      <c r="J428" s="9" t="n">
        <v>4850</v>
      </c>
      <c r="K428" s="9" t="n">
        <v>4350</v>
      </c>
      <c r="L428" s="9"/>
      <c r="M428" s="9"/>
      <c r="N428" s="9" t="n">
        <v>-50</v>
      </c>
      <c r="O428" s="9"/>
      <c r="P428" s="9" t="n">
        <f aca="false">SUM(K428:O428)</f>
        <v>4300</v>
      </c>
      <c r="Q428" s="9" t="n">
        <v>0</v>
      </c>
      <c r="R428" s="10" t="n">
        <f aca="false">Q428/$P428</f>
        <v>0</v>
      </c>
      <c r="S428" s="9" t="n">
        <v>0</v>
      </c>
      <c r="T428" s="10" t="n">
        <f aca="false">S428/$P428</f>
        <v>0</v>
      </c>
      <c r="U428" s="9" t="n">
        <v>4350</v>
      </c>
      <c r="V428" s="10" t="n">
        <f aca="false">U428/$P428</f>
        <v>1.01162790697674</v>
      </c>
      <c r="W428" s="9" t="n">
        <v>4350</v>
      </c>
      <c r="X428" s="10" t="n">
        <f aca="false">W428/$P428</f>
        <v>1.01162790697674</v>
      </c>
      <c r="Y428" s="9" t="n">
        <f aca="false">K428</f>
        <v>4350</v>
      </c>
      <c r="Z428" s="9" t="n">
        <f aca="false">Y428</f>
        <v>4350</v>
      </c>
    </row>
    <row r="429" customFormat="false" ht="12.8" hidden="false" customHeight="false" outlineLevel="0" collapsed="false">
      <c r="A429" s="1" t="n">
        <v>6</v>
      </c>
      <c r="B429" s="1" t="n">
        <v>2</v>
      </c>
      <c r="C429" s="1" t="n">
        <v>2</v>
      </c>
      <c r="D429" s="55" t="s">
        <v>21</v>
      </c>
      <c r="E429" s="11" t="n">
        <v>41</v>
      </c>
      <c r="F429" s="11" t="s">
        <v>23</v>
      </c>
      <c r="G429" s="12" t="n">
        <f aca="false">SUM(G426:G428)</f>
        <v>8511.95</v>
      </c>
      <c r="H429" s="12" t="n">
        <f aca="false">SUM(H426:H428)</f>
        <v>20956.78</v>
      </c>
      <c r="I429" s="12" t="n">
        <f aca="false">SUM(I426:I428)</f>
        <v>12850</v>
      </c>
      <c r="J429" s="12" t="n">
        <f aca="false">SUM(J426:J428)</f>
        <v>12841.92</v>
      </c>
      <c r="K429" s="12" t="n">
        <f aca="false">SUM(K426:K428)</f>
        <v>13850</v>
      </c>
      <c r="L429" s="12" t="n">
        <f aca="false">SUM(L426:L428)</f>
        <v>0</v>
      </c>
      <c r="M429" s="12" t="n">
        <f aca="false">SUM(M426:M428)</f>
        <v>0</v>
      </c>
      <c r="N429" s="12" t="n">
        <f aca="false">SUM(N426:N428)</f>
        <v>0</v>
      </c>
      <c r="O429" s="12" t="n">
        <f aca="false">SUM(O426:O428)</f>
        <v>0</v>
      </c>
      <c r="P429" s="12" t="n">
        <f aca="false">SUM(P426:P428)</f>
        <v>13850</v>
      </c>
      <c r="Q429" s="12" t="n">
        <f aca="false">SUM(Q426:Q428)</f>
        <v>1179.15</v>
      </c>
      <c r="R429" s="13" t="n">
        <f aca="false">Q429/$P429</f>
        <v>0.0851371841155235</v>
      </c>
      <c r="S429" s="12" t="n">
        <f aca="false">SUM(S426:S428)</f>
        <v>3331.1</v>
      </c>
      <c r="T429" s="13" t="n">
        <f aca="false">S429/$P429</f>
        <v>0.240512635379061</v>
      </c>
      <c r="U429" s="12" t="n">
        <f aca="false">SUM(U426:U428)</f>
        <v>12119.94</v>
      </c>
      <c r="V429" s="13" t="n">
        <f aca="false">U429/$P429</f>
        <v>0.875085920577617</v>
      </c>
      <c r="W429" s="12" t="n">
        <f aca="false">SUM(W426:W428)</f>
        <v>13508.1</v>
      </c>
      <c r="X429" s="13" t="n">
        <f aca="false">W429/$P429</f>
        <v>0.975314079422383</v>
      </c>
      <c r="Y429" s="12" t="n">
        <f aca="false">SUM(Y426:Y428)</f>
        <v>13850</v>
      </c>
      <c r="Z429" s="12" t="n">
        <f aca="false">SUM(Z426:Z428)</f>
        <v>13850</v>
      </c>
    </row>
    <row r="431" customFormat="false" ht="12.8" hidden="false" customHeight="false" outlineLevel="0" collapsed="false">
      <c r="E431" s="32" t="s">
        <v>57</v>
      </c>
      <c r="F431" s="14" t="s">
        <v>242</v>
      </c>
      <c r="G431" s="33"/>
      <c r="H431" s="33" t="n">
        <v>4000</v>
      </c>
      <c r="I431" s="33"/>
      <c r="J431" s="33"/>
      <c r="K431" s="33"/>
      <c r="L431" s="33"/>
      <c r="M431" s="33"/>
      <c r="N431" s="33"/>
      <c r="O431" s="33"/>
      <c r="P431" s="33" t="n">
        <f aca="false">SUM(K431:O431)</f>
        <v>0</v>
      </c>
      <c r="Q431" s="33" t="n">
        <v>0</v>
      </c>
      <c r="R431" s="34" t="e">
        <f aca="false">Q431/$P431</f>
        <v>#DIV/0!</v>
      </c>
      <c r="S431" s="33" t="n">
        <v>0</v>
      </c>
      <c r="T431" s="34" t="e">
        <f aca="false">S431/$P431</f>
        <v>#DIV/0!</v>
      </c>
      <c r="U431" s="33" t="n">
        <v>0</v>
      </c>
      <c r="V431" s="34" t="e">
        <f aca="false">U431/$P431</f>
        <v>#DIV/0!</v>
      </c>
      <c r="W431" s="33" t="n">
        <v>0</v>
      </c>
      <c r="X431" s="35" t="e">
        <f aca="false">W431/$P431</f>
        <v>#DIV/0!</v>
      </c>
      <c r="Y431" s="33"/>
      <c r="Z431" s="36"/>
    </row>
    <row r="432" customFormat="false" ht="12.8" hidden="false" customHeight="false" outlineLevel="0" collapsed="false">
      <c r="E432" s="37"/>
      <c r="F432" s="1" t="s">
        <v>243</v>
      </c>
      <c r="G432" s="39" t="n">
        <v>4000</v>
      </c>
      <c r="H432" s="39" t="n">
        <v>4000</v>
      </c>
      <c r="I432" s="39" t="n">
        <v>4000</v>
      </c>
      <c r="J432" s="39" t="n">
        <v>4000</v>
      </c>
      <c r="K432" s="39" t="n">
        <v>4000</v>
      </c>
      <c r="L432" s="39"/>
      <c r="M432" s="39"/>
      <c r="N432" s="39"/>
      <c r="O432" s="39"/>
      <c r="P432" s="39" t="n">
        <f aca="false">SUM(K432:O432)</f>
        <v>4000</v>
      </c>
      <c r="Q432" s="39" t="n">
        <v>0</v>
      </c>
      <c r="R432" s="40" t="n">
        <f aca="false">Q432/$P432</f>
        <v>0</v>
      </c>
      <c r="S432" s="39" t="n">
        <v>0</v>
      </c>
      <c r="T432" s="40" t="n">
        <f aca="false">S432/$P432</f>
        <v>0</v>
      </c>
      <c r="U432" s="39" t="n">
        <v>4000</v>
      </c>
      <c r="V432" s="40" t="n">
        <f aca="false">U432/$P432</f>
        <v>1</v>
      </c>
      <c r="W432" s="39" t="n">
        <v>4000</v>
      </c>
      <c r="X432" s="41" t="n">
        <f aca="false">W432/$P432</f>
        <v>1</v>
      </c>
      <c r="Y432" s="39"/>
      <c r="Z432" s="42"/>
    </row>
    <row r="433" customFormat="false" ht="12.8" hidden="false" customHeight="false" outlineLevel="0" collapsed="false">
      <c r="E433" s="37"/>
      <c r="F433" s="1" t="s">
        <v>244</v>
      </c>
      <c r="G433" s="39"/>
      <c r="H433" s="39"/>
      <c r="I433" s="39" t="n">
        <v>350</v>
      </c>
      <c r="J433" s="39" t="n">
        <v>850</v>
      </c>
      <c r="K433" s="39" t="n">
        <v>400</v>
      </c>
      <c r="L433" s="39"/>
      <c r="M433" s="39"/>
      <c r="N433" s="39" t="n">
        <v>-50</v>
      </c>
      <c r="O433" s="39"/>
      <c r="P433" s="39" t="n">
        <f aca="false">SUM(K433:O433)</f>
        <v>350</v>
      </c>
      <c r="Q433" s="39" t="n">
        <v>0</v>
      </c>
      <c r="R433" s="40" t="n">
        <f aca="false">Q433/$P433</f>
        <v>0</v>
      </c>
      <c r="S433" s="39" t="n">
        <v>0</v>
      </c>
      <c r="T433" s="40" t="n">
        <f aca="false">S433/$P433</f>
        <v>0</v>
      </c>
      <c r="U433" s="39" t="n">
        <v>350</v>
      </c>
      <c r="V433" s="40" t="n">
        <f aca="false">U433/$P433</f>
        <v>1</v>
      </c>
      <c r="W433" s="39" t="n">
        <v>350</v>
      </c>
      <c r="X433" s="41" t="n">
        <f aca="false">W433/$P433</f>
        <v>1</v>
      </c>
      <c r="Y433" s="39"/>
      <c r="Z433" s="42"/>
    </row>
    <row r="434" customFormat="false" ht="12.8" hidden="false" customHeight="false" outlineLevel="0" collapsed="false">
      <c r="E434" s="37"/>
      <c r="F434" s="1" t="s">
        <v>245</v>
      </c>
      <c r="G434" s="39"/>
      <c r="H434" s="39" t="n">
        <v>8024.46</v>
      </c>
      <c r="I434" s="39" t="n">
        <v>4000</v>
      </c>
      <c r="J434" s="39" t="n">
        <v>4104.4</v>
      </c>
      <c r="K434" s="39" t="n">
        <v>4000</v>
      </c>
      <c r="L434" s="39"/>
      <c r="M434" s="39"/>
      <c r="N434" s="39" t="n">
        <v>512</v>
      </c>
      <c r="O434" s="39"/>
      <c r="P434" s="39" t="n">
        <f aca="false">SUM(K434:O434)</f>
        <v>4512</v>
      </c>
      <c r="Q434" s="39" t="n">
        <v>0</v>
      </c>
      <c r="R434" s="40" t="n">
        <f aca="false">Q434/$P434</f>
        <v>0</v>
      </c>
      <c r="S434" s="39" t="n">
        <v>0</v>
      </c>
      <c r="T434" s="40" t="n">
        <f aca="false">S434/$P434</f>
        <v>0</v>
      </c>
      <c r="U434" s="39" t="n">
        <v>4510.23</v>
      </c>
      <c r="V434" s="40" t="n">
        <f aca="false">U434/$P434</f>
        <v>0.999607712765957</v>
      </c>
      <c r="W434" s="39" t="n">
        <v>4510.23</v>
      </c>
      <c r="X434" s="41" t="n">
        <f aca="false">W434/$P434</f>
        <v>0.999607712765957</v>
      </c>
      <c r="Y434" s="39" t="n">
        <f aca="false">K434</f>
        <v>4000</v>
      </c>
      <c r="Z434" s="42" t="n">
        <f aca="false">Y434</f>
        <v>4000</v>
      </c>
    </row>
    <row r="435" customFormat="false" ht="12.8" hidden="false" customHeight="false" outlineLevel="0" collapsed="false">
      <c r="E435" s="37"/>
      <c r="F435" s="1" t="s">
        <v>246</v>
      </c>
      <c r="G435" s="43" t="n">
        <v>4511.95</v>
      </c>
      <c r="H435" s="43" t="n">
        <v>4298.45</v>
      </c>
      <c r="I435" s="43" t="n">
        <v>4500</v>
      </c>
      <c r="J435" s="43" t="n">
        <v>3887.52</v>
      </c>
      <c r="K435" s="43" t="n">
        <v>5450</v>
      </c>
      <c r="L435" s="43"/>
      <c r="M435" s="43"/>
      <c r="N435" s="43" t="n">
        <v>-814</v>
      </c>
      <c r="O435" s="43"/>
      <c r="P435" s="43" t="n">
        <f aca="false">SUM(K435:O435)</f>
        <v>4636</v>
      </c>
      <c r="Q435" s="43" t="n">
        <v>1041.3</v>
      </c>
      <c r="R435" s="40" t="n">
        <f aca="false">Q435/$P435</f>
        <v>0.224611734253667</v>
      </c>
      <c r="S435" s="43" t="n">
        <v>2841.25</v>
      </c>
      <c r="T435" s="40" t="n">
        <f aca="false">S435/$P435</f>
        <v>0.612866695427092</v>
      </c>
      <c r="U435" s="43" t="n">
        <v>2907.71</v>
      </c>
      <c r="V435" s="40" t="n">
        <f aca="false">U435/$P435</f>
        <v>0.627202329594478</v>
      </c>
      <c r="W435" s="43" t="n">
        <v>3027.59</v>
      </c>
      <c r="X435" s="41" t="n">
        <f aca="false">W435/$P435</f>
        <v>0.653060828300259</v>
      </c>
      <c r="Y435" s="43" t="n">
        <f aca="false">K435</f>
        <v>5450</v>
      </c>
      <c r="Z435" s="42" t="n">
        <f aca="false">Y435</f>
        <v>5450</v>
      </c>
    </row>
    <row r="436" customFormat="false" ht="12.8" hidden="false" customHeight="false" outlineLevel="0" collapsed="false">
      <c r="E436" s="44"/>
      <c r="F436" s="57" t="s">
        <v>247</v>
      </c>
      <c r="G436" s="46"/>
      <c r="H436" s="46"/>
      <c r="I436" s="46"/>
      <c r="J436" s="46"/>
      <c r="K436" s="46"/>
      <c r="L436" s="46"/>
      <c r="M436" s="46"/>
      <c r="N436" s="46"/>
      <c r="O436" s="46"/>
      <c r="P436" s="46" t="n">
        <f aca="false">SUM(K436:O436)</f>
        <v>0</v>
      </c>
      <c r="Q436" s="46" t="n">
        <v>0</v>
      </c>
      <c r="R436" s="47" t="e">
        <f aca="false">Q436/$P436</f>
        <v>#DIV/0!</v>
      </c>
      <c r="S436" s="46" t="n">
        <v>0</v>
      </c>
      <c r="T436" s="47" t="e">
        <f aca="false">S436/$P436</f>
        <v>#DIV/0!</v>
      </c>
      <c r="U436" s="46" t="n">
        <v>0</v>
      </c>
      <c r="V436" s="47" t="e">
        <f aca="false">U436/$P436</f>
        <v>#DIV/0!</v>
      </c>
      <c r="W436" s="46" t="n">
        <v>0</v>
      </c>
      <c r="X436" s="48" t="e">
        <f aca="false">W436/$P436</f>
        <v>#DIV/0!</v>
      </c>
      <c r="Y436" s="46" t="n">
        <v>4350</v>
      </c>
      <c r="Z436" s="49" t="n">
        <v>4350</v>
      </c>
    </row>
    <row r="438" customFormat="false" ht="12.8" hidden="false" customHeight="false" outlineLevel="0" collapsed="false">
      <c r="D438" s="51" t="s">
        <v>248</v>
      </c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customFormat="false" ht="12.8" hidden="false" customHeight="false" outlineLevel="0" collapsed="false">
      <c r="D439" s="5" t="s">
        <v>33</v>
      </c>
      <c r="E439" s="5" t="s">
        <v>34</v>
      </c>
      <c r="F439" s="5" t="s">
        <v>35</v>
      </c>
      <c r="G439" s="5" t="s">
        <v>1</v>
      </c>
      <c r="H439" s="5" t="s">
        <v>2</v>
      </c>
      <c r="I439" s="5" t="s">
        <v>3</v>
      </c>
      <c r="J439" s="5" t="s">
        <v>4</v>
      </c>
      <c r="K439" s="5" t="s">
        <v>5</v>
      </c>
      <c r="L439" s="5" t="s">
        <v>6</v>
      </c>
      <c r="M439" s="5" t="s">
        <v>7</v>
      </c>
      <c r="N439" s="5" t="s">
        <v>8</v>
      </c>
      <c r="O439" s="5" t="s">
        <v>9</v>
      </c>
      <c r="P439" s="5" t="s">
        <v>10</v>
      </c>
      <c r="Q439" s="5" t="s">
        <v>11</v>
      </c>
      <c r="R439" s="5" t="s">
        <v>12</v>
      </c>
      <c r="S439" s="5" t="s">
        <v>13</v>
      </c>
      <c r="T439" s="5" t="s">
        <v>14</v>
      </c>
      <c r="U439" s="5" t="s">
        <v>15</v>
      </c>
      <c r="V439" s="5" t="s">
        <v>16</v>
      </c>
      <c r="W439" s="5" t="s">
        <v>17</v>
      </c>
      <c r="X439" s="5" t="s">
        <v>18</v>
      </c>
      <c r="Y439" s="5" t="s">
        <v>19</v>
      </c>
      <c r="Z439" s="5" t="s">
        <v>20</v>
      </c>
    </row>
    <row r="440" customFormat="false" ht="12.8" hidden="false" customHeight="false" outlineLevel="0" collapsed="false">
      <c r="D440" s="31" t="s">
        <v>237</v>
      </c>
      <c r="E440" s="8" t="n">
        <v>620</v>
      </c>
      <c r="F440" s="8" t="s">
        <v>132</v>
      </c>
      <c r="G440" s="9" t="n">
        <v>0</v>
      </c>
      <c r="H440" s="9" t="n">
        <v>125.7</v>
      </c>
      <c r="I440" s="9" t="n">
        <v>754</v>
      </c>
      <c r="J440" s="9" t="n">
        <v>566.7</v>
      </c>
      <c r="K440" s="9" t="n">
        <v>440</v>
      </c>
      <c r="L440" s="9"/>
      <c r="M440" s="9"/>
      <c r="N440" s="9" t="n">
        <v>-253</v>
      </c>
      <c r="O440" s="9"/>
      <c r="P440" s="9" t="n">
        <f aca="false">SUM(K440:O440)</f>
        <v>187</v>
      </c>
      <c r="Q440" s="9" t="n">
        <v>72.77</v>
      </c>
      <c r="R440" s="10" t="n">
        <f aca="false">Q440/$P440</f>
        <v>0.389144385026738</v>
      </c>
      <c r="S440" s="9" t="n">
        <v>119.42</v>
      </c>
      <c r="T440" s="10" t="n">
        <f aca="false">S440/$P440</f>
        <v>0.638609625668449</v>
      </c>
      <c r="U440" s="9" t="n">
        <v>153.83</v>
      </c>
      <c r="V440" s="10" t="n">
        <f aca="false">U440/$P440</f>
        <v>0.822620320855615</v>
      </c>
      <c r="W440" s="9" t="n">
        <v>188.24</v>
      </c>
      <c r="X440" s="10" t="n">
        <f aca="false">W440/$P440</f>
        <v>1.00663101604278</v>
      </c>
      <c r="Y440" s="9" t="n">
        <f aca="false">K440</f>
        <v>440</v>
      </c>
      <c r="Z440" s="9" t="n">
        <f aca="false">Y440</f>
        <v>440</v>
      </c>
    </row>
    <row r="441" customFormat="false" ht="12.8" hidden="false" customHeight="false" outlineLevel="0" collapsed="false">
      <c r="A441" s="1" t="n">
        <v>6</v>
      </c>
      <c r="B441" s="1" t="n">
        <v>2</v>
      </c>
      <c r="C441" s="1" t="n">
        <v>3</v>
      </c>
      <c r="D441" s="31" t="s">
        <v>237</v>
      </c>
      <c r="E441" s="8" t="n">
        <v>630</v>
      </c>
      <c r="F441" s="8" t="s">
        <v>133</v>
      </c>
      <c r="G441" s="9" t="n">
        <v>596.5</v>
      </c>
      <c r="H441" s="9" t="n">
        <v>1216.44</v>
      </c>
      <c r="I441" s="9" t="n">
        <v>4458</v>
      </c>
      <c r="J441" s="9" t="n">
        <v>4495.34</v>
      </c>
      <c r="K441" s="9" t="n">
        <v>2895</v>
      </c>
      <c r="L441" s="9"/>
      <c r="M441" s="9"/>
      <c r="N441" s="9" t="n">
        <v>1016</v>
      </c>
      <c r="O441" s="9" t="n">
        <v>35</v>
      </c>
      <c r="P441" s="9" t="n">
        <f aca="false">SUM(K441:O441)</f>
        <v>3946</v>
      </c>
      <c r="Q441" s="9" t="n">
        <v>1238.58</v>
      </c>
      <c r="R441" s="10" t="n">
        <f aca="false">Q441/$P441</f>
        <v>0.313882412569691</v>
      </c>
      <c r="S441" s="9" t="n">
        <v>2267.29</v>
      </c>
      <c r="T441" s="10" t="n">
        <f aca="false">S441/$P441</f>
        <v>0.574579320831221</v>
      </c>
      <c r="U441" s="9" t="n">
        <v>3047.01</v>
      </c>
      <c r="V441" s="10" t="n">
        <f aca="false">U441/$P441</f>
        <v>0.772176887987836</v>
      </c>
      <c r="W441" s="9" t="n">
        <v>3944.93</v>
      </c>
      <c r="X441" s="10" t="n">
        <f aca="false">W441/$P441</f>
        <v>0.999728839330968</v>
      </c>
      <c r="Y441" s="9" t="n">
        <f aca="false">K441</f>
        <v>2895</v>
      </c>
      <c r="Z441" s="9" t="n">
        <f aca="false">Y441</f>
        <v>2895</v>
      </c>
    </row>
    <row r="442" customFormat="false" ht="12.8" hidden="false" customHeight="false" outlineLevel="0" collapsed="false">
      <c r="A442" s="1" t="n">
        <v>6</v>
      </c>
      <c r="B442" s="1" t="n">
        <v>2</v>
      </c>
      <c r="C442" s="1" t="n">
        <v>3</v>
      </c>
      <c r="D442" s="55" t="s">
        <v>21</v>
      </c>
      <c r="E442" s="11" t="n">
        <v>41</v>
      </c>
      <c r="F442" s="11" t="s">
        <v>23</v>
      </c>
      <c r="G442" s="12" t="n">
        <f aca="false">SUM(G440:G441)</f>
        <v>596.5</v>
      </c>
      <c r="H442" s="12" t="n">
        <f aca="false">SUM(H440:H441)</f>
        <v>1342.14</v>
      </c>
      <c r="I442" s="12" t="n">
        <f aca="false">SUM(I440:I441)</f>
        <v>5212</v>
      </c>
      <c r="J442" s="12" t="n">
        <f aca="false">SUM(J440:J441)</f>
        <v>5062.04</v>
      </c>
      <c r="K442" s="12" t="n">
        <f aca="false">SUM(K440:K441)</f>
        <v>3335</v>
      </c>
      <c r="L442" s="12" t="n">
        <f aca="false">SUM(L440:L441)</f>
        <v>0</v>
      </c>
      <c r="M442" s="12" t="n">
        <f aca="false">SUM(M440:M441)</f>
        <v>0</v>
      </c>
      <c r="N442" s="12" t="n">
        <f aca="false">SUM(N440:N441)</f>
        <v>763</v>
      </c>
      <c r="O442" s="12" t="n">
        <f aca="false">SUM(O440:O441)</f>
        <v>35</v>
      </c>
      <c r="P442" s="12" t="n">
        <f aca="false">SUM(P440:P441)</f>
        <v>4133</v>
      </c>
      <c r="Q442" s="12" t="n">
        <f aca="false">SUM(Q440:Q441)</f>
        <v>1311.35</v>
      </c>
      <c r="R442" s="13" t="n">
        <f aca="false">Q442/$P442</f>
        <v>0.317287684490685</v>
      </c>
      <c r="S442" s="12" t="n">
        <f aca="false">SUM(S440:S441)</f>
        <v>2386.71</v>
      </c>
      <c r="T442" s="13" t="n">
        <f aca="false">S442/$P442</f>
        <v>0.577476409387854</v>
      </c>
      <c r="U442" s="12" t="n">
        <f aca="false">SUM(U440:U441)</f>
        <v>3200.84</v>
      </c>
      <c r="V442" s="13" t="n">
        <f aca="false">U442/$P442</f>
        <v>0.774459230583112</v>
      </c>
      <c r="W442" s="12" t="n">
        <f aca="false">SUM(W440:W441)</f>
        <v>4133.17</v>
      </c>
      <c r="X442" s="13" t="n">
        <f aca="false">W442/$P442</f>
        <v>1.00004113234938</v>
      </c>
      <c r="Y442" s="12" t="n">
        <f aca="false">SUM(Y440:Y441)</f>
        <v>3335</v>
      </c>
      <c r="Z442" s="12" t="n">
        <f aca="false">SUM(Z440:Z441)</f>
        <v>3335</v>
      </c>
    </row>
    <row r="444" customFormat="false" ht="12.8" hidden="false" customHeight="false" outlineLevel="0" collapsed="false">
      <c r="D444" s="24" t="s">
        <v>249</v>
      </c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customFormat="false" ht="12.8" hidden="false" customHeight="false" outlineLevel="0" collapsed="false">
      <c r="D445" s="5"/>
      <c r="E445" s="5"/>
      <c r="F445" s="5"/>
      <c r="G445" s="5" t="s">
        <v>1</v>
      </c>
      <c r="H445" s="5" t="s">
        <v>2</v>
      </c>
      <c r="I445" s="5" t="s">
        <v>3</v>
      </c>
      <c r="J445" s="5" t="s">
        <v>4</v>
      </c>
      <c r="K445" s="5" t="s">
        <v>5</v>
      </c>
      <c r="L445" s="5" t="s">
        <v>6</v>
      </c>
      <c r="M445" s="5" t="s">
        <v>7</v>
      </c>
      <c r="N445" s="5" t="s">
        <v>8</v>
      </c>
      <c r="O445" s="5" t="s">
        <v>9</v>
      </c>
      <c r="P445" s="5" t="s">
        <v>10</v>
      </c>
      <c r="Q445" s="5" t="s">
        <v>11</v>
      </c>
      <c r="R445" s="5" t="s">
        <v>12</v>
      </c>
      <c r="S445" s="5" t="s">
        <v>13</v>
      </c>
      <c r="T445" s="5" t="s">
        <v>14</v>
      </c>
      <c r="U445" s="5" t="s">
        <v>15</v>
      </c>
      <c r="V445" s="5" t="s">
        <v>16</v>
      </c>
      <c r="W445" s="5" t="s">
        <v>17</v>
      </c>
      <c r="X445" s="5" t="s">
        <v>18</v>
      </c>
      <c r="Y445" s="5" t="s">
        <v>19</v>
      </c>
      <c r="Z445" s="5" t="s">
        <v>20</v>
      </c>
    </row>
    <row r="446" customFormat="false" ht="12.8" hidden="false" customHeight="false" outlineLevel="0" collapsed="false">
      <c r="A446" s="1" t="n">
        <v>6</v>
      </c>
      <c r="B446" s="1" t="n">
        <v>3</v>
      </c>
      <c r="D446" s="25" t="s">
        <v>21</v>
      </c>
      <c r="E446" s="8" t="n">
        <v>41</v>
      </c>
      <c r="F446" s="8" t="s">
        <v>23</v>
      </c>
      <c r="G446" s="9" t="n">
        <f aca="false">G453+G462</f>
        <v>8833.43</v>
      </c>
      <c r="H446" s="9" t="n">
        <f aca="false">H453+H462</f>
        <v>10445.56</v>
      </c>
      <c r="I446" s="9" t="n">
        <f aca="false">I453+I462</f>
        <v>10465</v>
      </c>
      <c r="J446" s="9" t="n">
        <f aca="false">J453+J462</f>
        <v>9964.72</v>
      </c>
      <c r="K446" s="9" t="n">
        <f aca="false">K453+K462</f>
        <v>10139</v>
      </c>
      <c r="L446" s="9" t="n">
        <f aca="false">L453+L462</f>
        <v>96</v>
      </c>
      <c r="M446" s="9" t="n">
        <f aca="false">M453+M462</f>
        <v>837</v>
      </c>
      <c r="N446" s="9" t="n">
        <f aca="false">N453+N462</f>
        <v>0</v>
      </c>
      <c r="O446" s="9" t="n">
        <f aca="false">O453+O462</f>
        <v>165</v>
      </c>
      <c r="P446" s="9" t="n">
        <f aca="false">P453+P462</f>
        <v>11237</v>
      </c>
      <c r="Q446" s="9" t="n">
        <f aca="false">Q453+Q462</f>
        <v>2541.66</v>
      </c>
      <c r="R446" s="10" t="n">
        <f aca="false">Q446/$P446</f>
        <v>0.226186704636469</v>
      </c>
      <c r="S446" s="9" t="n">
        <f aca="false">S453+S462</f>
        <v>7376.63</v>
      </c>
      <c r="T446" s="10" t="n">
        <f aca="false">S446/$P446</f>
        <v>0.656459019311204</v>
      </c>
      <c r="U446" s="9" t="n">
        <f aca="false">U453+U462</f>
        <v>9207.62</v>
      </c>
      <c r="V446" s="10" t="n">
        <f aca="false">U446/$P446</f>
        <v>0.819401975616268</v>
      </c>
      <c r="W446" s="9" t="n">
        <f aca="false">W453+W462</f>
        <v>11148.44</v>
      </c>
      <c r="X446" s="10" t="n">
        <f aca="false">W446/$P446</f>
        <v>0.992118892942956</v>
      </c>
      <c r="Y446" s="9" t="n">
        <f aca="false">Y453+Y462</f>
        <v>10239</v>
      </c>
      <c r="Z446" s="9" t="n">
        <f aca="false">Z453+Z462</f>
        <v>10239</v>
      </c>
    </row>
    <row r="447" customFormat="false" ht="12.8" hidden="false" customHeight="false" outlineLevel="0" collapsed="false">
      <c r="D447" s="14"/>
      <c r="E447" s="15"/>
      <c r="F447" s="11" t="s">
        <v>126</v>
      </c>
      <c r="G447" s="12" t="n">
        <f aca="false">SUM(G446:G446)</f>
        <v>8833.43</v>
      </c>
      <c r="H447" s="12" t="n">
        <f aca="false">SUM(H446:H446)</f>
        <v>10445.56</v>
      </c>
      <c r="I447" s="12" t="n">
        <f aca="false">SUM(I446:I446)</f>
        <v>10465</v>
      </c>
      <c r="J447" s="12" t="n">
        <f aca="false">SUM(J446:J446)</f>
        <v>9964.72</v>
      </c>
      <c r="K447" s="12" t="n">
        <f aca="false">SUM(K446:K446)</f>
        <v>10139</v>
      </c>
      <c r="L447" s="12" t="n">
        <f aca="false">SUM(L446:L446)</f>
        <v>96</v>
      </c>
      <c r="M447" s="12" t="n">
        <f aca="false">SUM(M446:M446)</f>
        <v>837</v>
      </c>
      <c r="N447" s="12" t="n">
        <f aca="false">SUM(N446:N446)</f>
        <v>0</v>
      </c>
      <c r="O447" s="12" t="n">
        <f aca="false">SUM(O446:O446)</f>
        <v>165</v>
      </c>
      <c r="P447" s="12" t="n">
        <f aca="false">SUM(P446:P446)</f>
        <v>11237</v>
      </c>
      <c r="Q447" s="12" t="n">
        <f aca="false">SUM(Q446:Q446)</f>
        <v>2541.66</v>
      </c>
      <c r="R447" s="13" t="n">
        <f aca="false">Q447/$P447</f>
        <v>0.226186704636469</v>
      </c>
      <c r="S447" s="12" t="n">
        <f aca="false">SUM(S446:S446)</f>
        <v>7376.63</v>
      </c>
      <c r="T447" s="13" t="n">
        <f aca="false">S447/$P447</f>
        <v>0.656459019311204</v>
      </c>
      <c r="U447" s="12" t="n">
        <f aca="false">SUM(U446:U446)</f>
        <v>9207.62</v>
      </c>
      <c r="V447" s="13" t="n">
        <f aca="false">U447/$P447</f>
        <v>0.819401975616268</v>
      </c>
      <c r="W447" s="12" t="n">
        <f aca="false">SUM(W446:W446)</f>
        <v>11148.44</v>
      </c>
      <c r="X447" s="13" t="n">
        <f aca="false">W447/$P447</f>
        <v>0.992118892942956</v>
      </c>
      <c r="Y447" s="12" t="n">
        <f aca="false">SUM(Y446:Y446)</f>
        <v>10239</v>
      </c>
      <c r="Z447" s="12" t="n">
        <f aca="false">SUM(Z446:Z446)</f>
        <v>10239</v>
      </c>
    </row>
    <row r="449" customFormat="false" ht="12.8" hidden="false" customHeight="false" outlineLevel="0" collapsed="false">
      <c r="D449" s="51" t="s">
        <v>250</v>
      </c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customFormat="false" ht="12.8" hidden="false" customHeight="false" outlineLevel="0" collapsed="false">
      <c r="D450" s="5" t="s">
        <v>33</v>
      </c>
      <c r="E450" s="5" t="s">
        <v>34</v>
      </c>
      <c r="F450" s="5" t="s">
        <v>35</v>
      </c>
      <c r="G450" s="5" t="s">
        <v>1</v>
      </c>
      <c r="H450" s="5" t="s">
        <v>2</v>
      </c>
      <c r="I450" s="5" t="s">
        <v>3</v>
      </c>
      <c r="J450" s="5" t="s">
        <v>4</v>
      </c>
      <c r="K450" s="5" t="s">
        <v>5</v>
      </c>
      <c r="L450" s="5" t="s">
        <v>6</v>
      </c>
      <c r="M450" s="5" t="s">
        <v>7</v>
      </c>
      <c r="N450" s="5" t="s">
        <v>8</v>
      </c>
      <c r="O450" s="5" t="s">
        <v>9</v>
      </c>
      <c r="P450" s="5" t="s">
        <v>10</v>
      </c>
      <c r="Q450" s="5" t="s">
        <v>11</v>
      </c>
      <c r="R450" s="5" t="s">
        <v>12</v>
      </c>
      <c r="S450" s="5" t="s">
        <v>13</v>
      </c>
      <c r="T450" s="5" t="s">
        <v>14</v>
      </c>
      <c r="U450" s="5" t="s">
        <v>15</v>
      </c>
      <c r="V450" s="5" t="s">
        <v>16</v>
      </c>
      <c r="W450" s="5" t="s">
        <v>17</v>
      </c>
      <c r="X450" s="5" t="s">
        <v>18</v>
      </c>
      <c r="Y450" s="5" t="s">
        <v>19</v>
      </c>
      <c r="Z450" s="5" t="s">
        <v>20</v>
      </c>
    </row>
    <row r="451" customFormat="false" ht="12.8" hidden="false" customHeight="false" outlineLevel="0" collapsed="false">
      <c r="D451" s="69" t="s">
        <v>251</v>
      </c>
      <c r="E451" s="8" t="n">
        <v>620</v>
      </c>
      <c r="F451" s="8" t="s">
        <v>132</v>
      </c>
      <c r="G451" s="9" t="n">
        <v>0</v>
      </c>
      <c r="H451" s="9" t="n">
        <v>0</v>
      </c>
      <c r="I451" s="9" t="n">
        <v>0</v>
      </c>
      <c r="J451" s="9" t="n">
        <v>0</v>
      </c>
      <c r="K451" s="28" t="n">
        <v>830</v>
      </c>
      <c r="L451" s="28"/>
      <c r="M451" s="28"/>
      <c r="N451" s="28"/>
      <c r="O451" s="28" t="n">
        <v>-265</v>
      </c>
      <c r="P451" s="28" t="n">
        <f aca="false">SUM(K451:O451)</f>
        <v>565</v>
      </c>
      <c r="Q451" s="28" t="n">
        <v>113.11</v>
      </c>
      <c r="R451" s="10" t="n">
        <f aca="false">Q451/$P451</f>
        <v>0.200194690265487</v>
      </c>
      <c r="S451" s="28" t="n">
        <v>339.34</v>
      </c>
      <c r="T451" s="10" t="n">
        <f aca="false">S451/$P451</f>
        <v>0.600601769911504</v>
      </c>
      <c r="U451" s="28" t="n">
        <v>565.57</v>
      </c>
      <c r="V451" s="10" t="n">
        <f aca="false">U451/$P451</f>
        <v>1.00100884955752</v>
      </c>
      <c r="W451" s="28" t="n">
        <v>565.57</v>
      </c>
      <c r="X451" s="10" t="n">
        <f aca="false">W451/$P451</f>
        <v>1.00100884955752</v>
      </c>
      <c r="Y451" s="9" t="n">
        <f aca="false">K451</f>
        <v>830</v>
      </c>
      <c r="Z451" s="9" t="n">
        <f aca="false">Y451</f>
        <v>830</v>
      </c>
    </row>
    <row r="452" customFormat="false" ht="12.8" hidden="false" customHeight="false" outlineLevel="0" collapsed="false">
      <c r="A452" s="1" t="n">
        <v>6</v>
      </c>
      <c r="B452" s="1" t="n">
        <v>3</v>
      </c>
      <c r="C452" s="1" t="n">
        <v>1</v>
      </c>
      <c r="D452" s="69"/>
      <c r="E452" s="8" t="n">
        <v>630</v>
      </c>
      <c r="F452" s="8" t="s">
        <v>133</v>
      </c>
      <c r="G452" s="9" t="n">
        <v>5564.72</v>
      </c>
      <c r="H452" s="9" t="n">
        <v>6175.73</v>
      </c>
      <c r="I452" s="9" t="n">
        <v>5565</v>
      </c>
      <c r="J452" s="9" t="n">
        <v>5564.72</v>
      </c>
      <c r="K452" s="9" t="n">
        <v>4409</v>
      </c>
      <c r="L452" s="9" t="n">
        <v>96</v>
      </c>
      <c r="M452" s="9" t="n">
        <v>837</v>
      </c>
      <c r="N452" s="9"/>
      <c r="O452" s="9" t="n">
        <v>430</v>
      </c>
      <c r="P452" s="9" t="n">
        <f aca="false">SUM(K452:O452)</f>
        <v>5772</v>
      </c>
      <c r="Q452" s="9" t="n">
        <v>828.55</v>
      </c>
      <c r="R452" s="10" t="n">
        <f aca="false">Q452/$P452</f>
        <v>0.143546431046431</v>
      </c>
      <c r="S452" s="9" t="n">
        <v>2724.96</v>
      </c>
      <c r="T452" s="10" t="n">
        <f aca="false">S452/$P452</f>
        <v>0.472099792099792</v>
      </c>
      <c r="U452" s="9" t="n">
        <v>4329.72</v>
      </c>
      <c r="V452" s="10" t="n">
        <f aca="false">U452/$P452</f>
        <v>0.75012474012474</v>
      </c>
      <c r="W452" s="9" t="n">
        <v>5770.54</v>
      </c>
      <c r="X452" s="10" t="n">
        <f aca="false">W452/$P452</f>
        <v>0.999747054747055</v>
      </c>
      <c r="Y452" s="9" t="n">
        <f aca="false">K452</f>
        <v>4409</v>
      </c>
      <c r="Z452" s="9" t="n">
        <f aca="false">Y452</f>
        <v>4409</v>
      </c>
    </row>
    <row r="453" customFormat="false" ht="12.8" hidden="false" customHeight="false" outlineLevel="0" collapsed="false">
      <c r="A453" s="1" t="n">
        <v>6</v>
      </c>
      <c r="B453" s="1" t="n">
        <v>3</v>
      </c>
      <c r="C453" s="1" t="n">
        <v>1</v>
      </c>
      <c r="D453" s="55" t="s">
        <v>21</v>
      </c>
      <c r="E453" s="11" t="n">
        <v>41</v>
      </c>
      <c r="F453" s="11" t="s">
        <v>23</v>
      </c>
      <c r="G453" s="12" t="n">
        <f aca="false">SUM(G451:G452)</f>
        <v>5564.72</v>
      </c>
      <c r="H453" s="12" t="n">
        <f aca="false">SUM(H451:H452)</f>
        <v>6175.73</v>
      </c>
      <c r="I453" s="12" t="n">
        <f aca="false">SUM(I451:I452)</f>
        <v>5565</v>
      </c>
      <c r="J453" s="12" t="n">
        <f aca="false">SUM(J451:J452)</f>
        <v>5564.72</v>
      </c>
      <c r="K453" s="12" t="n">
        <f aca="false">SUM(K451:K452)</f>
        <v>5239</v>
      </c>
      <c r="L453" s="12" t="n">
        <f aca="false">SUM(L451:L452)</f>
        <v>96</v>
      </c>
      <c r="M453" s="12" t="n">
        <f aca="false">SUM(M451:M452)</f>
        <v>837</v>
      </c>
      <c r="N453" s="12" t="n">
        <f aca="false">SUM(N451:N452)</f>
        <v>0</v>
      </c>
      <c r="O453" s="12" t="n">
        <f aca="false">SUM(O451:O452)</f>
        <v>165</v>
      </c>
      <c r="P453" s="12" t="n">
        <f aca="false">SUM(P451:P452)</f>
        <v>6337</v>
      </c>
      <c r="Q453" s="12" t="n">
        <f aca="false">SUM(Q451:Q452)</f>
        <v>941.66</v>
      </c>
      <c r="R453" s="13" t="n">
        <f aca="false">Q453/$P453</f>
        <v>0.148597127978539</v>
      </c>
      <c r="S453" s="12" t="n">
        <f aca="false">SUM(S451:S452)</f>
        <v>3064.3</v>
      </c>
      <c r="T453" s="13" t="n">
        <f aca="false">S453/$P453</f>
        <v>0.483556888117406</v>
      </c>
      <c r="U453" s="12" t="n">
        <f aca="false">SUM(U451:U452)</f>
        <v>4895.29</v>
      </c>
      <c r="V453" s="13" t="n">
        <f aca="false">U453/$P453</f>
        <v>0.772493293356478</v>
      </c>
      <c r="W453" s="12" t="n">
        <f aca="false">SUM(W451:W452)</f>
        <v>6336.11</v>
      </c>
      <c r="X453" s="13" t="n">
        <f aca="false">W453/$P453</f>
        <v>0.999859554994477</v>
      </c>
      <c r="Y453" s="12" t="n">
        <f aca="false">SUM(Y451:Y452)</f>
        <v>5239</v>
      </c>
      <c r="Z453" s="12" t="n">
        <f aca="false">SUM(Z451:Z452)</f>
        <v>5239</v>
      </c>
    </row>
    <row r="455" customFormat="false" ht="12.8" hidden="false" customHeight="false" outlineLevel="0" collapsed="false">
      <c r="E455" s="32" t="s">
        <v>57</v>
      </c>
      <c r="F455" s="14" t="s">
        <v>252</v>
      </c>
      <c r="G455" s="33" t="n">
        <v>5400</v>
      </c>
      <c r="H455" s="33" t="n">
        <v>5400</v>
      </c>
      <c r="I455" s="33" t="n">
        <v>5400</v>
      </c>
      <c r="J455" s="33" t="n">
        <v>5400</v>
      </c>
      <c r="K455" s="33" t="n">
        <v>0</v>
      </c>
      <c r="L455" s="33"/>
      <c r="M455" s="33"/>
      <c r="N455" s="33"/>
      <c r="O455" s="33" t="n">
        <v>750</v>
      </c>
      <c r="P455" s="33" t="n">
        <f aca="false">SUM(K455:O455)</f>
        <v>750</v>
      </c>
      <c r="Q455" s="33" t="n">
        <v>0</v>
      </c>
      <c r="R455" s="34" t="n">
        <f aca="false">Q455/$P455</f>
        <v>0</v>
      </c>
      <c r="S455" s="33" t="n">
        <v>0</v>
      </c>
      <c r="T455" s="34" t="n">
        <f aca="false">S455/$P455</f>
        <v>0</v>
      </c>
      <c r="U455" s="33" t="n">
        <v>0</v>
      </c>
      <c r="V455" s="34" t="n">
        <f aca="false">U455/$P455</f>
        <v>0</v>
      </c>
      <c r="W455" s="33" t="n">
        <v>750</v>
      </c>
      <c r="X455" s="35" t="n">
        <f aca="false">W455/$P455</f>
        <v>1</v>
      </c>
      <c r="Y455" s="33" t="n">
        <v>0</v>
      </c>
      <c r="Z455" s="36" t="n">
        <v>0</v>
      </c>
    </row>
    <row r="456" customFormat="false" ht="12.8" hidden="false" customHeight="false" outlineLevel="0" collapsed="false">
      <c r="E456" s="37"/>
      <c r="F456" s="78" t="s">
        <v>150</v>
      </c>
      <c r="G456" s="79"/>
      <c r="H456" s="79"/>
      <c r="I456" s="79"/>
      <c r="J456" s="79"/>
      <c r="K456" s="79" t="n">
        <v>1000</v>
      </c>
      <c r="L456" s="79"/>
      <c r="M456" s="79"/>
      <c r="N456" s="79"/>
      <c r="O456" s="79"/>
      <c r="P456" s="79" t="n">
        <f aca="false">SUM(K456:O456)</f>
        <v>1000</v>
      </c>
      <c r="Q456" s="79" t="n">
        <v>100</v>
      </c>
      <c r="R456" s="40" t="n">
        <f aca="false">Q456/$P456</f>
        <v>0.1</v>
      </c>
      <c r="S456" s="79" t="n">
        <v>400</v>
      </c>
      <c r="T456" s="40" t="n">
        <f aca="false">S456/$P456</f>
        <v>0.4</v>
      </c>
      <c r="U456" s="79" t="n">
        <v>700</v>
      </c>
      <c r="V456" s="40" t="n">
        <f aca="false">U456/$P456</f>
        <v>0.7</v>
      </c>
      <c r="W456" s="79" t="n">
        <v>1000</v>
      </c>
      <c r="X456" s="41" t="n">
        <f aca="false">W456/$P456</f>
        <v>1</v>
      </c>
      <c r="Y456" s="33"/>
      <c r="Z456" s="36"/>
    </row>
    <row r="457" customFormat="false" ht="12.8" hidden="false" customHeight="false" outlineLevel="0" collapsed="false">
      <c r="E457" s="44"/>
      <c r="F457" s="57" t="s">
        <v>253</v>
      </c>
      <c r="G457" s="46"/>
      <c r="H457" s="46"/>
      <c r="I457" s="46"/>
      <c r="J457" s="46"/>
      <c r="K457" s="46" t="n">
        <v>4074</v>
      </c>
      <c r="L457" s="46"/>
      <c r="M457" s="46"/>
      <c r="N457" s="46"/>
      <c r="O457" s="46" t="n">
        <f aca="false">-350-265</f>
        <v>-615</v>
      </c>
      <c r="P457" s="46" t="n">
        <f aca="false">SUM(K457:O457)</f>
        <v>3459</v>
      </c>
      <c r="Q457" s="46" t="n">
        <v>691.81</v>
      </c>
      <c r="R457" s="47" t="n">
        <f aca="false">Q457/$P457</f>
        <v>0.200002891008962</v>
      </c>
      <c r="S457" s="46" t="n">
        <v>2075.44</v>
      </c>
      <c r="T457" s="47" t="n">
        <f aca="false">S457/$P457</f>
        <v>0.600011564035849</v>
      </c>
      <c r="U457" s="46" t="n">
        <v>3459.07</v>
      </c>
      <c r="V457" s="47" t="n">
        <f aca="false">U457/$P457</f>
        <v>1.00002023706274</v>
      </c>
      <c r="W457" s="46" t="n">
        <v>3459.07</v>
      </c>
      <c r="X457" s="48" t="n">
        <f aca="false">W457/$P457</f>
        <v>1.00002023706274</v>
      </c>
      <c r="Y457" s="46" t="n">
        <f aca="false">K457</f>
        <v>4074</v>
      </c>
      <c r="Z457" s="49" t="n">
        <f aca="false">Y457</f>
        <v>4074</v>
      </c>
    </row>
    <row r="459" customFormat="false" ht="12.8" hidden="false" customHeight="false" outlineLevel="0" collapsed="false">
      <c r="D459" s="51" t="s">
        <v>254</v>
      </c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customFormat="false" ht="12.8" hidden="false" customHeight="false" outlineLevel="0" collapsed="false">
      <c r="D460" s="5" t="s">
        <v>33</v>
      </c>
      <c r="E460" s="5" t="s">
        <v>34</v>
      </c>
      <c r="F460" s="5" t="s">
        <v>35</v>
      </c>
      <c r="G460" s="5" t="s">
        <v>1</v>
      </c>
      <c r="H460" s="5" t="s">
        <v>2</v>
      </c>
      <c r="I460" s="5" t="s">
        <v>3</v>
      </c>
      <c r="J460" s="5" t="s">
        <v>4</v>
      </c>
      <c r="K460" s="5" t="s">
        <v>5</v>
      </c>
      <c r="L460" s="5" t="s">
        <v>6</v>
      </c>
      <c r="M460" s="5" t="s">
        <v>7</v>
      </c>
      <c r="N460" s="5" t="s">
        <v>8</v>
      </c>
      <c r="O460" s="5" t="s">
        <v>9</v>
      </c>
      <c r="P460" s="5" t="s">
        <v>10</v>
      </c>
      <c r="Q460" s="5" t="s">
        <v>11</v>
      </c>
      <c r="R460" s="5" t="s">
        <v>12</v>
      </c>
      <c r="S460" s="5" t="s">
        <v>13</v>
      </c>
      <c r="T460" s="5" t="s">
        <v>14</v>
      </c>
      <c r="U460" s="5" t="s">
        <v>15</v>
      </c>
      <c r="V460" s="5" t="s">
        <v>16</v>
      </c>
      <c r="W460" s="5" t="s">
        <v>17</v>
      </c>
      <c r="X460" s="5" t="s">
        <v>18</v>
      </c>
      <c r="Y460" s="5" t="s">
        <v>19</v>
      </c>
      <c r="Z460" s="5" t="s">
        <v>20</v>
      </c>
    </row>
    <row r="461" customFormat="false" ht="12.8" hidden="false" customHeight="false" outlineLevel="0" collapsed="false">
      <c r="A461" s="1" t="n">
        <v>6</v>
      </c>
      <c r="B461" s="1" t="n">
        <v>3</v>
      </c>
      <c r="C461" s="1" t="n">
        <v>2</v>
      </c>
      <c r="D461" s="69" t="s">
        <v>251</v>
      </c>
      <c r="E461" s="8" t="n">
        <v>640</v>
      </c>
      <c r="F461" s="8" t="s">
        <v>134</v>
      </c>
      <c r="G461" s="9" t="n">
        <v>3268.71</v>
      </c>
      <c r="H461" s="9" t="n">
        <v>4269.83</v>
      </c>
      <c r="I461" s="9" t="n">
        <v>4900</v>
      </c>
      <c r="J461" s="9" t="n">
        <v>4400</v>
      </c>
      <c r="K461" s="9" t="n">
        <f aca="false">SUM(K464:K468)</f>
        <v>4900</v>
      </c>
      <c r="L461" s="9"/>
      <c r="M461" s="9"/>
      <c r="N461" s="9"/>
      <c r="O461" s="9"/>
      <c r="P461" s="9" t="n">
        <f aca="false">SUM(K461:O461)</f>
        <v>4900</v>
      </c>
      <c r="Q461" s="9" t="n">
        <v>1600</v>
      </c>
      <c r="R461" s="10" t="n">
        <f aca="false">Q461/$P461</f>
        <v>0.326530612244898</v>
      </c>
      <c r="S461" s="9" t="n">
        <v>4312.33</v>
      </c>
      <c r="T461" s="10" t="n">
        <f aca="false">S461/$P461</f>
        <v>0.880067346938776</v>
      </c>
      <c r="U461" s="9" t="n">
        <v>4312.33</v>
      </c>
      <c r="V461" s="10" t="n">
        <f aca="false">U461/$P461</f>
        <v>0.880067346938776</v>
      </c>
      <c r="W461" s="9" t="n">
        <v>4812.33</v>
      </c>
      <c r="X461" s="10" t="n">
        <f aca="false">W461/$P461</f>
        <v>0.982108163265306</v>
      </c>
      <c r="Y461" s="9" t="n">
        <v>5000</v>
      </c>
      <c r="Z461" s="9" t="n">
        <f aca="false">Y461</f>
        <v>5000</v>
      </c>
    </row>
    <row r="462" customFormat="false" ht="12.8" hidden="false" customHeight="false" outlineLevel="0" collapsed="false">
      <c r="A462" s="1" t="n">
        <v>6</v>
      </c>
      <c r="B462" s="1" t="n">
        <v>3</v>
      </c>
      <c r="C462" s="1" t="n">
        <v>2</v>
      </c>
      <c r="D462" s="55" t="s">
        <v>21</v>
      </c>
      <c r="E462" s="11" t="n">
        <v>41</v>
      </c>
      <c r="F462" s="11" t="s">
        <v>23</v>
      </c>
      <c r="G462" s="12" t="n">
        <f aca="false">SUM(G461:G461)</f>
        <v>3268.71</v>
      </c>
      <c r="H462" s="12" t="n">
        <f aca="false">SUM(H461:H461)</f>
        <v>4269.83</v>
      </c>
      <c r="I462" s="12" t="n">
        <f aca="false">SUM(I461:I461)</f>
        <v>4900</v>
      </c>
      <c r="J462" s="12" t="n">
        <f aca="false">SUM(J461:J461)</f>
        <v>4400</v>
      </c>
      <c r="K462" s="12" t="n">
        <f aca="false">SUM(K461:K461)</f>
        <v>4900</v>
      </c>
      <c r="L462" s="12" t="n">
        <f aca="false">SUM(L461:L461)</f>
        <v>0</v>
      </c>
      <c r="M462" s="12" t="n">
        <f aca="false">SUM(M461:M461)</f>
        <v>0</v>
      </c>
      <c r="N462" s="12" t="n">
        <f aca="false">SUM(N461:N461)</f>
        <v>0</v>
      </c>
      <c r="O462" s="12" t="n">
        <f aca="false">SUM(O461:O461)</f>
        <v>0</v>
      </c>
      <c r="P462" s="12" t="n">
        <f aca="false">SUM(P461:P461)</f>
        <v>4900</v>
      </c>
      <c r="Q462" s="12" t="n">
        <f aca="false">SUM(Q461:Q461)</f>
        <v>1600</v>
      </c>
      <c r="R462" s="13" t="n">
        <f aca="false">Q462/$P462</f>
        <v>0.326530612244898</v>
      </c>
      <c r="S462" s="12" t="n">
        <f aca="false">SUM(S461:S461)</f>
        <v>4312.33</v>
      </c>
      <c r="T462" s="13" t="n">
        <f aca="false">S462/$P462</f>
        <v>0.880067346938776</v>
      </c>
      <c r="U462" s="12" t="n">
        <f aca="false">SUM(U461:U461)</f>
        <v>4312.33</v>
      </c>
      <c r="V462" s="13" t="n">
        <f aca="false">U462/$P462</f>
        <v>0.880067346938776</v>
      </c>
      <c r="W462" s="12" t="n">
        <f aca="false">SUM(W461:W461)</f>
        <v>4812.33</v>
      </c>
      <c r="X462" s="13" t="n">
        <f aca="false">W462/$P462</f>
        <v>0.982108163265306</v>
      </c>
      <c r="Y462" s="12" t="n">
        <f aca="false">SUM(Y461:Y461)</f>
        <v>5000</v>
      </c>
      <c r="Z462" s="12" t="n">
        <f aca="false">SUM(Z461:Z461)</f>
        <v>5000</v>
      </c>
    </row>
    <row r="464" customFormat="false" ht="12.8" hidden="false" customHeight="false" outlineLevel="0" collapsed="false">
      <c r="E464" s="32" t="s">
        <v>57</v>
      </c>
      <c r="F464" s="14" t="s">
        <v>255</v>
      </c>
      <c r="G464" s="33" t="n">
        <v>1100</v>
      </c>
      <c r="H464" s="33" t="n">
        <v>1100</v>
      </c>
      <c r="I464" s="33" t="n">
        <v>1100</v>
      </c>
      <c r="J464" s="33" t="n">
        <v>1100</v>
      </c>
      <c r="K464" s="33" t="n">
        <v>1100</v>
      </c>
      <c r="L464" s="33"/>
      <c r="M464" s="33"/>
      <c r="N464" s="33"/>
      <c r="O464" s="33"/>
      <c r="P464" s="33" t="n">
        <f aca="false">SUM(K464:O464)</f>
        <v>1100</v>
      </c>
      <c r="Q464" s="33" t="n">
        <v>600</v>
      </c>
      <c r="R464" s="34" t="n">
        <f aca="false">Q464/$P464</f>
        <v>0.545454545454545</v>
      </c>
      <c r="S464" s="33" t="n">
        <v>1100</v>
      </c>
      <c r="T464" s="34" t="n">
        <f aca="false">S464/$P464</f>
        <v>1</v>
      </c>
      <c r="U464" s="33" t="n">
        <v>1100</v>
      </c>
      <c r="V464" s="34" t="n">
        <f aca="false">U464/$P464</f>
        <v>1</v>
      </c>
      <c r="W464" s="33" t="n">
        <v>1100</v>
      </c>
      <c r="X464" s="35" t="n">
        <f aca="false">W464/$P464</f>
        <v>1</v>
      </c>
      <c r="Y464" s="33"/>
      <c r="Z464" s="36"/>
    </row>
    <row r="465" customFormat="false" ht="12.8" hidden="false" customHeight="false" outlineLevel="0" collapsed="false">
      <c r="E465" s="37"/>
      <c r="F465" s="1" t="s">
        <v>256</v>
      </c>
      <c r="G465" s="39" t="n">
        <v>1168.71</v>
      </c>
      <c r="H465" s="39" t="n">
        <v>1669.83</v>
      </c>
      <c r="I465" s="39" t="n">
        <v>1500</v>
      </c>
      <c r="J465" s="39" t="n">
        <v>1000</v>
      </c>
      <c r="K465" s="39" t="n">
        <v>1500</v>
      </c>
      <c r="L465" s="39"/>
      <c r="M465" s="39"/>
      <c r="N465" s="39"/>
      <c r="O465" s="39"/>
      <c r="P465" s="39" t="n">
        <f aca="false">SUM(K465:O465)</f>
        <v>1500</v>
      </c>
      <c r="Q465" s="39" t="n">
        <v>0</v>
      </c>
      <c r="R465" s="40" t="n">
        <f aca="false">Q465/$P465</f>
        <v>0</v>
      </c>
      <c r="S465" s="39" t="n">
        <v>912.33</v>
      </c>
      <c r="T465" s="40" t="n">
        <f aca="false">S465/$P465</f>
        <v>0.60822</v>
      </c>
      <c r="U465" s="39" t="n">
        <v>912.33</v>
      </c>
      <c r="V465" s="40" t="n">
        <f aca="false">U465/$P465</f>
        <v>0.60822</v>
      </c>
      <c r="W465" s="39" t="n">
        <v>1412.33</v>
      </c>
      <c r="X465" s="41" t="n">
        <f aca="false">W465/$P465</f>
        <v>0.941553333333333</v>
      </c>
      <c r="Y465" s="39"/>
      <c r="Z465" s="42"/>
    </row>
    <row r="466" customFormat="false" ht="12.8" hidden="false" customHeight="false" outlineLevel="0" collapsed="false">
      <c r="E466" s="37"/>
      <c r="F466" s="38" t="s">
        <v>257</v>
      </c>
      <c r="G466" s="39" t="n">
        <v>1000</v>
      </c>
      <c r="H466" s="39" t="n">
        <v>1000</v>
      </c>
      <c r="I466" s="39" t="n">
        <v>1300</v>
      </c>
      <c r="J466" s="39" t="n">
        <v>1300</v>
      </c>
      <c r="K466" s="39" t="n">
        <v>1300</v>
      </c>
      <c r="L466" s="39"/>
      <c r="M466" s="39"/>
      <c r="N466" s="39"/>
      <c r="O466" s="39"/>
      <c r="P466" s="39" t="n">
        <f aca="false">SUM(K466:O466)</f>
        <v>1300</v>
      </c>
      <c r="Q466" s="39" t="n">
        <v>0</v>
      </c>
      <c r="R466" s="40" t="n">
        <f aca="false">Q466/$P466</f>
        <v>0</v>
      </c>
      <c r="S466" s="39" t="n">
        <v>1300</v>
      </c>
      <c r="T466" s="40" t="n">
        <f aca="false">S466/$P466</f>
        <v>1</v>
      </c>
      <c r="U466" s="39" t="n">
        <v>1300</v>
      </c>
      <c r="V466" s="40" t="n">
        <f aca="false">U466/$P466</f>
        <v>1</v>
      </c>
      <c r="W466" s="39" t="n">
        <v>1300</v>
      </c>
      <c r="X466" s="41" t="n">
        <f aca="false">W466/$P466</f>
        <v>1</v>
      </c>
      <c r="Y466" s="39"/>
      <c r="Z466" s="42"/>
    </row>
    <row r="467" customFormat="false" ht="12.8" hidden="false" customHeight="false" outlineLevel="0" collapsed="false">
      <c r="E467" s="37"/>
      <c r="F467" s="38" t="s">
        <v>258</v>
      </c>
      <c r="G467" s="43"/>
      <c r="H467" s="39" t="n">
        <v>500</v>
      </c>
      <c r="I467" s="39" t="n">
        <v>1000</v>
      </c>
      <c r="J467" s="39" t="n">
        <v>1000</v>
      </c>
      <c r="K467" s="39" t="n">
        <v>1000</v>
      </c>
      <c r="L467" s="39"/>
      <c r="M467" s="39"/>
      <c r="N467" s="39"/>
      <c r="O467" s="39"/>
      <c r="P467" s="39" t="n">
        <f aca="false">SUM(K467:O467)</f>
        <v>1000</v>
      </c>
      <c r="Q467" s="39" t="n">
        <v>1000</v>
      </c>
      <c r="R467" s="40" t="n">
        <f aca="false">Q467/$P467</f>
        <v>1</v>
      </c>
      <c r="S467" s="39" t="n">
        <v>1000</v>
      </c>
      <c r="T467" s="40" t="n">
        <f aca="false">S467/$P467</f>
        <v>1</v>
      </c>
      <c r="U467" s="39" t="n">
        <v>1000</v>
      </c>
      <c r="V467" s="40" t="n">
        <f aca="false">U467/$P467</f>
        <v>1</v>
      </c>
      <c r="W467" s="39" t="n">
        <v>1000</v>
      </c>
      <c r="X467" s="41" t="n">
        <f aca="false">W467/$P467</f>
        <v>1</v>
      </c>
      <c r="Y467" s="39"/>
      <c r="Z467" s="42"/>
    </row>
    <row r="468" customFormat="false" ht="12.8" hidden="false" customHeight="false" outlineLevel="0" collapsed="false">
      <c r="E468" s="44"/>
      <c r="F468" s="57" t="s">
        <v>247</v>
      </c>
      <c r="G468" s="80"/>
      <c r="H468" s="80"/>
      <c r="I468" s="80"/>
      <c r="J468" s="80"/>
      <c r="K468" s="80"/>
      <c r="L468" s="80"/>
      <c r="M468" s="80"/>
      <c r="N468" s="80"/>
      <c r="O468" s="80"/>
      <c r="P468" s="80" t="n">
        <f aca="false">SUM(K468:O468)</f>
        <v>0</v>
      </c>
      <c r="Q468" s="80" t="n">
        <v>0</v>
      </c>
      <c r="R468" s="47" t="e">
        <f aca="false">Q468/$P468</f>
        <v>#DIV/0!</v>
      </c>
      <c r="S468" s="80" t="n">
        <v>0</v>
      </c>
      <c r="T468" s="47" t="e">
        <f aca="false">S468/$P468</f>
        <v>#DIV/0!</v>
      </c>
      <c r="U468" s="80" t="n">
        <v>0</v>
      </c>
      <c r="V468" s="47" t="e">
        <f aca="false">U468/$P468</f>
        <v>#DIV/0!</v>
      </c>
      <c r="W468" s="80" t="n">
        <v>0</v>
      </c>
      <c r="X468" s="48" t="e">
        <f aca="false">W468/$P468</f>
        <v>#DIV/0!</v>
      </c>
      <c r="Y468" s="80" t="n">
        <v>5000</v>
      </c>
      <c r="Z468" s="49" t="n">
        <v>5000</v>
      </c>
    </row>
    <row r="470" customFormat="false" ht="12.8" hidden="false" customHeight="false" outlineLevel="0" collapsed="false">
      <c r="D470" s="16" t="s">
        <v>259</v>
      </c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customFormat="false" ht="12.8" hidden="false" customHeight="false" outlineLevel="0" collapsed="false">
      <c r="D471" s="4"/>
      <c r="E471" s="4"/>
      <c r="F471" s="4"/>
      <c r="G471" s="5" t="s">
        <v>1</v>
      </c>
      <c r="H471" s="5" t="s">
        <v>2</v>
      </c>
      <c r="I471" s="5" t="s">
        <v>3</v>
      </c>
      <c r="J471" s="5" t="s">
        <v>4</v>
      </c>
      <c r="K471" s="5" t="s">
        <v>5</v>
      </c>
      <c r="L471" s="5" t="s">
        <v>6</v>
      </c>
      <c r="M471" s="5" t="s">
        <v>7</v>
      </c>
      <c r="N471" s="5" t="s">
        <v>8</v>
      </c>
      <c r="O471" s="5" t="s">
        <v>9</v>
      </c>
      <c r="P471" s="5" t="s">
        <v>10</v>
      </c>
      <c r="Q471" s="5" t="s">
        <v>11</v>
      </c>
      <c r="R471" s="5" t="s">
        <v>12</v>
      </c>
      <c r="S471" s="5" t="s">
        <v>13</v>
      </c>
      <c r="T471" s="5" t="s">
        <v>14</v>
      </c>
      <c r="U471" s="5" t="s">
        <v>15</v>
      </c>
      <c r="V471" s="5" t="s">
        <v>16</v>
      </c>
      <c r="W471" s="5" t="s">
        <v>17</v>
      </c>
      <c r="X471" s="5" t="s">
        <v>18</v>
      </c>
      <c r="Y471" s="5" t="s">
        <v>19</v>
      </c>
      <c r="Z471" s="5" t="s">
        <v>20</v>
      </c>
    </row>
    <row r="472" customFormat="false" ht="12.8" hidden="false" customHeight="false" outlineLevel="0" collapsed="false">
      <c r="A472" s="1" t="n">
        <v>7</v>
      </c>
      <c r="D472" s="17" t="s">
        <v>21</v>
      </c>
      <c r="E472" s="18" t="n">
        <v>111</v>
      </c>
      <c r="F472" s="18" t="s">
        <v>47</v>
      </c>
      <c r="G472" s="19" t="n">
        <f aca="false">G479+G520</f>
        <v>39381.36</v>
      </c>
      <c r="H472" s="19" t="n">
        <f aca="false">H479+H520</f>
        <v>40325.07</v>
      </c>
      <c r="I472" s="19" t="n">
        <f aca="false">I479+I520</f>
        <v>34596</v>
      </c>
      <c r="J472" s="19" t="n">
        <f aca="false">J479+J520</f>
        <v>36752.41</v>
      </c>
      <c r="K472" s="19" t="n">
        <f aca="false">K479+K520</f>
        <v>37512</v>
      </c>
      <c r="L472" s="19" t="n">
        <f aca="false">L479+L520</f>
        <v>0</v>
      </c>
      <c r="M472" s="19" t="n">
        <f aca="false">M479+M520</f>
        <v>0</v>
      </c>
      <c r="N472" s="19" t="n">
        <f aca="false">N479+N520</f>
        <v>5315</v>
      </c>
      <c r="O472" s="19" t="n">
        <f aca="false">O479+O520</f>
        <v>185</v>
      </c>
      <c r="P472" s="19" t="n">
        <f aca="false">P479+P520</f>
        <v>43012</v>
      </c>
      <c r="Q472" s="19" t="n">
        <f aca="false">Q479+Q520</f>
        <v>15223.96</v>
      </c>
      <c r="R472" s="20" t="n">
        <f aca="false">Q472/$P472</f>
        <v>0.353946805542639</v>
      </c>
      <c r="S472" s="19" t="n">
        <f aca="false">S479+S520</f>
        <v>24419.7</v>
      </c>
      <c r="T472" s="20" t="n">
        <f aca="false">S472/$P472</f>
        <v>0.567741560494746</v>
      </c>
      <c r="U472" s="19" t="n">
        <f aca="false">U479+U520</f>
        <v>33672.98</v>
      </c>
      <c r="V472" s="20" t="n">
        <f aca="false">U472/$P472</f>
        <v>0.782874081651632</v>
      </c>
      <c r="W472" s="19" t="n">
        <f aca="false">W479+W520</f>
        <v>43015.88</v>
      </c>
      <c r="X472" s="20" t="n">
        <f aca="false">W472/$P472</f>
        <v>1.00009020738399</v>
      </c>
      <c r="Y472" s="19" t="n">
        <f aca="false">Y479+Y520</f>
        <v>37512</v>
      </c>
      <c r="Z472" s="19" t="n">
        <f aca="false">Z479+Z520</f>
        <v>37512</v>
      </c>
    </row>
    <row r="473" customFormat="false" ht="12.8" hidden="false" customHeight="false" outlineLevel="0" collapsed="false">
      <c r="A473" s="1" t="n">
        <v>7</v>
      </c>
      <c r="D473" s="17"/>
      <c r="E473" s="18" t="n">
        <v>41</v>
      </c>
      <c r="F473" s="18" t="s">
        <v>23</v>
      </c>
      <c r="G473" s="19" t="n">
        <f aca="false">G480+G524</f>
        <v>56680.06</v>
      </c>
      <c r="H473" s="19" t="n">
        <f aca="false">H480+H524</f>
        <v>54713.01</v>
      </c>
      <c r="I473" s="19" t="n">
        <f aca="false">I480+I524</f>
        <v>68077</v>
      </c>
      <c r="J473" s="19" t="n">
        <f aca="false">J480+J524</f>
        <v>62818.84</v>
      </c>
      <c r="K473" s="19" t="n">
        <f aca="false">K480+K524</f>
        <v>82444</v>
      </c>
      <c r="L473" s="19" t="n">
        <f aca="false">L480+L524</f>
        <v>2459</v>
      </c>
      <c r="M473" s="19" t="n">
        <f aca="false">M480+M524</f>
        <v>9000</v>
      </c>
      <c r="N473" s="19" t="n">
        <f aca="false">N480+N524</f>
        <v>-1376</v>
      </c>
      <c r="O473" s="19" t="n">
        <f aca="false">O480+O524</f>
        <v>260</v>
      </c>
      <c r="P473" s="19" t="n">
        <f aca="false">P480+P524</f>
        <v>92787</v>
      </c>
      <c r="Q473" s="19" t="n">
        <f aca="false">Q480+Q524</f>
        <v>15156.15</v>
      </c>
      <c r="R473" s="20" t="n">
        <f aca="false">Q473/$P473</f>
        <v>0.163343464062854</v>
      </c>
      <c r="S473" s="19" t="n">
        <f aca="false">S480+S524</f>
        <v>34238.75</v>
      </c>
      <c r="T473" s="20" t="n">
        <f aca="false">S473/$P473</f>
        <v>0.369003739748025</v>
      </c>
      <c r="U473" s="19" t="n">
        <f aca="false">U480+U524</f>
        <v>56692.14</v>
      </c>
      <c r="V473" s="20" t="n">
        <f aca="false">U473/$P473</f>
        <v>0.610992272624398</v>
      </c>
      <c r="W473" s="19" t="n">
        <f aca="false">W480+W524</f>
        <v>86076.21</v>
      </c>
      <c r="X473" s="20" t="n">
        <f aca="false">W473/$P473</f>
        <v>0.927675320896246</v>
      </c>
      <c r="Y473" s="19" t="n">
        <f aca="false">Y480+Y524</f>
        <v>84330</v>
      </c>
      <c r="Z473" s="19" t="n">
        <f aca="false">Z480+Z524</f>
        <v>92459</v>
      </c>
    </row>
    <row r="474" customFormat="false" ht="12.8" hidden="false" customHeight="false" outlineLevel="0" collapsed="false">
      <c r="D474" s="17"/>
      <c r="E474" s="18" t="n">
        <v>72</v>
      </c>
      <c r="F474" s="18" t="s">
        <v>25</v>
      </c>
      <c r="G474" s="19" t="n">
        <f aca="false">G481</f>
        <v>0</v>
      </c>
      <c r="H474" s="19" t="n">
        <f aca="false">H481</f>
        <v>0</v>
      </c>
      <c r="I474" s="19" t="n">
        <f aca="false">I481</f>
        <v>700</v>
      </c>
      <c r="J474" s="19" t="n">
        <f aca="false">J481</f>
        <v>684.11</v>
      </c>
      <c r="K474" s="19" t="n">
        <f aca="false">K481</f>
        <v>700</v>
      </c>
      <c r="L474" s="19" t="n">
        <f aca="false">L481</f>
        <v>0</v>
      </c>
      <c r="M474" s="19" t="n">
        <f aca="false">M481</f>
        <v>0</v>
      </c>
      <c r="N474" s="19" t="n">
        <f aca="false">N481</f>
        <v>1000</v>
      </c>
      <c r="O474" s="19" t="n">
        <f aca="false">O481</f>
        <v>102</v>
      </c>
      <c r="P474" s="19" t="n">
        <f aca="false">P481</f>
        <v>1802</v>
      </c>
      <c r="Q474" s="19" t="n">
        <f aca="false">Q481</f>
        <v>0</v>
      </c>
      <c r="R474" s="20" t="n">
        <f aca="false">Q474/$P474</f>
        <v>0</v>
      </c>
      <c r="S474" s="19" t="n">
        <f aca="false">S481</f>
        <v>0</v>
      </c>
      <c r="T474" s="20" t="n">
        <f aca="false">S474/$P474</f>
        <v>0</v>
      </c>
      <c r="U474" s="19" t="n">
        <f aca="false">U481</f>
        <v>1000</v>
      </c>
      <c r="V474" s="20" t="n">
        <f aca="false">U474/$P474</f>
        <v>0.554938956714761</v>
      </c>
      <c r="W474" s="19" t="n">
        <f aca="false">W481</f>
        <v>1801.98</v>
      </c>
      <c r="X474" s="20" t="n">
        <f aca="false">W474/$P474</f>
        <v>0.999988901220866</v>
      </c>
      <c r="Y474" s="19" t="n">
        <f aca="false">Y481</f>
        <v>700</v>
      </c>
      <c r="Z474" s="19" t="n">
        <f aca="false">Z481</f>
        <v>700</v>
      </c>
    </row>
    <row r="475" customFormat="false" ht="12.8" hidden="false" customHeight="false" outlineLevel="0" collapsed="false">
      <c r="A475" s="1" t="n">
        <v>7</v>
      </c>
      <c r="D475" s="14"/>
      <c r="E475" s="15"/>
      <c r="F475" s="21" t="s">
        <v>126</v>
      </c>
      <c r="G475" s="22" t="n">
        <f aca="false">SUM(G472:G474)</f>
        <v>96061.42</v>
      </c>
      <c r="H475" s="22" t="n">
        <f aca="false">SUM(H472:H474)</f>
        <v>95038.08</v>
      </c>
      <c r="I475" s="22" t="n">
        <f aca="false">SUM(I472:I474)</f>
        <v>103373</v>
      </c>
      <c r="J475" s="22" t="n">
        <f aca="false">SUM(J472:J474)</f>
        <v>100255.36</v>
      </c>
      <c r="K475" s="22" t="n">
        <f aca="false">SUM(K472:K474)</f>
        <v>120656</v>
      </c>
      <c r="L475" s="22" t="n">
        <f aca="false">SUM(L472:L474)</f>
        <v>2459</v>
      </c>
      <c r="M475" s="22" t="n">
        <f aca="false">SUM(M472:M474)</f>
        <v>9000</v>
      </c>
      <c r="N475" s="22" t="n">
        <f aca="false">SUM(N472:N474)</f>
        <v>4939</v>
      </c>
      <c r="O475" s="22" t="n">
        <f aca="false">SUM(O472:O474)</f>
        <v>547</v>
      </c>
      <c r="P475" s="22" t="n">
        <f aca="false">SUM(P472:P474)</f>
        <v>137601</v>
      </c>
      <c r="Q475" s="22" t="n">
        <f aca="false">SUM(Q472:Q474)</f>
        <v>30380.11</v>
      </c>
      <c r="R475" s="23" t="n">
        <f aca="false">Q475/$P475</f>
        <v>0.22078407860408</v>
      </c>
      <c r="S475" s="22" t="n">
        <f aca="false">SUM(S472:S474)</f>
        <v>58658.45</v>
      </c>
      <c r="T475" s="23" t="n">
        <f aca="false">S475/$P475</f>
        <v>0.426293776934761</v>
      </c>
      <c r="U475" s="22" t="n">
        <f aca="false">SUM(U472:U474)</f>
        <v>91365.12</v>
      </c>
      <c r="V475" s="23" t="n">
        <f aca="false">U475/$P475</f>
        <v>0.663985872195696</v>
      </c>
      <c r="W475" s="22" t="n">
        <f aca="false">SUM(W472:W474)</f>
        <v>130894.07</v>
      </c>
      <c r="X475" s="23" t="n">
        <f aca="false">W475/$P475</f>
        <v>0.951258130391494</v>
      </c>
      <c r="Y475" s="22" t="n">
        <f aca="false">SUM(Y472:Y474)</f>
        <v>122542</v>
      </c>
      <c r="Z475" s="22" t="n">
        <f aca="false">SUM(Z472:Z474)</f>
        <v>130671</v>
      </c>
    </row>
    <row r="477" customFormat="false" ht="12.8" hidden="false" customHeight="false" outlineLevel="0" collapsed="false">
      <c r="D477" s="24" t="s">
        <v>260</v>
      </c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customFormat="false" ht="12.8" hidden="false" customHeight="false" outlineLevel="0" collapsed="false">
      <c r="D478" s="90"/>
      <c r="E478" s="90"/>
      <c r="F478" s="90"/>
      <c r="G478" s="5" t="s">
        <v>1</v>
      </c>
      <c r="H478" s="5" t="s">
        <v>2</v>
      </c>
      <c r="I478" s="5" t="s">
        <v>3</v>
      </c>
      <c r="J478" s="5" t="s">
        <v>4</v>
      </c>
      <c r="K478" s="5" t="s">
        <v>5</v>
      </c>
      <c r="L478" s="5" t="s">
        <v>6</v>
      </c>
      <c r="M478" s="5" t="s">
        <v>7</v>
      </c>
      <c r="N478" s="5" t="s">
        <v>8</v>
      </c>
      <c r="O478" s="5" t="s">
        <v>9</v>
      </c>
      <c r="P478" s="5" t="s">
        <v>10</v>
      </c>
      <c r="Q478" s="5" t="s">
        <v>11</v>
      </c>
      <c r="R478" s="5" t="s">
        <v>12</v>
      </c>
      <c r="S478" s="5" t="s">
        <v>13</v>
      </c>
      <c r="T478" s="5" t="s">
        <v>14</v>
      </c>
      <c r="U478" s="5" t="s">
        <v>15</v>
      </c>
      <c r="V478" s="5" t="s">
        <v>16</v>
      </c>
      <c r="W478" s="5" t="s">
        <v>17</v>
      </c>
      <c r="X478" s="5" t="s">
        <v>18</v>
      </c>
      <c r="Y478" s="5" t="s">
        <v>19</v>
      </c>
      <c r="Z478" s="5" t="s">
        <v>20</v>
      </c>
    </row>
    <row r="479" customFormat="false" ht="12.8" hidden="false" customHeight="false" outlineLevel="0" collapsed="false">
      <c r="A479" s="1" t="n">
        <v>7</v>
      </c>
      <c r="B479" s="1" t="n">
        <v>1</v>
      </c>
      <c r="D479" s="25" t="s">
        <v>21</v>
      </c>
      <c r="E479" s="8" t="n">
        <v>111</v>
      </c>
      <c r="F479" s="8" t="s">
        <v>47</v>
      </c>
      <c r="G479" s="9" t="n">
        <f aca="false">G489</f>
        <v>38347.4</v>
      </c>
      <c r="H479" s="9" t="n">
        <f aca="false">H489</f>
        <v>38494.67</v>
      </c>
      <c r="I479" s="9" t="n">
        <f aca="false">I489</f>
        <v>32936</v>
      </c>
      <c r="J479" s="9" t="n">
        <f aca="false">J489</f>
        <v>34925.29</v>
      </c>
      <c r="K479" s="9" t="n">
        <f aca="false">K489</f>
        <v>35712</v>
      </c>
      <c r="L479" s="9" t="n">
        <f aca="false">L489</f>
        <v>0</v>
      </c>
      <c r="M479" s="9" t="n">
        <f aca="false">M489</f>
        <v>0</v>
      </c>
      <c r="N479" s="9" t="n">
        <f aca="false">N489</f>
        <v>0</v>
      </c>
      <c r="O479" s="9" t="n">
        <f aca="false">O489</f>
        <v>0</v>
      </c>
      <c r="P479" s="9" t="n">
        <f aca="false">P489</f>
        <v>35712</v>
      </c>
      <c r="Q479" s="9" t="n">
        <f aca="false">Q489</f>
        <v>8928</v>
      </c>
      <c r="R479" s="10" t="n">
        <f aca="false">Q479/$P479</f>
        <v>0.25</v>
      </c>
      <c r="S479" s="9" t="n">
        <f aca="false">S489</f>
        <v>17856</v>
      </c>
      <c r="T479" s="10" t="n">
        <f aca="false">S479/$P479</f>
        <v>0.5</v>
      </c>
      <c r="U479" s="9" t="n">
        <f aca="false">U489</f>
        <v>26784</v>
      </c>
      <c r="V479" s="10" t="n">
        <f aca="false">U479/$P479</f>
        <v>0.75</v>
      </c>
      <c r="W479" s="9" t="n">
        <f aca="false">W489</f>
        <v>35712</v>
      </c>
      <c r="X479" s="10" t="n">
        <f aca="false">W479/$P479</f>
        <v>1</v>
      </c>
      <c r="Y479" s="9" t="n">
        <f aca="false">Y489</f>
        <v>35712</v>
      </c>
      <c r="Z479" s="9" t="n">
        <f aca="false">Z489</f>
        <v>35712</v>
      </c>
    </row>
    <row r="480" customFormat="false" ht="12.8" hidden="false" customHeight="false" outlineLevel="0" collapsed="false">
      <c r="A480" s="1" t="n">
        <v>7</v>
      </c>
      <c r="B480" s="1" t="n">
        <v>1</v>
      </c>
      <c r="D480" s="25"/>
      <c r="E480" s="8" t="n">
        <v>41</v>
      </c>
      <c r="F480" s="8" t="s">
        <v>23</v>
      </c>
      <c r="G480" s="9" t="n">
        <f aca="false">G494+G510</f>
        <v>46980.06</v>
      </c>
      <c r="H480" s="9" t="n">
        <f aca="false">H494+H510</f>
        <v>48913.01</v>
      </c>
      <c r="I480" s="9" t="n">
        <f aca="false">I494+I510</f>
        <v>62077</v>
      </c>
      <c r="J480" s="9" t="n">
        <f aca="false">J494+J510</f>
        <v>57018.84</v>
      </c>
      <c r="K480" s="9" t="n">
        <f aca="false">K494+K510</f>
        <v>78444</v>
      </c>
      <c r="L480" s="9" t="n">
        <f aca="false">L494+L510</f>
        <v>2000</v>
      </c>
      <c r="M480" s="9" t="n">
        <f aca="false">M494+M510</f>
        <v>9000</v>
      </c>
      <c r="N480" s="9" t="n">
        <f aca="false">N494+N510</f>
        <v>-1376</v>
      </c>
      <c r="O480" s="9" t="n">
        <f aca="false">O494+O510</f>
        <v>-540</v>
      </c>
      <c r="P480" s="9" t="n">
        <f aca="false">P494+P510</f>
        <v>87528</v>
      </c>
      <c r="Q480" s="9" t="n">
        <f aca="false">Q494+Q510</f>
        <v>14697.27</v>
      </c>
      <c r="R480" s="10" t="n">
        <f aca="false">Q480/$P480</f>
        <v>0.167915067178503</v>
      </c>
      <c r="S480" s="9" t="n">
        <f aca="false">S494+S510</f>
        <v>31279.87</v>
      </c>
      <c r="T480" s="10" t="n">
        <f aca="false">S480/$P480</f>
        <v>0.35736987021296</v>
      </c>
      <c r="U480" s="9" t="n">
        <f aca="false">U494+U510</f>
        <v>53533.26</v>
      </c>
      <c r="V480" s="10" t="n">
        <f aca="false">U480/$P480</f>
        <v>0.611612969564025</v>
      </c>
      <c r="W480" s="9" t="n">
        <f aca="false">W494+W510</f>
        <v>80817.33</v>
      </c>
      <c r="X480" s="10" t="n">
        <f aca="false">W480/$P480</f>
        <v>0.923331162599397</v>
      </c>
      <c r="Y480" s="9" t="n">
        <f aca="false">Y494+Y510</f>
        <v>81330</v>
      </c>
      <c r="Z480" s="9" t="n">
        <f aca="false">Z494+Z510</f>
        <v>89459</v>
      </c>
    </row>
    <row r="481" customFormat="false" ht="12.8" hidden="false" customHeight="false" outlineLevel="0" collapsed="false">
      <c r="D481" s="25"/>
      <c r="E481" s="8" t="n">
        <v>72</v>
      </c>
      <c r="F481" s="8" t="s">
        <v>25</v>
      </c>
      <c r="G481" s="9" t="n">
        <f aca="false">G497</f>
        <v>0</v>
      </c>
      <c r="H481" s="9" t="n">
        <f aca="false">H497</f>
        <v>0</v>
      </c>
      <c r="I481" s="9" t="n">
        <f aca="false">I497</f>
        <v>700</v>
      </c>
      <c r="J481" s="9" t="n">
        <f aca="false">J497</f>
        <v>684.11</v>
      </c>
      <c r="K481" s="9" t="n">
        <f aca="false">K497</f>
        <v>700</v>
      </c>
      <c r="L481" s="9" t="n">
        <f aca="false">L497</f>
        <v>0</v>
      </c>
      <c r="M481" s="9" t="n">
        <f aca="false">M497</f>
        <v>0</v>
      </c>
      <c r="N481" s="9" t="n">
        <f aca="false">N497</f>
        <v>1000</v>
      </c>
      <c r="O481" s="9" t="n">
        <f aca="false">O497</f>
        <v>102</v>
      </c>
      <c r="P481" s="9" t="n">
        <f aca="false">P497</f>
        <v>1802</v>
      </c>
      <c r="Q481" s="9" t="n">
        <f aca="false">Q497</f>
        <v>0</v>
      </c>
      <c r="R481" s="10" t="n">
        <f aca="false">Q481/$P481</f>
        <v>0</v>
      </c>
      <c r="S481" s="9" t="n">
        <f aca="false">S497</f>
        <v>0</v>
      </c>
      <c r="T481" s="10" t="n">
        <f aca="false">S481/$P481</f>
        <v>0</v>
      </c>
      <c r="U481" s="9" t="n">
        <f aca="false">U497</f>
        <v>1000</v>
      </c>
      <c r="V481" s="10" t="n">
        <f aca="false">U481/$P481</f>
        <v>0.554938956714761</v>
      </c>
      <c r="W481" s="9" t="n">
        <f aca="false">W497</f>
        <v>1801.98</v>
      </c>
      <c r="X481" s="10" t="n">
        <f aca="false">W481/$P481</f>
        <v>0.999988901220866</v>
      </c>
      <c r="Y481" s="9" t="n">
        <f aca="false">Y497</f>
        <v>700</v>
      </c>
      <c r="Z481" s="9" t="n">
        <f aca="false">Z497</f>
        <v>700</v>
      </c>
    </row>
    <row r="482" customFormat="false" ht="12.8" hidden="false" customHeight="false" outlineLevel="0" collapsed="false">
      <c r="A482" s="1" t="n">
        <v>7</v>
      </c>
      <c r="B482" s="1" t="n">
        <v>1</v>
      </c>
      <c r="D482" s="14"/>
      <c r="E482" s="15"/>
      <c r="F482" s="11" t="s">
        <v>126</v>
      </c>
      <c r="G482" s="12" t="n">
        <f aca="false">SUM(G479:G481)</f>
        <v>85327.46</v>
      </c>
      <c r="H482" s="12" t="n">
        <f aca="false">SUM(H479:H481)</f>
        <v>87407.68</v>
      </c>
      <c r="I482" s="12" t="n">
        <f aca="false">SUM(I479:I481)</f>
        <v>95713</v>
      </c>
      <c r="J482" s="12" t="n">
        <f aca="false">SUM(J479:J481)</f>
        <v>92628.24</v>
      </c>
      <c r="K482" s="12" t="n">
        <f aca="false">SUM(K479:K481)</f>
        <v>114856</v>
      </c>
      <c r="L482" s="12" t="n">
        <f aca="false">SUM(L479:L481)</f>
        <v>2000</v>
      </c>
      <c r="M482" s="12" t="n">
        <f aca="false">SUM(M479:M481)</f>
        <v>9000</v>
      </c>
      <c r="N482" s="12" t="n">
        <f aca="false">SUM(N479:N481)</f>
        <v>-376</v>
      </c>
      <c r="O482" s="12" t="n">
        <f aca="false">SUM(O479:O481)</f>
        <v>-438</v>
      </c>
      <c r="P482" s="12" t="n">
        <f aca="false">SUM(P479:P481)</f>
        <v>125042</v>
      </c>
      <c r="Q482" s="12" t="n">
        <f aca="false">SUM(Q479:Q481)</f>
        <v>23625.27</v>
      </c>
      <c r="R482" s="13" t="n">
        <f aca="false">Q482/$P482</f>
        <v>0.188938676604661</v>
      </c>
      <c r="S482" s="12" t="n">
        <f aca="false">SUM(S479:S481)</f>
        <v>49135.87</v>
      </c>
      <c r="T482" s="13" t="n">
        <f aca="false">S482/$P482</f>
        <v>0.392954927144479</v>
      </c>
      <c r="U482" s="12" t="n">
        <f aca="false">SUM(U479:U481)</f>
        <v>81317.26</v>
      </c>
      <c r="V482" s="13" t="n">
        <f aca="false">U482/$P482</f>
        <v>0.650319572623598</v>
      </c>
      <c r="W482" s="12" t="n">
        <f aca="false">SUM(W479:W481)</f>
        <v>118331.31</v>
      </c>
      <c r="X482" s="13" t="n">
        <f aca="false">W482/$P482</f>
        <v>0.946332512275875</v>
      </c>
      <c r="Y482" s="12" t="n">
        <f aca="false">SUM(Y479:Y481)</f>
        <v>117742</v>
      </c>
      <c r="Z482" s="12" t="n">
        <f aca="false">SUM(Z479:Z481)</f>
        <v>125871</v>
      </c>
    </row>
    <row r="484" customFormat="false" ht="12.8" hidden="false" customHeight="false" outlineLevel="0" collapsed="false">
      <c r="D484" s="51" t="s">
        <v>261</v>
      </c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customFormat="false" ht="12.8" hidden="false" customHeight="false" outlineLevel="0" collapsed="false">
      <c r="D485" s="5" t="s">
        <v>33</v>
      </c>
      <c r="E485" s="5" t="s">
        <v>34</v>
      </c>
      <c r="F485" s="5" t="s">
        <v>35</v>
      </c>
      <c r="G485" s="5" t="s">
        <v>1</v>
      </c>
      <c r="H485" s="5" t="s">
        <v>2</v>
      </c>
      <c r="I485" s="5" t="s">
        <v>3</v>
      </c>
      <c r="J485" s="5" t="s">
        <v>4</v>
      </c>
      <c r="K485" s="5" t="s">
        <v>5</v>
      </c>
      <c r="L485" s="5" t="s">
        <v>6</v>
      </c>
      <c r="M485" s="5" t="s">
        <v>7</v>
      </c>
      <c r="N485" s="5" t="s">
        <v>8</v>
      </c>
      <c r="O485" s="5" t="s">
        <v>9</v>
      </c>
      <c r="P485" s="5" t="s">
        <v>10</v>
      </c>
      <c r="Q485" s="5" t="s">
        <v>11</v>
      </c>
      <c r="R485" s="5" t="s">
        <v>12</v>
      </c>
      <c r="S485" s="5" t="s">
        <v>13</v>
      </c>
      <c r="T485" s="5" t="s">
        <v>14</v>
      </c>
      <c r="U485" s="5" t="s">
        <v>15</v>
      </c>
      <c r="V485" s="5" t="s">
        <v>16</v>
      </c>
      <c r="W485" s="5" t="s">
        <v>17</v>
      </c>
      <c r="X485" s="5" t="s">
        <v>18</v>
      </c>
      <c r="Y485" s="5" t="s">
        <v>19</v>
      </c>
      <c r="Z485" s="5" t="s">
        <v>20</v>
      </c>
    </row>
    <row r="486" customFormat="false" ht="12.8" hidden="false" customHeight="false" outlineLevel="0" collapsed="false">
      <c r="A486" s="1" t="n">
        <v>7</v>
      </c>
      <c r="B486" s="1" t="n">
        <v>1</v>
      </c>
      <c r="C486" s="1" t="n">
        <v>1</v>
      </c>
      <c r="D486" s="69" t="s">
        <v>262</v>
      </c>
      <c r="E486" s="8" t="n">
        <v>610</v>
      </c>
      <c r="F486" s="8" t="s">
        <v>131</v>
      </c>
      <c r="G486" s="9" t="n">
        <v>27474.49</v>
      </c>
      <c r="H486" s="9" t="n">
        <v>27765.1</v>
      </c>
      <c r="I486" s="9" t="n">
        <v>23712</v>
      </c>
      <c r="J486" s="9" t="n">
        <v>24196.49</v>
      </c>
      <c r="K486" s="9" t="n">
        <v>26462</v>
      </c>
      <c r="L486" s="9"/>
      <c r="M486" s="9"/>
      <c r="N486" s="9"/>
      <c r="O486" s="9" t="n">
        <v>-21</v>
      </c>
      <c r="P486" s="9" t="n">
        <f aca="false">SUM(K486:O486)</f>
        <v>26441</v>
      </c>
      <c r="Q486" s="9" t="n">
        <v>6609.32</v>
      </c>
      <c r="R486" s="10" t="n">
        <f aca="false">Q486/$P486</f>
        <v>0.249964827351462</v>
      </c>
      <c r="S486" s="9" t="n">
        <v>13220.14</v>
      </c>
      <c r="T486" s="10" t="n">
        <f aca="false">S486/$P486</f>
        <v>0.499986384781211</v>
      </c>
      <c r="U486" s="9" t="n">
        <v>19830.34</v>
      </c>
      <c r="V486" s="10" t="n">
        <f aca="false">U486/$P486</f>
        <v>0.749984493778601</v>
      </c>
      <c r="W486" s="9" t="n">
        <v>26440.98</v>
      </c>
      <c r="X486" s="10" t="n">
        <f aca="false">W486/$P486</f>
        <v>0.999999243598956</v>
      </c>
      <c r="Y486" s="9" t="n">
        <v>26462</v>
      </c>
      <c r="Z486" s="9" t="n">
        <v>26462</v>
      </c>
    </row>
    <row r="487" customFormat="false" ht="12.8" hidden="false" customHeight="false" outlineLevel="0" collapsed="false">
      <c r="A487" s="1" t="n">
        <v>7</v>
      </c>
      <c r="B487" s="1" t="n">
        <v>1</v>
      </c>
      <c r="C487" s="1" t="n">
        <v>1</v>
      </c>
      <c r="D487" s="69"/>
      <c r="E487" s="8" t="n">
        <v>620</v>
      </c>
      <c r="F487" s="8" t="s">
        <v>132</v>
      </c>
      <c r="G487" s="9" t="n">
        <v>9894.55</v>
      </c>
      <c r="H487" s="9" t="n">
        <v>9698.61</v>
      </c>
      <c r="I487" s="9" t="n">
        <v>8288</v>
      </c>
      <c r="J487" s="9" t="n">
        <v>8985.63</v>
      </c>
      <c r="K487" s="9" t="n">
        <v>9250</v>
      </c>
      <c r="L487" s="9"/>
      <c r="M487" s="9"/>
      <c r="N487" s="9"/>
      <c r="O487" s="9" t="n">
        <v>21</v>
      </c>
      <c r="P487" s="9" t="n">
        <f aca="false">SUM(K487:O487)</f>
        <v>9271</v>
      </c>
      <c r="Q487" s="9" t="n">
        <v>2318.68</v>
      </c>
      <c r="R487" s="10" t="n">
        <f aca="false">Q487/$P487</f>
        <v>0.250100312803365</v>
      </c>
      <c r="S487" s="9" t="n">
        <v>4635.86</v>
      </c>
      <c r="T487" s="10" t="n">
        <f aca="false">S487/$P487</f>
        <v>0.500038830762593</v>
      </c>
      <c r="U487" s="9" t="n">
        <v>6953.66</v>
      </c>
      <c r="V487" s="10" t="n">
        <f aca="false">U487/$P487</f>
        <v>0.750044223924064</v>
      </c>
      <c r="W487" s="9" t="n">
        <v>9271.02</v>
      </c>
      <c r="X487" s="10" t="n">
        <f aca="false">W487/$P487</f>
        <v>1.00000215726459</v>
      </c>
      <c r="Y487" s="9" t="n">
        <v>9250</v>
      </c>
      <c r="Z487" s="9" t="n">
        <v>9250</v>
      </c>
    </row>
    <row r="488" customFormat="false" ht="12.8" hidden="false" customHeight="false" outlineLevel="0" collapsed="false">
      <c r="A488" s="1" t="n">
        <v>7</v>
      </c>
      <c r="B488" s="1" t="n">
        <v>1</v>
      </c>
      <c r="C488" s="1" t="n">
        <v>1</v>
      </c>
      <c r="D488" s="69"/>
      <c r="E488" s="8" t="n">
        <v>630</v>
      </c>
      <c r="F488" s="8" t="s">
        <v>133</v>
      </c>
      <c r="G488" s="9" t="n">
        <v>978.36</v>
      </c>
      <c r="H488" s="9" t="n">
        <v>1030.96</v>
      </c>
      <c r="I488" s="9" t="n">
        <v>936</v>
      </c>
      <c r="J488" s="9" t="n">
        <v>1743.17</v>
      </c>
      <c r="K488" s="9" t="n">
        <v>0</v>
      </c>
      <c r="L488" s="9"/>
      <c r="M488" s="9"/>
      <c r="N488" s="9"/>
      <c r="O488" s="9"/>
      <c r="P488" s="9" t="n">
        <f aca="false">SUM(K488:O488)</f>
        <v>0</v>
      </c>
      <c r="Q488" s="9" t="n">
        <v>0</v>
      </c>
      <c r="R488" s="10" t="e">
        <f aca="false">Q488/$P488</f>
        <v>#DIV/0!</v>
      </c>
      <c r="S488" s="9" t="n">
        <v>0</v>
      </c>
      <c r="T488" s="10" t="e">
        <f aca="false">S488/$P488</f>
        <v>#DIV/0!</v>
      </c>
      <c r="U488" s="9" t="n">
        <v>0</v>
      </c>
      <c r="V488" s="10" t="e">
        <f aca="false">U488/$P488</f>
        <v>#DIV/0!</v>
      </c>
      <c r="W488" s="9" t="n">
        <v>0</v>
      </c>
      <c r="X488" s="10" t="e">
        <f aca="false">W488/$P488</f>
        <v>#DIV/0!</v>
      </c>
      <c r="Y488" s="9" t="n">
        <f aca="false">K488</f>
        <v>0</v>
      </c>
      <c r="Z488" s="9" t="n">
        <f aca="false">Y488</f>
        <v>0</v>
      </c>
    </row>
    <row r="489" customFormat="false" ht="12.8" hidden="false" customHeight="false" outlineLevel="0" collapsed="false">
      <c r="A489" s="1" t="n">
        <v>7</v>
      </c>
      <c r="B489" s="1" t="n">
        <v>1</v>
      </c>
      <c r="C489" s="1" t="n">
        <v>1</v>
      </c>
      <c r="D489" s="70" t="s">
        <v>21</v>
      </c>
      <c r="E489" s="29" t="n">
        <v>111</v>
      </c>
      <c r="F489" s="29" t="s">
        <v>136</v>
      </c>
      <c r="G489" s="30" t="n">
        <f aca="false">SUM(G486:G488)</f>
        <v>38347.4</v>
      </c>
      <c r="H489" s="30" t="n">
        <f aca="false">SUM(H486:H488)</f>
        <v>38494.67</v>
      </c>
      <c r="I489" s="30" t="n">
        <f aca="false">SUM(I486:I488)</f>
        <v>32936</v>
      </c>
      <c r="J489" s="30" t="n">
        <f aca="false">SUM(J486:J488)</f>
        <v>34925.29</v>
      </c>
      <c r="K489" s="81" t="n">
        <f aca="false">SUM(K486:K488)</f>
        <v>35712</v>
      </c>
      <c r="L489" s="81" t="n">
        <f aca="false">SUM(L486:L488)</f>
        <v>0</v>
      </c>
      <c r="M489" s="81" t="n">
        <f aca="false">SUM(M486:M488)</f>
        <v>0</v>
      </c>
      <c r="N489" s="81" t="n">
        <f aca="false">SUM(N486:N488)</f>
        <v>0</v>
      </c>
      <c r="O489" s="81" t="n">
        <f aca="false">SUM(O486:O488)</f>
        <v>0</v>
      </c>
      <c r="P489" s="81" t="n">
        <f aca="false">SUM(P486:P488)</f>
        <v>35712</v>
      </c>
      <c r="Q489" s="81" t="n">
        <f aca="false">SUM(Q486:Q488)</f>
        <v>8928</v>
      </c>
      <c r="R489" s="71" t="n">
        <f aca="false">Q489/$P489</f>
        <v>0.25</v>
      </c>
      <c r="S489" s="81" t="n">
        <f aca="false">SUM(S486:S488)</f>
        <v>17856</v>
      </c>
      <c r="T489" s="71" t="n">
        <f aca="false">S489/$P489</f>
        <v>0.5</v>
      </c>
      <c r="U489" s="81" t="n">
        <f aca="false">SUM(U486:U488)</f>
        <v>26784</v>
      </c>
      <c r="V489" s="71" t="n">
        <f aca="false">U489/$P489</f>
        <v>0.75</v>
      </c>
      <c r="W489" s="81" t="n">
        <f aca="false">SUM(W486:W488)</f>
        <v>35712</v>
      </c>
      <c r="X489" s="71" t="n">
        <f aca="false">W489/$P489</f>
        <v>1</v>
      </c>
      <c r="Y489" s="30" t="n">
        <f aca="false">SUM(Y486:Y488)</f>
        <v>35712</v>
      </c>
      <c r="Z489" s="30" t="n">
        <f aca="false">SUM(Z486:Z488)</f>
        <v>35712</v>
      </c>
    </row>
    <row r="490" customFormat="false" ht="12.8" hidden="false" customHeight="false" outlineLevel="0" collapsed="false">
      <c r="A490" s="1" t="n">
        <v>7</v>
      </c>
      <c r="B490" s="1" t="n">
        <v>1</v>
      </c>
      <c r="C490" s="1" t="n">
        <v>1</v>
      </c>
      <c r="D490" s="69" t="s">
        <v>262</v>
      </c>
      <c r="E490" s="8" t="n">
        <v>610</v>
      </c>
      <c r="F490" s="8" t="s">
        <v>131</v>
      </c>
      <c r="G490" s="9" t="n">
        <v>18802.14</v>
      </c>
      <c r="H490" s="9" t="n">
        <v>22026.13</v>
      </c>
      <c r="I490" s="9" t="n">
        <v>25746</v>
      </c>
      <c r="J490" s="9" t="n">
        <v>26657.85</v>
      </c>
      <c r="K490" s="9" t="n">
        <v>30458</v>
      </c>
      <c r="L490" s="9" t="n">
        <v>-88</v>
      </c>
      <c r="M490" s="9"/>
      <c r="N490" s="9" t="n">
        <v>1000</v>
      </c>
      <c r="O490" s="9" t="n">
        <v>1370</v>
      </c>
      <c r="P490" s="9" t="n">
        <f aca="false">SUM(K490:O490)</f>
        <v>32740</v>
      </c>
      <c r="Q490" s="9" t="n">
        <v>5904.52</v>
      </c>
      <c r="R490" s="10" t="n">
        <f aca="false">Q490/$P490</f>
        <v>0.180345754428833</v>
      </c>
      <c r="S490" s="9" t="n">
        <v>13340.88</v>
      </c>
      <c r="T490" s="10" t="n">
        <f aca="false">S490/$P490</f>
        <v>0.407479535736103</v>
      </c>
      <c r="U490" s="9" t="n">
        <v>22248.56</v>
      </c>
      <c r="V490" s="10" t="n">
        <f aca="false">U490/$P490</f>
        <v>0.679552840562004</v>
      </c>
      <c r="W490" s="9" t="n">
        <v>32739.95</v>
      </c>
      <c r="X490" s="10" t="n">
        <f aca="false">W490/$P490</f>
        <v>0.999998472816127</v>
      </c>
      <c r="Y490" s="9" t="n">
        <v>35551</v>
      </c>
      <c r="Z490" s="9" t="n">
        <v>41442</v>
      </c>
    </row>
    <row r="491" customFormat="false" ht="12.8" hidden="false" customHeight="false" outlineLevel="0" collapsed="false">
      <c r="A491" s="1" t="n">
        <v>7</v>
      </c>
      <c r="B491" s="1" t="n">
        <v>1</v>
      </c>
      <c r="C491" s="1" t="n">
        <v>1</v>
      </c>
      <c r="D491" s="69"/>
      <c r="E491" s="8" t="n">
        <v>620</v>
      </c>
      <c r="F491" s="8" t="s">
        <v>132</v>
      </c>
      <c r="G491" s="9" t="n">
        <v>7347.28</v>
      </c>
      <c r="H491" s="9" t="n">
        <v>8620.44</v>
      </c>
      <c r="I491" s="9" t="n">
        <v>11425</v>
      </c>
      <c r="J491" s="9" t="n">
        <v>10236.89</v>
      </c>
      <c r="K491" s="9" t="n">
        <v>12380</v>
      </c>
      <c r="L491" s="9"/>
      <c r="M491" s="9"/>
      <c r="N491" s="9"/>
      <c r="O491" s="9" t="n">
        <v>-109</v>
      </c>
      <c r="P491" s="9" t="n">
        <f aca="false">SUM(K491:O491)</f>
        <v>12271</v>
      </c>
      <c r="Q491" s="9" t="n">
        <v>2343</v>
      </c>
      <c r="R491" s="10" t="n">
        <f aca="false">Q491/$P491</f>
        <v>0.190937983864396</v>
      </c>
      <c r="S491" s="9" t="n">
        <v>5117.88</v>
      </c>
      <c r="T491" s="10" t="n">
        <f aca="false">S491/$P491</f>
        <v>0.417071143346101</v>
      </c>
      <c r="U491" s="9" t="n">
        <v>8412.43</v>
      </c>
      <c r="V491" s="10" t="n">
        <f aca="false">U491/$P491</f>
        <v>0.685553744601092</v>
      </c>
      <c r="W491" s="9" t="n">
        <v>12271.98</v>
      </c>
      <c r="X491" s="10" t="n">
        <f aca="false">W491/$P491</f>
        <v>1.00007986309184</v>
      </c>
      <c r="Y491" s="9" t="n">
        <v>13138</v>
      </c>
      <c r="Z491" s="9" t="n">
        <v>15312</v>
      </c>
    </row>
    <row r="492" customFormat="false" ht="12.8" hidden="false" customHeight="false" outlineLevel="0" collapsed="false">
      <c r="A492" s="1" t="n">
        <v>7</v>
      </c>
      <c r="B492" s="1" t="n">
        <v>1</v>
      </c>
      <c r="C492" s="1" t="n">
        <v>1</v>
      </c>
      <c r="D492" s="69"/>
      <c r="E492" s="8" t="n">
        <v>630</v>
      </c>
      <c r="F492" s="8" t="s">
        <v>133</v>
      </c>
      <c r="G492" s="9" t="n">
        <v>13927.4</v>
      </c>
      <c r="H492" s="9" t="n">
        <v>15044.36</v>
      </c>
      <c r="I492" s="9" t="n">
        <v>19475</v>
      </c>
      <c r="J492" s="9" t="n">
        <v>16568.79</v>
      </c>
      <c r="K492" s="9" t="n">
        <f aca="false">6170+11886</f>
        <v>18056</v>
      </c>
      <c r="L492" s="9" t="n">
        <v>2000</v>
      </c>
      <c r="M492" s="9" t="n">
        <f aca="false">2000+7000</f>
        <v>9000</v>
      </c>
      <c r="N492" s="9" t="n">
        <v>700</v>
      </c>
      <c r="O492" s="9" t="n">
        <f aca="false">1200+973</f>
        <v>2173</v>
      </c>
      <c r="P492" s="9" t="n">
        <f aca="false">SUM(K492:O492)</f>
        <v>31929</v>
      </c>
      <c r="Q492" s="9" t="n">
        <v>6316.31</v>
      </c>
      <c r="R492" s="10" t="n">
        <f aca="false">Q492/$P492</f>
        <v>0.197823608631652</v>
      </c>
      <c r="S492" s="9" t="n">
        <v>12638.07</v>
      </c>
      <c r="T492" s="10" t="n">
        <f aca="false">S492/$P492</f>
        <v>0.39581790848445</v>
      </c>
      <c r="U492" s="9" t="n">
        <v>22024.54</v>
      </c>
      <c r="V492" s="10" t="n">
        <f aca="false">U492/$P492</f>
        <v>0.689797362898932</v>
      </c>
      <c r="W492" s="9" t="n">
        <v>31927.69</v>
      </c>
      <c r="X492" s="10" t="n">
        <f aca="false">W492/$P492</f>
        <v>0.999958971467944</v>
      </c>
      <c r="Y492" s="9" t="n">
        <f aca="false">6255+11886</f>
        <v>18141</v>
      </c>
      <c r="Z492" s="9" t="n">
        <f aca="false">6319+11886</f>
        <v>18205</v>
      </c>
    </row>
    <row r="493" customFormat="false" ht="12.8" hidden="false" customHeight="false" outlineLevel="0" collapsed="false">
      <c r="A493" s="1" t="n">
        <v>7</v>
      </c>
      <c r="B493" s="1" t="n">
        <v>1</v>
      </c>
      <c r="C493" s="1" t="n">
        <v>1</v>
      </c>
      <c r="D493" s="69"/>
      <c r="E493" s="8" t="n">
        <v>640</v>
      </c>
      <c r="F493" s="8" t="s">
        <v>134</v>
      </c>
      <c r="G493" s="9" t="n">
        <v>342.63</v>
      </c>
      <c r="H493" s="9" t="n">
        <v>216.69</v>
      </c>
      <c r="I493" s="9" t="n">
        <v>2631</v>
      </c>
      <c r="J493" s="9" t="n">
        <v>73.18</v>
      </c>
      <c r="K493" s="9" t="n">
        <v>3050</v>
      </c>
      <c r="L493" s="9" t="n">
        <v>88</v>
      </c>
      <c r="M493" s="9"/>
      <c r="N493" s="9" t="n">
        <v>-1076</v>
      </c>
      <c r="O493" s="9" t="n">
        <f aca="false">-1200-774</f>
        <v>-1974</v>
      </c>
      <c r="P493" s="9" t="n">
        <f aca="false">SUM(K493:O493)</f>
        <v>88</v>
      </c>
      <c r="Q493" s="9" t="n">
        <v>87.84</v>
      </c>
      <c r="R493" s="10" t="n">
        <f aca="false">Q493/$P493</f>
        <v>0.998181818181818</v>
      </c>
      <c r="S493" s="9" t="n">
        <v>87.84</v>
      </c>
      <c r="T493" s="10" t="n">
        <f aca="false">S493/$P493</f>
        <v>0.998181818181818</v>
      </c>
      <c r="U493" s="9" t="n">
        <v>87.84</v>
      </c>
      <c r="V493" s="10" t="n">
        <f aca="false">U493/$P493</f>
        <v>0.998181818181818</v>
      </c>
      <c r="W493" s="9" t="n">
        <v>87.84</v>
      </c>
      <c r="X493" s="10" t="n">
        <f aca="false">W493/$P493</f>
        <v>0.998181818181818</v>
      </c>
      <c r="Y493" s="9" t="n">
        <v>0</v>
      </c>
      <c r="Z493" s="9" t="n">
        <f aca="false">Y493</f>
        <v>0</v>
      </c>
    </row>
    <row r="494" customFormat="false" ht="12.8" hidden="false" customHeight="false" outlineLevel="0" collapsed="false">
      <c r="A494" s="1" t="n">
        <v>7</v>
      </c>
      <c r="B494" s="1" t="n">
        <v>1</v>
      </c>
      <c r="C494" s="1" t="n">
        <v>1</v>
      </c>
      <c r="D494" s="70" t="s">
        <v>21</v>
      </c>
      <c r="E494" s="29" t="n">
        <v>41</v>
      </c>
      <c r="F494" s="29" t="s">
        <v>23</v>
      </c>
      <c r="G494" s="30" t="n">
        <f aca="false">SUM(G490:G493)</f>
        <v>40419.45</v>
      </c>
      <c r="H494" s="30" t="n">
        <f aca="false">SUM(H490:H493)</f>
        <v>45907.62</v>
      </c>
      <c r="I494" s="30" t="n">
        <f aca="false">SUM(I490:I493)</f>
        <v>59277</v>
      </c>
      <c r="J494" s="30" t="n">
        <f aca="false">SUM(J490:J493)</f>
        <v>53536.71</v>
      </c>
      <c r="K494" s="30" t="n">
        <f aca="false">SUM(K490:K493)</f>
        <v>63944</v>
      </c>
      <c r="L494" s="30" t="n">
        <f aca="false">SUM(L490:L493)</f>
        <v>2000</v>
      </c>
      <c r="M494" s="30" t="n">
        <f aca="false">SUM(M490:M493)</f>
        <v>9000</v>
      </c>
      <c r="N494" s="30" t="n">
        <f aca="false">SUM(N490:N493)</f>
        <v>624</v>
      </c>
      <c r="O494" s="30" t="n">
        <f aca="false">SUM(O490:O493)</f>
        <v>1460</v>
      </c>
      <c r="P494" s="30" t="n">
        <f aca="false">SUM(P490:P493)</f>
        <v>77028</v>
      </c>
      <c r="Q494" s="30" t="n">
        <f aca="false">SUM(Q490:Q493)</f>
        <v>14651.67</v>
      </c>
      <c r="R494" s="71" t="n">
        <f aca="false">Q494/$P494</f>
        <v>0.19021226047671</v>
      </c>
      <c r="S494" s="30" t="n">
        <f aca="false">SUM(S490:S493)</f>
        <v>31184.67</v>
      </c>
      <c r="T494" s="71" t="n">
        <f aca="false">S494/$P494</f>
        <v>0.404848496650569</v>
      </c>
      <c r="U494" s="30" t="n">
        <f aca="false">SUM(U490:U493)</f>
        <v>52773.37</v>
      </c>
      <c r="V494" s="71" t="n">
        <f aca="false">U494/$P494</f>
        <v>0.685119307264891</v>
      </c>
      <c r="W494" s="30" t="n">
        <f aca="false">SUM(W490:W493)</f>
        <v>77027.46</v>
      </c>
      <c r="X494" s="71" t="n">
        <f aca="false">W494/$P494</f>
        <v>0.999992989562237</v>
      </c>
      <c r="Y494" s="30" t="n">
        <f aca="false">SUM(Y490:Y493)</f>
        <v>66830</v>
      </c>
      <c r="Z494" s="30" t="n">
        <f aca="false">SUM(Z490:Z493)</f>
        <v>74959</v>
      </c>
    </row>
    <row r="495" customFormat="false" ht="12.8" hidden="false" customHeight="false" outlineLevel="0" collapsed="false">
      <c r="D495" s="31" t="s">
        <v>262</v>
      </c>
      <c r="E495" s="8" t="n">
        <v>630</v>
      </c>
      <c r="F495" s="8" t="s">
        <v>133</v>
      </c>
      <c r="G495" s="9" t="n">
        <v>0</v>
      </c>
      <c r="H495" s="9" t="n">
        <v>0</v>
      </c>
      <c r="I495" s="9" t="n">
        <v>0</v>
      </c>
      <c r="J495" s="9" t="n">
        <v>0</v>
      </c>
      <c r="K495" s="9" t="n">
        <v>0</v>
      </c>
      <c r="L495" s="9"/>
      <c r="M495" s="9"/>
      <c r="N495" s="9" t="n">
        <v>1000</v>
      </c>
      <c r="O495" s="9"/>
      <c r="P495" s="9" t="n">
        <f aca="false">SUM(K495:O495)</f>
        <v>1000</v>
      </c>
      <c r="Q495" s="9" t="n">
        <v>0</v>
      </c>
      <c r="R495" s="10" t="n">
        <f aca="false">Q495/$P495</f>
        <v>0</v>
      </c>
      <c r="S495" s="9" t="n">
        <v>0</v>
      </c>
      <c r="T495" s="10" t="n">
        <f aca="false">S495/$P495</f>
        <v>0</v>
      </c>
      <c r="U495" s="9" t="n">
        <v>1000</v>
      </c>
      <c r="V495" s="10" t="n">
        <f aca="false">U495/$P495</f>
        <v>1</v>
      </c>
      <c r="W495" s="9" t="n">
        <v>1000</v>
      </c>
      <c r="X495" s="10" t="n">
        <f aca="false">W495/$P495</f>
        <v>1</v>
      </c>
      <c r="Y495" s="9" t="n">
        <v>0</v>
      </c>
      <c r="Z495" s="9" t="n">
        <v>0</v>
      </c>
    </row>
    <row r="496" customFormat="false" ht="12.8" hidden="false" customHeight="false" outlineLevel="0" collapsed="false">
      <c r="D496" s="31" t="s">
        <v>262</v>
      </c>
      <c r="E496" s="8" t="n">
        <v>640</v>
      </c>
      <c r="F496" s="8" t="s">
        <v>134</v>
      </c>
      <c r="G496" s="9" t="n">
        <v>0</v>
      </c>
      <c r="H496" s="9" t="n">
        <v>0</v>
      </c>
      <c r="I496" s="9" t="n">
        <v>700</v>
      </c>
      <c r="J496" s="9" t="n">
        <v>684.11</v>
      </c>
      <c r="K496" s="9" t="n">
        <v>700</v>
      </c>
      <c r="L496" s="9"/>
      <c r="M496" s="9"/>
      <c r="N496" s="9"/>
      <c r="O496" s="9" t="n">
        <v>102</v>
      </c>
      <c r="P496" s="9" t="n">
        <f aca="false">SUM(K496:O496)</f>
        <v>802</v>
      </c>
      <c r="Q496" s="9" t="n">
        <v>0</v>
      </c>
      <c r="R496" s="10" t="n">
        <f aca="false">Q496/$P496</f>
        <v>0</v>
      </c>
      <c r="S496" s="9" t="n">
        <v>0</v>
      </c>
      <c r="T496" s="10" t="n">
        <f aca="false">S496/$P496</f>
        <v>0</v>
      </c>
      <c r="U496" s="9" t="n">
        <v>0</v>
      </c>
      <c r="V496" s="10" t="n">
        <f aca="false">U496/$P496</f>
        <v>0</v>
      </c>
      <c r="W496" s="9" t="n">
        <v>801.98</v>
      </c>
      <c r="X496" s="10" t="n">
        <f aca="false">W496/$P496</f>
        <v>0.99997506234414</v>
      </c>
      <c r="Y496" s="9" t="n">
        <f aca="false">K496</f>
        <v>700</v>
      </c>
      <c r="Z496" s="9" t="n">
        <f aca="false">Y496</f>
        <v>700</v>
      </c>
    </row>
    <row r="497" customFormat="false" ht="12.8" hidden="false" customHeight="false" outlineLevel="0" collapsed="false">
      <c r="D497" s="70" t="s">
        <v>21</v>
      </c>
      <c r="E497" s="29" t="n">
        <v>72</v>
      </c>
      <c r="F497" s="29" t="s">
        <v>25</v>
      </c>
      <c r="G497" s="30" t="n">
        <f aca="false">SUM(G495:G496)</f>
        <v>0</v>
      </c>
      <c r="H497" s="30" t="n">
        <f aca="false">SUM(H495:H496)</f>
        <v>0</v>
      </c>
      <c r="I497" s="30" t="n">
        <f aca="false">SUM(I495:I496)</f>
        <v>700</v>
      </c>
      <c r="J497" s="30" t="n">
        <f aca="false">SUM(J495:J496)</f>
        <v>684.11</v>
      </c>
      <c r="K497" s="30" t="n">
        <f aca="false">SUM(K495:K496)</f>
        <v>700</v>
      </c>
      <c r="L497" s="30" t="n">
        <f aca="false">SUM(L495:L496)</f>
        <v>0</v>
      </c>
      <c r="M497" s="30" t="n">
        <f aca="false">SUM(M495:M496)</f>
        <v>0</v>
      </c>
      <c r="N497" s="30" t="n">
        <f aca="false">SUM(N495:N496)</f>
        <v>1000</v>
      </c>
      <c r="O497" s="30" t="n">
        <f aca="false">SUM(O495:O496)</f>
        <v>102</v>
      </c>
      <c r="P497" s="30" t="n">
        <f aca="false">SUM(P495:P496)</f>
        <v>1802</v>
      </c>
      <c r="Q497" s="30" t="n">
        <f aca="false">SUM(Q495:Q496)</f>
        <v>0</v>
      </c>
      <c r="R497" s="71" t="n">
        <f aca="false">Q497/$P497</f>
        <v>0</v>
      </c>
      <c r="S497" s="30" t="n">
        <f aca="false">SUM(S495:S496)</f>
        <v>0</v>
      </c>
      <c r="T497" s="71" t="n">
        <f aca="false">S497/$P497</f>
        <v>0</v>
      </c>
      <c r="U497" s="30" t="n">
        <f aca="false">SUM(U495:U496)</f>
        <v>1000</v>
      </c>
      <c r="V497" s="71" t="n">
        <f aca="false">U497/$P497</f>
        <v>0.554938956714761</v>
      </c>
      <c r="W497" s="30" t="n">
        <f aca="false">SUM(W495:W496)</f>
        <v>1801.98</v>
      </c>
      <c r="X497" s="71" t="n">
        <f aca="false">W497/$P497</f>
        <v>0.999988901220866</v>
      </c>
      <c r="Y497" s="30" t="n">
        <f aca="false">SUM(Y495:Y496)</f>
        <v>700</v>
      </c>
      <c r="Z497" s="30" t="n">
        <f aca="false">SUM(Z495:Z496)</f>
        <v>700</v>
      </c>
    </row>
    <row r="498" customFormat="false" ht="12.8" hidden="false" customHeight="false" outlineLevel="0" collapsed="false">
      <c r="A498" s="1" t="n">
        <v>7</v>
      </c>
      <c r="B498" s="1" t="n">
        <v>1</v>
      </c>
      <c r="C498" s="1" t="n">
        <v>1</v>
      </c>
      <c r="D498" s="14"/>
      <c r="E498" s="15"/>
      <c r="F498" s="11" t="s">
        <v>126</v>
      </c>
      <c r="G498" s="12" t="n">
        <f aca="false">G489+G494+G497</f>
        <v>78766.85</v>
      </c>
      <c r="H498" s="12" t="n">
        <f aca="false">H489+H494+H497</f>
        <v>84402.29</v>
      </c>
      <c r="I498" s="12" t="n">
        <f aca="false">I489+I494+I497</f>
        <v>92913</v>
      </c>
      <c r="J498" s="12" t="n">
        <f aca="false">J489+J494+J497</f>
        <v>89146.11</v>
      </c>
      <c r="K498" s="12" t="n">
        <f aca="false">K489+K494+K497</f>
        <v>100356</v>
      </c>
      <c r="L498" s="12" t="n">
        <f aca="false">L489+L494+L497</f>
        <v>2000</v>
      </c>
      <c r="M498" s="12" t="n">
        <f aca="false">M489+M494+M497</f>
        <v>9000</v>
      </c>
      <c r="N498" s="12" t="n">
        <f aca="false">N489+N494+N497</f>
        <v>1624</v>
      </c>
      <c r="O498" s="12" t="n">
        <f aca="false">O489+O494+O497</f>
        <v>1562</v>
      </c>
      <c r="P498" s="12" t="n">
        <f aca="false">P489+P494+P497</f>
        <v>114542</v>
      </c>
      <c r="Q498" s="12" t="n">
        <f aca="false">Q489+Q494+Q497</f>
        <v>23579.67</v>
      </c>
      <c r="R498" s="13" t="n">
        <f aca="false">Q498/$P498</f>
        <v>0.205860470395139</v>
      </c>
      <c r="S498" s="12" t="n">
        <f aca="false">S489+S494+S497</f>
        <v>49040.67</v>
      </c>
      <c r="T498" s="13" t="n">
        <f aca="false">S498/$P498</f>
        <v>0.428145745665345</v>
      </c>
      <c r="U498" s="12" t="n">
        <f aca="false">U489+U494+U497</f>
        <v>80557.37</v>
      </c>
      <c r="V498" s="13" t="n">
        <f aca="false">U498/$P498</f>
        <v>0.70329983761415</v>
      </c>
      <c r="W498" s="12" t="n">
        <f aca="false">W489+W494+W497</f>
        <v>114541.44</v>
      </c>
      <c r="X498" s="13" t="n">
        <f aca="false">W498/$P498</f>
        <v>0.999995110963664</v>
      </c>
      <c r="Y498" s="12" t="n">
        <f aca="false">Y489+Y494+Y497</f>
        <v>103242</v>
      </c>
      <c r="Z498" s="12" t="n">
        <f aca="false">Z489+Z494+Z497</f>
        <v>111371</v>
      </c>
    </row>
    <row r="500" customFormat="false" ht="12.8" hidden="false" customHeight="false" outlineLevel="0" collapsed="false">
      <c r="E500" s="32" t="s">
        <v>57</v>
      </c>
      <c r="F500" s="14" t="s">
        <v>150</v>
      </c>
      <c r="G500" s="33" t="n">
        <v>3023.98</v>
      </c>
      <c r="H500" s="33" t="n">
        <v>2695</v>
      </c>
      <c r="I500" s="33" t="n">
        <v>2695</v>
      </c>
      <c r="J500" s="33" t="n">
        <v>3025</v>
      </c>
      <c r="K500" s="33" t="n">
        <v>2926</v>
      </c>
      <c r="L500" s="33"/>
      <c r="M500" s="33"/>
      <c r="N500" s="33"/>
      <c r="O500" s="33"/>
      <c r="P500" s="33" t="n">
        <f aca="false">SUM(K500:O500)</f>
        <v>2926</v>
      </c>
      <c r="Q500" s="33" t="n">
        <v>532</v>
      </c>
      <c r="R500" s="34" t="n">
        <f aca="false">Q500/$P500</f>
        <v>0.181818181818182</v>
      </c>
      <c r="S500" s="33" t="n">
        <v>1330</v>
      </c>
      <c r="T500" s="34" t="n">
        <f aca="false">S500/$P500</f>
        <v>0.454545454545455</v>
      </c>
      <c r="U500" s="33" t="n">
        <v>2128</v>
      </c>
      <c r="V500" s="34" t="n">
        <f aca="false">U500/$P500</f>
        <v>0.727272727272727</v>
      </c>
      <c r="W500" s="33" t="n">
        <v>2926</v>
      </c>
      <c r="X500" s="35" t="n">
        <f aca="false">W500/$P500</f>
        <v>1</v>
      </c>
      <c r="Y500" s="33" t="n">
        <f aca="false">K500</f>
        <v>2926</v>
      </c>
      <c r="Z500" s="36" t="n">
        <f aca="false">Y500</f>
        <v>2926</v>
      </c>
    </row>
    <row r="501" customFormat="false" ht="12.8" hidden="false" customHeight="false" outlineLevel="0" collapsed="false">
      <c r="E501" s="37"/>
      <c r="F501" s="78" t="s">
        <v>151</v>
      </c>
      <c r="G501" s="79" t="n">
        <v>782</v>
      </c>
      <c r="H501" s="79" t="n">
        <v>3530.82</v>
      </c>
      <c r="I501" s="79" t="n">
        <v>3531</v>
      </c>
      <c r="J501" s="79" t="n">
        <v>1740</v>
      </c>
      <c r="K501" s="79" t="n">
        <v>4785</v>
      </c>
      <c r="L501" s="79"/>
      <c r="M501" s="79"/>
      <c r="N501" s="79"/>
      <c r="O501" s="79"/>
      <c r="P501" s="79" t="n">
        <f aca="false">SUM(K501:O501)</f>
        <v>4785</v>
      </c>
      <c r="Q501" s="79" t="n">
        <v>2193.06</v>
      </c>
      <c r="R501" s="40" t="n">
        <f aca="false">Q501/$P501</f>
        <v>0.458319749216301</v>
      </c>
      <c r="S501" s="79" t="n">
        <v>3057.06</v>
      </c>
      <c r="T501" s="40" t="n">
        <f aca="false">S501/$P501</f>
        <v>0.638884012539185</v>
      </c>
      <c r="U501" s="79" t="n">
        <v>3921.06</v>
      </c>
      <c r="V501" s="40" t="n">
        <f aca="false">U501/$P501</f>
        <v>0.819448275862069</v>
      </c>
      <c r="W501" s="79" t="n">
        <v>4785.06</v>
      </c>
      <c r="X501" s="41" t="n">
        <f aca="false">W501/$P501</f>
        <v>1.00001253918495</v>
      </c>
      <c r="Y501" s="79" t="n">
        <f aca="false">K501</f>
        <v>4785</v>
      </c>
      <c r="Z501" s="42" t="n">
        <f aca="false">Y501</f>
        <v>4785</v>
      </c>
    </row>
    <row r="502" customFormat="false" ht="12.8" hidden="false" customHeight="false" outlineLevel="0" collapsed="false">
      <c r="E502" s="37"/>
      <c r="F502" s="78" t="s">
        <v>263</v>
      </c>
      <c r="G502" s="79"/>
      <c r="H502" s="79"/>
      <c r="I502" s="79"/>
      <c r="J502" s="79"/>
      <c r="K502" s="79" t="n">
        <v>0</v>
      </c>
      <c r="L502" s="79"/>
      <c r="M502" s="79"/>
      <c r="N502" s="79" t="n">
        <v>3701</v>
      </c>
      <c r="O502" s="79"/>
      <c r="P502" s="79" t="n">
        <f aca="false">SUM(K502:O502)</f>
        <v>3701</v>
      </c>
      <c r="Q502" s="79" t="n">
        <v>0</v>
      </c>
      <c r="R502" s="40" t="n">
        <f aca="false">Q502/$P502</f>
        <v>0</v>
      </c>
      <c r="S502" s="79" t="n">
        <v>0</v>
      </c>
      <c r="T502" s="40" t="n">
        <f aca="false">S502/$P502</f>
        <v>0</v>
      </c>
      <c r="U502" s="79" t="n">
        <v>3700.5</v>
      </c>
      <c r="V502" s="40" t="n">
        <f aca="false">U502/$P502</f>
        <v>0.999864901378006</v>
      </c>
      <c r="W502" s="79" t="n">
        <v>3700.5</v>
      </c>
      <c r="X502" s="41" t="n">
        <f aca="false">W502/$P502</f>
        <v>0.999864901378006</v>
      </c>
      <c r="Y502" s="79"/>
      <c r="Z502" s="42"/>
    </row>
    <row r="503" customFormat="false" ht="12.8" hidden="false" customHeight="false" outlineLevel="0" collapsed="false">
      <c r="E503" s="37"/>
      <c r="F503" s="78" t="s">
        <v>264</v>
      </c>
      <c r="G503" s="79"/>
      <c r="H503" s="79"/>
      <c r="I503" s="79"/>
      <c r="J503" s="79"/>
      <c r="K503" s="79" t="n">
        <v>1721</v>
      </c>
      <c r="L503" s="79" t="n">
        <v>2000</v>
      </c>
      <c r="M503" s="79" t="n">
        <f aca="false">1940+7000</f>
        <v>8940</v>
      </c>
      <c r="N503" s="79" t="n">
        <v>-2396</v>
      </c>
      <c r="O503" s="79" t="n">
        <v>-21</v>
      </c>
      <c r="P503" s="79" t="n">
        <f aca="false">SUM(K503:O503)</f>
        <v>10244</v>
      </c>
      <c r="Q503" s="79" t="n">
        <v>1721.38</v>
      </c>
      <c r="R503" s="40" t="n">
        <f aca="false">Q503/$P503</f>
        <v>0.168037875829754</v>
      </c>
      <c r="S503" s="79" t="n">
        <v>4380.41</v>
      </c>
      <c r="T503" s="40" t="n">
        <f aca="false">S503/$P503</f>
        <v>0.427607379929715</v>
      </c>
      <c r="U503" s="79" t="n">
        <v>7275.83</v>
      </c>
      <c r="V503" s="40" t="n">
        <f aca="false">U503/$P503</f>
        <v>0.71025283092542</v>
      </c>
      <c r="W503" s="79" t="n">
        <v>10244.33</v>
      </c>
      <c r="X503" s="41" t="n">
        <f aca="false">W503/$P503</f>
        <v>1.00003221397891</v>
      </c>
      <c r="Y503" s="79"/>
      <c r="Z503" s="42"/>
    </row>
    <row r="504" customFormat="false" ht="12.8" hidden="false" customHeight="false" outlineLevel="0" collapsed="false">
      <c r="E504" s="37"/>
      <c r="F504" s="78" t="s">
        <v>265</v>
      </c>
      <c r="G504" s="79"/>
      <c r="H504" s="79"/>
      <c r="I504" s="79"/>
      <c r="J504" s="79"/>
      <c r="K504" s="79" t="n">
        <v>0</v>
      </c>
      <c r="L504" s="79"/>
      <c r="M504" s="79"/>
      <c r="N504" s="79"/>
      <c r="O504" s="79" t="n">
        <v>1218</v>
      </c>
      <c r="P504" s="79" t="n">
        <f aca="false">SUM(K504:O504)</f>
        <v>1218</v>
      </c>
      <c r="Q504" s="79" t="n">
        <v>0</v>
      </c>
      <c r="R504" s="40" t="n">
        <f aca="false">Q504/$P504</f>
        <v>0</v>
      </c>
      <c r="S504" s="79" t="n">
        <v>0</v>
      </c>
      <c r="T504" s="40" t="n">
        <f aca="false">S504/$P504</f>
        <v>0</v>
      </c>
      <c r="U504" s="79" t="n">
        <v>0</v>
      </c>
      <c r="V504" s="40" t="n">
        <f aca="false">U504/$P504</f>
        <v>0</v>
      </c>
      <c r="W504" s="79" t="n">
        <v>1217.92</v>
      </c>
      <c r="X504" s="41" t="n">
        <f aca="false">W504/$P504</f>
        <v>0.999934318555008</v>
      </c>
      <c r="Y504" s="79"/>
      <c r="Z504" s="42"/>
    </row>
    <row r="505" customFormat="false" ht="12.8" hidden="false" customHeight="false" outlineLevel="0" collapsed="false">
      <c r="E505" s="44"/>
      <c r="F505" s="57" t="s">
        <v>266</v>
      </c>
      <c r="G505" s="46"/>
      <c r="H505" s="46"/>
      <c r="I505" s="46" t="n">
        <v>5174</v>
      </c>
      <c r="J505" s="46"/>
      <c r="K505" s="46" t="n">
        <f aca="false">ROUND(3049*1.3495,0)</f>
        <v>4115</v>
      </c>
      <c r="L505" s="46"/>
      <c r="M505" s="46"/>
      <c r="N505" s="46" t="n">
        <v>-1076</v>
      </c>
      <c r="O505" s="46" t="n">
        <v>-1974</v>
      </c>
      <c r="P505" s="46" t="n">
        <f aca="false">SUM(K505:O505)</f>
        <v>1065</v>
      </c>
      <c r="Q505" s="46" t="n">
        <v>0</v>
      </c>
      <c r="R505" s="47" t="n">
        <f aca="false">Q505/$P505</f>
        <v>0</v>
      </c>
      <c r="S505" s="46" t="n">
        <v>0</v>
      </c>
      <c r="T505" s="47" t="n">
        <f aca="false">S505/$P505</f>
        <v>0</v>
      </c>
      <c r="U505" s="46" t="n">
        <v>0</v>
      </c>
      <c r="V505" s="47" t="n">
        <f aca="false">U505/$P505</f>
        <v>0</v>
      </c>
      <c r="W505" s="46" t="n">
        <v>0</v>
      </c>
      <c r="X505" s="48" t="n">
        <f aca="false">W505/$P505</f>
        <v>0</v>
      </c>
      <c r="Y505" s="46"/>
      <c r="Z505" s="49"/>
    </row>
    <row r="507" customFormat="false" ht="12.8" hidden="false" customHeight="false" outlineLevel="0" collapsed="false">
      <c r="D507" s="51" t="s">
        <v>267</v>
      </c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customFormat="false" ht="12.8" hidden="false" customHeight="false" outlineLevel="0" collapsed="false">
      <c r="D508" s="5" t="s">
        <v>33</v>
      </c>
      <c r="E508" s="5" t="s">
        <v>34</v>
      </c>
      <c r="F508" s="5" t="s">
        <v>35</v>
      </c>
      <c r="G508" s="5" t="s">
        <v>1</v>
      </c>
      <c r="H508" s="5" t="s">
        <v>2</v>
      </c>
      <c r="I508" s="5" t="s">
        <v>3</v>
      </c>
      <c r="J508" s="5" t="s">
        <v>4</v>
      </c>
      <c r="K508" s="5" t="s">
        <v>5</v>
      </c>
      <c r="L508" s="5" t="s">
        <v>6</v>
      </c>
      <c r="M508" s="5" t="s">
        <v>7</v>
      </c>
      <c r="N508" s="5" t="s">
        <v>8</v>
      </c>
      <c r="O508" s="5" t="s">
        <v>9</v>
      </c>
      <c r="P508" s="5" t="s">
        <v>10</v>
      </c>
      <c r="Q508" s="5" t="s">
        <v>11</v>
      </c>
      <c r="R508" s="5" t="s">
        <v>12</v>
      </c>
      <c r="S508" s="5" t="s">
        <v>13</v>
      </c>
      <c r="T508" s="5" t="s">
        <v>14</v>
      </c>
      <c r="U508" s="5" t="s">
        <v>15</v>
      </c>
      <c r="V508" s="5" t="s">
        <v>16</v>
      </c>
      <c r="W508" s="5" t="s">
        <v>17</v>
      </c>
      <c r="X508" s="5" t="s">
        <v>18</v>
      </c>
      <c r="Y508" s="5" t="s">
        <v>19</v>
      </c>
      <c r="Z508" s="5" t="s">
        <v>20</v>
      </c>
    </row>
    <row r="509" customFormat="false" ht="12.8" hidden="false" customHeight="false" outlineLevel="0" collapsed="false">
      <c r="A509" s="1" t="n">
        <v>7</v>
      </c>
      <c r="B509" s="1" t="n">
        <v>1</v>
      </c>
      <c r="C509" s="1" t="n">
        <v>2</v>
      </c>
      <c r="D509" s="69" t="s">
        <v>262</v>
      </c>
      <c r="E509" s="8" t="n">
        <v>630</v>
      </c>
      <c r="F509" s="8" t="s">
        <v>133</v>
      </c>
      <c r="G509" s="9" t="n">
        <v>6560.61</v>
      </c>
      <c r="H509" s="9" t="n">
        <v>3005.39</v>
      </c>
      <c r="I509" s="9" t="n">
        <v>2800</v>
      </c>
      <c r="J509" s="9" t="n">
        <v>3482.13</v>
      </c>
      <c r="K509" s="9" t="n">
        <f aca="false">SUM(K512:K514)</f>
        <v>14500</v>
      </c>
      <c r="L509" s="9"/>
      <c r="M509" s="9"/>
      <c r="N509" s="9" t="n">
        <v>-2000</v>
      </c>
      <c r="O509" s="9" t="n">
        <v>-2000</v>
      </c>
      <c r="P509" s="9" t="n">
        <f aca="false">SUM(K509:O509)</f>
        <v>10500</v>
      </c>
      <c r="Q509" s="9" t="n">
        <v>45.6</v>
      </c>
      <c r="R509" s="10" t="n">
        <f aca="false">Q509/$P509</f>
        <v>0.00434285714285714</v>
      </c>
      <c r="S509" s="9" t="n">
        <v>95.2</v>
      </c>
      <c r="T509" s="10" t="n">
        <f aca="false">S509/$P509</f>
        <v>0.00906666666666667</v>
      </c>
      <c r="U509" s="9" t="n">
        <v>759.89</v>
      </c>
      <c r="V509" s="10" t="n">
        <f aca="false">U509/$P509</f>
        <v>0.0723704761904762</v>
      </c>
      <c r="W509" s="9" t="n">
        <v>3789.87</v>
      </c>
      <c r="X509" s="10" t="n">
        <f aca="false">W509/$P509</f>
        <v>0.36094</v>
      </c>
      <c r="Y509" s="9" t="n">
        <f aca="false">K509</f>
        <v>14500</v>
      </c>
      <c r="Z509" s="9" t="n">
        <f aca="false">Y509</f>
        <v>14500</v>
      </c>
    </row>
    <row r="510" customFormat="false" ht="12.8" hidden="false" customHeight="false" outlineLevel="0" collapsed="false">
      <c r="A510" s="1" t="n">
        <v>7</v>
      </c>
      <c r="B510" s="1" t="n">
        <v>1</v>
      </c>
      <c r="C510" s="1" t="n">
        <v>2</v>
      </c>
      <c r="D510" s="55" t="s">
        <v>21</v>
      </c>
      <c r="E510" s="11" t="n">
        <v>41</v>
      </c>
      <c r="F510" s="11" t="s">
        <v>23</v>
      </c>
      <c r="G510" s="12" t="n">
        <f aca="false">SUM(G509:G509)</f>
        <v>6560.61</v>
      </c>
      <c r="H510" s="12" t="n">
        <f aca="false">SUM(H509:H509)</f>
        <v>3005.39</v>
      </c>
      <c r="I510" s="12" t="n">
        <f aca="false">SUM(I509:I509)</f>
        <v>2800</v>
      </c>
      <c r="J510" s="12" t="n">
        <f aca="false">SUM(J509:J509)</f>
        <v>3482.13</v>
      </c>
      <c r="K510" s="12" t="n">
        <f aca="false">SUM(K509:K509)</f>
        <v>14500</v>
      </c>
      <c r="L510" s="12" t="n">
        <f aca="false">SUM(L509:L509)</f>
        <v>0</v>
      </c>
      <c r="M510" s="12" t="n">
        <f aca="false">SUM(M509:M509)</f>
        <v>0</v>
      </c>
      <c r="N510" s="12" t="n">
        <f aca="false">SUM(N509:N509)</f>
        <v>-2000</v>
      </c>
      <c r="O510" s="12" t="n">
        <f aca="false">SUM(O509:O509)</f>
        <v>-2000</v>
      </c>
      <c r="P510" s="12" t="n">
        <f aca="false">SUM(P509:P509)</f>
        <v>10500</v>
      </c>
      <c r="Q510" s="12" t="n">
        <f aca="false">SUM(Q509:Q509)</f>
        <v>45.6</v>
      </c>
      <c r="R510" s="13" t="n">
        <f aca="false">Q510/$P510</f>
        <v>0.00434285714285714</v>
      </c>
      <c r="S510" s="12" t="n">
        <f aca="false">SUM(S509:S509)</f>
        <v>95.2</v>
      </c>
      <c r="T510" s="13" t="n">
        <f aca="false">S510/$P510</f>
        <v>0.00906666666666667</v>
      </c>
      <c r="U510" s="12" t="n">
        <f aca="false">SUM(U509:U509)</f>
        <v>759.89</v>
      </c>
      <c r="V510" s="13" t="n">
        <f aca="false">U510/$P510</f>
        <v>0.0723704761904762</v>
      </c>
      <c r="W510" s="12" t="n">
        <f aca="false">SUM(W509:W509)</f>
        <v>3789.87</v>
      </c>
      <c r="X510" s="13" t="n">
        <f aca="false">W510/$P510</f>
        <v>0.36094</v>
      </c>
      <c r="Y510" s="12" t="n">
        <f aca="false">SUM(Y509:Y509)</f>
        <v>14500</v>
      </c>
      <c r="Z510" s="12" t="n">
        <f aca="false">SUM(Z509:Z509)</f>
        <v>14500</v>
      </c>
    </row>
    <row r="512" customFormat="false" ht="12.8" hidden="false" customHeight="false" outlineLevel="0" collapsed="false">
      <c r="E512" s="32" t="s">
        <v>57</v>
      </c>
      <c r="F512" s="14" t="s">
        <v>268</v>
      </c>
      <c r="G512" s="33" t="n">
        <v>4812.72</v>
      </c>
      <c r="H512" s="33" t="n">
        <v>658.52</v>
      </c>
      <c r="I512" s="33" t="n">
        <v>500</v>
      </c>
      <c r="J512" s="33" t="n">
        <v>284</v>
      </c>
      <c r="K512" s="33" t="n">
        <v>500</v>
      </c>
      <c r="L512" s="33"/>
      <c r="M512" s="33"/>
      <c r="N512" s="33"/>
      <c r="O512" s="33"/>
      <c r="P512" s="33" t="n">
        <f aca="false">SUM(K512:O512)</f>
        <v>500</v>
      </c>
      <c r="Q512" s="33" t="n">
        <v>45.6</v>
      </c>
      <c r="R512" s="34" t="n">
        <f aca="false">Q512/$P512</f>
        <v>0.0912</v>
      </c>
      <c r="S512" s="33" t="n">
        <v>95.2</v>
      </c>
      <c r="T512" s="34" t="n">
        <f aca="false">S512/$P512</f>
        <v>0.1904</v>
      </c>
      <c r="U512" s="33" t="n">
        <v>145.6</v>
      </c>
      <c r="V512" s="34" t="n">
        <f aca="false">U512/$P512</f>
        <v>0.2912</v>
      </c>
      <c r="W512" s="33" t="n">
        <v>303.2</v>
      </c>
      <c r="X512" s="35" t="n">
        <f aca="false">W512/$P512</f>
        <v>0.6064</v>
      </c>
      <c r="Y512" s="33" t="n">
        <f aca="false">K512</f>
        <v>500</v>
      </c>
      <c r="Z512" s="36" t="n">
        <f aca="false">Y512</f>
        <v>500</v>
      </c>
    </row>
    <row r="513" customFormat="false" ht="12.8" hidden="false" customHeight="false" outlineLevel="0" collapsed="false">
      <c r="E513" s="37"/>
      <c r="F513" s="78" t="s">
        <v>269</v>
      </c>
      <c r="G513" s="79" t="n">
        <v>1747.89</v>
      </c>
      <c r="H513" s="79" t="n">
        <v>2346.87</v>
      </c>
      <c r="I513" s="79" t="n">
        <v>2300</v>
      </c>
      <c r="J513" s="79" t="n">
        <v>3198.13</v>
      </c>
      <c r="K513" s="79" t="n">
        <v>3000</v>
      </c>
      <c r="L513" s="79"/>
      <c r="M513" s="79"/>
      <c r="N513" s="79"/>
      <c r="O513" s="79" t="n">
        <v>930</v>
      </c>
      <c r="P513" s="79" t="n">
        <f aca="false">SUM(K513:O513)</f>
        <v>3930</v>
      </c>
      <c r="Q513" s="79" t="n">
        <v>0</v>
      </c>
      <c r="R513" s="40" t="n">
        <f aca="false">Q513/$P513</f>
        <v>0</v>
      </c>
      <c r="S513" s="79" t="n">
        <v>0</v>
      </c>
      <c r="T513" s="40" t="n">
        <f aca="false">S513/$P513</f>
        <v>0</v>
      </c>
      <c r="U513" s="79" t="n">
        <v>614.29</v>
      </c>
      <c r="V513" s="40" t="n">
        <f aca="false">U513/$P513</f>
        <v>0.156307888040712</v>
      </c>
      <c r="W513" s="79" t="n">
        <v>3593.07</v>
      </c>
      <c r="X513" s="41" t="n">
        <f aca="false">W513/$P513</f>
        <v>0.914267175572519</v>
      </c>
      <c r="Y513" s="79" t="n">
        <f aca="false">K513</f>
        <v>3000</v>
      </c>
      <c r="Z513" s="42" t="n">
        <f aca="false">Y513</f>
        <v>3000</v>
      </c>
    </row>
    <row r="514" customFormat="false" ht="12.8" hidden="false" customHeight="false" outlineLevel="0" collapsed="false">
      <c r="E514" s="44"/>
      <c r="F514" s="57" t="s">
        <v>270</v>
      </c>
      <c r="G514" s="46"/>
      <c r="H514" s="46"/>
      <c r="I514" s="46"/>
      <c r="J514" s="46"/>
      <c r="K514" s="46" t="n">
        <v>11000</v>
      </c>
      <c r="L514" s="46"/>
      <c r="M514" s="46"/>
      <c r="N514" s="46" t="n">
        <v>-2000</v>
      </c>
      <c r="O514" s="46" t="n">
        <v>-2930</v>
      </c>
      <c r="P514" s="46" t="n">
        <f aca="false">SUM(K514:O514)</f>
        <v>6070</v>
      </c>
      <c r="Q514" s="46" t="n">
        <v>0</v>
      </c>
      <c r="R514" s="47" t="n">
        <f aca="false">Q514/$P514</f>
        <v>0</v>
      </c>
      <c r="S514" s="46" t="n">
        <v>0</v>
      </c>
      <c r="T514" s="47" t="n">
        <f aca="false">S514/$P514</f>
        <v>0</v>
      </c>
      <c r="U514" s="46" t="n">
        <v>0</v>
      </c>
      <c r="V514" s="47" t="n">
        <f aca="false">U514/$P514</f>
        <v>0</v>
      </c>
      <c r="W514" s="46" t="n">
        <v>0</v>
      </c>
      <c r="X514" s="48" t="n">
        <f aca="false">W514/$P514</f>
        <v>0</v>
      </c>
      <c r="Y514" s="46" t="n">
        <f aca="false">K514</f>
        <v>11000</v>
      </c>
      <c r="Z514" s="49" t="n">
        <f aca="false">Y514</f>
        <v>11000</v>
      </c>
    </row>
    <row r="516" customFormat="false" ht="12.8" hidden="false" customHeight="false" outlineLevel="0" collapsed="false">
      <c r="D516" s="24" t="s">
        <v>271</v>
      </c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customFormat="false" ht="12.8" hidden="false" customHeight="false" outlineLevel="0" collapsed="false">
      <c r="D517" s="5" t="s">
        <v>33</v>
      </c>
      <c r="E517" s="5" t="s">
        <v>34</v>
      </c>
      <c r="F517" s="5" t="s">
        <v>35</v>
      </c>
      <c r="G517" s="5" t="s">
        <v>1</v>
      </c>
      <c r="H517" s="5" t="s">
        <v>2</v>
      </c>
      <c r="I517" s="5" t="s">
        <v>3</v>
      </c>
      <c r="J517" s="5" t="s">
        <v>4</v>
      </c>
      <c r="K517" s="5" t="s">
        <v>5</v>
      </c>
      <c r="L517" s="5" t="s">
        <v>6</v>
      </c>
      <c r="M517" s="5" t="s">
        <v>7</v>
      </c>
      <c r="N517" s="5" t="s">
        <v>8</v>
      </c>
      <c r="O517" s="5" t="s">
        <v>9</v>
      </c>
      <c r="P517" s="5" t="s">
        <v>10</v>
      </c>
      <c r="Q517" s="5" t="s">
        <v>11</v>
      </c>
      <c r="R517" s="5" t="s">
        <v>12</v>
      </c>
      <c r="S517" s="5" t="s">
        <v>13</v>
      </c>
      <c r="T517" s="5" t="s">
        <v>14</v>
      </c>
      <c r="U517" s="5" t="s">
        <v>15</v>
      </c>
      <c r="V517" s="5" t="s">
        <v>16</v>
      </c>
      <c r="W517" s="5" t="s">
        <v>17</v>
      </c>
      <c r="X517" s="5" t="s">
        <v>18</v>
      </c>
      <c r="Y517" s="5" t="s">
        <v>19</v>
      </c>
      <c r="Z517" s="5" t="s">
        <v>20</v>
      </c>
    </row>
    <row r="518" customFormat="false" ht="12.8" hidden="false" customHeight="false" outlineLevel="0" collapsed="false">
      <c r="A518" s="1" t="n">
        <v>7</v>
      </c>
      <c r="B518" s="1" t="n">
        <v>2</v>
      </c>
      <c r="D518" s="31" t="s">
        <v>272</v>
      </c>
      <c r="E518" s="8" t="n">
        <v>640</v>
      </c>
      <c r="F518" s="8" t="s">
        <v>134</v>
      </c>
      <c r="G518" s="9" t="n">
        <v>540.96</v>
      </c>
      <c r="H518" s="9" t="n">
        <v>1058.4</v>
      </c>
      <c r="I518" s="9" t="n">
        <v>1060</v>
      </c>
      <c r="J518" s="9" t="n">
        <v>1065.12</v>
      </c>
      <c r="K518" s="28" t="n">
        <f aca="false">príjmy!H99</f>
        <v>1060</v>
      </c>
      <c r="L518" s="28"/>
      <c r="M518" s="28"/>
      <c r="N518" s="28"/>
      <c r="O518" s="28" t="n">
        <v>185</v>
      </c>
      <c r="P518" s="28" t="n">
        <f aca="false">SUM(K518:O518)</f>
        <v>1245</v>
      </c>
      <c r="Q518" s="28" t="n">
        <v>240.76</v>
      </c>
      <c r="R518" s="10" t="n">
        <f aca="false">Q518/$P518</f>
        <v>0.193381526104418</v>
      </c>
      <c r="S518" s="28" t="n">
        <v>508.5</v>
      </c>
      <c r="T518" s="10" t="n">
        <f aca="false">S518/$P518</f>
        <v>0.408433734939759</v>
      </c>
      <c r="U518" s="28" t="n">
        <v>833.78</v>
      </c>
      <c r="V518" s="10" t="n">
        <f aca="false">U518/$P518</f>
        <v>0.66970281124498</v>
      </c>
      <c r="W518" s="28" t="n">
        <v>1248.68</v>
      </c>
      <c r="X518" s="10" t="n">
        <f aca="false">W518/$P518</f>
        <v>1.00295582329317</v>
      </c>
      <c r="Y518" s="9" t="n">
        <f aca="false">K518</f>
        <v>1060</v>
      </c>
      <c r="Z518" s="9" t="n">
        <f aca="false">Y518</f>
        <v>1060</v>
      </c>
    </row>
    <row r="519" customFormat="false" ht="12.8" hidden="false" customHeight="false" outlineLevel="0" collapsed="false">
      <c r="A519" s="1" t="n">
        <v>7</v>
      </c>
      <c r="B519" s="1" t="n">
        <v>2</v>
      </c>
      <c r="D519" s="104" t="s">
        <v>273</v>
      </c>
      <c r="E519" s="8" t="n">
        <v>630</v>
      </c>
      <c r="F519" s="8" t="s">
        <v>133</v>
      </c>
      <c r="G519" s="9" t="n">
        <v>493</v>
      </c>
      <c r="H519" s="9" t="n">
        <v>772</v>
      </c>
      <c r="I519" s="9" t="n">
        <v>600</v>
      </c>
      <c r="J519" s="9" t="n">
        <v>762</v>
      </c>
      <c r="K519" s="28" t="n">
        <v>740</v>
      </c>
      <c r="L519" s="28"/>
      <c r="M519" s="28"/>
      <c r="N519" s="28" t="n">
        <v>5315</v>
      </c>
      <c r="O519" s="28"/>
      <c r="P519" s="28" t="n">
        <f aca="false">SUM(K519:O519)</f>
        <v>6055</v>
      </c>
      <c r="Q519" s="28" t="n">
        <v>6055.2</v>
      </c>
      <c r="R519" s="10" t="n">
        <f aca="false">Q519/$P519</f>
        <v>1.00003303055326</v>
      </c>
      <c r="S519" s="28" t="n">
        <v>6055.2</v>
      </c>
      <c r="T519" s="10" t="n">
        <f aca="false">S519/$P519</f>
        <v>1.00003303055326</v>
      </c>
      <c r="U519" s="28" t="n">
        <v>6055.2</v>
      </c>
      <c r="V519" s="10" t="n">
        <f aca="false">U519/$P519</f>
        <v>1.00003303055326</v>
      </c>
      <c r="W519" s="28" t="n">
        <v>6055.2</v>
      </c>
      <c r="X519" s="10" t="n">
        <f aca="false">W519/$P519</f>
        <v>1.00003303055326</v>
      </c>
      <c r="Y519" s="9" t="n">
        <f aca="false">K519</f>
        <v>740</v>
      </c>
      <c r="Z519" s="9" t="n">
        <f aca="false">Y519</f>
        <v>740</v>
      </c>
    </row>
    <row r="520" customFormat="false" ht="12.8" hidden="false" customHeight="false" outlineLevel="0" collapsed="false">
      <c r="A520" s="1" t="n">
        <v>7</v>
      </c>
      <c r="B520" s="1" t="n">
        <v>2</v>
      </c>
      <c r="D520" s="70" t="s">
        <v>21</v>
      </c>
      <c r="E520" s="29" t="n">
        <v>111</v>
      </c>
      <c r="F520" s="29" t="s">
        <v>136</v>
      </c>
      <c r="G520" s="30" t="n">
        <f aca="false">SUM(G518:G519)</f>
        <v>1033.96</v>
      </c>
      <c r="H520" s="30" t="n">
        <f aca="false">SUM(H518:H519)</f>
        <v>1830.4</v>
      </c>
      <c r="I520" s="30" t="n">
        <f aca="false">SUM(I518:I519)</f>
        <v>1660</v>
      </c>
      <c r="J520" s="30" t="n">
        <f aca="false">SUM(J518:J519)</f>
        <v>1827.12</v>
      </c>
      <c r="K520" s="30" t="n">
        <f aca="false">SUM(K518:K519)</f>
        <v>1800</v>
      </c>
      <c r="L520" s="30" t="n">
        <f aca="false">SUM(L518:L519)</f>
        <v>0</v>
      </c>
      <c r="M520" s="30" t="n">
        <f aca="false">SUM(M518:M519)</f>
        <v>0</v>
      </c>
      <c r="N520" s="30" t="n">
        <f aca="false">SUM(N518:N519)</f>
        <v>5315</v>
      </c>
      <c r="O520" s="30" t="n">
        <f aca="false">SUM(O518:O519)</f>
        <v>185</v>
      </c>
      <c r="P520" s="30" t="n">
        <f aca="false">SUM(P518:P519)</f>
        <v>7300</v>
      </c>
      <c r="Q520" s="30" t="n">
        <f aca="false">SUM(Q518:Q519)</f>
        <v>6295.96</v>
      </c>
      <c r="R520" s="71" t="n">
        <f aca="false">Q520/$P520</f>
        <v>0.862460273972603</v>
      </c>
      <c r="S520" s="30" t="n">
        <f aca="false">SUM(S518:S519)</f>
        <v>6563.7</v>
      </c>
      <c r="T520" s="71" t="n">
        <f aca="false">S520/$P520</f>
        <v>0.89913698630137</v>
      </c>
      <c r="U520" s="30" t="n">
        <f aca="false">SUM(U518:U519)</f>
        <v>6888.98</v>
      </c>
      <c r="V520" s="71" t="n">
        <f aca="false">U520/$P520</f>
        <v>0.943695890410959</v>
      </c>
      <c r="W520" s="30" t="n">
        <f aca="false">SUM(W518:W519)</f>
        <v>7303.88</v>
      </c>
      <c r="X520" s="71" t="n">
        <f aca="false">W520/$P520</f>
        <v>1.00053150684932</v>
      </c>
      <c r="Y520" s="30" t="n">
        <f aca="false">SUM(Y518:Y519)</f>
        <v>1800</v>
      </c>
      <c r="Z520" s="30" t="n">
        <f aca="false">SUM(Z518:Z519)</f>
        <v>1800</v>
      </c>
    </row>
    <row r="521" customFormat="false" ht="12.8" hidden="false" customHeight="false" outlineLevel="0" collapsed="false">
      <c r="A521" s="1" t="n">
        <v>7</v>
      </c>
      <c r="B521" s="1" t="n">
        <v>2</v>
      </c>
      <c r="D521" s="105" t="s">
        <v>272</v>
      </c>
      <c r="E521" s="8" t="n">
        <v>630</v>
      </c>
      <c r="F521" s="8" t="s">
        <v>133</v>
      </c>
      <c r="G521" s="9" t="n">
        <v>4850</v>
      </c>
      <c r="H521" s="9" t="n">
        <v>2900</v>
      </c>
      <c r="I521" s="9" t="n">
        <v>3000</v>
      </c>
      <c r="J521" s="9" t="n">
        <v>2900</v>
      </c>
      <c r="K521" s="9" t="n">
        <v>0</v>
      </c>
      <c r="L521" s="9" t="n">
        <v>459</v>
      </c>
      <c r="M521" s="9"/>
      <c r="N521" s="9"/>
      <c r="O521" s="9"/>
      <c r="P521" s="9" t="n">
        <f aca="false">SUM(K521:O521)</f>
        <v>459</v>
      </c>
      <c r="Q521" s="9" t="n">
        <v>458.88</v>
      </c>
      <c r="R521" s="10" t="n">
        <f aca="false">Q521/$P521</f>
        <v>0.999738562091503</v>
      </c>
      <c r="S521" s="9" t="n">
        <v>458.88</v>
      </c>
      <c r="T521" s="10" t="n">
        <f aca="false">S521/$P521</f>
        <v>0.999738562091503</v>
      </c>
      <c r="U521" s="9" t="n">
        <v>458.88</v>
      </c>
      <c r="V521" s="10" t="n">
        <f aca="false">U521/$P521</f>
        <v>0.999738562091503</v>
      </c>
      <c r="W521" s="9" t="n">
        <v>458.88</v>
      </c>
      <c r="X521" s="10" t="n">
        <f aca="false">W521/$P521</f>
        <v>0.999738562091503</v>
      </c>
      <c r="Y521" s="9" t="n">
        <f aca="false">K521</f>
        <v>0</v>
      </c>
      <c r="Z521" s="9" t="n">
        <f aca="false">Y521</f>
        <v>0</v>
      </c>
    </row>
    <row r="522" customFormat="false" ht="12.8" hidden="false" customHeight="false" outlineLevel="0" collapsed="false">
      <c r="D522" s="105"/>
      <c r="E522" s="8" t="n">
        <v>640</v>
      </c>
      <c r="F522" s="8" t="s">
        <v>134</v>
      </c>
      <c r="G522" s="9" t="n">
        <v>4850</v>
      </c>
      <c r="H522" s="9" t="n">
        <v>2900</v>
      </c>
      <c r="I522" s="9" t="n">
        <v>3000</v>
      </c>
      <c r="J522" s="9" t="n">
        <v>2900</v>
      </c>
      <c r="K522" s="9" t="n">
        <v>3000</v>
      </c>
      <c r="L522" s="9"/>
      <c r="M522" s="9"/>
      <c r="N522" s="9"/>
      <c r="O522" s="9" t="n">
        <f aca="false">200+500</f>
        <v>700</v>
      </c>
      <c r="P522" s="9" t="n">
        <f aca="false">SUM(K522:O522)</f>
        <v>3700</v>
      </c>
      <c r="Q522" s="9" t="n">
        <v>0</v>
      </c>
      <c r="R522" s="10" t="n">
        <f aca="false">Q522/$P522</f>
        <v>0</v>
      </c>
      <c r="S522" s="9" t="n">
        <v>1500</v>
      </c>
      <c r="T522" s="10" t="n">
        <f aca="false">S522/$P522</f>
        <v>0.405405405405405</v>
      </c>
      <c r="U522" s="9" t="n">
        <v>1700</v>
      </c>
      <c r="V522" s="10" t="n">
        <f aca="false">U522/$P522</f>
        <v>0.45945945945946</v>
      </c>
      <c r="W522" s="9" t="n">
        <v>3700</v>
      </c>
      <c r="X522" s="10" t="n">
        <f aca="false">W522/$P522</f>
        <v>1</v>
      </c>
      <c r="Y522" s="9" t="n">
        <f aca="false">K522</f>
        <v>3000</v>
      </c>
      <c r="Z522" s="9" t="n">
        <f aca="false">Y522</f>
        <v>3000</v>
      </c>
    </row>
    <row r="523" customFormat="false" ht="12.8" hidden="false" customHeight="false" outlineLevel="0" collapsed="false">
      <c r="A523" s="1" t="n">
        <v>7</v>
      </c>
      <c r="B523" s="1" t="n">
        <v>2</v>
      </c>
      <c r="D523" s="104" t="s">
        <v>273</v>
      </c>
      <c r="E523" s="8" t="n">
        <v>640</v>
      </c>
      <c r="F523" s="8" t="s">
        <v>134</v>
      </c>
      <c r="G523" s="9" t="n">
        <v>0</v>
      </c>
      <c r="H523" s="9" t="n">
        <v>0</v>
      </c>
      <c r="I523" s="9" t="n">
        <v>0</v>
      </c>
      <c r="J523" s="9" t="n">
        <v>0</v>
      </c>
      <c r="K523" s="9" t="n">
        <v>1000</v>
      </c>
      <c r="L523" s="9"/>
      <c r="M523" s="9"/>
      <c r="N523" s="9"/>
      <c r="O523" s="9" t="n">
        <v>100</v>
      </c>
      <c r="P523" s="9" t="n">
        <f aca="false">SUM(K523:O523)</f>
        <v>1100</v>
      </c>
      <c r="Q523" s="9" t="n">
        <v>0</v>
      </c>
      <c r="R523" s="10" t="n">
        <f aca="false">Q523/$P523</f>
        <v>0</v>
      </c>
      <c r="S523" s="9" t="n">
        <v>1000</v>
      </c>
      <c r="T523" s="10" t="n">
        <f aca="false">S523/$P523</f>
        <v>0.909090909090909</v>
      </c>
      <c r="U523" s="9" t="n">
        <v>1000</v>
      </c>
      <c r="V523" s="10" t="n">
        <f aca="false">U523/$P523</f>
        <v>0.909090909090909</v>
      </c>
      <c r="W523" s="9" t="n">
        <v>1100</v>
      </c>
      <c r="X523" s="10" t="n">
        <f aca="false">W523/$P523</f>
        <v>1</v>
      </c>
      <c r="Y523" s="9" t="n">
        <v>0</v>
      </c>
      <c r="Z523" s="9" t="n">
        <f aca="false">Y523</f>
        <v>0</v>
      </c>
    </row>
    <row r="524" customFormat="false" ht="12.8" hidden="false" customHeight="false" outlineLevel="0" collapsed="false">
      <c r="A524" s="1" t="n">
        <v>7</v>
      </c>
      <c r="B524" s="1" t="n">
        <v>2</v>
      </c>
      <c r="D524" s="70" t="s">
        <v>21</v>
      </c>
      <c r="E524" s="29" t="n">
        <v>41</v>
      </c>
      <c r="F524" s="29" t="s">
        <v>23</v>
      </c>
      <c r="G524" s="30" t="n">
        <f aca="false">SUM(G521:G523)</f>
        <v>9700</v>
      </c>
      <c r="H524" s="30" t="n">
        <f aca="false">SUM(H521:H523)</f>
        <v>5800</v>
      </c>
      <c r="I524" s="30" t="n">
        <f aca="false">SUM(I521:I523)</f>
        <v>6000</v>
      </c>
      <c r="J524" s="30" t="n">
        <f aca="false">SUM(J521:J523)</f>
        <v>5800</v>
      </c>
      <c r="K524" s="30" t="n">
        <f aca="false">SUM(K521:K523)</f>
        <v>4000</v>
      </c>
      <c r="L524" s="30" t="n">
        <f aca="false">SUM(L521:L523)</f>
        <v>459</v>
      </c>
      <c r="M524" s="30" t="n">
        <f aca="false">SUM(M521:M523)</f>
        <v>0</v>
      </c>
      <c r="N524" s="30" t="n">
        <f aca="false">SUM(N521:N523)</f>
        <v>0</v>
      </c>
      <c r="O524" s="30" t="n">
        <f aca="false">SUM(O521:O523)</f>
        <v>800</v>
      </c>
      <c r="P524" s="30" t="n">
        <f aca="false">SUM(P521:P523)</f>
        <v>5259</v>
      </c>
      <c r="Q524" s="30" t="n">
        <f aca="false">SUM(Q521:Q523)</f>
        <v>458.88</v>
      </c>
      <c r="R524" s="71" t="n">
        <f aca="false">Q524/$P524</f>
        <v>0.0872561323445522</v>
      </c>
      <c r="S524" s="30" t="n">
        <f aca="false">SUM(S521:S523)</f>
        <v>2958.88</v>
      </c>
      <c r="T524" s="71" t="n">
        <f aca="false">S524/$P524</f>
        <v>0.562631679026431</v>
      </c>
      <c r="U524" s="30" t="n">
        <f aca="false">SUM(U521:U523)</f>
        <v>3158.88</v>
      </c>
      <c r="V524" s="71" t="n">
        <f aca="false">U524/$P524</f>
        <v>0.600661722760981</v>
      </c>
      <c r="W524" s="30" t="n">
        <f aca="false">SUM(W521:W523)</f>
        <v>5258.88</v>
      </c>
      <c r="X524" s="71" t="n">
        <f aca="false">W524/$P524</f>
        <v>0.999977181973759</v>
      </c>
      <c r="Y524" s="30" t="n">
        <f aca="false">SUM(Y521:Y523)</f>
        <v>3000</v>
      </c>
      <c r="Z524" s="30" t="n">
        <f aca="false">SUM(Z521:Z523)</f>
        <v>3000</v>
      </c>
    </row>
    <row r="525" customFormat="false" ht="12.8" hidden="false" customHeight="false" outlineLevel="0" collapsed="false">
      <c r="A525" s="1" t="n">
        <v>7</v>
      </c>
      <c r="B525" s="1" t="n">
        <v>2</v>
      </c>
      <c r="D525" s="14"/>
      <c r="E525" s="15"/>
      <c r="F525" s="11" t="s">
        <v>126</v>
      </c>
      <c r="G525" s="12" t="n">
        <f aca="false">G520+G524</f>
        <v>10733.96</v>
      </c>
      <c r="H525" s="12" t="n">
        <f aca="false">H520+H524</f>
        <v>7630.4</v>
      </c>
      <c r="I525" s="12" t="n">
        <f aca="false">I520+I524</f>
        <v>7660</v>
      </c>
      <c r="J525" s="12" t="n">
        <f aca="false">J520+J524</f>
        <v>7627.12</v>
      </c>
      <c r="K525" s="12" t="n">
        <f aca="false">K520+K524</f>
        <v>5800</v>
      </c>
      <c r="L525" s="12" t="n">
        <f aca="false">L520+L524</f>
        <v>459</v>
      </c>
      <c r="M525" s="12" t="n">
        <f aca="false">M520+M524</f>
        <v>0</v>
      </c>
      <c r="N525" s="12" t="n">
        <f aca="false">N520+N524</f>
        <v>5315</v>
      </c>
      <c r="O525" s="12" t="n">
        <f aca="false">O520+O524</f>
        <v>985</v>
      </c>
      <c r="P525" s="12" t="n">
        <f aca="false">P520+P524</f>
        <v>12559</v>
      </c>
      <c r="Q525" s="12" t="n">
        <f aca="false">Q520+Q524</f>
        <v>6754.84</v>
      </c>
      <c r="R525" s="13" t="n">
        <f aca="false">Q525/$P525</f>
        <v>0.537848554821244</v>
      </c>
      <c r="S525" s="12" t="n">
        <f aca="false">S520+S524</f>
        <v>9522.58</v>
      </c>
      <c r="T525" s="13" t="n">
        <f aca="false">S525/$P525</f>
        <v>0.758227565889004</v>
      </c>
      <c r="U525" s="12" t="n">
        <f aca="false">U520+U524</f>
        <v>10047.86</v>
      </c>
      <c r="V525" s="13" t="n">
        <f aca="false">U525/$P525</f>
        <v>0.800052551954773</v>
      </c>
      <c r="W525" s="12" t="n">
        <f aca="false">W520+W524</f>
        <v>12562.76</v>
      </c>
      <c r="X525" s="13" t="n">
        <f aca="false">W525/$P525</f>
        <v>1.00029938689386</v>
      </c>
      <c r="Y525" s="12" t="n">
        <f aca="false">Y520+Y524</f>
        <v>4800</v>
      </c>
      <c r="Z525" s="12" t="n">
        <f aca="false">Z520+Z524</f>
        <v>4800</v>
      </c>
    </row>
    <row r="527" customFormat="false" ht="12.8" hidden="false" customHeight="false" outlineLevel="0" collapsed="false">
      <c r="D527" s="16" t="s">
        <v>274</v>
      </c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customFormat="false" ht="12.8" hidden="false" customHeight="false" outlineLevel="0" collapsed="false">
      <c r="D528" s="4"/>
      <c r="E528" s="4"/>
      <c r="F528" s="4"/>
      <c r="G528" s="5" t="s">
        <v>1</v>
      </c>
      <c r="H528" s="5" t="s">
        <v>2</v>
      </c>
      <c r="I528" s="5" t="s">
        <v>3</v>
      </c>
      <c r="J528" s="5" t="s">
        <v>4</v>
      </c>
      <c r="K528" s="5" t="s">
        <v>5</v>
      </c>
      <c r="L528" s="5" t="s">
        <v>6</v>
      </c>
      <c r="M528" s="5" t="s">
        <v>7</v>
      </c>
      <c r="N528" s="5" t="s">
        <v>8</v>
      </c>
      <c r="O528" s="5" t="s">
        <v>9</v>
      </c>
      <c r="P528" s="5" t="s">
        <v>10</v>
      </c>
      <c r="Q528" s="5" t="s">
        <v>11</v>
      </c>
      <c r="R528" s="5" t="s">
        <v>12</v>
      </c>
      <c r="S528" s="5" t="s">
        <v>13</v>
      </c>
      <c r="T528" s="5" t="s">
        <v>14</v>
      </c>
      <c r="U528" s="5" t="s">
        <v>15</v>
      </c>
      <c r="V528" s="5" t="s">
        <v>16</v>
      </c>
      <c r="W528" s="5" t="s">
        <v>17</v>
      </c>
      <c r="X528" s="5" t="s">
        <v>18</v>
      </c>
      <c r="Y528" s="5" t="s">
        <v>19</v>
      </c>
      <c r="Z528" s="5" t="s">
        <v>20</v>
      </c>
    </row>
    <row r="529" customFormat="false" ht="12.8" hidden="false" customHeight="false" outlineLevel="0" collapsed="false">
      <c r="A529" s="1" t="n">
        <v>8</v>
      </c>
      <c r="D529" s="17" t="s">
        <v>21</v>
      </c>
      <c r="E529" s="18" t="n">
        <v>111</v>
      </c>
      <c r="F529" s="18" t="s">
        <v>47</v>
      </c>
      <c r="G529" s="19" t="n">
        <f aca="false">G556+G596+G630</f>
        <v>50000</v>
      </c>
      <c r="H529" s="19" t="n">
        <f aca="false">H556+H596+H630</f>
        <v>0</v>
      </c>
      <c r="I529" s="19" t="n">
        <f aca="false">I556+I583+I596+I617+I630</f>
        <v>1689000</v>
      </c>
      <c r="J529" s="19" t="n">
        <f aca="false">J556+J583+J596+J617+J630</f>
        <v>675503.78</v>
      </c>
      <c r="K529" s="19" t="n">
        <f aca="false">K556+K583+K596+K617+K630</f>
        <v>995166</v>
      </c>
      <c r="L529" s="19" t="n">
        <f aca="false">L556+L583+L596+L617+L630</f>
        <v>0</v>
      </c>
      <c r="M529" s="19" t="n">
        <f aca="false">M556+M583+M596+M617+M630</f>
        <v>137658</v>
      </c>
      <c r="N529" s="19" t="n">
        <f aca="false">N556+N583+N596+N617+N630</f>
        <v>-27425</v>
      </c>
      <c r="O529" s="19" t="n">
        <f aca="false">O556+O583+O596+O617+O630</f>
        <v>0</v>
      </c>
      <c r="P529" s="19" t="n">
        <f aca="false">P556+P583+P596+P617+P630</f>
        <v>1105399</v>
      </c>
      <c r="Q529" s="19" t="n">
        <f aca="false">Q556+Q583+Q596+Q617+Q630</f>
        <v>0</v>
      </c>
      <c r="R529" s="20" t="n">
        <f aca="false">Q529/$P529</f>
        <v>0</v>
      </c>
      <c r="S529" s="19" t="n">
        <f aca="false">S556+S583+S596+S617+S630</f>
        <v>137657.39</v>
      </c>
      <c r="T529" s="20" t="n">
        <f aca="false">S529/$P529</f>
        <v>0.12453185682274</v>
      </c>
      <c r="U529" s="19" t="n">
        <f aca="false">U556+U583+U596+U617+U630</f>
        <v>975398.05</v>
      </c>
      <c r="V529" s="20" t="n">
        <f aca="false">U529/$P529</f>
        <v>0.882394547127327</v>
      </c>
      <c r="W529" s="19" t="n">
        <f aca="false">W556+W583+W596+W617+W630</f>
        <v>975398.05</v>
      </c>
      <c r="X529" s="20" t="n">
        <f aca="false">W529/$P529</f>
        <v>0.882394547127327</v>
      </c>
      <c r="Y529" s="19" t="n">
        <f aca="false">Y556+Y583+Y596+Y617+Y630</f>
        <v>0</v>
      </c>
      <c r="Z529" s="19" t="n">
        <f aca="false">Z556+Z583+Z596+Z617+Z630</f>
        <v>0</v>
      </c>
    </row>
    <row r="530" customFormat="false" ht="12.8" hidden="false" customHeight="false" outlineLevel="0" collapsed="false">
      <c r="A530" s="1" t="n">
        <v>8</v>
      </c>
      <c r="D530" s="17"/>
      <c r="E530" s="18" t="n">
        <v>41</v>
      </c>
      <c r="F530" s="18" t="s">
        <v>23</v>
      </c>
      <c r="G530" s="19" t="n">
        <f aca="false">G536+G557+G571+G584+G597+G618+G631+G642</f>
        <v>279817.53</v>
      </c>
      <c r="H530" s="19" t="n">
        <f aca="false">H536+H557+H571+H584+H597+H618+H631+H642</f>
        <v>275897.18</v>
      </c>
      <c r="I530" s="19" t="n">
        <f aca="false">I536+I557+I571+I584+I597+I618+I631+I642</f>
        <v>687000</v>
      </c>
      <c r="J530" s="19" t="n">
        <f aca="false">J536+J557+J571+J584+J597+J618+J631+J642</f>
        <v>541020.95</v>
      </c>
      <c r="K530" s="19" t="n">
        <f aca="false">K536+K557+K571+K584+K597+K618+K631+K642</f>
        <v>362550</v>
      </c>
      <c r="L530" s="19" t="n">
        <f aca="false">L536+L557+L571+L584+L597+L618+L631+L642</f>
        <v>2</v>
      </c>
      <c r="M530" s="19" t="n">
        <f aca="false">M536+M557+M571+M584+M597+M618+M631+M642</f>
        <v>109076</v>
      </c>
      <c r="N530" s="19" t="n">
        <f aca="false">N536+N557+N571+N584+N597+N618+N631+N642</f>
        <v>-15802</v>
      </c>
      <c r="O530" s="19" t="n">
        <f aca="false">O536+O557+O571+O584+O597+O618+O631+O642</f>
        <v>0</v>
      </c>
      <c r="P530" s="19" t="n">
        <f aca="false">P536+P557+P571+P584+P597+P618+P631+P642</f>
        <v>455826</v>
      </c>
      <c r="Q530" s="19" t="n">
        <f aca="false">Q536+Q557+Q571+Q584+Q597+Q618+Q631+Q642</f>
        <v>12835.19</v>
      </c>
      <c r="R530" s="20" t="n">
        <f aca="false">Q530/$P530</f>
        <v>0.0281580910259617</v>
      </c>
      <c r="S530" s="19" t="n">
        <f aca="false">S536+S557+S571+S584+S597+S618+S631+S642</f>
        <v>26975.67</v>
      </c>
      <c r="T530" s="20" t="n">
        <f aca="false">S530/$P530</f>
        <v>0.0591797528004107</v>
      </c>
      <c r="U530" s="19" t="n">
        <f aca="false">U536+U557+U571+U584+U597+U618+U631+U642</f>
        <v>185172.39</v>
      </c>
      <c r="V530" s="20" t="n">
        <f aca="false">U530/$P530</f>
        <v>0.406234813284016</v>
      </c>
      <c r="W530" s="19" t="n">
        <f aca="false">W536+W557+W571+W584+W597+W618+W631+W642</f>
        <v>260832.63</v>
      </c>
      <c r="X530" s="20" t="n">
        <f aca="false">W530/$P530</f>
        <v>0.572219728580643</v>
      </c>
      <c r="Y530" s="19" t="n">
        <f aca="false">Y536+Y557+Y571+Y584+Y597+Y618+Y631+Y642</f>
        <v>279420</v>
      </c>
      <c r="Z530" s="19" t="n">
        <f aca="false">Z536+Z557+Z571+Z584+Z597+Z618+Z631+Z642</f>
        <v>236995</v>
      </c>
    </row>
    <row r="531" customFormat="false" ht="12.8" hidden="false" customHeight="false" outlineLevel="0" collapsed="false">
      <c r="A531" s="1" t="n">
        <v>8</v>
      </c>
      <c r="D531" s="17"/>
      <c r="E531" s="18" t="n">
        <v>52</v>
      </c>
      <c r="F531" s="18" t="s">
        <v>28</v>
      </c>
      <c r="G531" s="19" t="n">
        <f aca="false">G537</f>
        <v>0</v>
      </c>
      <c r="H531" s="19" t="n">
        <f aca="false">H537</f>
        <v>0</v>
      </c>
      <c r="I531" s="19" t="n">
        <f aca="false">I537</f>
        <v>0</v>
      </c>
      <c r="J531" s="19" t="n">
        <f aca="false">J537</f>
        <v>0</v>
      </c>
      <c r="K531" s="19" t="n">
        <f aca="false">K537</f>
        <v>0</v>
      </c>
      <c r="L531" s="19" t="n">
        <f aca="false">L537</f>
        <v>0</v>
      </c>
      <c r="M531" s="19" t="n">
        <f aca="false">M537</f>
        <v>0</v>
      </c>
      <c r="N531" s="19" t="n">
        <f aca="false">N537</f>
        <v>0</v>
      </c>
      <c r="O531" s="19" t="n">
        <f aca="false">O537</f>
        <v>0</v>
      </c>
      <c r="P531" s="19" t="n">
        <f aca="false">P537</f>
        <v>0</v>
      </c>
      <c r="Q531" s="19" t="n">
        <f aca="false">Q537</f>
        <v>0</v>
      </c>
      <c r="R531" s="20" t="e">
        <f aca="false">Q531/$P531</f>
        <v>#DIV/0!</v>
      </c>
      <c r="S531" s="19" t="n">
        <f aca="false">S537</f>
        <v>0</v>
      </c>
      <c r="T531" s="20" t="e">
        <f aca="false">S531/$P531</f>
        <v>#DIV/0!</v>
      </c>
      <c r="U531" s="19" t="n">
        <f aca="false">U537</f>
        <v>0</v>
      </c>
      <c r="V531" s="20" t="e">
        <f aca="false">U531/$P531</f>
        <v>#DIV/0!</v>
      </c>
      <c r="W531" s="19" t="n">
        <f aca="false">W537</f>
        <v>0</v>
      </c>
      <c r="X531" s="20" t="e">
        <f aca="false">W531/$P531</f>
        <v>#DIV/0!</v>
      </c>
      <c r="Y531" s="19" t="n">
        <f aca="false">Y537</f>
        <v>0</v>
      </c>
      <c r="Z531" s="19" t="n">
        <f aca="false">Z537</f>
        <v>0</v>
      </c>
    </row>
    <row r="532" customFormat="false" ht="12.8" hidden="false" customHeight="false" outlineLevel="0" collapsed="false">
      <c r="A532" s="1" t="n">
        <v>8</v>
      </c>
      <c r="D532" s="14"/>
      <c r="E532" s="15"/>
      <c r="F532" s="21" t="s">
        <v>126</v>
      </c>
      <c r="G532" s="22" t="n">
        <f aca="false">SUM(G529:G531)</f>
        <v>329817.53</v>
      </c>
      <c r="H532" s="22" t="n">
        <f aca="false">SUM(H529:H531)</f>
        <v>275897.18</v>
      </c>
      <c r="I532" s="22" t="n">
        <f aca="false">SUM(I529:I531)</f>
        <v>2376000</v>
      </c>
      <c r="J532" s="22" t="n">
        <f aca="false">SUM(J529:J531)</f>
        <v>1216524.73</v>
      </c>
      <c r="K532" s="22" t="n">
        <f aca="false">SUM(K529:K531)</f>
        <v>1357716</v>
      </c>
      <c r="L532" s="22" t="n">
        <f aca="false">SUM(L529:L531)</f>
        <v>2</v>
      </c>
      <c r="M532" s="22" t="n">
        <f aca="false">SUM(M529:M531)</f>
        <v>246734</v>
      </c>
      <c r="N532" s="22" t="n">
        <f aca="false">SUM(N529:N531)</f>
        <v>-43227</v>
      </c>
      <c r="O532" s="22" t="n">
        <f aca="false">SUM(O529:O531)</f>
        <v>0</v>
      </c>
      <c r="P532" s="22" t="n">
        <f aca="false">SUM(P529:P531)</f>
        <v>1561225</v>
      </c>
      <c r="Q532" s="22" t="n">
        <f aca="false">SUM(Q529:Q531)</f>
        <v>12835.19</v>
      </c>
      <c r="R532" s="23" t="n">
        <f aca="false">Q532/$P532</f>
        <v>0.00822123012378101</v>
      </c>
      <c r="S532" s="22" t="n">
        <f aca="false">SUM(S529:S531)</f>
        <v>164633.06</v>
      </c>
      <c r="T532" s="23" t="n">
        <f aca="false">S532/$P532</f>
        <v>0.105451206584573</v>
      </c>
      <c r="U532" s="22" t="n">
        <f aca="false">SUM(U529:U531)</f>
        <v>1160570.44</v>
      </c>
      <c r="V532" s="23" t="n">
        <f aca="false">U532/$P532</f>
        <v>0.743371672885074</v>
      </c>
      <c r="W532" s="22" t="n">
        <f aca="false">SUM(W529:W531)</f>
        <v>1236230.68</v>
      </c>
      <c r="X532" s="23" t="n">
        <f aca="false">W532/$P532</f>
        <v>0.791833771557591</v>
      </c>
      <c r="Y532" s="22" t="n">
        <f aca="false">SUM(Y529:Y531)</f>
        <v>279420</v>
      </c>
      <c r="Z532" s="22" t="n">
        <f aca="false">SUM(Z529:Z531)</f>
        <v>236995</v>
      </c>
    </row>
    <row r="534" customFormat="false" ht="12.8" hidden="false" customHeight="false" outlineLevel="0" collapsed="false">
      <c r="D534" s="24" t="s">
        <v>275</v>
      </c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customFormat="false" ht="12.8" hidden="false" customHeight="false" outlineLevel="0" collapsed="false">
      <c r="D535" s="106"/>
      <c r="E535" s="5"/>
      <c r="F535" s="5"/>
      <c r="G535" s="5" t="s">
        <v>1</v>
      </c>
      <c r="H535" s="5" t="s">
        <v>2</v>
      </c>
      <c r="I535" s="5" t="s">
        <v>3</v>
      </c>
      <c r="J535" s="5" t="s">
        <v>4</v>
      </c>
      <c r="K535" s="5" t="s">
        <v>5</v>
      </c>
      <c r="L535" s="5" t="s">
        <v>6</v>
      </c>
      <c r="M535" s="5" t="s">
        <v>7</v>
      </c>
      <c r="N535" s="5" t="s">
        <v>8</v>
      </c>
      <c r="O535" s="5" t="s">
        <v>9</v>
      </c>
      <c r="P535" s="5" t="s">
        <v>10</v>
      </c>
      <c r="Q535" s="5" t="s">
        <v>11</v>
      </c>
      <c r="R535" s="5" t="s">
        <v>12</v>
      </c>
      <c r="S535" s="5" t="s">
        <v>13</v>
      </c>
      <c r="T535" s="5" t="s">
        <v>14</v>
      </c>
      <c r="U535" s="5" t="s">
        <v>15</v>
      </c>
      <c r="V535" s="5" t="s">
        <v>16</v>
      </c>
      <c r="W535" s="5" t="s">
        <v>17</v>
      </c>
      <c r="X535" s="5" t="s">
        <v>18</v>
      </c>
      <c r="Y535" s="5" t="s">
        <v>19</v>
      </c>
      <c r="Z535" s="5" t="s">
        <v>20</v>
      </c>
    </row>
    <row r="536" customFormat="false" ht="12.8" hidden="false" customHeight="false" outlineLevel="0" collapsed="false">
      <c r="A536" s="1" t="n">
        <v>8</v>
      </c>
      <c r="B536" s="1" t="n">
        <v>1</v>
      </c>
      <c r="D536" s="25" t="s">
        <v>21</v>
      </c>
      <c r="E536" s="8" t="n">
        <v>41</v>
      </c>
      <c r="F536" s="8" t="s">
        <v>23</v>
      </c>
      <c r="G536" s="9" t="n">
        <v>85530.76</v>
      </c>
      <c r="H536" s="9" t="n">
        <f aca="false">H541+H549</f>
        <v>153043.69</v>
      </c>
      <c r="I536" s="9" t="n">
        <f aca="false">I541+I550</f>
        <v>59000</v>
      </c>
      <c r="J536" s="9" t="n">
        <f aca="false">J541+J550+J551</f>
        <v>49341.19</v>
      </c>
      <c r="K536" s="9" t="n">
        <f aca="false">K541+K550</f>
        <v>25000</v>
      </c>
      <c r="L536" s="9" t="n">
        <f aca="false">L541+L550+L552</f>
        <v>2</v>
      </c>
      <c r="M536" s="9" t="n">
        <f aca="false">M541+M550</f>
        <v>0</v>
      </c>
      <c r="N536" s="9" t="n">
        <f aca="false">N541+N550</f>
        <v>0</v>
      </c>
      <c r="O536" s="9" t="n">
        <f aca="false">O541+O550</f>
        <v>0</v>
      </c>
      <c r="P536" s="9" t="n">
        <f aca="false">SUM(K536:O536)</f>
        <v>25002</v>
      </c>
      <c r="Q536" s="9" t="n">
        <f aca="false">Q541+Q550+Q552</f>
        <v>3190.75</v>
      </c>
      <c r="R536" s="10" t="n">
        <f aca="false">Q536/$P536</f>
        <v>0.127619790416767</v>
      </c>
      <c r="S536" s="9" t="n">
        <f aca="false">S541+S550+S552</f>
        <v>4130.95</v>
      </c>
      <c r="T536" s="10" t="n">
        <f aca="false">S536/$P536</f>
        <v>0.165224782017439</v>
      </c>
      <c r="U536" s="9" t="n">
        <f aca="false">U541+U550+U552</f>
        <v>9016.76</v>
      </c>
      <c r="V536" s="10" t="n">
        <f aca="false">U536/$P536</f>
        <v>0.360641548676106</v>
      </c>
      <c r="W536" s="9" t="n">
        <f aca="false">W541+W550+W552</f>
        <v>14711.87</v>
      </c>
      <c r="X536" s="10" t="n">
        <f aca="false">W536/$P536</f>
        <v>0.588427725781938</v>
      </c>
      <c r="Y536" s="9" t="n">
        <v>0</v>
      </c>
      <c r="Z536" s="9" t="n">
        <f aca="false">Y536</f>
        <v>0</v>
      </c>
    </row>
    <row r="537" customFormat="false" ht="12.8" hidden="false" customHeight="false" outlineLevel="0" collapsed="false">
      <c r="A537" s="1" t="n">
        <v>8</v>
      </c>
      <c r="B537" s="1" t="n">
        <v>1</v>
      </c>
      <c r="D537" s="25"/>
      <c r="E537" s="8" t="n">
        <v>52</v>
      </c>
      <c r="F537" s="8" t="s">
        <v>28</v>
      </c>
      <c r="G537" s="9" t="n">
        <v>0</v>
      </c>
      <c r="H537" s="9" t="n">
        <v>0</v>
      </c>
      <c r="I537" s="9" t="n">
        <v>0</v>
      </c>
      <c r="J537" s="9" t="n">
        <v>0</v>
      </c>
      <c r="K537" s="9" t="n">
        <v>0</v>
      </c>
      <c r="L537" s="9" t="n">
        <v>0</v>
      </c>
      <c r="M537" s="9" t="n">
        <v>0</v>
      </c>
      <c r="N537" s="9" t="n">
        <v>0</v>
      </c>
      <c r="O537" s="9" t="n">
        <v>0</v>
      </c>
      <c r="P537" s="9" t="n">
        <f aca="false">SUM(K537:O537)</f>
        <v>0</v>
      </c>
      <c r="Q537" s="9" t="n">
        <v>0</v>
      </c>
      <c r="R537" s="10" t="e">
        <f aca="false">Q537/$P537</f>
        <v>#DIV/0!</v>
      </c>
      <c r="S537" s="9" t="n">
        <v>0</v>
      </c>
      <c r="T537" s="10" t="e">
        <f aca="false">S537/$P537</f>
        <v>#DIV/0!</v>
      </c>
      <c r="U537" s="9" t="n">
        <v>0</v>
      </c>
      <c r="V537" s="10" t="e">
        <f aca="false">U537/$P537</f>
        <v>#DIV/0!</v>
      </c>
      <c r="W537" s="9" t="n">
        <v>0</v>
      </c>
      <c r="X537" s="10" t="e">
        <f aca="false">W537/$P537</f>
        <v>#DIV/0!</v>
      </c>
      <c r="Y537" s="9" t="n">
        <v>0</v>
      </c>
      <c r="Z537" s="9" t="n">
        <f aca="false">Y537</f>
        <v>0</v>
      </c>
    </row>
    <row r="538" customFormat="false" ht="12.8" hidden="false" customHeight="false" outlineLevel="0" collapsed="false">
      <c r="A538" s="1" t="n">
        <v>8</v>
      </c>
      <c r="B538" s="1" t="n">
        <v>1</v>
      </c>
      <c r="D538" s="14"/>
      <c r="E538" s="15"/>
      <c r="F538" s="11" t="s">
        <v>126</v>
      </c>
      <c r="G538" s="12" t="n">
        <f aca="false">SUM(G536:G537)</f>
        <v>85530.76</v>
      </c>
      <c r="H538" s="12" t="n">
        <f aca="false">SUM(H536:H537)</f>
        <v>153043.69</v>
      </c>
      <c r="I538" s="12" t="n">
        <f aca="false">SUM(I536:I537)</f>
        <v>59000</v>
      </c>
      <c r="J538" s="12" t="n">
        <f aca="false">SUM(J536:J537)</f>
        <v>49341.19</v>
      </c>
      <c r="K538" s="12" t="n">
        <f aca="false">SUM(K536:K537)</f>
        <v>25000</v>
      </c>
      <c r="L538" s="12" t="n">
        <f aca="false">SUM(L536:L537)</f>
        <v>2</v>
      </c>
      <c r="M538" s="12" t="n">
        <f aca="false">SUM(M536:M537)</f>
        <v>0</v>
      </c>
      <c r="N538" s="12" t="n">
        <f aca="false">SUM(N536:N537)</f>
        <v>0</v>
      </c>
      <c r="O538" s="12" t="n">
        <f aca="false">SUM(O536:O537)</f>
        <v>0</v>
      </c>
      <c r="P538" s="12" t="n">
        <f aca="false">SUM(P536:P537)</f>
        <v>25002</v>
      </c>
      <c r="Q538" s="12" t="n">
        <f aca="false">SUM(Q536:Q537)</f>
        <v>3190.75</v>
      </c>
      <c r="R538" s="13" t="n">
        <f aca="false">Q538/$P538</f>
        <v>0.127619790416767</v>
      </c>
      <c r="S538" s="12" t="n">
        <f aca="false">SUM(S536:S537)</f>
        <v>4130.95</v>
      </c>
      <c r="T538" s="13" t="n">
        <f aca="false">S538/$P538</f>
        <v>0.165224782017439</v>
      </c>
      <c r="U538" s="12" t="n">
        <f aca="false">SUM(U536:U537)</f>
        <v>9016.76</v>
      </c>
      <c r="V538" s="13" t="n">
        <f aca="false">U538/$P538</f>
        <v>0.360641548676106</v>
      </c>
      <c r="W538" s="12" t="n">
        <f aca="false">SUM(W536:W537)</f>
        <v>14711.87</v>
      </c>
      <c r="X538" s="13" t="n">
        <f aca="false">W538/$P538</f>
        <v>0.588427725781938</v>
      </c>
      <c r="Y538" s="12" t="n">
        <f aca="false">SUM(Y536:Y537)</f>
        <v>0</v>
      </c>
      <c r="Z538" s="12" t="n">
        <f aca="false">SUM(Z536:Z537)</f>
        <v>0</v>
      </c>
    </row>
    <row r="540" customFormat="false" ht="12.8" hidden="false" customHeight="false" outlineLevel="0" collapsed="false">
      <c r="D540" s="1" t="s">
        <v>57</v>
      </c>
    </row>
    <row r="541" customFormat="false" ht="12.8" hidden="false" customHeight="false" outlineLevel="0" collapsed="false">
      <c r="D541" s="25" t="s">
        <v>276</v>
      </c>
      <c r="E541" s="32" t="s">
        <v>277</v>
      </c>
      <c r="F541" s="14"/>
      <c r="G541" s="33" t="n">
        <f aca="false">SUM(G542:G545)</f>
        <v>55630.76</v>
      </c>
      <c r="H541" s="33" t="n">
        <f aca="false">SUM(H542:H548)</f>
        <v>63103.69</v>
      </c>
      <c r="I541" s="33" t="n">
        <f aca="false">SUM(I542:I548)</f>
        <v>48000</v>
      </c>
      <c r="J541" s="33" t="n">
        <f aca="false">SUM(J542:J548)</f>
        <v>35901.29</v>
      </c>
      <c r="K541" s="33" t="n">
        <f aca="false">SUM(K542:K548)</f>
        <v>20000</v>
      </c>
      <c r="L541" s="33"/>
      <c r="M541" s="33"/>
      <c r="N541" s="33"/>
      <c r="O541" s="33"/>
      <c r="P541" s="33" t="n">
        <f aca="false">SUM(K541:O541)</f>
        <v>20000</v>
      </c>
      <c r="Q541" s="33" t="n">
        <f aca="false">SUM(Q542:Q548)</f>
        <v>3188.75</v>
      </c>
      <c r="R541" s="34" t="n">
        <f aca="false">Q541/$P541</f>
        <v>0.1594375</v>
      </c>
      <c r="S541" s="33" t="n">
        <f aca="false">SUM(S542:S548)</f>
        <v>4128.95</v>
      </c>
      <c r="T541" s="34" t="n">
        <f aca="false">S541/$P541</f>
        <v>0.2064475</v>
      </c>
      <c r="U541" s="33" t="n">
        <f aca="false">SUM(U542:U548)</f>
        <v>9014.76</v>
      </c>
      <c r="V541" s="34" t="n">
        <f aca="false">U541/$P541</f>
        <v>0.450738</v>
      </c>
      <c r="W541" s="33" t="n">
        <f aca="false">SUM(W542:W548)</f>
        <v>11729.64</v>
      </c>
      <c r="X541" s="35" t="n">
        <f aca="false">W541/$P541</f>
        <v>0.586482</v>
      </c>
      <c r="Y541" s="33"/>
      <c r="Z541" s="36"/>
    </row>
    <row r="542" customFormat="false" ht="12.8" hidden="false" customHeight="false" outlineLevel="0" collapsed="false">
      <c r="D542" s="25"/>
      <c r="E542" s="37" t="s">
        <v>278</v>
      </c>
      <c r="F542" s="78"/>
      <c r="G542" s="79" t="n">
        <v>1914.06</v>
      </c>
      <c r="H542" s="79"/>
      <c r="I542" s="79"/>
      <c r="J542" s="79"/>
      <c r="K542" s="79" t="n">
        <v>10000</v>
      </c>
      <c r="L542" s="79"/>
      <c r="M542" s="79"/>
      <c r="N542" s="79"/>
      <c r="O542" s="79"/>
      <c r="P542" s="79" t="n">
        <f aca="false">SUM(K542:O542)</f>
        <v>10000</v>
      </c>
      <c r="Q542" s="79" t="n">
        <v>0</v>
      </c>
      <c r="R542" s="40" t="n">
        <f aca="false">Q542/$P542</f>
        <v>0</v>
      </c>
      <c r="S542" s="79" t="n">
        <v>0</v>
      </c>
      <c r="T542" s="40" t="n">
        <f aca="false">S542/$P542</f>
        <v>0</v>
      </c>
      <c r="U542" s="79" t="n">
        <v>656.87</v>
      </c>
      <c r="V542" s="40" t="n">
        <f aca="false">U542/$P542</f>
        <v>0.065687</v>
      </c>
      <c r="W542" s="79" t="n">
        <v>2918.6</v>
      </c>
      <c r="X542" s="41" t="n">
        <f aca="false">W542/$P542</f>
        <v>0.29186</v>
      </c>
      <c r="Y542" s="79"/>
      <c r="Z542" s="42"/>
    </row>
    <row r="543" customFormat="false" ht="12.8" hidden="false" customHeight="false" outlineLevel="0" collapsed="false">
      <c r="D543" s="25"/>
      <c r="E543" s="37" t="s">
        <v>279</v>
      </c>
      <c r="F543" s="78"/>
      <c r="G543" s="79" t="n">
        <f aca="false">300+51801.09</f>
        <v>52101.09</v>
      </c>
      <c r="H543" s="79"/>
      <c r="I543" s="79"/>
      <c r="J543" s="79"/>
      <c r="K543" s="79"/>
      <c r="L543" s="79"/>
      <c r="M543" s="79"/>
      <c r="N543" s="79"/>
      <c r="O543" s="79"/>
      <c r="P543" s="79" t="n">
        <f aca="false">SUM(K543:O543)</f>
        <v>0</v>
      </c>
      <c r="Q543" s="79" t="n">
        <v>0</v>
      </c>
      <c r="R543" s="40" t="e">
        <f aca="false">Q543/$P543</f>
        <v>#DIV/0!</v>
      </c>
      <c r="S543" s="79" t="n">
        <v>0</v>
      </c>
      <c r="T543" s="40" t="e">
        <f aca="false">S543/$P543</f>
        <v>#DIV/0!</v>
      </c>
      <c r="U543" s="79" t="n">
        <v>0</v>
      </c>
      <c r="V543" s="40" t="e">
        <f aca="false">U543/$P543</f>
        <v>#DIV/0!</v>
      </c>
      <c r="W543" s="79"/>
      <c r="X543" s="41" t="e">
        <f aca="false">W543/$P543</f>
        <v>#DIV/0!</v>
      </c>
      <c r="Y543" s="79"/>
      <c r="Z543" s="42"/>
    </row>
    <row r="544" customFormat="false" ht="12.8" hidden="false" customHeight="false" outlineLevel="0" collapsed="false">
      <c r="D544" s="25"/>
      <c r="E544" s="37" t="s">
        <v>280</v>
      </c>
      <c r="F544" s="78"/>
      <c r="G544" s="79"/>
      <c r="H544" s="79" t="n">
        <v>13648.01</v>
      </c>
      <c r="I544" s="79"/>
      <c r="J544" s="79"/>
      <c r="K544" s="79"/>
      <c r="L544" s="79"/>
      <c r="M544" s="79"/>
      <c r="N544" s="79"/>
      <c r="O544" s="79"/>
      <c r="P544" s="79" t="n">
        <f aca="false">SUM(K544:O544)</f>
        <v>0</v>
      </c>
      <c r="Q544" s="79" t="n">
        <v>0</v>
      </c>
      <c r="R544" s="40" t="e">
        <f aca="false">Q544/$P544</f>
        <v>#DIV/0!</v>
      </c>
      <c r="S544" s="79" t="n">
        <v>0</v>
      </c>
      <c r="T544" s="40" t="e">
        <f aca="false">S544/$P544</f>
        <v>#DIV/0!</v>
      </c>
      <c r="U544" s="79" t="n">
        <v>0</v>
      </c>
      <c r="V544" s="40" t="e">
        <f aca="false">U544/$P544</f>
        <v>#DIV/0!</v>
      </c>
      <c r="W544" s="79"/>
      <c r="X544" s="41" t="e">
        <f aca="false">W544/$P544</f>
        <v>#DIV/0!</v>
      </c>
      <c r="Y544" s="79"/>
      <c r="Z544" s="42"/>
    </row>
    <row r="545" customFormat="false" ht="12.8" hidden="false" customHeight="false" outlineLevel="0" collapsed="false">
      <c r="D545" s="25"/>
      <c r="E545" s="37" t="s">
        <v>281</v>
      </c>
      <c r="F545" s="78"/>
      <c r="G545" s="79" t="n">
        <f aca="false">180+1435.61</f>
        <v>1615.61</v>
      </c>
      <c r="H545" s="79" t="n">
        <v>49455.68</v>
      </c>
      <c r="I545" s="79"/>
      <c r="J545" s="79" t="n">
        <v>649.11</v>
      </c>
      <c r="K545" s="79"/>
      <c r="L545" s="79"/>
      <c r="M545" s="79"/>
      <c r="N545" s="79"/>
      <c r="O545" s="79"/>
      <c r="P545" s="79" t="n">
        <f aca="false">SUM(K545:O545)</f>
        <v>0</v>
      </c>
      <c r="Q545" s="79" t="n">
        <v>0</v>
      </c>
      <c r="R545" s="40" t="e">
        <f aca="false">Q545/$P545</f>
        <v>#DIV/0!</v>
      </c>
      <c r="S545" s="79" t="n">
        <v>0</v>
      </c>
      <c r="T545" s="40" t="e">
        <f aca="false">S545/$P545</f>
        <v>#DIV/0!</v>
      </c>
      <c r="U545" s="79" t="n">
        <v>0</v>
      </c>
      <c r="V545" s="40" t="e">
        <f aca="false">U545/$P545</f>
        <v>#DIV/0!</v>
      </c>
      <c r="W545" s="79"/>
      <c r="X545" s="41" t="e">
        <f aca="false">W545/$P545</f>
        <v>#DIV/0!</v>
      </c>
      <c r="Y545" s="79"/>
      <c r="Z545" s="42"/>
    </row>
    <row r="546" customFormat="false" ht="12.8" hidden="false" customHeight="false" outlineLevel="0" collapsed="false">
      <c r="D546" s="25"/>
      <c r="E546" s="37" t="s">
        <v>282</v>
      </c>
      <c r="F546" s="78"/>
      <c r="G546" s="79"/>
      <c r="H546" s="79"/>
      <c r="I546" s="79" t="n">
        <v>48000</v>
      </c>
      <c r="J546" s="79" t="n">
        <v>32527.13</v>
      </c>
      <c r="K546" s="79"/>
      <c r="L546" s="79"/>
      <c r="M546" s="79"/>
      <c r="N546" s="79"/>
      <c r="O546" s="79"/>
      <c r="P546" s="79" t="n">
        <f aca="false">SUM(K546:O546)</f>
        <v>0</v>
      </c>
      <c r="Q546" s="79" t="n">
        <v>2838.75</v>
      </c>
      <c r="R546" s="40" t="e">
        <f aca="false">Q546/$P546</f>
        <v>#DIV/0!</v>
      </c>
      <c r="S546" s="79" t="n">
        <v>2921.08</v>
      </c>
      <c r="T546" s="40" t="e">
        <f aca="false">S546/$P546</f>
        <v>#DIV/0!</v>
      </c>
      <c r="U546" s="79" t="n">
        <v>2921.08</v>
      </c>
      <c r="V546" s="40" t="e">
        <f aca="false">U546/$P546</f>
        <v>#DIV/0!</v>
      </c>
      <c r="W546" s="79" t="n">
        <v>2921.08</v>
      </c>
      <c r="X546" s="41" t="e">
        <f aca="false">W546/$P546</f>
        <v>#DIV/0!</v>
      </c>
      <c r="Y546" s="79"/>
      <c r="Z546" s="42"/>
    </row>
    <row r="547" customFormat="false" ht="12.8" hidden="false" customHeight="false" outlineLevel="0" collapsed="false">
      <c r="D547" s="25"/>
      <c r="E547" s="37" t="s">
        <v>283</v>
      </c>
      <c r="F547" s="78"/>
      <c r="G547" s="79"/>
      <c r="H547" s="79"/>
      <c r="I547" s="79"/>
      <c r="J547" s="79" t="n">
        <v>2725.05</v>
      </c>
      <c r="K547" s="79"/>
      <c r="L547" s="79"/>
      <c r="M547" s="79"/>
      <c r="N547" s="79"/>
      <c r="O547" s="79"/>
      <c r="P547" s="79" t="n">
        <f aca="false">SUM(K547:O547)</f>
        <v>0</v>
      </c>
      <c r="Q547" s="79" t="n">
        <v>0</v>
      </c>
      <c r="R547" s="40" t="e">
        <f aca="false">Q547/$P547</f>
        <v>#DIV/0!</v>
      </c>
      <c r="S547" s="79" t="n">
        <v>0</v>
      </c>
      <c r="T547" s="40" t="e">
        <f aca="false">S547/$P547</f>
        <v>#DIV/0!</v>
      </c>
      <c r="U547" s="79" t="n">
        <v>0</v>
      </c>
      <c r="V547" s="40" t="e">
        <f aca="false">U547/$P547</f>
        <v>#DIV/0!</v>
      </c>
      <c r="W547" s="79"/>
      <c r="X547" s="41" t="e">
        <f aca="false">W547/$P547</f>
        <v>#DIV/0!</v>
      </c>
      <c r="Y547" s="79"/>
      <c r="Z547" s="42"/>
    </row>
    <row r="548" customFormat="false" ht="12.8" hidden="false" customHeight="false" outlineLevel="0" collapsed="false">
      <c r="D548" s="25"/>
      <c r="E548" s="44" t="s">
        <v>284</v>
      </c>
      <c r="F548" s="57"/>
      <c r="G548" s="46"/>
      <c r="H548" s="46"/>
      <c r="I548" s="46"/>
      <c r="J548" s="46"/>
      <c r="K548" s="46" t="n">
        <v>10000</v>
      </c>
      <c r="L548" s="46"/>
      <c r="M548" s="46"/>
      <c r="N548" s="46"/>
      <c r="O548" s="46"/>
      <c r="P548" s="46" t="n">
        <f aca="false">SUM(K548:O548)</f>
        <v>10000</v>
      </c>
      <c r="Q548" s="46" t="n">
        <v>350</v>
      </c>
      <c r="R548" s="47" t="n">
        <f aca="false">Q548/$P548</f>
        <v>0.035</v>
      </c>
      <c r="S548" s="46" t="n">
        <v>1207.87</v>
      </c>
      <c r="T548" s="47" t="n">
        <f aca="false">S548/$P548</f>
        <v>0.120787</v>
      </c>
      <c r="U548" s="46" t="n">
        <v>5436.81</v>
      </c>
      <c r="V548" s="47" t="n">
        <f aca="false">U548/$P548</f>
        <v>0.543681</v>
      </c>
      <c r="W548" s="46" t="n">
        <v>5889.96</v>
      </c>
      <c r="X548" s="48" t="n">
        <f aca="false">W548/$P548</f>
        <v>0.588996</v>
      </c>
      <c r="Y548" s="46"/>
      <c r="Z548" s="49"/>
    </row>
    <row r="549" customFormat="false" ht="12.8" hidden="false" customHeight="false" outlineLevel="0" collapsed="false">
      <c r="D549" s="25"/>
      <c r="E549" s="91" t="s">
        <v>285</v>
      </c>
      <c r="F549" s="92"/>
      <c r="G549" s="94"/>
      <c r="H549" s="94" t="n">
        <v>89940</v>
      </c>
      <c r="I549" s="94"/>
      <c r="J549" s="94"/>
      <c r="K549" s="94"/>
      <c r="L549" s="94"/>
      <c r="M549" s="94"/>
      <c r="N549" s="94"/>
      <c r="O549" s="94"/>
      <c r="P549" s="94" t="n">
        <f aca="false">SUM(K549:O549)</f>
        <v>0</v>
      </c>
      <c r="Q549" s="94" t="n">
        <v>0</v>
      </c>
      <c r="R549" s="95" t="e">
        <f aca="false">Q549/$P549</f>
        <v>#DIV/0!</v>
      </c>
      <c r="S549" s="94" t="n">
        <v>0</v>
      </c>
      <c r="T549" s="95" t="e">
        <f aca="false">S549/$P549</f>
        <v>#DIV/0!</v>
      </c>
      <c r="U549" s="94" t="n">
        <v>0</v>
      </c>
      <c r="V549" s="95" t="e">
        <f aca="false">U549/$P549</f>
        <v>#DIV/0!</v>
      </c>
      <c r="W549" s="94" t="n">
        <v>0</v>
      </c>
      <c r="X549" s="96" t="e">
        <f aca="false">W549/$P549</f>
        <v>#DIV/0!</v>
      </c>
      <c r="Y549" s="94"/>
      <c r="Z549" s="97"/>
    </row>
    <row r="550" customFormat="false" ht="12.8" hidden="false" customHeight="false" outlineLevel="0" collapsed="false">
      <c r="D550" s="25"/>
      <c r="E550" s="91" t="s">
        <v>286</v>
      </c>
      <c r="F550" s="92"/>
      <c r="G550" s="94"/>
      <c r="H550" s="94"/>
      <c r="I550" s="94" t="n">
        <v>11000</v>
      </c>
      <c r="J550" s="94" t="n">
        <v>11045</v>
      </c>
      <c r="K550" s="94" t="n">
        <v>5000</v>
      </c>
      <c r="L550" s="94"/>
      <c r="M550" s="94"/>
      <c r="N550" s="94"/>
      <c r="O550" s="94"/>
      <c r="P550" s="94" t="n">
        <f aca="false">SUM(K550:O550)</f>
        <v>5000</v>
      </c>
      <c r="Q550" s="94" t="n">
        <v>0</v>
      </c>
      <c r="R550" s="95" t="n">
        <f aca="false">Q550/$P550</f>
        <v>0</v>
      </c>
      <c r="S550" s="94" t="n">
        <v>0</v>
      </c>
      <c r="T550" s="95" t="n">
        <f aca="false">S550/$P550</f>
        <v>0</v>
      </c>
      <c r="U550" s="94" t="n">
        <v>0</v>
      </c>
      <c r="V550" s="95" t="n">
        <f aca="false">U550/$P550</f>
        <v>0</v>
      </c>
      <c r="W550" s="94" t="n">
        <v>2980.23</v>
      </c>
      <c r="X550" s="96" t="n">
        <f aca="false">W550/$P550</f>
        <v>0.596046</v>
      </c>
      <c r="Y550" s="94"/>
      <c r="Z550" s="97"/>
    </row>
    <row r="551" customFormat="false" ht="12.8" hidden="false" customHeight="false" outlineLevel="0" collapsed="false">
      <c r="D551" s="25"/>
      <c r="E551" s="91" t="s">
        <v>287</v>
      </c>
      <c r="F551" s="92"/>
      <c r="G551" s="94"/>
      <c r="H551" s="94"/>
      <c r="I551" s="94"/>
      <c r="J551" s="94" t="n">
        <v>2394.9</v>
      </c>
      <c r="K551" s="94"/>
      <c r="L551" s="94"/>
      <c r="M551" s="94"/>
      <c r="N551" s="94"/>
      <c r="O551" s="94"/>
      <c r="P551" s="94" t="n">
        <f aca="false">SUM(K551:O551)</f>
        <v>0</v>
      </c>
      <c r="Q551" s="94" t="n">
        <v>0</v>
      </c>
      <c r="R551" s="95" t="e">
        <f aca="false">Q551/$P551</f>
        <v>#DIV/0!</v>
      </c>
      <c r="S551" s="94" t="n">
        <v>0</v>
      </c>
      <c r="T551" s="95" t="e">
        <f aca="false">S551/$P551</f>
        <v>#DIV/0!</v>
      </c>
      <c r="U551" s="94" t="n">
        <v>0</v>
      </c>
      <c r="V551" s="95" t="e">
        <f aca="false">U551/$P551</f>
        <v>#DIV/0!</v>
      </c>
      <c r="W551" s="94" t="n">
        <v>0</v>
      </c>
      <c r="X551" s="96" t="e">
        <f aca="false">W551/$P551</f>
        <v>#DIV/0!</v>
      </c>
      <c r="Y551" s="94"/>
      <c r="Z551" s="97"/>
    </row>
    <row r="552" customFormat="false" ht="12.8" hidden="false" customHeight="false" outlineLevel="0" collapsed="false">
      <c r="D552" s="25"/>
      <c r="E552" s="91" t="s">
        <v>288</v>
      </c>
      <c r="F552" s="92"/>
      <c r="G552" s="94" t="n">
        <v>29900</v>
      </c>
      <c r="H552" s="94"/>
      <c r="I552" s="94"/>
      <c r="J552" s="94"/>
      <c r="K552" s="94"/>
      <c r="L552" s="94" t="n">
        <v>2</v>
      </c>
      <c r="M552" s="94"/>
      <c r="N552" s="94"/>
      <c r="O552" s="94"/>
      <c r="P552" s="94" t="n">
        <f aca="false">SUM(K552:O552)</f>
        <v>2</v>
      </c>
      <c r="Q552" s="94" t="n">
        <v>2</v>
      </c>
      <c r="R552" s="95" t="n">
        <f aca="false">Q552/$P552</f>
        <v>1</v>
      </c>
      <c r="S552" s="94" t="n">
        <v>2</v>
      </c>
      <c r="T552" s="95" t="n">
        <f aca="false">S552/$P552</f>
        <v>1</v>
      </c>
      <c r="U552" s="94" t="n">
        <v>2</v>
      </c>
      <c r="V552" s="95" t="n">
        <f aca="false">U552/$P552</f>
        <v>1</v>
      </c>
      <c r="W552" s="94" t="n">
        <v>2</v>
      </c>
      <c r="X552" s="96" t="n">
        <f aca="false">W552/$P552</f>
        <v>1</v>
      </c>
      <c r="Y552" s="94"/>
      <c r="Z552" s="97"/>
    </row>
    <row r="554" customFormat="false" ht="12.8" hidden="false" customHeight="false" outlineLevel="0" collapsed="false">
      <c r="D554" s="24" t="s">
        <v>289</v>
      </c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customFormat="false" ht="12.8" hidden="false" customHeight="false" outlineLevel="0" collapsed="false">
      <c r="D555" s="106"/>
      <c r="E555" s="5"/>
      <c r="F555" s="5"/>
      <c r="G555" s="5" t="s">
        <v>1</v>
      </c>
      <c r="H555" s="5" t="s">
        <v>2</v>
      </c>
      <c r="I555" s="5" t="s">
        <v>3</v>
      </c>
      <c r="J555" s="5" t="s">
        <v>4</v>
      </c>
      <c r="K555" s="5" t="s">
        <v>5</v>
      </c>
      <c r="L555" s="5" t="s">
        <v>6</v>
      </c>
      <c r="M555" s="5" t="s">
        <v>7</v>
      </c>
      <c r="N555" s="5" t="s">
        <v>8</v>
      </c>
      <c r="O555" s="5" t="s">
        <v>9</v>
      </c>
      <c r="P555" s="5" t="s">
        <v>10</v>
      </c>
      <c r="Q555" s="5" t="s">
        <v>11</v>
      </c>
      <c r="R555" s="5" t="s">
        <v>12</v>
      </c>
      <c r="S555" s="5" t="s">
        <v>13</v>
      </c>
      <c r="T555" s="5" t="s">
        <v>14</v>
      </c>
      <c r="U555" s="5" t="s">
        <v>15</v>
      </c>
      <c r="V555" s="5" t="s">
        <v>16</v>
      </c>
      <c r="W555" s="5" t="s">
        <v>17</v>
      </c>
      <c r="X555" s="5" t="s">
        <v>18</v>
      </c>
      <c r="Y555" s="5" t="s">
        <v>19</v>
      </c>
      <c r="Z555" s="5" t="s">
        <v>20</v>
      </c>
    </row>
    <row r="556" customFormat="false" ht="12.8" hidden="false" customHeight="false" outlineLevel="0" collapsed="false">
      <c r="A556" s="1" t="n">
        <v>8</v>
      </c>
      <c r="B556" s="1" t="n">
        <v>2</v>
      </c>
      <c r="D556" s="107" t="s">
        <v>21</v>
      </c>
      <c r="E556" s="8" t="n">
        <v>111</v>
      </c>
      <c r="F556" s="8" t="s">
        <v>136</v>
      </c>
      <c r="G556" s="9" t="n">
        <v>50000</v>
      </c>
      <c r="H556" s="9" t="n">
        <v>0</v>
      </c>
      <c r="I556" s="9" t="n">
        <f aca="false">258000+390000+113000</f>
        <v>761000</v>
      </c>
      <c r="J556" s="9" t="n">
        <f aca="false">249669.78+113000</f>
        <v>362669.78</v>
      </c>
      <c r="K556" s="9" t="n">
        <f aca="false">390000</f>
        <v>390000</v>
      </c>
      <c r="L556" s="9"/>
      <c r="M556" s="9"/>
      <c r="N556" s="9" t="n">
        <f aca="false">130000-51048</f>
        <v>78952</v>
      </c>
      <c r="O556" s="9"/>
      <c r="P556" s="9" t="n">
        <f aca="false">SUM(K556:O556)</f>
        <v>468952</v>
      </c>
      <c r="Q556" s="9" t="n">
        <v>0</v>
      </c>
      <c r="R556" s="10" t="n">
        <f aca="false">Q556/$P556</f>
        <v>0</v>
      </c>
      <c r="S556" s="9" t="n">
        <v>0</v>
      </c>
      <c r="T556" s="10" t="n">
        <f aca="false">S556/$P556</f>
        <v>0</v>
      </c>
      <c r="U556" s="9" t="n">
        <v>338951.81</v>
      </c>
      <c r="V556" s="10" t="n">
        <f aca="false">U556/$P556</f>
        <v>0.722785722206111</v>
      </c>
      <c r="W556" s="9" t="n">
        <v>338951.81</v>
      </c>
      <c r="X556" s="10" t="n">
        <f aca="false">W556/$P556</f>
        <v>0.722785722206111</v>
      </c>
      <c r="Y556" s="9" t="n">
        <v>0</v>
      </c>
      <c r="Z556" s="9" t="n">
        <v>0</v>
      </c>
    </row>
    <row r="557" customFormat="false" ht="12.8" hidden="false" customHeight="false" outlineLevel="0" collapsed="false">
      <c r="A557" s="1" t="n">
        <v>8</v>
      </c>
      <c r="B557" s="1" t="n">
        <v>2</v>
      </c>
      <c r="D557" s="107" t="s">
        <v>21</v>
      </c>
      <c r="E557" s="8" t="n">
        <v>41</v>
      </c>
      <c r="F557" s="8" t="s">
        <v>23</v>
      </c>
      <c r="G557" s="9" t="n">
        <f aca="false">SUM(G561:G567)-G556</f>
        <v>35244.74</v>
      </c>
      <c r="H557" s="9" t="n">
        <f aca="false">SUM(H561:H567)</f>
        <v>8138</v>
      </c>
      <c r="I557" s="9" t="n">
        <f aca="false">SUM(I561:I567)-I556</f>
        <v>152000</v>
      </c>
      <c r="J557" s="9" t="n">
        <f aca="false">SUM(J561:J567)-J556</f>
        <v>140201.83</v>
      </c>
      <c r="K557" s="9" t="n">
        <f aca="false">SUM(K561:K567)-K556</f>
        <v>53250</v>
      </c>
      <c r="L557" s="9" t="n">
        <f aca="false">SUM(L561:L567)-L556</f>
        <v>0</v>
      </c>
      <c r="M557" s="9" t="n">
        <f aca="false">SUM(M561:M567)-M556</f>
        <v>58331</v>
      </c>
      <c r="N557" s="9" t="n">
        <f aca="false">SUM(N561:N567)-N556</f>
        <v>44000</v>
      </c>
      <c r="O557" s="9" t="n">
        <f aca="false">SUM(O561:O567)-O556</f>
        <v>0</v>
      </c>
      <c r="P557" s="9" t="n">
        <f aca="false">SUM(K557:O557)</f>
        <v>155581</v>
      </c>
      <c r="Q557" s="9" t="n">
        <f aca="false">SUM(Q561:Q567)-Q556</f>
        <v>1855.69</v>
      </c>
      <c r="R557" s="10" t="n">
        <f aca="false">Q557/$P557</f>
        <v>0.011927484718571</v>
      </c>
      <c r="S557" s="9" t="n">
        <f aca="false">SUM(S561:S567)-S556</f>
        <v>1970.85</v>
      </c>
      <c r="T557" s="10" t="n">
        <f aca="false">S557/$P557</f>
        <v>0.0126676779298243</v>
      </c>
      <c r="U557" s="9" t="n">
        <f aca="false">SUM(U561:U567)-U556</f>
        <v>74777.47</v>
      </c>
      <c r="V557" s="10" t="n">
        <f aca="false">U557/$P557</f>
        <v>0.480633689203695</v>
      </c>
      <c r="W557" s="9" t="n">
        <f aca="false">SUM(W561:W567)-W556</f>
        <v>77709.36</v>
      </c>
      <c r="X557" s="10" t="n">
        <f aca="false">W557/$P557</f>
        <v>0.499478471021526</v>
      </c>
      <c r="Y557" s="9" t="n">
        <v>0</v>
      </c>
      <c r="Z557" s="9" t="n">
        <f aca="false">SUM(Z561:Z567)</f>
        <v>0</v>
      </c>
    </row>
    <row r="558" customFormat="false" ht="12.8" hidden="false" customHeight="false" outlineLevel="0" collapsed="false">
      <c r="A558" s="1" t="n">
        <v>8</v>
      </c>
      <c r="B558" s="1" t="n">
        <v>2</v>
      </c>
      <c r="D558" s="14"/>
      <c r="E558" s="15"/>
      <c r="F558" s="11" t="s">
        <v>126</v>
      </c>
      <c r="G558" s="12" t="n">
        <f aca="false">SUM(G556:G557)</f>
        <v>85244.74</v>
      </c>
      <c r="H558" s="12" t="n">
        <f aca="false">SUM(H556:H557)</f>
        <v>8138</v>
      </c>
      <c r="I558" s="12" t="n">
        <f aca="false">SUM(I556:I557)</f>
        <v>913000</v>
      </c>
      <c r="J558" s="12" t="n">
        <f aca="false">SUM(J556:J557)</f>
        <v>502871.61</v>
      </c>
      <c r="K558" s="12" t="n">
        <f aca="false">SUM(K556:K557)</f>
        <v>443250</v>
      </c>
      <c r="L558" s="12" t="n">
        <f aca="false">SUM(L556:L557)</f>
        <v>0</v>
      </c>
      <c r="M558" s="12" t="n">
        <f aca="false">SUM(M556:M557)</f>
        <v>58331</v>
      </c>
      <c r="N558" s="12" t="n">
        <f aca="false">SUM(N556:N557)</f>
        <v>122952</v>
      </c>
      <c r="O558" s="12" t="n">
        <f aca="false">SUM(O556:O557)</f>
        <v>0</v>
      </c>
      <c r="P558" s="12" t="n">
        <f aca="false">SUM(P556:P557)</f>
        <v>624533</v>
      </c>
      <c r="Q558" s="12" t="n">
        <f aca="false">SUM(Q556:Q557)</f>
        <v>1855.69</v>
      </c>
      <c r="R558" s="13" t="n">
        <f aca="false">Q558/$P558</f>
        <v>0.00297132417342238</v>
      </c>
      <c r="S558" s="12" t="n">
        <f aca="false">SUM(S556:S557)</f>
        <v>1970.85</v>
      </c>
      <c r="T558" s="13" t="n">
        <f aca="false">S558/$P558</f>
        <v>0.00315571795245407</v>
      </c>
      <c r="U558" s="12" t="n">
        <f aca="false">SUM(U556:U557)</f>
        <v>413729.28</v>
      </c>
      <c r="V558" s="13" t="n">
        <f aca="false">U558/$P558</f>
        <v>0.662461839486464</v>
      </c>
      <c r="W558" s="12" t="n">
        <f aca="false">SUM(W556:W557)</f>
        <v>416661.17</v>
      </c>
      <c r="X558" s="13" t="n">
        <f aca="false">W558/$P558</f>
        <v>0.667156371240591</v>
      </c>
      <c r="Y558" s="12" t="n">
        <f aca="false">SUM(Y556:Y557)</f>
        <v>0</v>
      </c>
      <c r="Z558" s="12" t="n">
        <f aca="false">SUM(Z556:Z557)</f>
        <v>0</v>
      </c>
    </row>
    <row r="560" customFormat="false" ht="12.8" hidden="false" customHeight="false" outlineLevel="0" collapsed="false">
      <c r="D560" s="1" t="s">
        <v>57</v>
      </c>
    </row>
    <row r="561" customFormat="false" ht="12.8" hidden="false" customHeight="false" outlineLevel="0" collapsed="false">
      <c r="D561" s="25" t="s">
        <v>290</v>
      </c>
      <c r="E561" s="32" t="s">
        <v>291</v>
      </c>
      <c r="F561" s="14"/>
      <c r="G561" s="33" t="n">
        <v>11009.2</v>
      </c>
      <c r="H561" s="33"/>
      <c r="I561" s="33" t="n">
        <v>415000</v>
      </c>
      <c r="J561" s="33" t="n">
        <v>36966.24</v>
      </c>
      <c r="K561" s="89" t="n">
        <f aca="false">príjmy!H114+21000</f>
        <v>411000</v>
      </c>
      <c r="L561" s="89"/>
      <c r="M561" s="89" t="n">
        <v>8331</v>
      </c>
      <c r="N561" s="89" t="n">
        <v>-51048</v>
      </c>
      <c r="O561" s="89"/>
      <c r="P561" s="89" t="n">
        <f aca="false">SUM(K561:O561)</f>
        <v>368283</v>
      </c>
      <c r="Q561" s="89" t="n">
        <v>1855.69</v>
      </c>
      <c r="R561" s="34" t="n">
        <f aca="false">Q561/$P561</f>
        <v>0.00503876095285419</v>
      </c>
      <c r="S561" s="33" t="n">
        <v>1970.85</v>
      </c>
      <c r="T561" s="34" t="n">
        <f aca="false">S561/$P561</f>
        <v>0.00535145526673781</v>
      </c>
      <c r="U561" s="33" t="n">
        <v>365796.31</v>
      </c>
      <c r="V561" s="34" t="n">
        <f aca="false">U561/$P561</f>
        <v>0.993247882742348</v>
      </c>
      <c r="W561" s="33" t="n">
        <v>367528.2</v>
      </c>
      <c r="X561" s="35" t="n">
        <f aca="false">W561/$P561</f>
        <v>0.997950489161867</v>
      </c>
      <c r="Y561" s="94"/>
      <c r="Z561" s="97"/>
    </row>
    <row r="562" customFormat="false" ht="12.8" hidden="false" customHeight="false" outlineLevel="0" collapsed="false">
      <c r="D562" s="25"/>
      <c r="E562" s="44" t="s">
        <v>292</v>
      </c>
      <c r="F562" s="57"/>
      <c r="G562" s="46"/>
      <c r="H562" s="46" t="n">
        <v>7640</v>
      </c>
      <c r="I562" s="46" t="n">
        <v>345000</v>
      </c>
      <c r="J562" s="46" t="n">
        <v>305874.97</v>
      </c>
      <c r="K562" s="46"/>
      <c r="L562" s="46"/>
      <c r="M562" s="46"/>
      <c r="N562" s="46"/>
      <c r="O562" s="46"/>
      <c r="P562" s="46" t="n">
        <f aca="false">SUM(K562:O562)</f>
        <v>0</v>
      </c>
      <c r="Q562" s="46" t="n">
        <v>0</v>
      </c>
      <c r="R562" s="47" t="e">
        <f aca="false">Q562/$P562</f>
        <v>#DIV/0!</v>
      </c>
      <c r="S562" s="46" t="n">
        <v>0</v>
      </c>
      <c r="T562" s="47" t="e">
        <f aca="false">S562/$P562</f>
        <v>#DIV/0!</v>
      </c>
      <c r="U562" s="46" t="n">
        <v>0</v>
      </c>
      <c r="V562" s="47" t="e">
        <f aca="false">U562/$P562</f>
        <v>#DIV/0!</v>
      </c>
      <c r="W562" s="46" t="n">
        <v>0</v>
      </c>
      <c r="X562" s="48" t="e">
        <f aca="false">W562/$P562</f>
        <v>#DIV/0!</v>
      </c>
      <c r="Y562" s="94"/>
      <c r="Z562" s="97"/>
    </row>
    <row r="563" customFormat="false" ht="12.8" hidden="false" customHeight="false" outlineLevel="0" collapsed="false">
      <c r="D563" s="25"/>
      <c r="E563" s="32" t="s">
        <v>293</v>
      </c>
      <c r="F563" s="14"/>
      <c r="G563" s="33"/>
      <c r="H563" s="33"/>
      <c r="I563" s="33"/>
      <c r="J563" s="33"/>
      <c r="K563" s="33"/>
      <c r="L563" s="33"/>
      <c r="M563" s="33"/>
      <c r="N563" s="33"/>
      <c r="O563" s="33"/>
      <c r="P563" s="33" t="n">
        <f aca="false">SUM(K563:O563)</f>
        <v>0</v>
      </c>
      <c r="Q563" s="33" t="n">
        <v>0</v>
      </c>
      <c r="R563" s="34" t="e">
        <f aca="false">Q563/$P563</f>
        <v>#DIV/0!</v>
      </c>
      <c r="S563" s="33" t="n">
        <v>0</v>
      </c>
      <c r="T563" s="34" t="e">
        <f aca="false">S563/$P563</f>
        <v>#DIV/0!</v>
      </c>
      <c r="U563" s="33" t="n">
        <v>0</v>
      </c>
      <c r="V563" s="34" t="e">
        <f aca="false">U563/$P563</f>
        <v>#DIV/0!</v>
      </c>
      <c r="W563" s="33" t="n">
        <v>0</v>
      </c>
      <c r="X563" s="35" t="e">
        <f aca="false">W563/$P563</f>
        <v>#DIV/0!</v>
      </c>
      <c r="Y563" s="94"/>
      <c r="Z563" s="97"/>
    </row>
    <row r="564" customFormat="false" ht="12.8" hidden="false" customHeight="false" outlineLevel="0" collapsed="false">
      <c r="D564" s="25"/>
      <c r="E564" s="108" t="s">
        <v>294</v>
      </c>
      <c r="F564" s="78"/>
      <c r="G564" s="79" t="n">
        <v>73737.54</v>
      </c>
      <c r="H564" s="79"/>
      <c r="I564" s="79"/>
      <c r="J564" s="79"/>
      <c r="K564" s="79"/>
      <c r="L564" s="79"/>
      <c r="M564" s="79"/>
      <c r="N564" s="79" t="n">
        <v>174000</v>
      </c>
      <c r="O564" s="79"/>
      <c r="P564" s="79" t="n">
        <f aca="false">SUM(K564:O564)</f>
        <v>174000</v>
      </c>
      <c r="Q564" s="79" t="n">
        <v>0</v>
      </c>
      <c r="R564" s="40" t="n">
        <f aca="false">Q564/$P564</f>
        <v>0</v>
      </c>
      <c r="S564" s="79" t="n">
        <v>0</v>
      </c>
      <c r="T564" s="40" t="n">
        <f aca="false">S564/$P564</f>
        <v>0</v>
      </c>
      <c r="U564" s="79" t="n">
        <v>0</v>
      </c>
      <c r="V564" s="40" t="n">
        <f aca="false">U564/$P564</f>
        <v>0</v>
      </c>
      <c r="W564" s="79" t="n">
        <v>0</v>
      </c>
      <c r="X564" s="41" t="n">
        <f aca="false">W564/$P564</f>
        <v>0</v>
      </c>
      <c r="Y564" s="94"/>
      <c r="Z564" s="97"/>
    </row>
    <row r="565" customFormat="false" ht="12.8" hidden="false" customHeight="false" outlineLevel="0" collapsed="false">
      <c r="D565" s="25"/>
      <c r="E565" s="108" t="s">
        <v>295</v>
      </c>
      <c r="F565" s="78"/>
      <c r="G565" s="79" t="n">
        <v>498</v>
      </c>
      <c r="H565" s="79" t="n">
        <v>498</v>
      </c>
      <c r="I565" s="79" t="n">
        <v>143000</v>
      </c>
      <c r="J565" s="79" t="n">
        <v>158680.4</v>
      </c>
      <c r="K565" s="79" t="n">
        <f aca="false">22250-15000</f>
        <v>7250</v>
      </c>
      <c r="L565" s="79"/>
      <c r="M565" s="79"/>
      <c r="N565" s="79"/>
      <c r="O565" s="79"/>
      <c r="P565" s="79" t="n">
        <f aca="false">SUM(K565:O565)</f>
        <v>7250</v>
      </c>
      <c r="Q565" s="79" t="n">
        <v>0</v>
      </c>
      <c r="R565" s="40" t="n">
        <f aca="false">Q565/$P565</f>
        <v>0</v>
      </c>
      <c r="S565" s="79" t="n">
        <v>0</v>
      </c>
      <c r="T565" s="40" t="n">
        <f aca="false">S565/$P565</f>
        <v>0</v>
      </c>
      <c r="U565" s="79" t="n">
        <v>0</v>
      </c>
      <c r="V565" s="40" t="n">
        <f aca="false">U565/$P565</f>
        <v>0</v>
      </c>
      <c r="W565" s="79" t="n">
        <v>0</v>
      </c>
      <c r="X565" s="41" t="n">
        <f aca="false">W565/$P565</f>
        <v>0</v>
      </c>
      <c r="Y565" s="94"/>
      <c r="Z565" s="97"/>
    </row>
    <row r="566" customFormat="false" ht="12.8" hidden="false" customHeight="false" outlineLevel="0" collapsed="false">
      <c r="D566" s="25"/>
      <c r="E566" s="108" t="s">
        <v>296</v>
      </c>
      <c r="F566" s="78"/>
      <c r="G566" s="79"/>
      <c r="H566" s="79"/>
      <c r="I566" s="79" t="n">
        <v>10000</v>
      </c>
      <c r="J566" s="79" t="n">
        <v>1350</v>
      </c>
      <c r="K566" s="79" t="n">
        <v>10000</v>
      </c>
      <c r="L566" s="79"/>
      <c r="M566" s="79"/>
      <c r="N566" s="79"/>
      <c r="O566" s="79"/>
      <c r="P566" s="79" t="n">
        <f aca="false">SUM(K566:O566)</f>
        <v>10000</v>
      </c>
      <c r="Q566" s="79" t="n">
        <v>0</v>
      </c>
      <c r="R566" s="40" t="n">
        <f aca="false">Q566/$P566</f>
        <v>0</v>
      </c>
      <c r="S566" s="79" t="n">
        <v>0</v>
      </c>
      <c r="T566" s="40" t="n">
        <f aca="false">S566/$P566</f>
        <v>0</v>
      </c>
      <c r="U566" s="79" t="n">
        <v>0</v>
      </c>
      <c r="V566" s="40" t="n">
        <f aca="false">U566/$P566</f>
        <v>0</v>
      </c>
      <c r="W566" s="79" t="n">
        <v>0</v>
      </c>
      <c r="X566" s="41" t="n">
        <f aca="false">W566/$P566</f>
        <v>0</v>
      </c>
      <c r="Y566" s="94"/>
      <c r="Z566" s="97"/>
    </row>
    <row r="567" customFormat="false" ht="12.8" hidden="false" customHeight="false" outlineLevel="0" collapsed="false">
      <c r="D567" s="25"/>
      <c r="E567" s="109" t="s">
        <v>297</v>
      </c>
      <c r="F567" s="57"/>
      <c r="G567" s="46"/>
      <c r="H567" s="46"/>
      <c r="I567" s="46"/>
      <c r="J567" s="46"/>
      <c r="K567" s="46" t="n">
        <v>15000</v>
      </c>
      <c r="L567" s="46"/>
      <c r="M567" s="46" t="n">
        <v>50000</v>
      </c>
      <c r="N567" s="46"/>
      <c r="O567" s="46"/>
      <c r="P567" s="46" t="n">
        <f aca="false">SUM(K567:O567)</f>
        <v>65000</v>
      </c>
      <c r="Q567" s="46" t="n">
        <v>0</v>
      </c>
      <c r="R567" s="47" t="n">
        <f aca="false">Q567/$P567</f>
        <v>0</v>
      </c>
      <c r="S567" s="46" t="n">
        <v>0</v>
      </c>
      <c r="T567" s="47" t="n">
        <f aca="false">S567/$P567</f>
        <v>0</v>
      </c>
      <c r="U567" s="46" t="n">
        <v>47932.97</v>
      </c>
      <c r="V567" s="47" t="n">
        <f aca="false">U567/$P567</f>
        <v>0.737430307692308</v>
      </c>
      <c r="W567" s="46" t="n">
        <v>49132.97</v>
      </c>
      <c r="X567" s="48" t="n">
        <f aca="false">W567/$P567</f>
        <v>0.755891846153846</v>
      </c>
      <c r="Y567" s="94"/>
      <c r="Z567" s="97"/>
    </row>
    <row r="569" customFormat="false" ht="12.8" hidden="false" customHeight="false" outlineLevel="0" collapsed="false">
      <c r="D569" s="24" t="s">
        <v>298</v>
      </c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customFormat="false" ht="12.8" hidden="false" customHeight="false" outlineLevel="0" collapsed="false">
      <c r="D570" s="106"/>
      <c r="E570" s="5"/>
      <c r="F570" s="5"/>
      <c r="G570" s="5" t="s">
        <v>1</v>
      </c>
      <c r="H570" s="5" t="s">
        <v>2</v>
      </c>
      <c r="I570" s="5" t="s">
        <v>3</v>
      </c>
      <c r="J570" s="5" t="s">
        <v>4</v>
      </c>
      <c r="K570" s="5" t="s">
        <v>5</v>
      </c>
      <c r="L570" s="5" t="s">
        <v>6</v>
      </c>
      <c r="M570" s="5" t="s">
        <v>7</v>
      </c>
      <c r="N570" s="5" t="s">
        <v>8</v>
      </c>
      <c r="O570" s="5" t="s">
        <v>9</v>
      </c>
      <c r="P570" s="5" t="s">
        <v>10</v>
      </c>
      <c r="Q570" s="5" t="s">
        <v>11</v>
      </c>
      <c r="R570" s="5" t="s">
        <v>12</v>
      </c>
      <c r="S570" s="5" t="s">
        <v>13</v>
      </c>
      <c r="T570" s="5" t="s">
        <v>14</v>
      </c>
      <c r="U570" s="5" t="s">
        <v>15</v>
      </c>
      <c r="V570" s="5" t="s">
        <v>16</v>
      </c>
      <c r="W570" s="5" t="s">
        <v>17</v>
      </c>
      <c r="X570" s="5" t="s">
        <v>18</v>
      </c>
      <c r="Y570" s="5" t="s">
        <v>19</v>
      </c>
      <c r="Z570" s="5" t="s">
        <v>20</v>
      </c>
    </row>
    <row r="571" customFormat="false" ht="12.8" hidden="false" customHeight="false" outlineLevel="0" collapsed="false">
      <c r="A571" s="1" t="n">
        <v>8</v>
      </c>
      <c r="B571" s="1" t="n">
        <v>3</v>
      </c>
      <c r="D571" s="107" t="s">
        <v>21</v>
      </c>
      <c r="E571" s="8" t="n">
        <v>41</v>
      </c>
      <c r="F571" s="8" t="s">
        <v>23</v>
      </c>
      <c r="G571" s="9" t="n">
        <f aca="false">SUM(G575:G579)</f>
        <v>18466</v>
      </c>
      <c r="H571" s="9" t="n">
        <f aca="false">SUM(H575:H579)</f>
        <v>0</v>
      </c>
      <c r="I571" s="9" t="n">
        <f aca="false">SUM(I575:I579)</f>
        <v>55000</v>
      </c>
      <c r="J571" s="9" t="n">
        <f aca="false">SUM(J575:J579)</f>
        <v>18600</v>
      </c>
      <c r="K571" s="9" t="n">
        <f aca="false">SUM(K575:K579)</f>
        <v>0</v>
      </c>
      <c r="L571" s="9" t="n">
        <f aca="false">SUM(L575:L579)</f>
        <v>0</v>
      </c>
      <c r="M571" s="9" t="n">
        <f aca="false">SUM(M575:M579)</f>
        <v>0</v>
      </c>
      <c r="N571" s="9" t="n">
        <f aca="false">SUM(N575:N579)</f>
        <v>0</v>
      </c>
      <c r="O571" s="9" t="n">
        <f aca="false">SUM(O575:O579)</f>
        <v>0</v>
      </c>
      <c r="P571" s="9" t="n">
        <f aca="false">SUM(K571:O571)</f>
        <v>0</v>
      </c>
      <c r="Q571" s="9" t="n">
        <f aca="false">SUM(Q575:Q579)</f>
        <v>0</v>
      </c>
      <c r="R571" s="10" t="e">
        <f aca="false">Q571/$P571</f>
        <v>#DIV/0!</v>
      </c>
      <c r="S571" s="9" t="n">
        <f aca="false">SUM(S575:S579)</f>
        <v>0</v>
      </c>
      <c r="T571" s="10" t="e">
        <f aca="false">S571/$P571</f>
        <v>#DIV/0!</v>
      </c>
      <c r="U571" s="9" t="n">
        <f aca="false">SUM(U575:U579)</f>
        <v>0</v>
      </c>
      <c r="V571" s="10" t="e">
        <f aca="false">U571/$P571</f>
        <v>#DIV/0!</v>
      </c>
      <c r="W571" s="9" t="n">
        <f aca="false">SUM(W575:W579)</f>
        <v>0</v>
      </c>
      <c r="X571" s="10" t="e">
        <f aca="false">W571/$P571</f>
        <v>#DIV/0!</v>
      </c>
      <c r="Y571" s="9" t="n">
        <f aca="false">SUM(Y575:Y579)</f>
        <v>279420</v>
      </c>
      <c r="Z571" s="9" t="n">
        <f aca="false">SUM(Z575:Z579)</f>
        <v>0</v>
      </c>
    </row>
    <row r="572" customFormat="false" ht="12.8" hidden="false" customHeight="false" outlineLevel="0" collapsed="false">
      <c r="A572" s="1" t="n">
        <v>8</v>
      </c>
      <c r="B572" s="1" t="n">
        <v>3</v>
      </c>
      <c r="D572" s="14"/>
      <c r="E572" s="15"/>
      <c r="F572" s="11" t="s">
        <v>126</v>
      </c>
      <c r="G572" s="12" t="n">
        <f aca="false">SUM(G571:G571)</f>
        <v>18466</v>
      </c>
      <c r="H572" s="12" t="n">
        <f aca="false">SUM(H571:H571)</f>
        <v>0</v>
      </c>
      <c r="I572" s="12" t="n">
        <f aca="false">SUM(I571:I571)</f>
        <v>55000</v>
      </c>
      <c r="J572" s="12" t="n">
        <f aca="false">SUM(J571:J571)</f>
        <v>18600</v>
      </c>
      <c r="K572" s="12" t="n">
        <f aca="false">SUM(K571:K571)</f>
        <v>0</v>
      </c>
      <c r="L572" s="12" t="n">
        <f aca="false">SUM(L571:L571)</f>
        <v>0</v>
      </c>
      <c r="M572" s="12" t="n">
        <f aca="false">SUM(M571:M571)</f>
        <v>0</v>
      </c>
      <c r="N572" s="12" t="n">
        <f aca="false">SUM(N571:N571)</f>
        <v>0</v>
      </c>
      <c r="O572" s="12" t="n">
        <f aca="false">SUM(O571:O571)</f>
        <v>0</v>
      </c>
      <c r="P572" s="12" t="n">
        <f aca="false">SUM(P571:P571)</f>
        <v>0</v>
      </c>
      <c r="Q572" s="12" t="n">
        <f aca="false">SUM(Q571:Q571)</f>
        <v>0</v>
      </c>
      <c r="R572" s="13" t="e">
        <f aca="false">Q572/$P572</f>
        <v>#DIV/0!</v>
      </c>
      <c r="S572" s="12" t="n">
        <f aca="false">SUM(S571:S571)</f>
        <v>0</v>
      </c>
      <c r="T572" s="13" t="e">
        <f aca="false">S572/$P572</f>
        <v>#DIV/0!</v>
      </c>
      <c r="U572" s="12" t="n">
        <f aca="false">SUM(U571:U571)</f>
        <v>0</v>
      </c>
      <c r="V572" s="13" t="e">
        <f aca="false">U572/$P572</f>
        <v>#DIV/0!</v>
      </c>
      <c r="W572" s="12" t="n">
        <f aca="false">SUM(W571:W571)</f>
        <v>0</v>
      </c>
      <c r="X572" s="13" t="e">
        <f aca="false">W572/$P572</f>
        <v>#DIV/0!</v>
      </c>
      <c r="Y572" s="12" t="n">
        <f aca="false">SUM(Y571:Y571)</f>
        <v>279420</v>
      </c>
      <c r="Z572" s="12" t="n">
        <f aca="false">SUM(Z571:Z571)</f>
        <v>0</v>
      </c>
    </row>
    <row r="574" customFormat="false" ht="12.8" hidden="false" customHeight="false" outlineLevel="0" collapsed="false">
      <c r="D574" s="1" t="s">
        <v>57</v>
      </c>
    </row>
    <row r="575" customFormat="false" ht="12.8" hidden="false" customHeight="false" outlineLevel="0" collapsed="false">
      <c r="D575" s="25" t="s">
        <v>299</v>
      </c>
      <c r="E575" s="91" t="s">
        <v>300</v>
      </c>
      <c r="F575" s="92"/>
      <c r="G575" s="94"/>
      <c r="H575" s="94"/>
      <c r="I575" s="94" t="n">
        <v>55000</v>
      </c>
      <c r="J575" s="94" t="n">
        <v>18600</v>
      </c>
      <c r="K575" s="94"/>
      <c r="L575" s="94"/>
      <c r="M575" s="94"/>
      <c r="N575" s="94"/>
      <c r="O575" s="94"/>
      <c r="P575" s="94" t="n">
        <f aca="false">SUM(K575:O575)</f>
        <v>0</v>
      </c>
      <c r="Q575" s="94" t="n">
        <v>0</v>
      </c>
      <c r="R575" s="95" t="e">
        <f aca="false">Q575/$P575</f>
        <v>#DIV/0!</v>
      </c>
      <c r="S575" s="94" t="n">
        <v>0</v>
      </c>
      <c r="T575" s="95" t="e">
        <f aca="false">S575/$P575</f>
        <v>#DIV/0!</v>
      </c>
      <c r="U575" s="94" t="n">
        <v>0</v>
      </c>
      <c r="V575" s="95" t="e">
        <f aca="false">U575/$P575</f>
        <v>#DIV/0!</v>
      </c>
      <c r="W575" s="94" t="n">
        <v>0</v>
      </c>
      <c r="X575" s="96" t="e">
        <f aca="false">W575/$P575</f>
        <v>#DIV/0!</v>
      </c>
      <c r="Y575" s="94"/>
      <c r="Z575" s="97"/>
    </row>
    <row r="576" customFormat="false" ht="12.8" hidden="false" customHeight="false" outlineLevel="0" collapsed="false">
      <c r="D576" s="25"/>
      <c r="E576" s="91" t="s">
        <v>301</v>
      </c>
      <c r="F576" s="92"/>
      <c r="G576" s="94"/>
      <c r="H576" s="94"/>
      <c r="I576" s="94"/>
      <c r="J576" s="94"/>
      <c r="K576" s="94"/>
      <c r="L576" s="94"/>
      <c r="M576" s="94"/>
      <c r="N576" s="94"/>
      <c r="O576" s="94"/>
      <c r="P576" s="94" t="n">
        <f aca="false">SUM(K576:O576)</f>
        <v>0</v>
      </c>
      <c r="Q576" s="94" t="n">
        <v>0</v>
      </c>
      <c r="R576" s="95" t="e">
        <f aca="false">Q576/$P576</f>
        <v>#DIV/0!</v>
      </c>
      <c r="S576" s="94" t="n">
        <v>0</v>
      </c>
      <c r="T576" s="95" t="e">
        <f aca="false">S576/$P576</f>
        <v>#DIV/0!</v>
      </c>
      <c r="U576" s="94" t="n">
        <v>0</v>
      </c>
      <c r="V576" s="95" t="e">
        <f aca="false">U576/$P576</f>
        <v>#DIV/0!</v>
      </c>
      <c r="W576" s="94" t="n">
        <v>0</v>
      </c>
      <c r="X576" s="96" t="e">
        <f aca="false">W576/$P576</f>
        <v>#DIV/0!</v>
      </c>
      <c r="Y576" s="94"/>
      <c r="Z576" s="97"/>
    </row>
    <row r="577" customFormat="false" ht="12.8" hidden="false" customHeight="false" outlineLevel="0" collapsed="false">
      <c r="D577" s="25"/>
      <c r="E577" s="91" t="s">
        <v>302</v>
      </c>
      <c r="F577" s="92"/>
      <c r="G577" s="94"/>
      <c r="H577" s="94"/>
      <c r="I577" s="94"/>
      <c r="J577" s="94"/>
      <c r="K577" s="94"/>
      <c r="L577" s="94"/>
      <c r="M577" s="94"/>
      <c r="N577" s="94"/>
      <c r="O577" s="94"/>
      <c r="P577" s="94" t="n">
        <f aca="false">SUM(K577:O577)</f>
        <v>0</v>
      </c>
      <c r="Q577" s="94" t="n">
        <v>0</v>
      </c>
      <c r="R577" s="95" t="e">
        <f aca="false">Q577/$P577</f>
        <v>#DIV/0!</v>
      </c>
      <c r="S577" s="94" t="n">
        <v>0</v>
      </c>
      <c r="T577" s="95" t="e">
        <f aca="false">S577/$P577</f>
        <v>#DIV/0!</v>
      </c>
      <c r="U577" s="94" t="n">
        <v>0</v>
      </c>
      <c r="V577" s="95" t="e">
        <f aca="false">U577/$P577</f>
        <v>#DIV/0!</v>
      </c>
      <c r="W577" s="94" t="n">
        <v>0</v>
      </c>
      <c r="X577" s="96" t="e">
        <f aca="false">W577/$P577</f>
        <v>#DIV/0!</v>
      </c>
      <c r="Y577" s="94"/>
      <c r="Z577" s="97"/>
    </row>
    <row r="578" customFormat="false" ht="12.8" hidden="false" customHeight="false" outlineLevel="0" collapsed="false">
      <c r="D578" s="25"/>
      <c r="E578" s="91" t="s">
        <v>303</v>
      </c>
      <c r="F578" s="92"/>
      <c r="G578" s="94"/>
      <c r="H578" s="94"/>
      <c r="I578" s="94"/>
      <c r="J578" s="94"/>
      <c r="K578" s="94"/>
      <c r="L578" s="94"/>
      <c r="M578" s="94"/>
      <c r="N578" s="94"/>
      <c r="O578" s="94"/>
      <c r="P578" s="94" t="n">
        <f aca="false">SUM(K578:O578)</f>
        <v>0</v>
      </c>
      <c r="Q578" s="94" t="n">
        <v>0</v>
      </c>
      <c r="R578" s="95" t="e">
        <f aca="false">Q578/$P578</f>
        <v>#DIV/0!</v>
      </c>
      <c r="S578" s="94" t="n">
        <v>0</v>
      </c>
      <c r="T578" s="95" t="e">
        <f aca="false">S578/$P578</f>
        <v>#DIV/0!</v>
      </c>
      <c r="U578" s="94" t="n">
        <v>0</v>
      </c>
      <c r="V578" s="95" t="e">
        <f aca="false">U578/$P578</f>
        <v>#DIV/0!</v>
      </c>
      <c r="W578" s="94" t="n">
        <v>0</v>
      </c>
      <c r="X578" s="96" t="e">
        <f aca="false">W578/$P578</f>
        <v>#DIV/0!</v>
      </c>
      <c r="Y578" s="94" t="n">
        <v>279420</v>
      </c>
      <c r="Z578" s="97"/>
    </row>
    <row r="579" customFormat="false" ht="12.8" hidden="false" customHeight="false" outlineLevel="0" collapsed="false">
      <c r="D579" s="25"/>
      <c r="E579" s="91" t="s">
        <v>304</v>
      </c>
      <c r="F579" s="92"/>
      <c r="G579" s="94" t="n">
        <v>18466</v>
      </c>
      <c r="H579" s="94"/>
      <c r="I579" s="94"/>
      <c r="J579" s="94"/>
      <c r="K579" s="94"/>
      <c r="L579" s="94"/>
      <c r="M579" s="94"/>
      <c r="N579" s="94"/>
      <c r="O579" s="94"/>
      <c r="P579" s="94" t="n">
        <f aca="false">SUM(K579:O579)</f>
        <v>0</v>
      </c>
      <c r="Q579" s="94" t="n">
        <v>0</v>
      </c>
      <c r="R579" s="95" t="e">
        <f aca="false">Q579/$P579</f>
        <v>#DIV/0!</v>
      </c>
      <c r="S579" s="94" t="n">
        <v>0</v>
      </c>
      <c r="T579" s="95" t="e">
        <f aca="false">S579/$P579</f>
        <v>#DIV/0!</v>
      </c>
      <c r="U579" s="94" t="n">
        <v>0</v>
      </c>
      <c r="V579" s="95" t="e">
        <f aca="false">U579/$P579</f>
        <v>#DIV/0!</v>
      </c>
      <c r="W579" s="94" t="n">
        <v>0</v>
      </c>
      <c r="X579" s="96" t="e">
        <f aca="false">W579/$P579</f>
        <v>#DIV/0!</v>
      </c>
      <c r="Y579" s="94"/>
      <c r="Z579" s="97"/>
    </row>
    <row r="581" customFormat="false" ht="12.8" hidden="false" customHeight="false" outlineLevel="0" collapsed="false">
      <c r="D581" s="24" t="s">
        <v>305</v>
      </c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customFormat="false" ht="12.8" hidden="false" customHeight="false" outlineLevel="0" collapsed="false">
      <c r="D582" s="106"/>
      <c r="E582" s="5"/>
      <c r="F582" s="5"/>
      <c r="G582" s="5" t="s">
        <v>1</v>
      </c>
      <c r="H582" s="5" t="s">
        <v>2</v>
      </c>
      <c r="I582" s="5" t="s">
        <v>3</v>
      </c>
      <c r="J582" s="5" t="s">
        <v>4</v>
      </c>
      <c r="K582" s="5" t="s">
        <v>5</v>
      </c>
      <c r="L582" s="5" t="s">
        <v>6</v>
      </c>
      <c r="M582" s="5" t="s">
        <v>7</v>
      </c>
      <c r="N582" s="5" t="s">
        <v>8</v>
      </c>
      <c r="O582" s="5" t="s">
        <v>9</v>
      </c>
      <c r="P582" s="5" t="s">
        <v>10</v>
      </c>
      <c r="Q582" s="5" t="s">
        <v>11</v>
      </c>
      <c r="R582" s="5" t="s">
        <v>12</v>
      </c>
      <c r="S582" s="5" t="s">
        <v>13</v>
      </c>
      <c r="T582" s="5" t="s">
        <v>14</v>
      </c>
      <c r="U582" s="5" t="s">
        <v>15</v>
      </c>
      <c r="V582" s="5" t="s">
        <v>16</v>
      </c>
      <c r="W582" s="5" t="s">
        <v>17</v>
      </c>
      <c r="X582" s="5" t="s">
        <v>18</v>
      </c>
      <c r="Y582" s="5" t="s">
        <v>19</v>
      </c>
      <c r="Z582" s="5" t="s">
        <v>20</v>
      </c>
    </row>
    <row r="583" customFormat="false" ht="12.8" hidden="false" customHeight="false" outlineLevel="0" collapsed="false">
      <c r="D583" s="107" t="s">
        <v>21</v>
      </c>
      <c r="E583" s="8" t="n">
        <v>111</v>
      </c>
      <c r="F583" s="8" t="s">
        <v>47</v>
      </c>
      <c r="G583" s="9" t="n">
        <f aca="false">SUM(G587:G587)</f>
        <v>0</v>
      </c>
      <c r="H583" s="9" t="n">
        <v>0</v>
      </c>
      <c r="I583" s="9" t="n">
        <v>888000</v>
      </c>
      <c r="J583" s="9" t="n">
        <v>282834</v>
      </c>
      <c r="K583" s="9" t="n">
        <v>605166</v>
      </c>
      <c r="L583" s="9"/>
      <c r="M583" s="9" t="n">
        <v>137658</v>
      </c>
      <c r="N583" s="9" t="n">
        <v>-106377</v>
      </c>
      <c r="O583" s="9"/>
      <c r="P583" s="9" t="n">
        <f aca="false">SUM(K583:O583)</f>
        <v>636447</v>
      </c>
      <c r="Q583" s="9" t="n">
        <v>0</v>
      </c>
      <c r="R583" s="10" t="n">
        <f aca="false">Q583/$P583</f>
        <v>0</v>
      </c>
      <c r="S583" s="9" t="n">
        <v>137657.39</v>
      </c>
      <c r="T583" s="10" t="n">
        <f aca="false">S583/$P583</f>
        <v>0.216290421669047</v>
      </c>
      <c r="U583" s="9" t="n">
        <v>636446.24</v>
      </c>
      <c r="V583" s="10" t="n">
        <f aca="false">U583/$P583</f>
        <v>0.999998805870717</v>
      </c>
      <c r="W583" s="9" t="n">
        <v>636446.24</v>
      </c>
      <c r="X583" s="10" t="n">
        <f aca="false">W583/$P583</f>
        <v>0.999998805870717</v>
      </c>
      <c r="Y583" s="9" t="n">
        <f aca="false">SUM(Y587:Y587)</f>
        <v>0</v>
      </c>
      <c r="Z583" s="9" t="n">
        <f aca="false">SUM(Z587:Z587)</f>
        <v>0</v>
      </c>
    </row>
    <row r="584" customFormat="false" ht="12.8" hidden="false" customHeight="false" outlineLevel="0" collapsed="false">
      <c r="A584" s="1" t="n">
        <v>8</v>
      </c>
      <c r="B584" s="1" t="n">
        <v>4</v>
      </c>
      <c r="D584" s="107" t="s">
        <v>21</v>
      </c>
      <c r="E584" s="8" t="n">
        <v>41</v>
      </c>
      <c r="F584" s="8" t="s">
        <v>23</v>
      </c>
      <c r="G584" s="9" t="n">
        <f aca="false">SUM(G588:G588)</f>
        <v>8528</v>
      </c>
      <c r="H584" s="9" t="n">
        <f aca="false">SUM(H588:H588)</f>
        <v>5790</v>
      </c>
      <c r="I584" s="9" t="n">
        <f aca="false">SUM(I588:I591)-I583</f>
        <v>60000</v>
      </c>
      <c r="J584" s="9" t="n">
        <f aca="false">SUM(J588:J591)-J583</f>
        <v>17366</v>
      </c>
      <c r="K584" s="9" t="n">
        <f aca="false">SUM(K588:K592)-K583</f>
        <v>78000</v>
      </c>
      <c r="L584" s="9" t="n">
        <f aca="false">SUM(L588:L592)-L583</f>
        <v>0</v>
      </c>
      <c r="M584" s="9" t="n">
        <f aca="false">SUM(M588:M592)-M583</f>
        <v>42245</v>
      </c>
      <c r="N584" s="9" t="n">
        <f aca="false">SUM(N588:N592)-N583</f>
        <v>-62542</v>
      </c>
      <c r="O584" s="9" t="n">
        <f aca="false">SUM(O588:O592)-O583</f>
        <v>0</v>
      </c>
      <c r="P584" s="9" t="n">
        <f aca="false">SUM(K584:O584)</f>
        <v>57703</v>
      </c>
      <c r="Q584" s="9" t="n">
        <f aca="false">SUM(Q588:Q592)-Q583</f>
        <v>6206.23</v>
      </c>
      <c r="R584" s="10" t="n">
        <f aca="false">Q584/$P584</f>
        <v>0.107554719858586</v>
      </c>
      <c r="S584" s="9" t="n">
        <f aca="false">SUM(S588:S592)-S583</f>
        <v>16234.73</v>
      </c>
      <c r="T584" s="10" t="n">
        <f aca="false">S584/$P584</f>
        <v>0.281349843162401</v>
      </c>
      <c r="U584" s="9" t="n">
        <f aca="false">SUM(U588:U592)-U583</f>
        <v>42486.76</v>
      </c>
      <c r="V584" s="10" t="n">
        <f aca="false">U584/$P584</f>
        <v>0.736300712267993</v>
      </c>
      <c r="W584" s="9" t="n">
        <f aca="false">SUM(W588:W592)-W583</f>
        <v>42486.76</v>
      </c>
      <c r="X584" s="10" t="n">
        <f aca="false">W584/$P584</f>
        <v>0.736300712267993</v>
      </c>
      <c r="Y584" s="9" t="n">
        <f aca="false">SUM(Y588:Y588)</f>
        <v>0</v>
      </c>
      <c r="Z584" s="9" t="n">
        <f aca="false">SUM(Z588:Z588)</f>
        <v>0</v>
      </c>
    </row>
    <row r="585" customFormat="false" ht="12.8" hidden="false" customHeight="false" outlineLevel="0" collapsed="false">
      <c r="A585" s="1" t="n">
        <v>8</v>
      </c>
      <c r="B585" s="1" t="n">
        <v>4</v>
      </c>
      <c r="D585" s="14"/>
      <c r="E585" s="15"/>
      <c r="F585" s="11" t="s">
        <v>126</v>
      </c>
      <c r="G585" s="12" t="n">
        <f aca="false">SUM(G583:G584)</f>
        <v>8528</v>
      </c>
      <c r="H585" s="12" t="n">
        <f aca="false">SUM(H583:H584)</f>
        <v>5790</v>
      </c>
      <c r="I585" s="12" t="n">
        <f aca="false">SUM(I583:I584)</f>
        <v>948000</v>
      </c>
      <c r="J585" s="12" t="n">
        <f aca="false">SUM(J583:J584)</f>
        <v>300200</v>
      </c>
      <c r="K585" s="12" t="n">
        <f aca="false">SUM(K583:K584)</f>
        <v>683166</v>
      </c>
      <c r="L585" s="12" t="n">
        <f aca="false">SUM(L583:L584)</f>
        <v>0</v>
      </c>
      <c r="M585" s="12" t="n">
        <f aca="false">SUM(M583:M584)</f>
        <v>179903</v>
      </c>
      <c r="N585" s="12" t="n">
        <f aca="false">SUM(N583:N584)</f>
        <v>-168919</v>
      </c>
      <c r="O585" s="12" t="n">
        <f aca="false">SUM(O583:O584)</f>
        <v>0</v>
      </c>
      <c r="P585" s="12" t="n">
        <f aca="false">SUM(P583:P584)</f>
        <v>694150</v>
      </c>
      <c r="Q585" s="12" t="n">
        <f aca="false">SUM(Q583:Q584)</f>
        <v>6206.23</v>
      </c>
      <c r="R585" s="13" t="n">
        <f aca="false">Q585/$P585</f>
        <v>0.00894076208312324</v>
      </c>
      <c r="S585" s="12" t="n">
        <f aca="false">SUM(S583:S584)</f>
        <v>153892.12</v>
      </c>
      <c r="T585" s="13" t="n">
        <f aca="false">S585/$P585</f>
        <v>0.221698653028884</v>
      </c>
      <c r="U585" s="12" t="n">
        <f aca="false">SUM(U583:U584)</f>
        <v>678933</v>
      </c>
      <c r="V585" s="13" t="n">
        <f aca="false">U585/$P585</f>
        <v>0.978078225167471</v>
      </c>
      <c r="W585" s="12" t="n">
        <f aca="false">SUM(W583:W584)</f>
        <v>678933</v>
      </c>
      <c r="X585" s="13" t="n">
        <f aca="false">W585/$P585</f>
        <v>0.978078225167471</v>
      </c>
      <c r="Y585" s="12" t="n">
        <f aca="false">SUM(Y584:Y584)</f>
        <v>0</v>
      </c>
      <c r="Z585" s="12" t="n">
        <f aca="false">SUM(Z584:Z584)</f>
        <v>0</v>
      </c>
    </row>
    <row r="587" customFormat="false" ht="12.8" hidden="false" customHeight="false" outlineLevel="0" collapsed="false">
      <c r="D587" s="1" t="s">
        <v>57</v>
      </c>
    </row>
    <row r="588" customFormat="false" ht="12.8" hidden="false" customHeight="false" outlineLevel="0" collapsed="false">
      <c r="D588" s="25" t="s">
        <v>306</v>
      </c>
      <c r="E588" s="32" t="s">
        <v>91</v>
      </c>
      <c r="F588" s="14"/>
      <c r="G588" s="33" t="n">
        <v>8528</v>
      </c>
      <c r="H588" s="33" t="n">
        <v>5790</v>
      </c>
      <c r="I588" s="33" t="n">
        <f aca="false">888000+50000</f>
        <v>938000</v>
      </c>
      <c r="J588" s="33" t="n">
        <v>300200</v>
      </c>
      <c r="K588" s="33" t="n">
        <f aca="false">príjmy!H113+45000</f>
        <v>650166</v>
      </c>
      <c r="L588" s="33" t="n">
        <f aca="false">10000-276</f>
        <v>9724</v>
      </c>
      <c r="M588" s="33" t="n">
        <v>35000</v>
      </c>
      <c r="N588" s="33" t="n">
        <v>-168919</v>
      </c>
      <c r="O588" s="33"/>
      <c r="P588" s="33" t="n">
        <f aca="false">SUM(K588:O588)</f>
        <v>525971</v>
      </c>
      <c r="Q588" s="33" t="n">
        <v>930</v>
      </c>
      <c r="R588" s="34" t="n">
        <f aca="false">Q588/$P588</f>
        <v>0.00176815832051577</v>
      </c>
      <c r="S588" s="33" t="n">
        <v>930</v>
      </c>
      <c r="T588" s="34" t="n">
        <f aca="false">S588/$P588</f>
        <v>0.00176815832051577</v>
      </c>
      <c r="U588" s="33" t="n">
        <v>525970.88</v>
      </c>
      <c r="V588" s="34" t="n">
        <f aca="false">U588/$P588</f>
        <v>0.999999771850539</v>
      </c>
      <c r="W588" s="33" t="n">
        <v>525970.88</v>
      </c>
      <c r="X588" s="35" t="n">
        <f aca="false">W588/$P588</f>
        <v>0.999999771850539</v>
      </c>
      <c r="Y588" s="33"/>
      <c r="Z588" s="36"/>
    </row>
    <row r="589" customFormat="false" ht="12.8" hidden="false" customHeight="false" outlineLevel="0" collapsed="false">
      <c r="D589" s="25" t="s">
        <v>306</v>
      </c>
      <c r="E589" s="37" t="s">
        <v>307</v>
      </c>
      <c r="F589" s="78"/>
      <c r="G589" s="79"/>
      <c r="H589" s="79"/>
      <c r="I589" s="79"/>
      <c r="J589" s="79"/>
      <c r="K589" s="79" t="n">
        <v>15000</v>
      </c>
      <c r="L589" s="79" t="n">
        <v>276</v>
      </c>
      <c r="M589" s="79" t="n">
        <v>-10000</v>
      </c>
      <c r="N589" s="79"/>
      <c r="O589" s="79"/>
      <c r="P589" s="79" t="n">
        <f aca="false">SUM(K589:O589)</f>
        <v>5276</v>
      </c>
      <c r="Q589" s="79" t="n">
        <v>5276.23</v>
      </c>
      <c r="R589" s="40" t="n">
        <f aca="false">Q589/$P589</f>
        <v>1.00004359363154</v>
      </c>
      <c r="S589" s="79" t="n">
        <v>5276.23</v>
      </c>
      <c r="T589" s="40" t="n">
        <f aca="false">S589/$P589</f>
        <v>1.00004359363154</v>
      </c>
      <c r="U589" s="79" t="n">
        <v>5276.23</v>
      </c>
      <c r="V589" s="40" t="n">
        <f aca="false">U589/$P589</f>
        <v>1.00004359363154</v>
      </c>
      <c r="W589" s="79" t="n">
        <v>5276.23</v>
      </c>
      <c r="X589" s="41" t="n">
        <f aca="false">W589/$P589</f>
        <v>1.00004359363154</v>
      </c>
      <c r="Y589" s="79"/>
      <c r="Z589" s="42"/>
    </row>
    <row r="590" customFormat="false" ht="12.8" hidden="false" customHeight="false" outlineLevel="0" collapsed="false">
      <c r="D590" s="25" t="s">
        <v>306</v>
      </c>
      <c r="E590" s="37" t="s">
        <v>308</v>
      </c>
      <c r="F590" s="78"/>
      <c r="G590" s="79"/>
      <c r="H590" s="79"/>
      <c r="I590" s="79" t="n">
        <v>10000</v>
      </c>
      <c r="J590" s="79"/>
      <c r="K590" s="79" t="n">
        <v>10000</v>
      </c>
      <c r="L590" s="79" t="n">
        <v>-10000</v>
      </c>
      <c r="M590" s="79"/>
      <c r="N590" s="79"/>
      <c r="O590" s="79"/>
      <c r="P590" s="79" t="n">
        <f aca="false">SUM(K590:O590)</f>
        <v>0</v>
      </c>
      <c r="Q590" s="79" t="n">
        <v>0</v>
      </c>
      <c r="R590" s="40" t="e">
        <f aca="false">Q590/$P590</f>
        <v>#DIV/0!</v>
      </c>
      <c r="S590" s="79" t="n">
        <v>0</v>
      </c>
      <c r="T590" s="40" t="e">
        <f aca="false">S590/$P590</f>
        <v>#DIV/0!</v>
      </c>
      <c r="U590" s="79" t="n">
        <v>0</v>
      </c>
      <c r="V590" s="40" t="e">
        <f aca="false">U590/$P590</f>
        <v>#DIV/0!</v>
      </c>
      <c r="W590" s="79" t="n">
        <v>0</v>
      </c>
      <c r="X590" s="41" t="e">
        <f aca="false">W590/$P590</f>
        <v>#DIV/0!</v>
      </c>
      <c r="Y590" s="79"/>
      <c r="Z590" s="42"/>
    </row>
    <row r="591" customFormat="false" ht="12.8" hidden="false" customHeight="false" outlineLevel="0" collapsed="false">
      <c r="D591" s="25" t="s">
        <v>306</v>
      </c>
      <c r="E591" s="44" t="s">
        <v>309</v>
      </c>
      <c r="F591" s="57"/>
      <c r="G591" s="46"/>
      <c r="H591" s="46"/>
      <c r="I591" s="46"/>
      <c r="J591" s="46"/>
      <c r="K591" s="46" t="n">
        <v>8000</v>
      </c>
      <c r="L591" s="46"/>
      <c r="M591" s="46" t="n">
        <v>10000</v>
      </c>
      <c r="N591" s="46"/>
      <c r="O591" s="46"/>
      <c r="P591" s="46" t="n">
        <f aca="false">SUM(K591:O591)</f>
        <v>18000</v>
      </c>
      <c r="Q591" s="46" t="n">
        <v>0</v>
      </c>
      <c r="R591" s="47" t="n">
        <f aca="false">Q591/$P591</f>
        <v>0</v>
      </c>
      <c r="S591" s="46" t="n">
        <v>2783.37</v>
      </c>
      <c r="T591" s="47" t="n">
        <f aca="false">S591/$P591</f>
        <v>0.154631666666667</v>
      </c>
      <c r="U591" s="46" t="n">
        <v>2783.37</v>
      </c>
      <c r="V591" s="47" t="n">
        <f aca="false">U591/$P591</f>
        <v>0.154631666666667</v>
      </c>
      <c r="W591" s="46" t="n">
        <v>2783.37</v>
      </c>
      <c r="X591" s="48" t="n">
        <f aca="false">W591/$P591</f>
        <v>0.154631666666667</v>
      </c>
      <c r="Y591" s="46"/>
      <c r="Z591" s="49"/>
    </row>
    <row r="592" customFormat="false" ht="12.8" hidden="false" customHeight="false" outlineLevel="0" collapsed="false">
      <c r="D592" s="25" t="s">
        <v>306</v>
      </c>
      <c r="E592" s="44" t="s">
        <v>197</v>
      </c>
      <c r="F592" s="57"/>
      <c r="G592" s="46"/>
      <c r="H592" s="46"/>
      <c r="I592" s="46"/>
      <c r="J592" s="46"/>
      <c r="K592" s="46" t="n">
        <v>0</v>
      </c>
      <c r="L592" s="46"/>
      <c r="M592" s="46" t="n">
        <v>144903</v>
      </c>
      <c r="N592" s="46"/>
      <c r="O592" s="46"/>
      <c r="P592" s="46" t="n">
        <f aca="false">SUM(K592:O592)</f>
        <v>144903</v>
      </c>
      <c r="Q592" s="46" t="n">
        <v>0</v>
      </c>
      <c r="R592" s="47" t="n">
        <f aca="false">Q592/$P592</f>
        <v>0</v>
      </c>
      <c r="S592" s="46" t="n">
        <v>144902.52</v>
      </c>
      <c r="T592" s="47" t="n">
        <f aca="false">S592/$P592</f>
        <v>0.999996687439183</v>
      </c>
      <c r="U592" s="46" t="n">
        <v>144902.52</v>
      </c>
      <c r="V592" s="47" t="n">
        <f aca="false">U592/$P592</f>
        <v>0.999996687439183</v>
      </c>
      <c r="W592" s="46" t="n">
        <v>144902.52</v>
      </c>
      <c r="X592" s="48" t="n">
        <f aca="false">W592/$P592</f>
        <v>0.999996687439183</v>
      </c>
      <c r="Y592" s="46"/>
      <c r="Z592" s="49"/>
    </row>
    <row r="594" customFormat="false" ht="12.8" hidden="false" customHeight="false" outlineLevel="0" collapsed="false">
      <c r="D594" s="24" t="s">
        <v>310</v>
      </c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customFormat="false" ht="12.8" hidden="false" customHeight="false" outlineLevel="0" collapsed="false">
      <c r="D595" s="106"/>
      <c r="E595" s="5"/>
      <c r="F595" s="5"/>
      <c r="G595" s="5" t="s">
        <v>1</v>
      </c>
      <c r="H595" s="5" t="s">
        <v>2</v>
      </c>
      <c r="I595" s="5" t="s">
        <v>3</v>
      </c>
      <c r="J595" s="5" t="s">
        <v>4</v>
      </c>
      <c r="K595" s="5" t="s">
        <v>5</v>
      </c>
      <c r="L595" s="5" t="s">
        <v>6</v>
      </c>
      <c r="M595" s="5" t="s">
        <v>7</v>
      </c>
      <c r="N595" s="5" t="s">
        <v>8</v>
      </c>
      <c r="O595" s="5" t="s">
        <v>9</v>
      </c>
      <c r="P595" s="5" t="s">
        <v>10</v>
      </c>
      <c r="Q595" s="5" t="s">
        <v>11</v>
      </c>
      <c r="R595" s="5" t="s">
        <v>12</v>
      </c>
      <c r="S595" s="5" t="s">
        <v>13</v>
      </c>
      <c r="T595" s="5" t="s">
        <v>14</v>
      </c>
      <c r="U595" s="5" t="s">
        <v>15</v>
      </c>
      <c r="V595" s="5" t="s">
        <v>16</v>
      </c>
      <c r="W595" s="5" t="s">
        <v>17</v>
      </c>
      <c r="X595" s="5" t="s">
        <v>18</v>
      </c>
      <c r="Y595" s="5" t="s">
        <v>19</v>
      </c>
      <c r="Z595" s="5" t="s">
        <v>20</v>
      </c>
    </row>
    <row r="596" customFormat="false" ht="12.8" hidden="false" customHeight="false" outlineLevel="0" collapsed="false">
      <c r="A596" s="1" t="n">
        <v>8</v>
      </c>
      <c r="B596" s="1" t="n">
        <v>5</v>
      </c>
      <c r="D596" s="25" t="s">
        <v>21</v>
      </c>
      <c r="E596" s="8" t="n">
        <v>111</v>
      </c>
      <c r="F596" s="8" t="s">
        <v>47</v>
      </c>
      <c r="G596" s="9" t="n">
        <f aca="false">G613</f>
        <v>0</v>
      </c>
      <c r="H596" s="9" t="n">
        <v>0</v>
      </c>
      <c r="I596" s="9" t="n">
        <v>30000</v>
      </c>
      <c r="J596" s="9" t="n">
        <v>30000</v>
      </c>
      <c r="K596" s="9" t="n">
        <v>0</v>
      </c>
      <c r="L596" s="9"/>
      <c r="M596" s="9"/>
      <c r="N596" s="9"/>
      <c r="O596" s="9"/>
      <c r="P596" s="9" t="n">
        <f aca="false">SUM(K596:O596)</f>
        <v>0</v>
      </c>
      <c r="Q596" s="9" t="n">
        <v>0</v>
      </c>
      <c r="R596" s="10" t="e">
        <f aca="false">Q596/$P596</f>
        <v>#DIV/0!</v>
      </c>
      <c r="S596" s="9" t="n">
        <v>0</v>
      </c>
      <c r="T596" s="10" t="e">
        <f aca="false">S596/$P596</f>
        <v>#DIV/0!</v>
      </c>
      <c r="U596" s="9" t="n">
        <v>0</v>
      </c>
      <c r="V596" s="10" t="e">
        <f aca="false">U596/$P596</f>
        <v>#DIV/0!</v>
      </c>
      <c r="W596" s="9" t="n">
        <v>0</v>
      </c>
      <c r="X596" s="10" t="e">
        <f aca="false">W596/$P596</f>
        <v>#DIV/0!</v>
      </c>
      <c r="Y596" s="9" t="n">
        <f aca="false">Y609</f>
        <v>0</v>
      </c>
      <c r="Z596" s="9" t="n">
        <v>0</v>
      </c>
    </row>
    <row r="597" customFormat="false" ht="12.8" hidden="false" customHeight="false" outlineLevel="0" collapsed="false">
      <c r="A597" s="1" t="n">
        <v>8</v>
      </c>
      <c r="B597" s="1" t="n">
        <v>5</v>
      </c>
      <c r="D597" s="25"/>
      <c r="E597" s="8" t="n">
        <v>41</v>
      </c>
      <c r="F597" s="8" t="s">
        <v>23</v>
      </c>
      <c r="G597" s="9" t="n">
        <f aca="false">SUM(G601:G613)</f>
        <v>107956.32</v>
      </c>
      <c r="H597" s="9" t="n">
        <f aca="false">SUM(H601:H613)</f>
        <v>103975.49</v>
      </c>
      <c r="I597" s="9" t="n">
        <f aca="false">SUM(I601:I613)-I596</f>
        <v>261000</v>
      </c>
      <c r="J597" s="9" t="n">
        <f aca="false">SUM(J601:J613)-J596</f>
        <v>227464.27</v>
      </c>
      <c r="K597" s="9" t="n">
        <f aca="false">SUM(K601:K613)-K596</f>
        <v>52000</v>
      </c>
      <c r="L597" s="9" t="n">
        <f aca="false">SUM(L601:L613)-L596</f>
        <v>0</v>
      </c>
      <c r="M597" s="9" t="n">
        <f aca="false">SUM(M601:M613)-M596</f>
        <v>2500</v>
      </c>
      <c r="N597" s="9" t="n">
        <f aca="false">SUM(N601:N613)-N596</f>
        <v>2740</v>
      </c>
      <c r="O597" s="9" t="n">
        <f aca="false">SUM(O601:O613)-O596</f>
        <v>0</v>
      </c>
      <c r="P597" s="9" t="n">
        <f aca="false">SUM(K597:O597)</f>
        <v>57240</v>
      </c>
      <c r="Q597" s="9" t="n">
        <f aca="false">SUM(Q601:Q613)-Q596</f>
        <v>1500</v>
      </c>
      <c r="R597" s="10" t="n">
        <f aca="false">Q597/$P597</f>
        <v>0.0262054507337526</v>
      </c>
      <c r="S597" s="9" t="n">
        <f aca="false">SUM(S601:S613)-S596</f>
        <v>1500</v>
      </c>
      <c r="T597" s="10" t="n">
        <f aca="false">S597/$P597</f>
        <v>0.0262054507337526</v>
      </c>
      <c r="U597" s="9" t="n">
        <f aca="false">SUM(U601:U613)-U596</f>
        <v>1500</v>
      </c>
      <c r="V597" s="10" t="n">
        <f aca="false">U597/$P597</f>
        <v>0.0262054507337526</v>
      </c>
      <c r="W597" s="9" t="n">
        <f aca="false">SUM(W601:W613)-W596</f>
        <v>39300</v>
      </c>
      <c r="X597" s="10" t="n">
        <f aca="false">W597/$P597</f>
        <v>0.686582809224319</v>
      </c>
      <c r="Y597" s="9" t="n">
        <f aca="false">SUM(Y601:Y613)</f>
        <v>0</v>
      </c>
      <c r="Z597" s="9" t="n">
        <f aca="false">SUM(Z601:Z613)</f>
        <v>236995</v>
      </c>
    </row>
    <row r="598" customFormat="false" ht="12.8" hidden="false" customHeight="false" outlineLevel="0" collapsed="false">
      <c r="D598" s="14"/>
      <c r="E598" s="15"/>
      <c r="F598" s="11" t="s">
        <v>126</v>
      </c>
      <c r="G598" s="12" t="n">
        <f aca="false">SUM(G596:G597)</f>
        <v>107956.32</v>
      </c>
      <c r="H598" s="12" t="n">
        <f aca="false">SUM(H596:H597)</f>
        <v>103975.49</v>
      </c>
      <c r="I598" s="12" t="n">
        <f aca="false">SUM(I596:I597)</f>
        <v>291000</v>
      </c>
      <c r="J598" s="12" t="n">
        <f aca="false">SUM(J596:J597)</f>
        <v>257464.27</v>
      </c>
      <c r="K598" s="12" t="n">
        <f aca="false">SUM(K596:K597)</f>
        <v>52000</v>
      </c>
      <c r="L598" s="12" t="n">
        <f aca="false">SUM(L596:L597)</f>
        <v>0</v>
      </c>
      <c r="M598" s="12" t="n">
        <f aca="false">SUM(M596:M597)</f>
        <v>2500</v>
      </c>
      <c r="N598" s="12" t="n">
        <f aca="false">SUM(N596:N597)</f>
        <v>2740</v>
      </c>
      <c r="O598" s="12" t="n">
        <f aca="false">SUM(O596:O597)</f>
        <v>0</v>
      </c>
      <c r="P598" s="12" t="n">
        <f aca="false">SUM(P596:P597)</f>
        <v>57240</v>
      </c>
      <c r="Q598" s="12" t="n">
        <f aca="false">SUM(Q596:Q597)</f>
        <v>1500</v>
      </c>
      <c r="R598" s="13" t="n">
        <f aca="false">Q598/$P598</f>
        <v>0.0262054507337526</v>
      </c>
      <c r="S598" s="12" t="n">
        <f aca="false">SUM(S596:S597)</f>
        <v>1500</v>
      </c>
      <c r="T598" s="13" t="n">
        <f aca="false">S598/$P598</f>
        <v>0.0262054507337526</v>
      </c>
      <c r="U598" s="12" t="n">
        <f aca="false">SUM(U596:U597)</f>
        <v>1500</v>
      </c>
      <c r="V598" s="13" t="n">
        <f aca="false">U598/$P598</f>
        <v>0.0262054507337526</v>
      </c>
      <c r="W598" s="12" t="n">
        <f aca="false">SUM(W596:W597)</f>
        <v>39300</v>
      </c>
      <c r="X598" s="13" t="n">
        <f aca="false">W598/$P598</f>
        <v>0.686582809224319</v>
      </c>
      <c r="Y598" s="12" t="n">
        <f aca="false">SUM(Y596:Y597)</f>
        <v>0</v>
      </c>
      <c r="Z598" s="12" t="n">
        <f aca="false">SUM(Z596:Z597)</f>
        <v>236995</v>
      </c>
    </row>
    <row r="600" customFormat="false" ht="12.8" hidden="false" customHeight="false" outlineLevel="0" collapsed="false">
      <c r="D600" s="1" t="s">
        <v>57</v>
      </c>
    </row>
    <row r="601" customFormat="false" ht="12.8" hidden="false" customHeight="false" outlineLevel="0" collapsed="false">
      <c r="D601" s="25" t="s">
        <v>311</v>
      </c>
      <c r="E601" s="91" t="s">
        <v>312</v>
      </c>
      <c r="F601" s="92"/>
      <c r="G601" s="94" t="n">
        <v>28371.62</v>
      </c>
      <c r="H601" s="94" t="n">
        <v>12370.62</v>
      </c>
      <c r="I601" s="94" t="n">
        <v>155000</v>
      </c>
      <c r="J601" s="94" t="n">
        <v>151025.6</v>
      </c>
      <c r="K601" s="94"/>
      <c r="L601" s="94"/>
      <c r="M601" s="94"/>
      <c r="N601" s="94"/>
      <c r="O601" s="94"/>
      <c r="P601" s="94" t="n">
        <f aca="false">SUM(K601:O601)</f>
        <v>0</v>
      </c>
      <c r="Q601" s="94" t="n">
        <v>0</v>
      </c>
      <c r="R601" s="95" t="e">
        <f aca="false">Q601/$P601</f>
        <v>#DIV/0!</v>
      </c>
      <c r="S601" s="94" t="n">
        <v>0</v>
      </c>
      <c r="T601" s="95" t="e">
        <f aca="false">S601/$P601</f>
        <v>#DIV/0!</v>
      </c>
      <c r="U601" s="94" t="n">
        <v>0</v>
      </c>
      <c r="V601" s="95" t="e">
        <f aca="false">U601/$P601</f>
        <v>#DIV/0!</v>
      </c>
      <c r="W601" s="94" t="n">
        <v>0</v>
      </c>
      <c r="X601" s="96" t="e">
        <f aca="false">W601/$P601</f>
        <v>#DIV/0!</v>
      </c>
      <c r="Y601" s="94"/>
      <c r="Z601" s="97"/>
    </row>
    <row r="602" customFormat="false" ht="12.8" hidden="false" customHeight="false" outlineLevel="0" collapsed="false">
      <c r="D602" s="25"/>
      <c r="E602" s="91" t="s">
        <v>313</v>
      </c>
      <c r="F602" s="92"/>
      <c r="G602" s="94"/>
      <c r="H602" s="94"/>
      <c r="I602" s="94"/>
      <c r="J602" s="94"/>
      <c r="K602" s="94" t="n">
        <v>10000</v>
      </c>
      <c r="L602" s="94"/>
      <c r="M602" s="94"/>
      <c r="N602" s="94"/>
      <c r="O602" s="94"/>
      <c r="P602" s="94" t="n">
        <f aca="false">SUM(K602:O602)</f>
        <v>10000</v>
      </c>
      <c r="Q602" s="94" t="n">
        <v>0</v>
      </c>
      <c r="R602" s="95" t="n">
        <f aca="false">Q602/$P602</f>
        <v>0</v>
      </c>
      <c r="S602" s="94" t="n">
        <v>0</v>
      </c>
      <c r="T602" s="95" t="n">
        <f aca="false">S602/$P602</f>
        <v>0</v>
      </c>
      <c r="U602" s="94" t="n">
        <v>0</v>
      </c>
      <c r="V602" s="95" t="n">
        <f aca="false">U602/$P602</f>
        <v>0</v>
      </c>
      <c r="W602" s="94" t="n">
        <v>0</v>
      </c>
      <c r="X602" s="96" t="n">
        <f aca="false">W602/$P602</f>
        <v>0</v>
      </c>
      <c r="Y602" s="94"/>
      <c r="Z602" s="97"/>
    </row>
    <row r="603" customFormat="false" ht="12.8" hidden="false" customHeight="false" outlineLevel="0" collapsed="false">
      <c r="D603" s="25" t="s">
        <v>314</v>
      </c>
      <c r="E603" s="91" t="s">
        <v>315</v>
      </c>
      <c r="F603" s="92"/>
      <c r="G603" s="94" t="n">
        <v>1000</v>
      </c>
      <c r="H603" s="94" t="n">
        <v>1830</v>
      </c>
      <c r="I603" s="94"/>
      <c r="J603" s="94"/>
      <c r="K603" s="94"/>
      <c r="L603" s="94"/>
      <c r="M603" s="94"/>
      <c r="N603" s="94"/>
      <c r="O603" s="94"/>
      <c r="P603" s="94" t="n">
        <f aca="false">SUM(K603:O603)</f>
        <v>0</v>
      </c>
      <c r="Q603" s="94" t="n">
        <v>0</v>
      </c>
      <c r="R603" s="95" t="e">
        <f aca="false">Q603/$P603</f>
        <v>#DIV/0!</v>
      </c>
      <c r="S603" s="94" t="n">
        <v>0</v>
      </c>
      <c r="T603" s="95" t="e">
        <f aca="false">S603/$P603</f>
        <v>#DIV/0!</v>
      </c>
      <c r="U603" s="94" t="n">
        <v>0</v>
      </c>
      <c r="V603" s="95" t="e">
        <f aca="false">U603/$P603</f>
        <v>#DIV/0!</v>
      </c>
      <c r="W603" s="94" t="n">
        <v>0</v>
      </c>
      <c r="X603" s="96" t="e">
        <f aca="false">W603/$P603</f>
        <v>#DIV/0!</v>
      </c>
      <c r="Y603" s="94"/>
      <c r="Z603" s="97"/>
    </row>
    <row r="604" customFormat="false" ht="12.8" hidden="false" customHeight="false" outlineLevel="0" collapsed="false">
      <c r="D604" s="25"/>
      <c r="E604" s="91" t="s">
        <v>316</v>
      </c>
      <c r="F604" s="92"/>
      <c r="G604" s="94" t="n">
        <v>33005.1</v>
      </c>
      <c r="H604" s="94" t="n">
        <v>29510.33</v>
      </c>
      <c r="I604" s="94"/>
      <c r="J604" s="94" t="n">
        <v>2099.52</v>
      </c>
      <c r="K604" s="94"/>
      <c r="L604" s="94"/>
      <c r="M604" s="94" t="n">
        <v>2500</v>
      </c>
      <c r="N604" s="94"/>
      <c r="O604" s="94" t="n">
        <v>-60</v>
      </c>
      <c r="P604" s="94" t="n">
        <f aca="false">SUM(K604:O604)</f>
        <v>2440</v>
      </c>
      <c r="Q604" s="94" t="n">
        <v>0</v>
      </c>
      <c r="R604" s="95" t="n">
        <f aca="false">Q604/$P604</f>
        <v>0</v>
      </c>
      <c r="S604" s="94" t="n">
        <v>0</v>
      </c>
      <c r="T604" s="95" t="n">
        <f aca="false">S604/$P604</f>
        <v>0</v>
      </c>
      <c r="U604" s="94" t="n">
        <v>0</v>
      </c>
      <c r="V604" s="95" t="n">
        <f aca="false">U604/$P604</f>
        <v>0</v>
      </c>
      <c r="W604" s="94" t="n">
        <v>0</v>
      </c>
      <c r="X604" s="96" t="n">
        <f aca="false">W604/$P604</f>
        <v>0</v>
      </c>
      <c r="Y604" s="94"/>
      <c r="Z604" s="97"/>
    </row>
    <row r="605" customFormat="false" ht="12.8" hidden="false" customHeight="false" outlineLevel="0" collapsed="false">
      <c r="D605" s="25"/>
      <c r="E605" s="91" t="s">
        <v>317</v>
      </c>
      <c r="F605" s="92"/>
      <c r="G605" s="94"/>
      <c r="H605" s="94" t="n">
        <v>26971.14</v>
      </c>
      <c r="I605" s="94"/>
      <c r="J605" s="94"/>
      <c r="K605" s="94"/>
      <c r="L605" s="94"/>
      <c r="M605" s="94"/>
      <c r="N605" s="94"/>
      <c r="O605" s="94"/>
      <c r="P605" s="94" t="n">
        <f aca="false">SUM(K605:O605)</f>
        <v>0</v>
      </c>
      <c r="Q605" s="94" t="n">
        <v>0</v>
      </c>
      <c r="R605" s="95" t="e">
        <f aca="false">Q605/$P605</f>
        <v>#DIV/0!</v>
      </c>
      <c r="S605" s="94" t="n">
        <v>0</v>
      </c>
      <c r="T605" s="95" t="e">
        <f aca="false">S605/$P605</f>
        <v>#DIV/0!</v>
      </c>
      <c r="U605" s="94" t="n">
        <v>0</v>
      </c>
      <c r="V605" s="95" t="e">
        <f aca="false">U605/$P605</f>
        <v>#DIV/0!</v>
      </c>
      <c r="W605" s="94" t="n">
        <v>0</v>
      </c>
      <c r="X605" s="96" t="e">
        <f aca="false">W605/$P605</f>
        <v>#DIV/0!</v>
      </c>
      <c r="Y605" s="94"/>
      <c r="Z605" s="97"/>
    </row>
    <row r="606" customFormat="false" ht="12.8" hidden="false" customHeight="false" outlineLevel="0" collapsed="false">
      <c r="D606" s="25"/>
      <c r="E606" s="91" t="s">
        <v>318</v>
      </c>
      <c r="F606" s="92"/>
      <c r="G606" s="94"/>
      <c r="H606" s="94" t="n">
        <v>30000</v>
      </c>
      <c r="I606" s="94" t="n">
        <v>25000</v>
      </c>
      <c r="J606" s="94" t="n">
        <v>24684.67</v>
      </c>
      <c r="K606" s="94"/>
      <c r="L606" s="94"/>
      <c r="M606" s="94"/>
      <c r="N606" s="94"/>
      <c r="O606" s="94"/>
      <c r="P606" s="94" t="n">
        <f aca="false">SUM(K606:O606)</f>
        <v>0</v>
      </c>
      <c r="Q606" s="94" t="n">
        <v>0</v>
      </c>
      <c r="R606" s="95" t="e">
        <f aca="false">Q606/$P606</f>
        <v>#DIV/0!</v>
      </c>
      <c r="S606" s="94" t="n">
        <v>0</v>
      </c>
      <c r="T606" s="95" t="e">
        <f aca="false">S606/$P606</f>
        <v>#DIV/0!</v>
      </c>
      <c r="U606" s="94" t="n">
        <v>0</v>
      </c>
      <c r="V606" s="95" t="e">
        <f aca="false">U606/$P606</f>
        <v>#DIV/0!</v>
      </c>
      <c r="W606" s="94" t="n">
        <v>0</v>
      </c>
      <c r="X606" s="96" t="e">
        <f aca="false">W606/$P606</f>
        <v>#DIV/0!</v>
      </c>
      <c r="Y606" s="94"/>
      <c r="Z606" s="97"/>
    </row>
    <row r="607" customFormat="false" ht="12.8" hidden="false" customHeight="false" outlineLevel="0" collapsed="false">
      <c r="D607" s="25"/>
      <c r="E607" s="91" t="s">
        <v>319</v>
      </c>
      <c r="F607" s="92"/>
      <c r="G607" s="94"/>
      <c r="H607" s="94"/>
      <c r="I607" s="94" t="n">
        <v>10000</v>
      </c>
      <c r="J607" s="94"/>
      <c r="K607" s="94"/>
      <c r="L607" s="94"/>
      <c r="M607" s="94"/>
      <c r="N607" s="94"/>
      <c r="O607" s="94"/>
      <c r="P607" s="94" t="n">
        <f aca="false">SUM(K607:O607)</f>
        <v>0</v>
      </c>
      <c r="Q607" s="94" t="n">
        <v>0</v>
      </c>
      <c r="R607" s="95" t="e">
        <f aca="false">Q607/$P607</f>
        <v>#DIV/0!</v>
      </c>
      <c r="S607" s="94" t="n">
        <v>0</v>
      </c>
      <c r="T607" s="95" t="e">
        <f aca="false">S607/$P607</f>
        <v>#DIV/0!</v>
      </c>
      <c r="U607" s="94" t="n">
        <v>0</v>
      </c>
      <c r="V607" s="95" t="e">
        <f aca="false">U607/$P607</f>
        <v>#DIV/0!</v>
      </c>
      <c r="W607" s="94" t="n">
        <v>0</v>
      </c>
      <c r="X607" s="96" t="e">
        <f aca="false">W607/$P607</f>
        <v>#DIV/0!</v>
      </c>
      <c r="Y607" s="94"/>
      <c r="Z607" s="97"/>
    </row>
    <row r="608" customFormat="false" ht="12.8" hidden="false" customHeight="false" outlineLevel="0" collapsed="false">
      <c r="D608" s="25"/>
      <c r="E608" s="91" t="s">
        <v>320</v>
      </c>
      <c r="F608" s="92"/>
      <c r="G608" s="94" t="n">
        <v>45579.6</v>
      </c>
      <c r="H608" s="94" t="n">
        <v>2693.4</v>
      </c>
      <c r="I608" s="94" t="n">
        <v>10000</v>
      </c>
      <c r="J608" s="94"/>
      <c r="K608" s="94" t="n">
        <v>35000</v>
      </c>
      <c r="L608" s="94"/>
      <c r="M608" s="94"/>
      <c r="N608" s="94" t="n">
        <v>2740</v>
      </c>
      <c r="O608" s="94" t="n">
        <v>60</v>
      </c>
      <c r="P608" s="94" t="n">
        <f aca="false">SUM(K608:O608)</f>
        <v>37800</v>
      </c>
      <c r="Q608" s="94" t="n">
        <v>0</v>
      </c>
      <c r="R608" s="95" t="n">
        <f aca="false">Q608/$P608</f>
        <v>0</v>
      </c>
      <c r="S608" s="94" t="n">
        <v>0</v>
      </c>
      <c r="T608" s="95" t="n">
        <f aca="false">S608/$P608</f>
        <v>0</v>
      </c>
      <c r="U608" s="94" t="n">
        <v>0</v>
      </c>
      <c r="V608" s="95" t="n">
        <f aca="false">U608/$P608</f>
        <v>0</v>
      </c>
      <c r="W608" s="94" t="n">
        <v>37800</v>
      </c>
      <c r="X608" s="96" t="n">
        <f aca="false">W608/$P608</f>
        <v>1</v>
      </c>
      <c r="Y608" s="94"/>
      <c r="Z608" s="97"/>
    </row>
    <row r="609" customFormat="false" ht="12.8" hidden="false" customHeight="false" outlineLevel="0" collapsed="false">
      <c r="D609" s="25"/>
      <c r="E609" s="91" t="s">
        <v>321</v>
      </c>
      <c r="F609" s="92"/>
      <c r="G609" s="94"/>
      <c r="H609" s="94"/>
      <c r="I609" s="94"/>
      <c r="J609" s="94"/>
      <c r="K609" s="94"/>
      <c r="L609" s="94"/>
      <c r="M609" s="94"/>
      <c r="N609" s="94"/>
      <c r="O609" s="94"/>
      <c r="P609" s="94" t="n">
        <f aca="false">SUM(K609:O609)</f>
        <v>0</v>
      </c>
      <c r="Q609" s="94" t="n">
        <v>0</v>
      </c>
      <c r="R609" s="95" t="e">
        <f aca="false">Q609/$P609</f>
        <v>#DIV/0!</v>
      </c>
      <c r="S609" s="94" t="n">
        <v>0</v>
      </c>
      <c r="T609" s="95" t="e">
        <f aca="false">S609/$P609</f>
        <v>#DIV/0!</v>
      </c>
      <c r="U609" s="94" t="n">
        <v>0</v>
      </c>
      <c r="V609" s="95" t="e">
        <f aca="false">U609/$P609</f>
        <v>#DIV/0!</v>
      </c>
      <c r="W609" s="94" t="n">
        <v>0</v>
      </c>
      <c r="X609" s="96" t="e">
        <f aca="false">W609/$P609</f>
        <v>#DIV/0!</v>
      </c>
      <c r="Y609" s="94"/>
      <c r="Z609" s="97"/>
    </row>
    <row r="610" customFormat="false" ht="13.8" hidden="false" customHeight="false" outlineLevel="0" collapsed="false">
      <c r="D610" s="25"/>
      <c r="E610" s="91" t="s">
        <v>322</v>
      </c>
      <c r="F610" s="92"/>
      <c r="G610" s="94"/>
      <c r="H610" s="94"/>
      <c r="I610" s="94"/>
      <c r="J610" s="94"/>
      <c r="K610" s="94"/>
      <c r="L610" s="94"/>
      <c r="M610" s="94"/>
      <c r="N610" s="94"/>
      <c r="O610" s="94"/>
      <c r="P610" s="94" t="n">
        <f aca="false">SUM(K610:O610)</f>
        <v>0</v>
      </c>
      <c r="Q610" s="94" t="n">
        <v>0</v>
      </c>
      <c r="R610" s="95" t="e">
        <f aca="false">Q610/$P610</f>
        <v>#DIV/0!</v>
      </c>
      <c r="S610" s="94" t="n">
        <v>0</v>
      </c>
      <c r="T610" s="95" t="e">
        <f aca="false">S610/$P610</f>
        <v>#DIV/0!</v>
      </c>
      <c r="U610" s="94" t="n">
        <v>0</v>
      </c>
      <c r="V610" s="95" t="e">
        <f aca="false">U610/$P610</f>
        <v>#DIV/0!</v>
      </c>
      <c r="W610" s="94" t="n">
        <v>0</v>
      </c>
      <c r="X610" s="96" t="e">
        <f aca="false">W610/$P610</f>
        <v>#DIV/0!</v>
      </c>
      <c r="Y610" s="0"/>
      <c r="Z610" s="97" t="n">
        <v>236995</v>
      </c>
    </row>
    <row r="611" customFormat="false" ht="12.8" hidden="false" customHeight="false" outlineLevel="0" collapsed="false">
      <c r="D611" s="110" t="s">
        <v>323</v>
      </c>
      <c r="E611" s="91" t="s">
        <v>324</v>
      </c>
      <c r="F611" s="92"/>
      <c r="G611" s="94"/>
      <c r="H611" s="94"/>
      <c r="I611" s="94" t="n">
        <v>5000</v>
      </c>
      <c r="J611" s="94"/>
      <c r="K611" s="94" t="n">
        <v>2000</v>
      </c>
      <c r="L611" s="94"/>
      <c r="M611" s="94"/>
      <c r="N611" s="94"/>
      <c r="O611" s="94"/>
      <c r="P611" s="94" t="n">
        <f aca="false">SUM(K611:O611)</f>
        <v>2000</v>
      </c>
      <c r="Q611" s="94" t="n">
        <v>0</v>
      </c>
      <c r="R611" s="95" t="n">
        <f aca="false">Q611/$P611</f>
        <v>0</v>
      </c>
      <c r="S611" s="94" t="n">
        <v>0</v>
      </c>
      <c r="T611" s="95" t="n">
        <f aca="false">S611/$P611</f>
        <v>0</v>
      </c>
      <c r="U611" s="94" t="n">
        <v>0</v>
      </c>
      <c r="V611" s="95" t="n">
        <f aca="false">U611/$P611</f>
        <v>0</v>
      </c>
      <c r="W611" s="94" t="n">
        <v>0</v>
      </c>
      <c r="X611" s="96" t="n">
        <f aca="false">W611/$P611</f>
        <v>0</v>
      </c>
      <c r="Y611" s="94"/>
      <c r="Z611" s="97"/>
    </row>
    <row r="612" customFormat="false" ht="12.8" hidden="false" customHeight="false" outlineLevel="0" collapsed="false">
      <c r="D612" s="111" t="s">
        <v>325</v>
      </c>
      <c r="E612" s="91" t="s">
        <v>326</v>
      </c>
      <c r="F612" s="92"/>
      <c r="G612" s="94"/>
      <c r="H612" s="94" t="n">
        <v>600</v>
      </c>
      <c r="I612" s="94" t="n">
        <v>80000</v>
      </c>
      <c r="J612" s="94" t="n">
        <v>76476.28</v>
      </c>
      <c r="K612" s="94"/>
      <c r="L612" s="94"/>
      <c r="M612" s="94"/>
      <c r="N612" s="94"/>
      <c r="O612" s="94"/>
      <c r="P612" s="94" t="n">
        <f aca="false">SUM(K612:O612)</f>
        <v>0</v>
      </c>
      <c r="Q612" s="94" t="n">
        <v>0</v>
      </c>
      <c r="R612" s="95" t="e">
        <f aca="false">Q612/$P612</f>
        <v>#DIV/0!</v>
      </c>
      <c r="S612" s="94" t="n">
        <v>0</v>
      </c>
      <c r="T612" s="95" t="e">
        <f aca="false">S612/$P612</f>
        <v>#DIV/0!</v>
      </c>
      <c r="U612" s="94" t="n">
        <v>0</v>
      </c>
      <c r="V612" s="95" t="e">
        <f aca="false">U612/$P612</f>
        <v>#DIV/0!</v>
      </c>
      <c r="W612" s="94" t="n">
        <v>0</v>
      </c>
      <c r="X612" s="96" t="e">
        <f aca="false">W612/$P612</f>
        <v>#DIV/0!</v>
      </c>
      <c r="Y612" s="94"/>
      <c r="Z612" s="97"/>
    </row>
    <row r="613" customFormat="false" ht="12.8" hidden="false" customHeight="false" outlineLevel="0" collapsed="false">
      <c r="D613" s="25" t="s">
        <v>327</v>
      </c>
      <c r="E613" s="112" t="s">
        <v>328</v>
      </c>
      <c r="F613" s="92"/>
      <c r="G613" s="92"/>
      <c r="H613" s="92"/>
      <c r="I613" s="94" t="n">
        <v>6000</v>
      </c>
      <c r="J613" s="94" t="n">
        <v>3178.2</v>
      </c>
      <c r="K613" s="94" t="n">
        <v>5000</v>
      </c>
      <c r="L613" s="94"/>
      <c r="M613" s="94"/>
      <c r="N613" s="94"/>
      <c r="O613" s="94"/>
      <c r="P613" s="94" t="n">
        <f aca="false">SUM(K613:O613)</f>
        <v>5000</v>
      </c>
      <c r="Q613" s="94" t="n">
        <v>1500</v>
      </c>
      <c r="R613" s="95" t="n">
        <f aca="false">Q613/$P613</f>
        <v>0.3</v>
      </c>
      <c r="S613" s="94" t="n">
        <v>1500</v>
      </c>
      <c r="T613" s="95" t="n">
        <f aca="false">S613/$P613</f>
        <v>0.3</v>
      </c>
      <c r="U613" s="94" t="n">
        <v>1500</v>
      </c>
      <c r="V613" s="95" t="n">
        <f aca="false">U613/$P613</f>
        <v>0.3</v>
      </c>
      <c r="W613" s="94" t="n">
        <v>1500</v>
      </c>
      <c r="X613" s="96" t="n">
        <f aca="false">W613/$P613</f>
        <v>0.3</v>
      </c>
      <c r="Y613" s="92"/>
      <c r="Z613" s="113"/>
    </row>
    <row r="615" customFormat="false" ht="12.8" hidden="false" customHeight="false" outlineLevel="0" collapsed="false">
      <c r="D615" s="24" t="s">
        <v>329</v>
      </c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customFormat="false" ht="12.8" hidden="false" customHeight="false" outlineLevel="0" collapsed="false">
      <c r="D616" s="106"/>
      <c r="E616" s="5"/>
      <c r="F616" s="5"/>
      <c r="G616" s="5" t="s">
        <v>1</v>
      </c>
      <c r="H616" s="5" t="s">
        <v>2</v>
      </c>
      <c r="I616" s="5" t="s">
        <v>3</v>
      </c>
      <c r="J616" s="5" t="s">
        <v>4</v>
      </c>
      <c r="K616" s="5" t="s">
        <v>5</v>
      </c>
      <c r="L616" s="5" t="s">
        <v>6</v>
      </c>
      <c r="M616" s="5" t="s">
        <v>7</v>
      </c>
      <c r="N616" s="5" t="s">
        <v>8</v>
      </c>
      <c r="O616" s="5" t="s">
        <v>9</v>
      </c>
      <c r="P616" s="5" t="s">
        <v>10</v>
      </c>
      <c r="Q616" s="5" t="s">
        <v>11</v>
      </c>
      <c r="R616" s="5" t="s">
        <v>12</v>
      </c>
      <c r="S616" s="5" t="s">
        <v>13</v>
      </c>
      <c r="T616" s="5" t="s">
        <v>14</v>
      </c>
      <c r="U616" s="5" t="s">
        <v>15</v>
      </c>
      <c r="V616" s="5" t="s">
        <v>16</v>
      </c>
      <c r="W616" s="5" t="s">
        <v>17</v>
      </c>
      <c r="X616" s="5" t="s">
        <v>18</v>
      </c>
      <c r="Y616" s="5" t="s">
        <v>19</v>
      </c>
      <c r="Z616" s="5" t="s">
        <v>20</v>
      </c>
    </row>
    <row r="617" customFormat="false" ht="12.8" hidden="false" customHeight="false" outlineLevel="0" collapsed="false">
      <c r="D617" s="107" t="s">
        <v>21</v>
      </c>
      <c r="E617" s="8" t="n">
        <v>111</v>
      </c>
      <c r="F617" s="8" t="s">
        <v>136</v>
      </c>
      <c r="G617" s="9" t="n">
        <f aca="false">SUM(G621:G621)</f>
        <v>0</v>
      </c>
      <c r="H617" s="9" t="n">
        <v>0</v>
      </c>
      <c r="I617" s="9" t="n">
        <v>10000</v>
      </c>
      <c r="J617" s="9" t="n">
        <v>0</v>
      </c>
      <c r="K617" s="9" t="n">
        <v>0</v>
      </c>
      <c r="L617" s="9"/>
      <c r="M617" s="9"/>
      <c r="N617" s="9"/>
      <c r="O617" s="9"/>
      <c r="P617" s="9" t="n">
        <f aca="false">SUM(K617:O617)</f>
        <v>0</v>
      </c>
      <c r="Q617" s="9" t="n">
        <v>0</v>
      </c>
      <c r="R617" s="10" t="e">
        <f aca="false">Q617/$P617</f>
        <v>#DIV/0!</v>
      </c>
      <c r="S617" s="9" t="n">
        <v>0</v>
      </c>
      <c r="T617" s="10" t="e">
        <f aca="false">S617/$P617</f>
        <v>#DIV/0!</v>
      </c>
      <c r="U617" s="9" t="n">
        <v>0</v>
      </c>
      <c r="V617" s="10" t="e">
        <f aca="false">U617/$P617</f>
        <v>#DIV/0!</v>
      </c>
      <c r="W617" s="9" t="n">
        <v>0</v>
      </c>
      <c r="X617" s="10" t="e">
        <f aca="false">W617/$P617</f>
        <v>#DIV/0!</v>
      </c>
      <c r="Y617" s="9" t="n">
        <f aca="false">SUM(Y621:Y621)</f>
        <v>0</v>
      </c>
      <c r="Z617" s="9" t="n">
        <f aca="false">SUM(Z621:Z621)</f>
        <v>0</v>
      </c>
    </row>
    <row r="618" customFormat="false" ht="12.8" hidden="false" customHeight="false" outlineLevel="0" collapsed="false">
      <c r="A618" s="1" t="n">
        <v>8</v>
      </c>
      <c r="B618" s="1" t="n">
        <v>6</v>
      </c>
      <c r="D618" s="107" t="s">
        <v>21</v>
      </c>
      <c r="E618" s="8" t="n">
        <v>41</v>
      </c>
      <c r="F618" s="8" t="s">
        <v>23</v>
      </c>
      <c r="G618" s="9" t="n">
        <f aca="false">SUM(G622:G622)</f>
        <v>0</v>
      </c>
      <c r="H618" s="9" t="n">
        <f aca="false">SUM(H622:H625)</f>
        <v>4950</v>
      </c>
      <c r="I618" s="9" t="n">
        <f aca="false">SUM(I622:I625)-I617</f>
        <v>90000</v>
      </c>
      <c r="J618" s="9" t="n">
        <f aca="false">SUM(J622:J625)-J617</f>
        <v>88047.66</v>
      </c>
      <c r="K618" s="9" t="n">
        <f aca="false">SUM(K622:K626)-K617</f>
        <v>147300</v>
      </c>
      <c r="L618" s="9" t="n">
        <f aca="false">SUM(L622:L626)-L617</f>
        <v>0</v>
      </c>
      <c r="M618" s="9" t="n">
        <f aca="false">SUM(M622:M626)-M617</f>
        <v>0</v>
      </c>
      <c r="N618" s="9" t="n">
        <f aca="false">SUM(N622:N626)-N617</f>
        <v>0</v>
      </c>
      <c r="O618" s="9" t="n">
        <f aca="false">SUM(O622:O626)-O617</f>
        <v>0</v>
      </c>
      <c r="P618" s="9" t="n">
        <f aca="false">SUM(K618:O618)</f>
        <v>147300</v>
      </c>
      <c r="Q618" s="9" t="n">
        <f aca="false">SUM(Q622:Q626)-Q617</f>
        <v>82.52</v>
      </c>
      <c r="R618" s="10" t="n">
        <f aca="false">Q618/$P618</f>
        <v>0.000560217243720299</v>
      </c>
      <c r="S618" s="9" t="n">
        <f aca="false">SUM(S622:S626)-S617</f>
        <v>3139.14</v>
      </c>
      <c r="T618" s="10" t="n">
        <f aca="false">S618/$P618</f>
        <v>0.0213112016293279</v>
      </c>
      <c r="U618" s="9" t="n">
        <f aca="false">SUM(U622:U626)-U617</f>
        <v>57391.4</v>
      </c>
      <c r="V618" s="10" t="n">
        <f aca="false">U618/$P618</f>
        <v>0.389622539035981</v>
      </c>
      <c r="W618" s="9" t="n">
        <f aca="false">SUM(W622:W626)-W617</f>
        <v>86624.64</v>
      </c>
      <c r="X618" s="10" t="n">
        <f aca="false">W618/$P618</f>
        <v>0.588083095723014</v>
      </c>
      <c r="Y618" s="9" t="n">
        <f aca="false">SUM(Y622:Y626)-Y617</f>
        <v>0</v>
      </c>
      <c r="Z618" s="9" t="n">
        <f aca="false">SUM(Z622:Z626)-Z617</f>
        <v>0</v>
      </c>
    </row>
    <row r="619" customFormat="false" ht="12.8" hidden="false" customHeight="false" outlineLevel="0" collapsed="false">
      <c r="A619" s="1" t="n">
        <v>8</v>
      </c>
      <c r="B619" s="1" t="n">
        <v>6</v>
      </c>
      <c r="D619" s="14"/>
      <c r="E619" s="15"/>
      <c r="F619" s="11" t="s">
        <v>126</v>
      </c>
      <c r="G619" s="12" t="n">
        <f aca="false">SUM(G617:G618)</f>
        <v>0</v>
      </c>
      <c r="H619" s="12" t="n">
        <f aca="false">SUM(H617:H618)</f>
        <v>4950</v>
      </c>
      <c r="I619" s="12" t="n">
        <f aca="false">SUM(I617:I618)</f>
        <v>100000</v>
      </c>
      <c r="J619" s="12" t="n">
        <f aca="false">SUM(J617:J618)</f>
        <v>88047.66</v>
      </c>
      <c r="K619" s="12" t="n">
        <f aca="false">SUM(K617:K618)</f>
        <v>147300</v>
      </c>
      <c r="L619" s="12" t="n">
        <f aca="false">SUM(L617:L618)</f>
        <v>0</v>
      </c>
      <c r="M619" s="12" t="n">
        <f aca="false">SUM(M617:M618)</f>
        <v>0</v>
      </c>
      <c r="N619" s="12" t="n">
        <f aca="false">SUM(N617:N618)</f>
        <v>0</v>
      </c>
      <c r="O619" s="12" t="n">
        <f aca="false">SUM(O617:O618)</f>
        <v>0</v>
      </c>
      <c r="P619" s="12" t="n">
        <f aca="false">SUM(P617:P618)</f>
        <v>147300</v>
      </c>
      <c r="Q619" s="12" t="n">
        <f aca="false">SUM(Q617:Q618)</f>
        <v>82.52</v>
      </c>
      <c r="R619" s="13" t="n">
        <f aca="false">Q619/$P619</f>
        <v>0.000560217243720299</v>
      </c>
      <c r="S619" s="12" t="n">
        <f aca="false">SUM(S617:S618)</f>
        <v>3139.14</v>
      </c>
      <c r="T619" s="13" t="n">
        <f aca="false">S619/$P619</f>
        <v>0.0213112016293279</v>
      </c>
      <c r="U619" s="12" t="n">
        <f aca="false">SUM(U617:U618)</f>
        <v>57391.4</v>
      </c>
      <c r="V619" s="13" t="n">
        <f aca="false">U619/$P619</f>
        <v>0.389622539035981</v>
      </c>
      <c r="W619" s="12" t="n">
        <f aca="false">SUM(W617:W618)</f>
        <v>86624.64</v>
      </c>
      <c r="X619" s="13" t="n">
        <f aca="false">W619/$P619</f>
        <v>0.588083095723014</v>
      </c>
      <c r="Y619" s="12" t="n">
        <f aca="false">SUM(Y617:Y618)</f>
        <v>0</v>
      </c>
      <c r="Z619" s="12" t="n">
        <f aca="false">SUM(Z617:Z618)</f>
        <v>0</v>
      </c>
    </row>
    <row r="621" customFormat="false" ht="12.8" hidden="false" customHeight="false" outlineLevel="0" collapsed="false">
      <c r="D621" s="1" t="s">
        <v>57</v>
      </c>
    </row>
    <row r="622" customFormat="false" ht="12.8" hidden="false" customHeight="false" outlineLevel="0" collapsed="false">
      <c r="D622" s="25" t="s">
        <v>330</v>
      </c>
      <c r="E622" s="32" t="s">
        <v>331</v>
      </c>
      <c r="F622" s="14"/>
      <c r="G622" s="33" t="n">
        <v>0</v>
      </c>
      <c r="H622" s="33" t="n">
        <v>4950</v>
      </c>
      <c r="I622" s="33"/>
      <c r="J622" s="33"/>
      <c r="K622" s="33"/>
      <c r="L622" s="33"/>
      <c r="M622" s="33"/>
      <c r="N622" s="33"/>
      <c r="O622" s="33"/>
      <c r="P622" s="33" t="n">
        <f aca="false">SUM(K622:O622)</f>
        <v>0</v>
      </c>
      <c r="Q622" s="33" t="n">
        <v>0</v>
      </c>
      <c r="R622" s="34" t="e">
        <f aca="false">Q622/$P622</f>
        <v>#DIV/0!</v>
      </c>
      <c r="S622" s="33" t="n">
        <v>0</v>
      </c>
      <c r="T622" s="34" t="e">
        <f aca="false">S622/$P622</f>
        <v>#DIV/0!</v>
      </c>
      <c r="U622" s="33" t="n">
        <v>0</v>
      </c>
      <c r="V622" s="34" t="e">
        <f aca="false">U622/$P622</f>
        <v>#DIV/0!</v>
      </c>
      <c r="W622" s="33" t="n">
        <v>0</v>
      </c>
      <c r="X622" s="35" t="e">
        <f aca="false">W622/$P622</f>
        <v>#DIV/0!</v>
      </c>
      <c r="Y622" s="33"/>
      <c r="Z622" s="36"/>
    </row>
    <row r="623" customFormat="false" ht="12.8" hidden="false" customHeight="false" outlineLevel="0" collapsed="false">
      <c r="D623" s="25"/>
      <c r="E623" s="37" t="s">
        <v>332</v>
      </c>
      <c r="F623" s="78"/>
      <c r="G623" s="79"/>
      <c r="H623" s="79"/>
      <c r="I623" s="79"/>
      <c r="J623" s="79"/>
      <c r="K623" s="79"/>
      <c r="L623" s="79"/>
      <c r="M623" s="79"/>
      <c r="N623" s="79"/>
      <c r="O623" s="79"/>
      <c r="P623" s="79" t="n">
        <f aca="false">SUM(K623:O623)</f>
        <v>0</v>
      </c>
      <c r="Q623" s="79" t="n">
        <v>0</v>
      </c>
      <c r="R623" s="40" t="e">
        <f aca="false">Q623/$P623</f>
        <v>#DIV/0!</v>
      </c>
      <c r="S623" s="79" t="n">
        <v>0</v>
      </c>
      <c r="T623" s="40" t="e">
        <f aca="false">S623/$P623</f>
        <v>#DIV/0!</v>
      </c>
      <c r="U623" s="79" t="n">
        <v>0</v>
      </c>
      <c r="V623" s="40" t="e">
        <f aca="false">U623/$P623</f>
        <v>#DIV/0!</v>
      </c>
      <c r="W623" s="79" t="n">
        <v>0</v>
      </c>
      <c r="X623" s="41" t="e">
        <f aca="false">W623/$P623</f>
        <v>#DIV/0!</v>
      </c>
      <c r="Y623" s="79"/>
      <c r="Z623" s="42"/>
    </row>
    <row r="624" customFormat="false" ht="12.8" hidden="false" customHeight="false" outlineLevel="0" collapsed="false">
      <c r="D624" s="25"/>
      <c r="E624" s="37" t="s">
        <v>333</v>
      </c>
      <c r="F624" s="78"/>
      <c r="G624" s="79"/>
      <c r="H624" s="79"/>
      <c r="I624" s="79"/>
      <c r="J624" s="79"/>
      <c r="K624" s="79"/>
      <c r="L624" s="79"/>
      <c r="M624" s="79"/>
      <c r="N624" s="79"/>
      <c r="O624" s="79"/>
      <c r="P624" s="79" t="n">
        <f aca="false">SUM(K624:O624)</f>
        <v>0</v>
      </c>
      <c r="Q624" s="79" t="n">
        <v>0</v>
      </c>
      <c r="R624" s="40" t="e">
        <f aca="false">Q624/$P624</f>
        <v>#DIV/0!</v>
      </c>
      <c r="S624" s="79" t="n">
        <v>0</v>
      </c>
      <c r="T624" s="40" t="e">
        <f aca="false">S624/$P624</f>
        <v>#DIV/0!</v>
      </c>
      <c r="U624" s="79" t="n">
        <v>0</v>
      </c>
      <c r="V624" s="40" t="e">
        <f aca="false">U624/$P624</f>
        <v>#DIV/0!</v>
      </c>
      <c r="W624" s="79" t="n">
        <v>0</v>
      </c>
      <c r="X624" s="41" t="e">
        <f aca="false">W624/$P624</f>
        <v>#DIV/0!</v>
      </c>
      <c r="Y624" s="79"/>
      <c r="Z624" s="42"/>
    </row>
    <row r="625" customFormat="false" ht="12.8" hidden="false" customHeight="false" outlineLevel="0" collapsed="false">
      <c r="D625" s="25"/>
      <c r="E625" s="44" t="s">
        <v>334</v>
      </c>
      <c r="F625" s="57"/>
      <c r="G625" s="46" t="n">
        <v>0</v>
      </c>
      <c r="H625" s="46"/>
      <c r="I625" s="46" t="n">
        <v>100000</v>
      </c>
      <c r="J625" s="46" t="n">
        <v>88047.66</v>
      </c>
      <c r="K625" s="46" t="n">
        <f aca="false">17300+100000</f>
        <v>117300</v>
      </c>
      <c r="L625" s="46"/>
      <c r="M625" s="46"/>
      <c r="N625" s="46"/>
      <c r="O625" s="46"/>
      <c r="P625" s="46" t="n">
        <f aca="false">SUM(K625:O625)</f>
        <v>117300</v>
      </c>
      <c r="Q625" s="46" t="n">
        <v>82.52</v>
      </c>
      <c r="R625" s="47" t="n">
        <f aca="false">Q625/$P625</f>
        <v>0.000703495311167945</v>
      </c>
      <c r="S625" s="46" t="n">
        <v>3139.14</v>
      </c>
      <c r="T625" s="47" t="n">
        <f aca="false">S625/$P625</f>
        <v>0.0267616368286445</v>
      </c>
      <c r="U625" s="46" t="n">
        <v>50367.71</v>
      </c>
      <c r="V625" s="47" t="n">
        <f aca="false">U625/$P625</f>
        <v>0.429392242114237</v>
      </c>
      <c r="W625" s="46" t="n">
        <v>66156.45</v>
      </c>
      <c r="X625" s="48" t="n">
        <f aca="false">W625/$P625</f>
        <v>0.563993606138107</v>
      </c>
      <c r="Y625" s="46"/>
      <c r="Z625" s="49"/>
    </row>
    <row r="626" customFormat="false" ht="12.8" hidden="false" customHeight="false" outlineLevel="0" collapsed="false">
      <c r="D626" s="69" t="s">
        <v>251</v>
      </c>
      <c r="E626" s="91" t="s">
        <v>335</v>
      </c>
      <c r="F626" s="92"/>
      <c r="G626" s="94"/>
      <c r="H626" s="94"/>
      <c r="I626" s="94"/>
      <c r="J626" s="94"/>
      <c r="K626" s="94" t="n">
        <v>30000</v>
      </c>
      <c r="L626" s="94"/>
      <c r="M626" s="94"/>
      <c r="N626" s="94"/>
      <c r="O626" s="94"/>
      <c r="P626" s="94" t="n">
        <f aca="false">SUM(K626:O626)</f>
        <v>30000</v>
      </c>
      <c r="Q626" s="94" t="n">
        <v>0</v>
      </c>
      <c r="R626" s="95" t="n">
        <f aca="false">Q626/$P626</f>
        <v>0</v>
      </c>
      <c r="S626" s="94" t="n">
        <v>0</v>
      </c>
      <c r="T626" s="95" t="n">
        <f aca="false">S626/$P626</f>
        <v>0</v>
      </c>
      <c r="U626" s="94" t="n">
        <v>7023.69</v>
      </c>
      <c r="V626" s="95" t="n">
        <f aca="false">U626/$P626</f>
        <v>0.234123</v>
      </c>
      <c r="W626" s="94" t="n">
        <v>20468.19</v>
      </c>
      <c r="X626" s="96" t="n">
        <f aca="false">W626/$P626</f>
        <v>0.682273</v>
      </c>
      <c r="Y626" s="94"/>
      <c r="Z626" s="97"/>
    </row>
    <row r="628" customFormat="false" ht="12.8" hidden="false" customHeight="false" outlineLevel="0" collapsed="false">
      <c r="D628" s="24" t="s">
        <v>336</v>
      </c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customFormat="false" ht="12.8" hidden="false" customHeight="false" outlineLevel="0" collapsed="false">
      <c r="D629" s="106"/>
      <c r="E629" s="5"/>
      <c r="F629" s="5"/>
      <c r="G629" s="5" t="s">
        <v>1</v>
      </c>
      <c r="H629" s="5" t="s">
        <v>2</v>
      </c>
      <c r="I629" s="5" t="s">
        <v>3</v>
      </c>
      <c r="J629" s="5" t="s">
        <v>4</v>
      </c>
      <c r="K629" s="5" t="s">
        <v>5</v>
      </c>
      <c r="L629" s="5" t="s">
        <v>6</v>
      </c>
      <c r="M629" s="5" t="s">
        <v>7</v>
      </c>
      <c r="N629" s="5" t="s">
        <v>8</v>
      </c>
      <c r="O629" s="5" t="s">
        <v>9</v>
      </c>
      <c r="P629" s="5" t="s">
        <v>10</v>
      </c>
      <c r="Q629" s="5" t="s">
        <v>11</v>
      </c>
      <c r="R629" s="5" t="s">
        <v>12</v>
      </c>
      <c r="S629" s="5" t="s">
        <v>13</v>
      </c>
      <c r="T629" s="5" t="s">
        <v>14</v>
      </c>
      <c r="U629" s="5" t="s">
        <v>15</v>
      </c>
      <c r="V629" s="5" t="s">
        <v>16</v>
      </c>
      <c r="W629" s="5" t="s">
        <v>17</v>
      </c>
      <c r="X629" s="5" t="s">
        <v>18</v>
      </c>
      <c r="Y629" s="5" t="s">
        <v>19</v>
      </c>
      <c r="Z629" s="5" t="s">
        <v>20</v>
      </c>
    </row>
    <row r="630" customFormat="false" ht="12.8" hidden="false" customHeight="false" outlineLevel="0" collapsed="false">
      <c r="A630" s="1" t="n">
        <v>8</v>
      </c>
      <c r="B630" s="1" t="n">
        <v>7</v>
      </c>
      <c r="D630" s="25" t="s">
        <v>21</v>
      </c>
      <c r="E630" s="8" t="n">
        <v>111</v>
      </c>
      <c r="F630" s="8" t="s">
        <v>47</v>
      </c>
      <c r="G630" s="9" t="n">
        <v>0</v>
      </c>
      <c r="H630" s="9" t="n">
        <v>0</v>
      </c>
      <c r="I630" s="9" t="n">
        <v>0</v>
      </c>
      <c r="J630" s="9" t="n">
        <v>0</v>
      </c>
      <c r="K630" s="9" t="n">
        <v>0</v>
      </c>
      <c r="L630" s="9"/>
      <c r="M630" s="9"/>
      <c r="N630" s="9"/>
      <c r="O630" s="9"/>
      <c r="P630" s="9" t="n">
        <f aca="false">SUM(K630:O630)</f>
        <v>0</v>
      </c>
      <c r="Q630" s="9" t="n">
        <v>0</v>
      </c>
      <c r="R630" s="10" t="e">
        <f aca="false">Q630/$P630</f>
        <v>#DIV/0!</v>
      </c>
      <c r="S630" s="9" t="n">
        <v>0</v>
      </c>
      <c r="T630" s="10" t="e">
        <f aca="false">S630/$P630</f>
        <v>#DIV/0!</v>
      </c>
      <c r="U630" s="9" t="n">
        <v>0</v>
      </c>
      <c r="V630" s="10" t="e">
        <f aca="false">U630/$P630</f>
        <v>#DIV/0!</v>
      </c>
      <c r="W630" s="9" t="n">
        <v>0</v>
      </c>
      <c r="X630" s="10" t="e">
        <f aca="false">W630/$P630</f>
        <v>#DIV/0!</v>
      </c>
      <c r="Y630" s="9" t="n">
        <v>0</v>
      </c>
      <c r="Z630" s="9" t="n">
        <v>0</v>
      </c>
    </row>
    <row r="631" customFormat="false" ht="12.8" hidden="false" customHeight="false" outlineLevel="0" collapsed="false">
      <c r="A631" s="1" t="n">
        <v>8</v>
      </c>
      <c r="B631" s="1" t="n">
        <v>7</v>
      </c>
      <c r="D631" s="25"/>
      <c r="E631" s="8" t="n">
        <v>41</v>
      </c>
      <c r="F631" s="8" t="s">
        <v>23</v>
      </c>
      <c r="G631" s="9" t="n">
        <f aca="false">SUM(G635:G638)</f>
        <v>20971.71</v>
      </c>
      <c r="H631" s="9" t="n">
        <f aca="false">SUM(H635:H638)</f>
        <v>0</v>
      </c>
      <c r="I631" s="9" t="n">
        <f aca="false">SUM(I635:I638)-I630</f>
        <v>0</v>
      </c>
      <c r="J631" s="9" t="n">
        <f aca="false">SUM(J635:J638)</f>
        <v>0</v>
      </c>
      <c r="K631" s="9" t="n">
        <f aca="false">SUM(K635:K638)-K630</f>
        <v>5000</v>
      </c>
      <c r="L631" s="9" t="n">
        <f aca="false">SUM(L635:L638)-L630</f>
        <v>0</v>
      </c>
      <c r="M631" s="9" t="n">
        <f aca="false">SUM(M635:M638)-M630</f>
        <v>0</v>
      </c>
      <c r="N631" s="9" t="n">
        <f aca="false">SUM(N635:N638)-N630</f>
        <v>0</v>
      </c>
      <c r="O631" s="9" t="n">
        <f aca="false">SUM(O635:O638)-O630</f>
        <v>0</v>
      </c>
      <c r="P631" s="9" t="n">
        <f aca="false">SUM(K631:O631)</f>
        <v>5000</v>
      </c>
      <c r="Q631" s="9" t="n">
        <f aca="false">SUM(Q635:Q638)-Q630</f>
        <v>0</v>
      </c>
      <c r="R631" s="10" t="n">
        <f aca="false">Q631/$P631</f>
        <v>0</v>
      </c>
      <c r="S631" s="9" t="n">
        <f aca="false">SUM(S635:S638)-S630</f>
        <v>0</v>
      </c>
      <c r="T631" s="10" t="n">
        <f aca="false">S631/$P631</f>
        <v>0</v>
      </c>
      <c r="U631" s="9" t="n">
        <f aca="false">SUM(U635:U638)-U630</f>
        <v>0</v>
      </c>
      <c r="V631" s="10" t="n">
        <f aca="false">U631/$P631</f>
        <v>0</v>
      </c>
      <c r="W631" s="9" t="n">
        <f aca="false">SUM(W635:W638)-W630</f>
        <v>0</v>
      </c>
      <c r="X631" s="10" t="n">
        <f aca="false">W631/$P631</f>
        <v>0</v>
      </c>
      <c r="Y631" s="9" t="n">
        <f aca="false">SUM(Y635:Y638)</f>
        <v>0</v>
      </c>
      <c r="Z631" s="9" t="n">
        <f aca="false">SUM(Z635:Z638)</f>
        <v>0</v>
      </c>
    </row>
    <row r="632" customFormat="false" ht="12.8" hidden="false" customHeight="false" outlineLevel="0" collapsed="false">
      <c r="A632" s="1" t="n">
        <v>8</v>
      </c>
      <c r="B632" s="1" t="n">
        <v>7</v>
      </c>
      <c r="D632" s="14"/>
      <c r="E632" s="15"/>
      <c r="F632" s="11" t="s">
        <v>126</v>
      </c>
      <c r="G632" s="12" t="n">
        <f aca="false">SUM(G630:G631)</f>
        <v>20971.71</v>
      </c>
      <c r="H632" s="12" t="n">
        <f aca="false">SUM(H630:H631)</f>
        <v>0</v>
      </c>
      <c r="I632" s="12" t="n">
        <f aca="false">SUM(I630:I631)</f>
        <v>0</v>
      </c>
      <c r="J632" s="12" t="n">
        <f aca="false">SUM(J630:J631)</f>
        <v>0</v>
      </c>
      <c r="K632" s="12" t="n">
        <f aca="false">SUM(K630:K631)</f>
        <v>5000</v>
      </c>
      <c r="L632" s="12" t="n">
        <f aca="false">SUM(L630:L631)</f>
        <v>0</v>
      </c>
      <c r="M632" s="12" t="n">
        <f aca="false">SUM(M630:M631)</f>
        <v>0</v>
      </c>
      <c r="N632" s="12" t="n">
        <f aca="false">SUM(N630:N631)</f>
        <v>0</v>
      </c>
      <c r="O632" s="12" t="n">
        <f aca="false">SUM(O630:O631)</f>
        <v>0</v>
      </c>
      <c r="P632" s="12" t="n">
        <f aca="false">SUM(P630:P631)</f>
        <v>5000</v>
      </c>
      <c r="Q632" s="12" t="n">
        <f aca="false">SUM(Q630:Q631)</f>
        <v>0</v>
      </c>
      <c r="R632" s="13" t="n">
        <f aca="false">Q632/$P632</f>
        <v>0</v>
      </c>
      <c r="S632" s="12" t="n">
        <f aca="false">SUM(S630:S631)</f>
        <v>0</v>
      </c>
      <c r="T632" s="13" t="n">
        <f aca="false">S632/$P632</f>
        <v>0</v>
      </c>
      <c r="U632" s="12" t="n">
        <f aca="false">SUM(U630:U631)</f>
        <v>0</v>
      </c>
      <c r="V632" s="13" t="n">
        <f aca="false">U632/$P632</f>
        <v>0</v>
      </c>
      <c r="W632" s="12" t="n">
        <f aca="false">SUM(W630:W631)</f>
        <v>0</v>
      </c>
      <c r="X632" s="13" t="n">
        <f aca="false">W632/$P632</f>
        <v>0</v>
      </c>
      <c r="Y632" s="12" t="n">
        <f aca="false">SUM(Y630:Y631)</f>
        <v>0</v>
      </c>
      <c r="Z632" s="12" t="n">
        <f aca="false">SUM(Z630:Z631)</f>
        <v>0</v>
      </c>
    </row>
    <row r="634" customFormat="false" ht="12.8" hidden="false" customHeight="false" outlineLevel="0" collapsed="false">
      <c r="D634" s="1" t="s">
        <v>57</v>
      </c>
    </row>
    <row r="635" customFormat="false" ht="12.8" hidden="false" customHeight="false" outlineLevel="0" collapsed="false">
      <c r="D635" s="25" t="s">
        <v>337</v>
      </c>
      <c r="E635" s="32" t="s">
        <v>338</v>
      </c>
      <c r="F635" s="14"/>
      <c r="G635" s="33" t="n">
        <v>2588.41</v>
      </c>
      <c r="H635" s="33"/>
      <c r="I635" s="33"/>
      <c r="J635" s="33"/>
      <c r="K635" s="33"/>
      <c r="L635" s="33"/>
      <c r="M635" s="33"/>
      <c r="N635" s="33"/>
      <c r="O635" s="33"/>
      <c r="P635" s="33" t="n">
        <f aca="false">SUM(K635:O635)</f>
        <v>0</v>
      </c>
      <c r="Q635" s="33" t="n">
        <v>0</v>
      </c>
      <c r="R635" s="34" t="e">
        <f aca="false">Q635/$P635</f>
        <v>#DIV/0!</v>
      </c>
      <c r="S635" s="33" t="n">
        <v>0</v>
      </c>
      <c r="T635" s="34" t="e">
        <f aca="false">S635/$P635</f>
        <v>#DIV/0!</v>
      </c>
      <c r="U635" s="33" t="n">
        <v>0</v>
      </c>
      <c r="V635" s="34" t="e">
        <f aca="false">U635/$P635</f>
        <v>#DIV/0!</v>
      </c>
      <c r="W635" s="33" t="n">
        <v>0</v>
      </c>
      <c r="X635" s="35" t="e">
        <f aca="false">W635/$P635</f>
        <v>#DIV/0!</v>
      </c>
      <c r="Y635" s="33"/>
      <c r="Z635" s="36"/>
    </row>
    <row r="636" customFormat="false" ht="12.8" hidden="false" customHeight="false" outlineLevel="0" collapsed="false">
      <c r="D636" s="25"/>
      <c r="E636" s="37" t="s">
        <v>339</v>
      </c>
      <c r="F636" s="78"/>
      <c r="G636" s="79"/>
      <c r="H636" s="79"/>
      <c r="I636" s="79"/>
      <c r="J636" s="79"/>
      <c r="K636" s="114"/>
      <c r="L636" s="114"/>
      <c r="M636" s="114"/>
      <c r="N636" s="114"/>
      <c r="O636" s="114"/>
      <c r="P636" s="114" t="n">
        <f aca="false">SUM(K636:O636)</f>
        <v>0</v>
      </c>
      <c r="Q636" s="114" t="n">
        <v>0</v>
      </c>
      <c r="R636" s="40" t="e">
        <f aca="false">Q636/$P636</f>
        <v>#DIV/0!</v>
      </c>
      <c r="S636" s="79" t="n">
        <v>0</v>
      </c>
      <c r="T636" s="40" t="e">
        <f aca="false">S636/$P636</f>
        <v>#DIV/0!</v>
      </c>
      <c r="U636" s="79" t="n">
        <v>0</v>
      </c>
      <c r="V636" s="40" t="e">
        <f aca="false">U636/$P636</f>
        <v>#DIV/0!</v>
      </c>
      <c r="W636" s="79" t="n">
        <v>0</v>
      </c>
      <c r="X636" s="41" t="e">
        <f aca="false">W636/$P636</f>
        <v>#DIV/0!</v>
      </c>
      <c r="Y636" s="79"/>
      <c r="Z636" s="42"/>
    </row>
    <row r="637" customFormat="false" ht="12.8" hidden="false" customHeight="false" outlineLevel="0" collapsed="false">
      <c r="D637" s="25"/>
      <c r="E637" s="37" t="s">
        <v>340</v>
      </c>
      <c r="F637" s="78"/>
      <c r="G637" s="79"/>
      <c r="H637" s="79"/>
      <c r="I637" s="114"/>
      <c r="J637" s="79"/>
      <c r="K637" s="114" t="n">
        <v>5000</v>
      </c>
      <c r="L637" s="114"/>
      <c r="M637" s="114"/>
      <c r="N637" s="114"/>
      <c r="O637" s="114"/>
      <c r="P637" s="114" t="n">
        <f aca="false">SUM(K637:O637)</f>
        <v>5000</v>
      </c>
      <c r="Q637" s="114" t="n">
        <v>0</v>
      </c>
      <c r="R637" s="40" t="n">
        <f aca="false">Q637/$P637</f>
        <v>0</v>
      </c>
      <c r="S637" s="79" t="n">
        <v>0</v>
      </c>
      <c r="T637" s="40" t="n">
        <f aca="false">S637/$P637</f>
        <v>0</v>
      </c>
      <c r="U637" s="79" t="n">
        <v>0</v>
      </c>
      <c r="V637" s="40" t="n">
        <f aca="false">U637/$P637</f>
        <v>0</v>
      </c>
      <c r="W637" s="79" t="n">
        <v>0</v>
      </c>
      <c r="X637" s="41" t="n">
        <f aca="false">W637/$P637</f>
        <v>0</v>
      </c>
      <c r="Y637" s="79"/>
      <c r="Z637" s="42"/>
      <c r="AB637" s="115"/>
    </row>
    <row r="638" customFormat="false" ht="12.8" hidden="false" customHeight="false" outlineLevel="0" collapsed="false">
      <c r="D638" s="25"/>
      <c r="E638" s="44" t="s">
        <v>341</v>
      </c>
      <c r="F638" s="57"/>
      <c r="G638" s="46" t="n">
        <v>18383.3</v>
      </c>
      <c r="H638" s="46"/>
      <c r="I638" s="46"/>
      <c r="J638" s="46"/>
      <c r="K638" s="46"/>
      <c r="L638" s="46"/>
      <c r="M638" s="46"/>
      <c r="N638" s="46"/>
      <c r="O638" s="46"/>
      <c r="P638" s="46" t="n">
        <f aca="false">SUM(K638:O638)</f>
        <v>0</v>
      </c>
      <c r="Q638" s="46" t="n">
        <v>0</v>
      </c>
      <c r="R638" s="47" t="e">
        <f aca="false">Q638/$P638</f>
        <v>#DIV/0!</v>
      </c>
      <c r="S638" s="46" t="n">
        <v>0</v>
      </c>
      <c r="T638" s="47" t="e">
        <f aca="false">S638/$P638</f>
        <v>#DIV/0!</v>
      </c>
      <c r="U638" s="46" t="n">
        <v>0</v>
      </c>
      <c r="V638" s="47" t="e">
        <f aca="false">U638/$P638</f>
        <v>#DIV/0!</v>
      </c>
      <c r="W638" s="46" t="n">
        <v>0</v>
      </c>
      <c r="X638" s="48" t="e">
        <f aca="false">W638/$P638</f>
        <v>#DIV/0!</v>
      </c>
      <c r="Y638" s="46"/>
      <c r="Z638" s="49"/>
    </row>
    <row r="640" customFormat="false" ht="12.8" hidden="false" customHeight="false" outlineLevel="0" collapsed="false">
      <c r="D640" s="24" t="s">
        <v>342</v>
      </c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customFormat="false" ht="12.8" hidden="false" customHeight="false" outlineLevel="0" collapsed="false">
      <c r="D641" s="106"/>
      <c r="E641" s="5"/>
      <c r="F641" s="5"/>
      <c r="G641" s="5" t="s">
        <v>1</v>
      </c>
      <c r="H641" s="5" t="s">
        <v>2</v>
      </c>
      <c r="I641" s="5" t="s">
        <v>3</v>
      </c>
      <c r="J641" s="5" t="s">
        <v>4</v>
      </c>
      <c r="K641" s="5" t="s">
        <v>5</v>
      </c>
      <c r="L641" s="5" t="s">
        <v>6</v>
      </c>
      <c r="M641" s="5" t="s">
        <v>7</v>
      </c>
      <c r="N641" s="5" t="s">
        <v>8</v>
      </c>
      <c r="O641" s="5" t="s">
        <v>9</v>
      </c>
      <c r="P641" s="5" t="s">
        <v>10</v>
      </c>
      <c r="Q641" s="5" t="s">
        <v>11</v>
      </c>
      <c r="R641" s="5" t="s">
        <v>12</v>
      </c>
      <c r="S641" s="5" t="s">
        <v>13</v>
      </c>
      <c r="T641" s="5" t="s">
        <v>14</v>
      </c>
      <c r="U641" s="5" t="s">
        <v>15</v>
      </c>
      <c r="V641" s="5" t="s">
        <v>16</v>
      </c>
      <c r="W641" s="5" t="s">
        <v>17</v>
      </c>
      <c r="X641" s="5" t="s">
        <v>18</v>
      </c>
      <c r="Y641" s="5" t="s">
        <v>19</v>
      </c>
      <c r="Z641" s="5" t="s">
        <v>20</v>
      </c>
    </row>
    <row r="642" customFormat="false" ht="12.8" hidden="false" customHeight="false" outlineLevel="0" collapsed="false">
      <c r="A642" s="1" t="n">
        <v>8</v>
      </c>
      <c r="B642" s="1" t="n">
        <v>8</v>
      </c>
      <c r="D642" s="102" t="s">
        <v>21</v>
      </c>
      <c r="E642" s="8" t="n">
        <v>41</v>
      </c>
      <c r="F642" s="8" t="s">
        <v>23</v>
      </c>
      <c r="G642" s="9" t="n">
        <f aca="false">G646</f>
        <v>3120</v>
      </c>
      <c r="H642" s="9" t="n">
        <f aca="false">H646</f>
        <v>0</v>
      </c>
      <c r="I642" s="9" t="n">
        <f aca="false">I646</f>
        <v>10000</v>
      </c>
      <c r="J642" s="9" t="n">
        <f aca="false">J646</f>
        <v>0</v>
      </c>
      <c r="K642" s="9" t="n">
        <f aca="false">SUM(K646:K648)</f>
        <v>2000</v>
      </c>
      <c r="L642" s="9" t="n">
        <f aca="false">SUM(L646:L648)</f>
        <v>0</v>
      </c>
      <c r="M642" s="9" t="n">
        <f aca="false">SUM(M646:M648)</f>
        <v>6000</v>
      </c>
      <c r="N642" s="9" t="n">
        <f aca="false">SUM(N646:N648)</f>
        <v>0</v>
      </c>
      <c r="O642" s="9" t="n">
        <f aca="false">SUM(O646:O648)</f>
        <v>0</v>
      </c>
      <c r="P642" s="9" t="n">
        <f aca="false">SUM(K642:O642)</f>
        <v>8000</v>
      </c>
      <c r="Q642" s="9" t="n">
        <f aca="false">SUM(Q646:Q648)</f>
        <v>0</v>
      </c>
      <c r="R642" s="10" t="n">
        <f aca="false">Q642/$P642</f>
        <v>0</v>
      </c>
      <c r="S642" s="9" t="n">
        <f aca="false">SUM(S646:S648)</f>
        <v>0</v>
      </c>
      <c r="T642" s="10" t="n">
        <f aca="false">S642/$P642</f>
        <v>0</v>
      </c>
      <c r="U642" s="9" t="n">
        <f aca="false">SUM(U646:U648)</f>
        <v>0</v>
      </c>
      <c r="V642" s="10" t="n">
        <f aca="false">U642/$P642</f>
        <v>0</v>
      </c>
      <c r="W642" s="9" t="n">
        <f aca="false">SUM(W646:W648)</f>
        <v>0</v>
      </c>
      <c r="X642" s="10" t="n">
        <f aca="false">W642/$P642</f>
        <v>0</v>
      </c>
      <c r="Y642" s="9" t="n">
        <f aca="false">Y646</f>
        <v>0</v>
      </c>
      <c r="Z642" s="9" t="n">
        <f aca="false">Z646</f>
        <v>0</v>
      </c>
    </row>
    <row r="643" customFormat="false" ht="12.8" hidden="false" customHeight="false" outlineLevel="0" collapsed="false">
      <c r="A643" s="1" t="n">
        <v>8</v>
      </c>
      <c r="B643" s="1" t="n">
        <v>8</v>
      </c>
      <c r="D643" s="14"/>
      <c r="E643" s="15"/>
      <c r="F643" s="11" t="s">
        <v>126</v>
      </c>
      <c r="G643" s="12" t="n">
        <f aca="false">SUM(G642)</f>
        <v>3120</v>
      </c>
      <c r="H643" s="12" t="n">
        <f aca="false">SUM(H642)</f>
        <v>0</v>
      </c>
      <c r="I643" s="12" t="n">
        <f aca="false">SUM(I642)</f>
        <v>10000</v>
      </c>
      <c r="J643" s="12" t="n">
        <f aca="false">SUM(J642)</f>
        <v>0</v>
      </c>
      <c r="K643" s="12" t="n">
        <f aca="false">SUM(K642)</f>
        <v>2000</v>
      </c>
      <c r="L643" s="12" t="n">
        <f aca="false">SUM(L642)</f>
        <v>0</v>
      </c>
      <c r="M643" s="12" t="n">
        <f aca="false">SUM(M642)</f>
        <v>6000</v>
      </c>
      <c r="N643" s="12" t="n">
        <f aca="false">SUM(N642)</f>
        <v>0</v>
      </c>
      <c r="O643" s="12" t="n">
        <f aca="false">SUM(O642)</f>
        <v>0</v>
      </c>
      <c r="P643" s="12" t="n">
        <f aca="false">SUM(P642)</f>
        <v>8000</v>
      </c>
      <c r="Q643" s="12" t="n">
        <f aca="false">SUM(Q642)</f>
        <v>0</v>
      </c>
      <c r="R643" s="13" t="n">
        <f aca="false">Q643/$P643</f>
        <v>0</v>
      </c>
      <c r="S643" s="12" t="n">
        <f aca="false">SUM(S642)</f>
        <v>0</v>
      </c>
      <c r="T643" s="13" t="n">
        <f aca="false">S643/$P643</f>
        <v>0</v>
      </c>
      <c r="U643" s="12" t="n">
        <f aca="false">SUM(U642)</f>
        <v>0</v>
      </c>
      <c r="V643" s="13" t="n">
        <f aca="false">U643/$P643</f>
        <v>0</v>
      </c>
      <c r="W643" s="12" t="n">
        <f aca="false">SUM(W642)</f>
        <v>0</v>
      </c>
      <c r="X643" s="13" t="n">
        <f aca="false">W643/$P643</f>
        <v>0</v>
      </c>
      <c r="Y643" s="12" t="n">
        <f aca="false">SUM(Y642)</f>
        <v>0</v>
      </c>
      <c r="Z643" s="12" t="n">
        <f aca="false">SUM(Z642)</f>
        <v>0</v>
      </c>
    </row>
    <row r="645" customFormat="false" ht="12.8" hidden="false" customHeight="false" outlineLevel="0" collapsed="false">
      <c r="D645" s="1" t="s">
        <v>57</v>
      </c>
    </row>
    <row r="646" customFormat="false" ht="12.8" hidden="false" customHeight="false" outlineLevel="0" collapsed="false">
      <c r="D646" s="31" t="s">
        <v>343</v>
      </c>
      <c r="E646" s="32" t="s">
        <v>344</v>
      </c>
      <c r="F646" s="14"/>
      <c r="G646" s="33" t="n">
        <v>3120</v>
      </c>
      <c r="H646" s="33"/>
      <c r="I646" s="33" t="n">
        <v>10000</v>
      </c>
      <c r="J646" s="33"/>
      <c r="K646" s="33" t="n">
        <v>0</v>
      </c>
      <c r="L646" s="33"/>
      <c r="M646" s="33"/>
      <c r="N646" s="33"/>
      <c r="O646" s="33"/>
      <c r="P646" s="33" t="n">
        <f aca="false">SUM(K646:O646)</f>
        <v>0</v>
      </c>
      <c r="Q646" s="33" t="n">
        <v>0</v>
      </c>
      <c r="R646" s="34" t="e">
        <f aca="false">Q646/$P646</f>
        <v>#DIV/0!</v>
      </c>
      <c r="S646" s="33" t="n">
        <v>0</v>
      </c>
      <c r="T646" s="34" t="e">
        <f aca="false">S646/$P646</f>
        <v>#DIV/0!</v>
      </c>
      <c r="U646" s="33" t="n">
        <v>0</v>
      </c>
      <c r="V646" s="34" t="e">
        <f aca="false">U646/$P646</f>
        <v>#DIV/0!</v>
      </c>
      <c r="W646" s="33" t="n">
        <v>0</v>
      </c>
      <c r="X646" s="35" t="e">
        <f aca="false">W646/$P646</f>
        <v>#DIV/0!</v>
      </c>
      <c r="Y646" s="33" t="n">
        <v>0</v>
      </c>
      <c r="Z646" s="36" t="n">
        <v>0</v>
      </c>
    </row>
    <row r="647" customFormat="false" ht="12.8" hidden="false" customHeight="false" outlineLevel="0" collapsed="false">
      <c r="D647" s="31"/>
      <c r="E647" s="37" t="s">
        <v>345</v>
      </c>
      <c r="F647" s="78"/>
      <c r="G647" s="79"/>
      <c r="H647" s="79"/>
      <c r="I647" s="79"/>
      <c r="J647" s="79"/>
      <c r="K647" s="79" t="n">
        <v>2000</v>
      </c>
      <c r="L647" s="79"/>
      <c r="M647" s="79"/>
      <c r="N647" s="79"/>
      <c r="O647" s="79"/>
      <c r="P647" s="79" t="n">
        <f aca="false">SUM(K647:O647)</f>
        <v>2000</v>
      </c>
      <c r="Q647" s="79" t="n">
        <v>0</v>
      </c>
      <c r="R647" s="40" t="n">
        <f aca="false">Q647/$P647</f>
        <v>0</v>
      </c>
      <c r="S647" s="79" t="n">
        <v>0</v>
      </c>
      <c r="T647" s="40" t="n">
        <f aca="false">S647/$P647</f>
        <v>0</v>
      </c>
      <c r="U647" s="79" t="n">
        <v>0</v>
      </c>
      <c r="V647" s="40" t="n">
        <f aca="false">U647/$P647</f>
        <v>0</v>
      </c>
      <c r="W647" s="79" t="n">
        <v>0</v>
      </c>
      <c r="X647" s="41" t="n">
        <f aca="false">W647/$P647</f>
        <v>0</v>
      </c>
      <c r="Y647" s="79"/>
      <c r="Z647" s="42"/>
    </row>
    <row r="648" customFormat="false" ht="12.8" hidden="false" customHeight="false" outlineLevel="0" collapsed="false">
      <c r="D648" s="31"/>
      <c r="E648" s="44" t="s">
        <v>346</v>
      </c>
      <c r="F648" s="57"/>
      <c r="G648" s="46"/>
      <c r="H648" s="46"/>
      <c r="I648" s="46"/>
      <c r="J648" s="46"/>
      <c r="K648" s="46"/>
      <c r="L648" s="46"/>
      <c r="M648" s="46" t="n">
        <v>6000</v>
      </c>
      <c r="N648" s="46"/>
      <c r="O648" s="46"/>
      <c r="P648" s="46" t="n">
        <f aca="false">SUM(K648:O648)</f>
        <v>6000</v>
      </c>
      <c r="Q648" s="46" t="n">
        <v>0</v>
      </c>
      <c r="R648" s="47" t="n">
        <f aca="false">Q648/$P648</f>
        <v>0</v>
      </c>
      <c r="S648" s="46" t="n">
        <v>0</v>
      </c>
      <c r="T648" s="47" t="n">
        <f aca="false">S648/$P648</f>
        <v>0</v>
      </c>
      <c r="U648" s="46" t="n">
        <v>0</v>
      </c>
      <c r="V648" s="47" t="n">
        <f aca="false">U648/$P648</f>
        <v>0</v>
      </c>
      <c r="W648" s="46" t="n">
        <v>0</v>
      </c>
      <c r="X648" s="48" t="n">
        <f aca="false">W648/$P648</f>
        <v>0</v>
      </c>
      <c r="Y648" s="46"/>
      <c r="Z648" s="49"/>
    </row>
    <row r="650" customFormat="false" ht="12.8" hidden="false" customHeight="false" outlineLevel="0" collapsed="false">
      <c r="D650" s="16" t="s">
        <v>347</v>
      </c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customFormat="false" ht="12.8" hidden="false" customHeight="false" outlineLevel="0" collapsed="false">
      <c r="D651" s="4"/>
      <c r="E651" s="4"/>
      <c r="F651" s="4"/>
      <c r="G651" s="5" t="s">
        <v>1</v>
      </c>
      <c r="H651" s="5" t="s">
        <v>2</v>
      </c>
      <c r="I651" s="5" t="s">
        <v>3</v>
      </c>
      <c r="J651" s="5" t="s">
        <v>4</v>
      </c>
      <c r="K651" s="5" t="s">
        <v>5</v>
      </c>
      <c r="L651" s="5" t="s">
        <v>6</v>
      </c>
      <c r="M651" s="5" t="s">
        <v>7</v>
      </c>
      <c r="N651" s="5" t="s">
        <v>8</v>
      </c>
      <c r="O651" s="5" t="s">
        <v>9</v>
      </c>
      <c r="P651" s="5" t="s">
        <v>10</v>
      </c>
      <c r="Q651" s="5" t="s">
        <v>11</v>
      </c>
      <c r="R651" s="5" t="s">
        <v>12</v>
      </c>
      <c r="S651" s="5" t="s">
        <v>13</v>
      </c>
      <c r="T651" s="5" t="s">
        <v>14</v>
      </c>
      <c r="U651" s="5" t="s">
        <v>15</v>
      </c>
      <c r="V651" s="5" t="s">
        <v>16</v>
      </c>
      <c r="W651" s="5" t="s">
        <v>17</v>
      </c>
      <c r="X651" s="5" t="s">
        <v>18</v>
      </c>
      <c r="Y651" s="5" t="s">
        <v>19</v>
      </c>
      <c r="Z651" s="5" t="s">
        <v>20</v>
      </c>
    </row>
    <row r="652" customFormat="false" ht="12.8" hidden="false" customHeight="false" outlineLevel="0" collapsed="false">
      <c r="A652" s="1" t="n">
        <v>9</v>
      </c>
      <c r="D652" s="68" t="s">
        <v>21</v>
      </c>
      <c r="E652" s="18" t="n">
        <v>41</v>
      </c>
      <c r="F652" s="18" t="s">
        <v>23</v>
      </c>
      <c r="G652" s="19" t="n">
        <f aca="false">G660</f>
        <v>4283.76</v>
      </c>
      <c r="H652" s="19" t="n">
        <f aca="false">H660</f>
        <v>0</v>
      </c>
      <c r="I652" s="19" t="n">
        <f aca="false">I660</f>
        <v>0</v>
      </c>
      <c r="J652" s="19" t="n">
        <f aca="false">J660</f>
        <v>0</v>
      </c>
      <c r="K652" s="19" t="n">
        <f aca="false">K660</f>
        <v>0</v>
      </c>
      <c r="L652" s="19" t="n">
        <f aca="false">L660</f>
        <v>0</v>
      </c>
      <c r="M652" s="19" t="n">
        <f aca="false">M660</f>
        <v>0</v>
      </c>
      <c r="N652" s="19" t="n">
        <f aca="false">N660</f>
        <v>0</v>
      </c>
      <c r="O652" s="19" t="n">
        <f aca="false">O660</f>
        <v>0</v>
      </c>
      <c r="P652" s="19" t="n">
        <f aca="false">P660</f>
        <v>0</v>
      </c>
      <c r="Q652" s="19" t="n">
        <f aca="false">Q660</f>
        <v>0</v>
      </c>
      <c r="R652" s="20" t="e">
        <f aca="false">Q652/$P652</f>
        <v>#DIV/0!</v>
      </c>
      <c r="S652" s="19" t="n">
        <f aca="false">S660</f>
        <v>0</v>
      </c>
      <c r="T652" s="20" t="e">
        <f aca="false">S652/$P652</f>
        <v>#DIV/0!</v>
      </c>
      <c r="U652" s="19" t="n">
        <f aca="false">U660</f>
        <v>0</v>
      </c>
      <c r="V652" s="20" t="e">
        <f aca="false">U652/$P652</f>
        <v>#DIV/0!</v>
      </c>
      <c r="W652" s="19" t="n">
        <f aca="false">W660</f>
        <v>0</v>
      </c>
      <c r="X652" s="20" t="e">
        <f aca="false">W652/$P652</f>
        <v>#DIV/0!</v>
      </c>
      <c r="Y652" s="19" t="n">
        <f aca="false">Y660</f>
        <v>0</v>
      </c>
      <c r="Z652" s="19" t="n">
        <f aca="false">Z660</f>
        <v>0</v>
      </c>
    </row>
    <row r="653" customFormat="false" ht="12.8" hidden="false" customHeight="false" outlineLevel="0" collapsed="false">
      <c r="D653" s="68"/>
      <c r="E653" s="18" t="n">
        <v>71</v>
      </c>
      <c r="F653" s="18" t="s">
        <v>24</v>
      </c>
      <c r="G653" s="19" t="n">
        <f aca="false">G662</f>
        <v>0</v>
      </c>
      <c r="H653" s="19" t="n">
        <f aca="false">H662</f>
        <v>0</v>
      </c>
      <c r="I653" s="19" t="n">
        <f aca="false">I662</f>
        <v>16000</v>
      </c>
      <c r="J653" s="19" t="n">
        <f aca="false">J662</f>
        <v>70010.5</v>
      </c>
      <c r="K653" s="19" t="n">
        <f aca="false">K662</f>
        <v>4500</v>
      </c>
      <c r="L653" s="19" t="n">
        <f aca="false">L662</f>
        <v>0</v>
      </c>
      <c r="M653" s="19" t="n">
        <f aca="false">M662</f>
        <v>0</v>
      </c>
      <c r="N653" s="19" t="n">
        <f aca="false">N662</f>
        <v>0</v>
      </c>
      <c r="O653" s="19" t="n">
        <f aca="false">O662</f>
        <v>0</v>
      </c>
      <c r="P653" s="19" t="n">
        <f aca="false">P662</f>
        <v>4500</v>
      </c>
      <c r="Q653" s="19" t="n">
        <f aca="false">Q662</f>
        <v>1500</v>
      </c>
      <c r="R653" s="20" t="n">
        <f aca="false">Q653/$P653</f>
        <v>0.333333333333333</v>
      </c>
      <c r="S653" s="19" t="n">
        <f aca="false">S662</f>
        <v>1500</v>
      </c>
      <c r="T653" s="20" t="n">
        <f aca="false">S653/$P653</f>
        <v>0.333333333333333</v>
      </c>
      <c r="U653" s="19" t="n">
        <f aca="false">U662</f>
        <v>1500</v>
      </c>
      <c r="V653" s="20" t="n">
        <f aca="false">U653/$P653</f>
        <v>0.333333333333333</v>
      </c>
      <c r="W653" s="19" t="n">
        <f aca="false">W662</f>
        <v>1617.83</v>
      </c>
      <c r="X653" s="20" t="n">
        <f aca="false">W653/$P653</f>
        <v>0.359517777777778</v>
      </c>
      <c r="Y653" s="19" t="n">
        <f aca="false">Y662</f>
        <v>0</v>
      </c>
      <c r="Z653" s="19" t="n">
        <f aca="false">Z662</f>
        <v>0</v>
      </c>
    </row>
    <row r="654" customFormat="false" ht="12.8" hidden="false" customHeight="false" outlineLevel="0" collapsed="false">
      <c r="A654" s="1" t="n">
        <v>9</v>
      </c>
      <c r="D654" s="14"/>
      <c r="E654" s="15"/>
      <c r="F654" s="21" t="s">
        <v>126</v>
      </c>
      <c r="G654" s="22" t="n">
        <f aca="false">SUM(G652:G653)</f>
        <v>4283.76</v>
      </c>
      <c r="H654" s="22" t="n">
        <f aca="false">SUM(H652:H653)</f>
        <v>0</v>
      </c>
      <c r="I654" s="22" t="n">
        <f aca="false">SUM(I652:I653)</f>
        <v>16000</v>
      </c>
      <c r="J654" s="22" t="n">
        <f aca="false">SUM(J652:J653)</f>
        <v>70010.5</v>
      </c>
      <c r="K654" s="22" t="n">
        <f aca="false">SUM(K652:K653)</f>
        <v>4500</v>
      </c>
      <c r="L654" s="22" t="n">
        <f aca="false">SUM(L652:L653)</f>
        <v>0</v>
      </c>
      <c r="M654" s="22" t="n">
        <f aca="false">SUM(M652:M653)</f>
        <v>0</v>
      </c>
      <c r="N654" s="22" t="n">
        <f aca="false">SUM(N652:N653)</f>
        <v>0</v>
      </c>
      <c r="O654" s="22" t="n">
        <f aca="false">SUM(O652:O653)</f>
        <v>0</v>
      </c>
      <c r="P654" s="22" t="n">
        <f aca="false">SUM(P652:P653)</f>
        <v>4500</v>
      </c>
      <c r="Q654" s="22" t="n">
        <f aca="false">SUM(Q652:Q653)</f>
        <v>1500</v>
      </c>
      <c r="R654" s="23" t="n">
        <f aca="false">Q654/$P654</f>
        <v>0.333333333333333</v>
      </c>
      <c r="S654" s="22" t="n">
        <f aca="false">SUM(S652:S653)</f>
        <v>1500</v>
      </c>
      <c r="T654" s="23" t="n">
        <f aca="false">S654/$P654</f>
        <v>0.333333333333333</v>
      </c>
      <c r="U654" s="22" t="n">
        <f aca="false">SUM(U652:U653)</f>
        <v>1500</v>
      </c>
      <c r="V654" s="23" t="n">
        <f aca="false">U654/$P654</f>
        <v>0.333333333333333</v>
      </c>
      <c r="W654" s="22" t="n">
        <f aca="false">SUM(W652:W653)</f>
        <v>1617.83</v>
      </c>
      <c r="X654" s="23" t="n">
        <f aca="false">W654/$P654</f>
        <v>0.359517777777778</v>
      </c>
      <c r="Y654" s="22" t="n">
        <f aca="false">SUM(Y652:Y653)</f>
        <v>0</v>
      </c>
      <c r="Z654" s="22" t="n">
        <f aca="false">SUM(Z652:Z653)</f>
        <v>0</v>
      </c>
    </row>
    <row r="656" customFormat="false" ht="12.8" hidden="false" customHeight="false" outlineLevel="0" collapsed="false">
      <c r="D656" s="51" t="s">
        <v>348</v>
      </c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customFormat="false" ht="12.8" hidden="false" customHeight="false" outlineLevel="0" collapsed="false">
      <c r="D657" s="5" t="s">
        <v>33</v>
      </c>
      <c r="E657" s="5" t="s">
        <v>34</v>
      </c>
      <c r="F657" s="5" t="s">
        <v>35</v>
      </c>
      <c r="G657" s="5" t="s">
        <v>1</v>
      </c>
      <c r="H657" s="5" t="s">
        <v>2</v>
      </c>
      <c r="I657" s="5" t="s">
        <v>3</v>
      </c>
      <c r="J657" s="5" t="s">
        <v>4</v>
      </c>
      <c r="K657" s="5" t="s">
        <v>5</v>
      </c>
      <c r="L657" s="5" t="s">
        <v>6</v>
      </c>
      <c r="M657" s="5" t="s">
        <v>7</v>
      </c>
      <c r="N657" s="5" t="s">
        <v>8</v>
      </c>
      <c r="O657" s="5" t="s">
        <v>9</v>
      </c>
      <c r="P657" s="5" t="s">
        <v>10</v>
      </c>
      <c r="Q657" s="5" t="s">
        <v>11</v>
      </c>
      <c r="R657" s="5" t="s">
        <v>12</v>
      </c>
      <c r="S657" s="5" t="s">
        <v>13</v>
      </c>
      <c r="T657" s="5" t="s">
        <v>14</v>
      </c>
      <c r="U657" s="5" t="s">
        <v>15</v>
      </c>
      <c r="V657" s="5" t="s">
        <v>16</v>
      </c>
      <c r="W657" s="5" t="s">
        <v>17</v>
      </c>
      <c r="X657" s="5" t="s">
        <v>18</v>
      </c>
      <c r="Y657" s="5" t="s">
        <v>19</v>
      </c>
      <c r="Z657" s="5" t="s">
        <v>20</v>
      </c>
    </row>
    <row r="658" customFormat="false" ht="12.8" hidden="false" customHeight="false" outlineLevel="0" collapsed="false">
      <c r="A658" s="1" t="n">
        <v>9</v>
      </c>
      <c r="B658" s="1" t="n">
        <v>1</v>
      </c>
      <c r="D658" s="69" t="s">
        <v>130</v>
      </c>
      <c r="E658" s="8" t="n">
        <v>650</v>
      </c>
      <c r="F658" s="8" t="s">
        <v>349</v>
      </c>
      <c r="G658" s="9" t="n">
        <v>64.83</v>
      </c>
      <c r="H658" s="9" t="n">
        <v>0</v>
      </c>
      <c r="I658" s="9" t="n">
        <v>0</v>
      </c>
      <c r="J658" s="9" t="n">
        <v>0</v>
      </c>
      <c r="K658" s="9" t="n">
        <v>0</v>
      </c>
      <c r="L658" s="9"/>
      <c r="M658" s="9"/>
      <c r="N658" s="9"/>
      <c r="O658" s="9"/>
      <c r="P658" s="9" t="n">
        <f aca="false">SUM(K658:O658)</f>
        <v>0</v>
      </c>
      <c r="Q658" s="9" t="n">
        <v>0</v>
      </c>
      <c r="R658" s="10" t="e">
        <f aca="false">Q658/$P658</f>
        <v>#DIV/0!</v>
      </c>
      <c r="S658" s="9" t="n">
        <v>0</v>
      </c>
      <c r="T658" s="10" t="e">
        <f aca="false">S658/$P658</f>
        <v>#DIV/0!</v>
      </c>
      <c r="U658" s="9" t="n">
        <v>0</v>
      </c>
      <c r="V658" s="10" t="e">
        <f aca="false">U658/$P658</f>
        <v>#DIV/0!</v>
      </c>
      <c r="W658" s="9" t="n">
        <v>0</v>
      </c>
      <c r="X658" s="10" t="e">
        <f aca="false">W658/$P658</f>
        <v>#DIV/0!</v>
      </c>
      <c r="Y658" s="9" t="n">
        <v>0</v>
      </c>
      <c r="Z658" s="9" t="n">
        <v>0</v>
      </c>
    </row>
    <row r="659" customFormat="false" ht="12.8" hidden="false" customHeight="false" outlineLevel="0" collapsed="false">
      <c r="A659" s="1" t="n">
        <v>9</v>
      </c>
      <c r="B659" s="1" t="n">
        <v>1</v>
      </c>
      <c r="D659" s="69"/>
      <c r="E659" s="8" t="n">
        <v>820</v>
      </c>
      <c r="F659" s="8" t="s">
        <v>350</v>
      </c>
      <c r="G659" s="9" t="n">
        <v>4218.93</v>
      </c>
      <c r="H659" s="9" t="n">
        <v>0</v>
      </c>
      <c r="I659" s="9" t="n">
        <v>0</v>
      </c>
      <c r="J659" s="9" t="n">
        <v>0</v>
      </c>
      <c r="K659" s="9" t="n">
        <v>0</v>
      </c>
      <c r="L659" s="9"/>
      <c r="M659" s="9"/>
      <c r="N659" s="9"/>
      <c r="O659" s="9"/>
      <c r="P659" s="9" t="n">
        <f aca="false">SUM(K659:O659)</f>
        <v>0</v>
      </c>
      <c r="Q659" s="9" t="n">
        <v>0</v>
      </c>
      <c r="R659" s="10" t="e">
        <f aca="false">Q659/$P659</f>
        <v>#DIV/0!</v>
      </c>
      <c r="S659" s="9" t="n">
        <v>0</v>
      </c>
      <c r="T659" s="10" t="e">
        <f aca="false">S659/$P659</f>
        <v>#DIV/0!</v>
      </c>
      <c r="U659" s="9" t="n">
        <v>0</v>
      </c>
      <c r="V659" s="10" t="e">
        <f aca="false">U659/$P659</f>
        <v>#DIV/0!</v>
      </c>
      <c r="W659" s="9" t="n">
        <v>0</v>
      </c>
      <c r="X659" s="10" t="e">
        <f aca="false">W659/$P659</f>
        <v>#DIV/0!</v>
      </c>
      <c r="Y659" s="9" t="n">
        <f aca="false">K659</f>
        <v>0</v>
      </c>
      <c r="Z659" s="9" t="n">
        <f aca="false">Y659</f>
        <v>0</v>
      </c>
    </row>
    <row r="660" customFormat="false" ht="12.8" hidden="false" customHeight="false" outlineLevel="0" collapsed="false">
      <c r="A660" s="1" t="n">
        <v>9</v>
      </c>
      <c r="B660" s="1" t="n">
        <v>1</v>
      </c>
      <c r="D660" s="70" t="s">
        <v>21</v>
      </c>
      <c r="E660" s="29" t="n">
        <v>41</v>
      </c>
      <c r="F660" s="29" t="s">
        <v>23</v>
      </c>
      <c r="G660" s="30" t="n">
        <f aca="false">SUM(G658:G659)</f>
        <v>4283.76</v>
      </c>
      <c r="H660" s="30" t="n">
        <f aca="false">SUM(H658:H659)</f>
        <v>0</v>
      </c>
      <c r="I660" s="30" t="n">
        <f aca="false">SUM(I658:I659)</f>
        <v>0</v>
      </c>
      <c r="J660" s="30" t="n">
        <f aca="false">SUM(J658:J659)</f>
        <v>0</v>
      </c>
      <c r="K660" s="30" t="n">
        <f aca="false">SUM(K658:K659)</f>
        <v>0</v>
      </c>
      <c r="L660" s="30" t="n">
        <f aca="false">SUM(L658:L659)</f>
        <v>0</v>
      </c>
      <c r="M660" s="30" t="n">
        <f aca="false">SUM(M658:M659)</f>
        <v>0</v>
      </c>
      <c r="N660" s="30" t="n">
        <f aca="false">SUM(N658:N659)</f>
        <v>0</v>
      </c>
      <c r="O660" s="30" t="n">
        <f aca="false">SUM(O658:O659)</f>
        <v>0</v>
      </c>
      <c r="P660" s="30" t="n">
        <f aca="false">SUM(P658:P659)</f>
        <v>0</v>
      </c>
      <c r="Q660" s="30" t="n">
        <f aca="false">SUM(Q658:Q659)</f>
        <v>0</v>
      </c>
      <c r="R660" s="71" t="e">
        <f aca="false">Q660/$P660</f>
        <v>#DIV/0!</v>
      </c>
      <c r="S660" s="30" t="n">
        <f aca="false">SUM(S658:S659)</f>
        <v>0</v>
      </c>
      <c r="T660" s="71" t="e">
        <f aca="false">S660/$P660</f>
        <v>#DIV/0!</v>
      </c>
      <c r="U660" s="30" t="n">
        <f aca="false">SUM(U658:U659)</f>
        <v>0</v>
      </c>
      <c r="V660" s="71" t="e">
        <f aca="false">U660/$P660</f>
        <v>#DIV/0!</v>
      </c>
      <c r="W660" s="30" t="n">
        <f aca="false">SUM(W658:W659)</f>
        <v>0</v>
      </c>
      <c r="X660" s="71" t="e">
        <f aca="false">W660/$P660</f>
        <v>#DIV/0!</v>
      </c>
      <c r="Y660" s="30" t="n">
        <f aca="false">SUM(Y658:Y659)</f>
        <v>0</v>
      </c>
      <c r="Z660" s="30" t="n">
        <f aca="false">SUM(Z658:Z659)</f>
        <v>0</v>
      </c>
    </row>
    <row r="661" customFormat="false" ht="12.8" hidden="false" customHeight="false" outlineLevel="0" collapsed="false">
      <c r="D661" s="69" t="s">
        <v>130</v>
      </c>
      <c r="E661" s="8" t="n">
        <v>810</v>
      </c>
      <c r="F661" s="8" t="s">
        <v>351</v>
      </c>
      <c r="G661" s="9" t="n">
        <v>0</v>
      </c>
      <c r="H661" s="9" t="n">
        <v>0</v>
      </c>
      <c r="I661" s="9" t="n">
        <v>16000</v>
      </c>
      <c r="J661" s="9" t="n">
        <v>70010.5</v>
      </c>
      <c r="K661" s="9" t="n">
        <v>4500</v>
      </c>
      <c r="L661" s="9"/>
      <c r="M661" s="9"/>
      <c r="N661" s="9"/>
      <c r="O661" s="9"/>
      <c r="P661" s="9" t="n">
        <f aca="false">SUM(K661:O661)</f>
        <v>4500</v>
      </c>
      <c r="Q661" s="9" t="n">
        <v>1500</v>
      </c>
      <c r="R661" s="10" t="n">
        <f aca="false">Q661/$P661</f>
        <v>0.333333333333333</v>
      </c>
      <c r="S661" s="9" t="n">
        <v>1500</v>
      </c>
      <c r="T661" s="10" t="n">
        <f aca="false">S661/$P661</f>
        <v>0.333333333333333</v>
      </c>
      <c r="U661" s="9" t="n">
        <v>1500</v>
      </c>
      <c r="V661" s="10" t="n">
        <f aca="false">U661/$P661</f>
        <v>0.333333333333333</v>
      </c>
      <c r="W661" s="9" t="n">
        <v>1617.83</v>
      </c>
      <c r="X661" s="10" t="n">
        <f aca="false">W661/$P661</f>
        <v>0.359517777777778</v>
      </c>
      <c r="Y661" s="9" t="n">
        <v>0</v>
      </c>
      <c r="Z661" s="9" t="n">
        <v>0</v>
      </c>
    </row>
    <row r="662" customFormat="false" ht="12.8" hidden="false" customHeight="false" outlineLevel="0" collapsed="false">
      <c r="D662" s="70" t="s">
        <v>21</v>
      </c>
      <c r="E662" s="29" t="n">
        <v>71</v>
      </c>
      <c r="F662" s="29" t="s">
        <v>24</v>
      </c>
      <c r="G662" s="30" t="n">
        <f aca="false">SUM(G661:G661)</f>
        <v>0</v>
      </c>
      <c r="H662" s="30" t="n">
        <f aca="false">SUM(H661:H661)</f>
        <v>0</v>
      </c>
      <c r="I662" s="30" t="n">
        <f aca="false">SUM(I661:I661)</f>
        <v>16000</v>
      </c>
      <c r="J662" s="30" t="n">
        <f aca="false">SUM(J661:J661)</f>
        <v>70010.5</v>
      </c>
      <c r="K662" s="30" t="n">
        <f aca="false">SUM(K661:K661)</f>
        <v>4500</v>
      </c>
      <c r="L662" s="30" t="n">
        <f aca="false">SUM(L661:L661)</f>
        <v>0</v>
      </c>
      <c r="M662" s="30" t="n">
        <f aca="false">SUM(M661:M661)</f>
        <v>0</v>
      </c>
      <c r="N662" s="30" t="n">
        <f aca="false">SUM(N661:N661)</f>
        <v>0</v>
      </c>
      <c r="O662" s="30" t="n">
        <f aca="false">SUM(O661:O661)</f>
        <v>0</v>
      </c>
      <c r="P662" s="30" t="n">
        <f aca="false">SUM(P661:P661)</f>
        <v>4500</v>
      </c>
      <c r="Q662" s="30" t="n">
        <f aca="false">SUM(Q661:Q661)</f>
        <v>1500</v>
      </c>
      <c r="R662" s="71" t="n">
        <f aca="false">Q662/$P662</f>
        <v>0.333333333333333</v>
      </c>
      <c r="S662" s="30" t="n">
        <f aca="false">SUM(S661:S661)</f>
        <v>1500</v>
      </c>
      <c r="T662" s="71" t="n">
        <f aca="false">S662/$P662</f>
        <v>0.333333333333333</v>
      </c>
      <c r="U662" s="30" t="n">
        <f aca="false">SUM(U661:U661)</f>
        <v>1500</v>
      </c>
      <c r="V662" s="71" t="n">
        <f aca="false">U662/$P662</f>
        <v>0.333333333333333</v>
      </c>
      <c r="W662" s="30" t="n">
        <f aca="false">SUM(W661:W661)</f>
        <v>1617.83</v>
      </c>
      <c r="X662" s="71" t="n">
        <f aca="false">W662/$P662</f>
        <v>0.359517777777778</v>
      </c>
      <c r="Y662" s="30" t="n">
        <f aca="false">SUM(Y661:Y661)</f>
        <v>0</v>
      </c>
      <c r="Z662" s="30" t="n">
        <f aca="false">SUM(Z661:Z661)</f>
        <v>0</v>
      </c>
    </row>
    <row r="663" customFormat="false" ht="12.8" hidden="false" customHeight="false" outlineLevel="0" collapsed="false">
      <c r="D663" s="73"/>
      <c r="E663" s="74"/>
      <c r="F663" s="11" t="s">
        <v>23</v>
      </c>
      <c r="G663" s="12" t="n">
        <f aca="false">SUM(G662:G662)</f>
        <v>0</v>
      </c>
      <c r="H663" s="12" t="n">
        <f aca="false">SUM(H662:H662)</f>
        <v>0</v>
      </c>
      <c r="I663" s="12" t="n">
        <f aca="false">SUM(I662:I662)</f>
        <v>16000</v>
      </c>
      <c r="J663" s="12" t="n">
        <f aca="false">SUM(J662:J662)</f>
        <v>70010.5</v>
      </c>
      <c r="K663" s="12" t="n">
        <f aca="false">SUM(K662:K662)</f>
        <v>4500</v>
      </c>
      <c r="L663" s="12" t="n">
        <f aca="false">SUM(L662:L662)</f>
        <v>0</v>
      </c>
      <c r="M663" s="12" t="n">
        <f aca="false">SUM(M662:M662)</f>
        <v>0</v>
      </c>
      <c r="N663" s="12" t="n">
        <f aca="false">SUM(N662:N662)</f>
        <v>0</v>
      </c>
      <c r="O663" s="12" t="n">
        <f aca="false">SUM(O662:O662)</f>
        <v>0</v>
      </c>
      <c r="P663" s="12" t="n">
        <f aca="false">SUM(P662:P662)</f>
        <v>4500</v>
      </c>
      <c r="Q663" s="12" t="n">
        <f aca="false">SUM(Q662:Q662)</f>
        <v>1500</v>
      </c>
      <c r="R663" s="13" t="n">
        <f aca="false">Q663/$P663</f>
        <v>0.333333333333333</v>
      </c>
      <c r="S663" s="12" t="n">
        <f aca="false">SUM(S662:S662)</f>
        <v>1500</v>
      </c>
      <c r="T663" s="13" t="n">
        <f aca="false">S663/$P663</f>
        <v>0.333333333333333</v>
      </c>
      <c r="U663" s="12" t="n">
        <f aca="false">SUM(U662:U662)</f>
        <v>1500</v>
      </c>
      <c r="V663" s="13" t="n">
        <f aca="false">U663/$P663</f>
        <v>0.333333333333333</v>
      </c>
      <c r="W663" s="12" t="n">
        <f aca="false">SUM(W662:W662)</f>
        <v>1617.83</v>
      </c>
      <c r="X663" s="13" t="n">
        <f aca="false">W663/$P663</f>
        <v>0.359517777777778</v>
      </c>
      <c r="Y663" s="12" t="n">
        <f aca="false">SUM(Y662:Y662)</f>
        <v>0</v>
      </c>
      <c r="Z663" s="12" t="n">
        <f aca="false">SUM(Z662:Z662)</f>
        <v>0</v>
      </c>
    </row>
  </sheetData>
  <mergeCells count="75">
    <mergeCell ref="D3:D19"/>
    <mergeCell ref="D22:Z22"/>
    <mergeCell ref="D24:D26"/>
    <mergeCell ref="D29:Z29"/>
    <mergeCell ref="D31:D33"/>
    <mergeCell ref="D36:Z36"/>
    <mergeCell ref="D38:D41"/>
    <mergeCell ref="D47:Z47"/>
    <mergeCell ref="D51:D54"/>
    <mergeCell ref="D60:Z60"/>
    <mergeCell ref="D62:D64"/>
    <mergeCell ref="D70:Z70"/>
    <mergeCell ref="D84:Z84"/>
    <mergeCell ref="D86:D89"/>
    <mergeCell ref="D99:Z99"/>
    <mergeCell ref="D104:Z104"/>
    <mergeCell ref="D106:D108"/>
    <mergeCell ref="D110:D113"/>
    <mergeCell ref="D119:Z119"/>
    <mergeCell ref="D123:D124"/>
    <mergeCell ref="D129:Z129"/>
    <mergeCell ref="D133:D134"/>
    <mergeCell ref="D143:Z143"/>
    <mergeCell ref="D145:D146"/>
    <mergeCell ref="D149:Z149"/>
    <mergeCell ref="D151:D153"/>
    <mergeCell ref="D158:D160"/>
    <mergeCell ref="D162:D165"/>
    <mergeCell ref="D167:D168"/>
    <mergeCell ref="D178:D180"/>
    <mergeCell ref="D182:D184"/>
    <mergeCell ref="D198:D201"/>
    <mergeCell ref="D209:D210"/>
    <mergeCell ref="D215:D218"/>
    <mergeCell ref="D240:D242"/>
    <mergeCell ref="D254:D255"/>
    <mergeCell ref="D266:D269"/>
    <mergeCell ref="D287:D290"/>
    <mergeCell ref="D295:D297"/>
    <mergeCell ref="D302:D303"/>
    <mergeCell ref="D313:D315"/>
    <mergeCell ref="D325:D326"/>
    <mergeCell ref="D340:D342"/>
    <mergeCell ref="D361:D363"/>
    <mergeCell ref="D365:D368"/>
    <mergeCell ref="D376:D377"/>
    <mergeCell ref="D382:D383"/>
    <mergeCell ref="D390:D392"/>
    <mergeCell ref="D414:D415"/>
    <mergeCell ref="D426:D428"/>
    <mergeCell ref="D440:D441"/>
    <mergeCell ref="D451:D452"/>
    <mergeCell ref="D472:D474"/>
    <mergeCell ref="D479:D481"/>
    <mergeCell ref="D486:D488"/>
    <mergeCell ref="D490:D493"/>
    <mergeCell ref="D495:D496"/>
    <mergeCell ref="D521:D522"/>
    <mergeCell ref="D529:D531"/>
    <mergeCell ref="D536:D537"/>
    <mergeCell ref="D541:D552"/>
    <mergeCell ref="D556:D557"/>
    <mergeCell ref="D561:D567"/>
    <mergeCell ref="D575:D579"/>
    <mergeCell ref="D583:D584"/>
    <mergeCell ref="D588:D591"/>
    <mergeCell ref="D596:D597"/>
    <mergeCell ref="D601:D602"/>
    <mergeCell ref="D603:D610"/>
    <mergeCell ref="D622:D625"/>
    <mergeCell ref="D630:D631"/>
    <mergeCell ref="D635:D638"/>
    <mergeCell ref="D646:D648"/>
    <mergeCell ref="D652:D653"/>
    <mergeCell ref="D658:D659"/>
  </mergeCells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&amp;L&amp;"Arial,Bežné"&amp;10Čerpanie a plnenie rozpočtu 2019&amp;C&amp;"Arial,Bežné"&amp;10Obec Nesluša&amp;R&amp;"Arial,Bežné"&amp;10Stav k 31. 12. 2019</oddHeader>
    <oddFooter>&amp;L&amp;"Arial,Bežné"&amp;10Schválený UOZ_I-26/2019&amp;R&amp;"Arial,Bežné"&amp;10Posledná úprava: starostka, 02. 12. 2019</oddFooter>
  </headerFooter>
  <rowBreaks count="13" manualBreakCount="13">
    <brk id="21" man="true" max="16383" min="0"/>
    <brk id="83" man="true" max="16383" min="0"/>
    <brk id="148" man="true" max="16383" min="0"/>
    <brk id="206" man="true" max="16383" min="0"/>
    <brk id="237" man="true" max="16383" min="0"/>
    <brk id="284" man="true" max="16383" min="0"/>
    <brk id="353" man="true" max="16383" min="0"/>
    <brk id="373" man="true" max="16383" min="0"/>
    <brk id="443" man="true" max="16383" min="0"/>
    <brk id="469" man="true" max="16383" min="0"/>
    <brk id="526" man="true" max="16383" min="0"/>
    <brk id="593" man="true" max="16383" min="0"/>
    <brk id="649" man="true" max="16383" min="0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1"/>
  <sheetViews>
    <sheetView showFormulas="false" showGridLines="true" showRowColHeaders="true" showZeros="true" rightToLeft="false" tabSelected="false" showOutlineSymbols="true" defaultGridColor="false" view="normal" topLeftCell="A1" colorId="22" zoomScale="100" zoomScaleNormal="100" zoomScalePageLayoutView="100" workbookViewId="0">
      <selection pane="topLeft" activeCell="A1" activeCellId="0" sqref="A1"/>
    </sheetView>
  </sheetViews>
  <sheetFormatPr defaultColWidth="10.16015625" defaultRowHeight="12.8" zeroHeight="false" outlineLevelRow="0" outlineLevelCol="0"/>
  <cols>
    <col collapsed="false" customWidth="true" hidden="false" outlineLevel="0" max="1" min="1" style="116" width="14.43"/>
    <col collapsed="false" customWidth="true" hidden="false" outlineLevel="0" max="2" min="2" style="116" width="15.5"/>
    <col collapsed="false" customWidth="true" hidden="false" outlineLevel="0" max="64" min="3" style="116" width="7.63"/>
  </cols>
  <sheetData>
    <row r="1" customFormat="false" ht="12.8" hidden="false" customHeight="false" outlineLevel="0" collapsed="false">
      <c r="A1" s="116" t="s">
        <v>352</v>
      </c>
      <c r="B1" s="116" t="s">
        <v>353</v>
      </c>
    </row>
    <row r="2" customFormat="false" ht="12.8" hidden="false" customHeight="false" outlineLevel="0" collapsed="false">
      <c r="A2" s="116" t="s">
        <v>1</v>
      </c>
      <c r="B2" s="116" t="s">
        <v>354</v>
      </c>
    </row>
    <row r="3" customFormat="false" ht="12.8" hidden="false" customHeight="false" outlineLevel="0" collapsed="false">
      <c r="A3" s="116" t="s">
        <v>2</v>
      </c>
      <c r="B3" s="116" t="s">
        <v>355</v>
      </c>
    </row>
    <row r="4" customFormat="false" ht="12.8" hidden="false" customHeight="false" outlineLevel="0" collapsed="false">
      <c r="A4" s="116" t="s">
        <v>3</v>
      </c>
      <c r="B4" s="116" t="s">
        <v>356</v>
      </c>
    </row>
    <row r="5" customFormat="false" ht="12.8" hidden="false" customHeight="false" outlineLevel="0" collapsed="false">
      <c r="A5" s="116" t="s">
        <v>4</v>
      </c>
      <c r="B5" s="116" t="s">
        <v>357</v>
      </c>
    </row>
    <row r="6" customFormat="false" ht="12.8" hidden="false" customHeight="false" outlineLevel="0" collapsed="false">
      <c r="A6" s="116" t="s">
        <v>5</v>
      </c>
      <c r="B6" s="116" t="s">
        <v>358</v>
      </c>
    </row>
    <row r="7" customFormat="false" ht="12.8" hidden="false" customHeight="false" outlineLevel="0" collapsed="false">
      <c r="A7" s="116" t="s">
        <v>10</v>
      </c>
      <c r="B7" s="116" t="s">
        <v>359</v>
      </c>
    </row>
    <row r="8" customFormat="false" ht="12.8" hidden="false" customHeight="false" outlineLevel="0" collapsed="false">
      <c r="A8" s="116" t="s">
        <v>19</v>
      </c>
      <c r="B8" s="116" t="s">
        <v>360</v>
      </c>
    </row>
    <row r="9" customFormat="false" ht="12.8" hidden="false" customHeight="false" outlineLevel="0" collapsed="false">
      <c r="A9" s="116" t="s">
        <v>20</v>
      </c>
      <c r="B9" s="116" t="s">
        <v>361</v>
      </c>
    </row>
    <row r="10" customFormat="false" ht="12.8" hidden="false" customHeight="false" outlineLevel="0" collapsed="false">
      <c r="A10" s="116" t="s">
        <v>362</v>
      </c>
      <c r="B10" s="116" t="s">
        <v>363</v>
      </c>
    </row>
    <row r="11" customFormat="false" ht="12.8" hidden="false" customHeight="false" outlineLevel="0" collapsed="false">
      <c r="A11" s="116" t="s">
        <v>364</v>
      </c>
      <c r="B11" s="116" t="s">
        <v>365</v>
      </c>
    </row>
    <row r="12" customFormat="false" ht="12.8" hidden="false" customHeight="false" outlineLevel="0" collapsed="false">
      <c r="A12" s="116" t="s">
        <v>366</v>
      </c>
      <c r="B12" s="116" t="s">
        <v>367</v>
      </c>
    </row>
    <row r="13" customFormat="false" ht="12.8" hidden="false" customHeight="false" outlineLevel="0" collapsed="false">
      <c r="A13" s="116" t="s">
        <v>87</v>
      </c>
      <c r="B13" s="116" t="s">
        <v>368</v>
      </c>
    </row>
    <row r="14" customFormat="false" ht="12.8" hidden="false" customHeight="false" outlineLevel="0" collapsed="false">
      <c r="A14" s="116" t="s">
        <v>34</v>
      </c>
      <c r="B14" s="116" t="s">
        <v>369</v>
      </c>
    </row>
    <row r="15" customFormat="false" ht="12.8" hidden="false" customHeight="false" outlineLevel="0" collapsed="false">
      <c r="A15" s="116" t="s">
        <v>370</v>
      </c>
      <c r="B15" s="116" t="s">
        <v>225</v>
      </c>
    </row>
    <row r="16" customFormat="false" ht="12.8" hidden="false" customHeight="false" outlineLevel="0" collapsed="false">
      <c r="A16" s="116" t="s">
        <v>33</v>
      </c>
      <c r="B16" s="116" t="s">
        <v>371</v>
      </c>
    </row>
    <row r="17" customFormat="false" ht="12.8" hidden="false" customHeight="false" outlineLevel="0" collapsed="false">
      <c r="A17" s="116" t="s">
        <v>372</v>
      </c>
      <c r="B17" s="116" t="s">
        <v>373</v>
      </c>
    </row>
    <row r="18" customFormat="false" ht="12.8" hidden="false" customHeight="false" outlineLevel="0" collapsed="false">
      <c r="A18" s="116" t="s">
        <v>374</v>
      </c>
      <c r="B18" s="116" t="s">
        <v>375</v>
      </c>
    </row>
    <row r="19" customFormat="false" ht="12.8" hidden="false" customHeight="false" outlineLevel="0" collapsed="false">
      <c r="A19" s="116" t="s">
        <v>376</v>
      </c>
      <c r="B19" s="116" t="s">
        <v>377</v>
      </c>
    </row>
    <row r="20" customFormat="false" ht="12.8" hidden="false" customHeight="false" outlineLevel="0" collapsed="false">
      <c r="A20" s="116" t="s">
        <v>378</v>
      </c>
      <c r="B20" s="116" t="s">
        <v>379</v>
      </c>
    </row>
    <row r="21" customFormat="false" ht="12.8" hidden="false" customHeight="false" outlineLevel="0" collapsed="false">
      <c r="A21" s="116" t="s">
        <v>380</v>
      </c>
      <c r="B21" s="116" t="s">
        <v>381</v>
      </c>
    </row>
    <row r="22" customFormat="false" ht="12.8" hidden="false" customHeight="false" outlineLevel="0" collapsed="false">
      <c r="A22" s="116" t="s">
        <v>120</v>
      </c>
      <c r="B22" s="116" t="s">
        <v>382</v>
      </c>
    </row>
    <row r="23" customFormat="false" ht="12.8" hidden="false" customHeight="false" outlineLevel="0" collapsed="false">
      <c r="A23" s="116" t="s">
        <v>121</v>
      </c>
      <c r="B23" s="116" t="s">
        <v>383</v>
      </c>
    </row>
    <row r="24" customFormat="false" ht="12.8" hidden="false" customHeight="false" outlineLevel="0" collapsed="false">
      <c r="A24" s="116" t="s">
        <v>122</v>
      </c>
      <c r="B24" s="116" t="s">
        <v>384</v>
      </c>
    </row>
    <row r="25" customFormat="false" ht="12.8" hidden="false" customHeight="false" outlineLevel="0" collapsed="false">
      <c r="A25" s="116" t="s">
        <v>50</v>
      </c>
      <c r="B25" s="116" t="s">
        <v>385</v>
      </c>
    </row>
    <row r="26" customFormat="false" ht="12.8" hidden="false" customHeight="false" outlineLevel="0" collapsed="false">
      <c r="A26" s="116" t="s">
        <v>255</v>
      </c>
      <c r="B26" s="116" t="s">
        <v>386</v>
      </c>
    </row>
    <row r="27" customFormat="false" ht="12.8" hidden="false" customHeight="false" outlineLevel="0" collapsed="false">
      <c r="A27" s="116" t="s">
        <v>387</v>
      </c>
      <c r="B27" s="116" t="s">
        <v>388</v>
      </c>
    </row>
    <row r="28" customFormat="false" ht="12.8" hidden="false" customHeight="false" outlineLevel="0" collapsed="false">
      <c r="A28" s="116" t="s">
        <v>389</v>
      </c>
      <c r="B28" s="116" t="s">
        <v>390</v>
      </c>
    </row>
    <row r="29" customFormat="false" ht="12.8" hidden="false" customHeight="false" outlineLevel="0" collapsed="false">
      <c r="A29" s="116" t="s">
        <v>391</v>
      </c>
      <c r="B29" s="116" t="s">
        <v>392</v>
      </c>
    </row>
    <row r="30" customFormat="false" ht="12.8" hidden="false" customHeight="false" outlineLevel="0" collapsed="false">
      <c r="A30" s="116" t="s">
        <v>393</v>
      </c>
      <c r="B30" s="116" t="s">
        <v>394</v>
      </c>
    </row>
    <row r="31" customFormat="false" ht="12.8" hidden="false" customHeight="false" outlineLevel="0" collapsed="false">
      <c r="A31" s="116" t="s">
        <v>395</v>
      </c>
      <c r="B31" s="116" t="s">
        <v>396</v>
      </c>
    </row>
  </sheetData>
  <printOptions headings="false" gridLines="false" gridLinesSet="true" horizontalCentered="false" verticalCentered="false"/>
  <pageMargins left="0.196527777777778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&amp;C&amp;"Arial,Bežné"&amp;10&amp;A</oddHeader>
    <oddFooter>&amp;C&amp;"Arial,Bežné"&amp;10Strana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2334</TotalTime>
  <Application>LibreOffice/6.4.3.2$Linux_X86_64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2016-11-16T13:19:48Z</dcterms:created>
  <dc:creator>Matej Tabaček</dc:creator>
  <dc:description>Schválený: 01. 03. 2019, uznesením č. I-26/2019.
Úpravy:
RO č. 1-1/2019 z 01. 03. 2019 schválené starostkou obce,
RO č. 2-1/2019 z 30. 04. 2019 schválené uznesením č. II-7/2019,
RO č. 2-2/2019 z 27. 05. 2019 schválené starostkou obce,
RO č. 2-3/2019 z 28. 06. 2019 schválené uznesením č. III-3/2019,
RO č. 2-4/2019 z 28. 06. 2019 schválené starostkou obce,
RO č. 3-1/2019 z 01. 08. 2019 schválené starostkou obce,
RO č. 3-2/2019 z 26. 09. 2019 schválené uznesením č. IV-4/2019,
RO č. 4-1/2019 z 01. 10. 2019 schválené starostkou obce,
RO č. 4-2/2019 z 02. 12. 2019 schválené starostkou obce.</dc:description>
  <cp:keywords>rozpočet 2019 čerpanie úpravy obec Nesluša</cp:keywords>
  <dc:language>sk-SK</dc:language>
  <cp:lastModifiedBy>Matej Tabaček</cp:lastModifiedBy>
  <dcterms:modified xsi:type="dcterms:W3CDTF">2020-06-09T10:06:36Z</dcterms:modified>
  <cp:revision>191</cp:revision>
  <dc:subject>Čerpanie a úpravy rozpočtu Obce Nesluša</dc:subject>
  <dc:title>Rozpočet 2019 - Obec Nesluša (čerpanie a úpravy)</dc:title>
</cp:coreProperties>
</file>