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2.vml" ContentType="application/vnd.openxmlformats-officedocument.vmlDrawing"/>
  <Override PartName="/xl/drawings/vmlDrawing1.vml" ContentType="application/vnd.openxmlformats-officedocument.vmlDrawing"/>
  <Override PartName="/xl/workbook.xml" ContentType="application/vnd.openxmlformats-officedocument.spreadsheetml.sheet.main+xml"/>
  <Override PartName="/xl/comments1.xml" ContentType="application/vnd.openxmlformats-officedocument.spreadsheetml.comment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íjmy" sheetId="1" state="visible" r:id="rId2"/>
    <sheet name="výdaje" sheetId="2" state="visible" r:id="rId3"/>
    <sheet name="skratky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MT</author>
  </authors>
  <commentList>
    <comment ref="E132" authorId="0">
      <text>
        <r>
          <rPr>
            <sz val="11"/>
            <color rgb="FF000000"/>
            <rFont val="Calibri"/>
            <family val="0"/>
          </rPr>
          <t xml:space="preserve">K 1. decembru nebol schválený záverečný účet 2016 (prebytok 188 433)</t>
        </r>
      </text>
    </comment>
    <comment ref="E133" authorId="0">
      <text>
        <r>
          <rPr>
            <sz val="11"/>
            <color rgb="FF000000"/>
            <rFont val="Calibri"/>
            <family val="0"/>
          </rPr>
          <t xml:space="preserve">Rezervný fond nebol v roku 2016 čerpaný (zostatok 6 887)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MT</author>
    <author>Matej Tabaček</author>
  </authors>
  <commentList>
    <comment ref="F123" authorId="1">
      <text>
        <r>
          <rPr>
            <b val="true"/>
            <sz val="9"/>
            <color rgb="FF000000"/>
            <rFont val="Segoe UI"/>
            <family val="0"/>
          </rPr>
          <t xml:space="preserve">Matej Tabaček:
</t>
        </r>
        <r>
          <rPr>
            <sz val="9"/>
            <color rgb="FF000000"/>
            <rFont val="Segoe UI"/>
            <family val="0"/>
          </rPr>
          <t xml:space="preserve">Pre zjednodušenie porovnania sú položky 610, 620 a 630 zo starých rokov presunuté do položky 640</t>
        </r>
      </text>
    </comment>
    <comment ref="F127" authorId="1">
      <text>
        <r>
          <rPr>
            <b val="true"/>
            <sz val="9"/>
            <color rgb="FF000000"/>
            <rFont val="Segoe UI"/>
            <family val="0"/>
          </rPr>
          <t xml:space="preserve">Matej Tabaček:
</t>
        </r>
        <r>
          <rPr>
            <sz val="9"/>
            <color rgb="FF000000"/>
            <rFont val="Segoe UI"/>
            <family val="0"/>
          </rPr>
          <t xml:space="preserve">Pre zjednodušenie porovnania sú položky 610, 620 a 630 zo starých rokov presunuté do položky 640</t>
        </r>
      </text>
    </comment>
    <comment ref="K165" authorId="0">
      <text>
        <r>
          <rPr>
            <sz val="11"/>
            <color rgb="FF000000"/>
            <rFont val="Calibri"/>
            <family val="0"/>
          </rPr>
          <t xml:space="preserve">-1341 zvýšené OK na plyn MŠ</t>
        </r>
      </text>
    </comment>
    <comment ref="K195" authorId="0">
      <text>
        <r>
          <rPr>
            <sz val="11"/>
            <color rgb="FF000000"/>
            <rFont val="Calibri"/>
            <family val="0"/>
          </rPr>
          <t xml:space="preserve">Prirátané podľa prílohy</t>
        </r>
      </text>
    </comment>
    <comment ref="K457" authorId="0">
      <text>
        <r>
          <rPr>
            <sz val="11"/>
            <color rgb="FF000000"/>
            <rFont val="Calibri"/>
            <family val="0"/>
          </rPr>
          <t xml:space="preserve">2000 údržba</t>
        </r>
      </text>
    </comment>
  </commentList>
</comments>
</file>

<file path=xl/sharedStrings.xml><?xml version="1.0" encoding="utf-8"?>
<sst xmlns="http://schemas.openxmlformats.org/spreadsheetml/2006/main" count="2429" uniqueCount="367">
  <si>
    <t xml:space="preserve">SUMÁR PRÍJMOV</t>
  </si>
  <si>
    <t xml:space="preserve">2015 S</t>
  </si>
  <si>
    <t xml:space="preserve">2016 S</t>
  </si>
  <si>
    <t xml:space="preserve">2017 R</t>
  </si>
  <si>
    <t xml:space="preserve">2017 S</t>
  </si>
  <si>
    <t xml:space="preserve">2018 R</t>
  </si>
  <si>
    <t xml:space="preserve">U1</t>
  </si>
  <si>
    <t xml:space="preserve">U2</t>
  </si>
  <si>
    <t xml:space="preserve">U3</t>
  </si>
  <si>
    <t xml:space="preserve">U4</t>
  </si>
  <si>
    <t xml:space="preserve">2018 U</t>
  </si>
  <si>
    <t xml:space="preserve">Č1</t>
  </si>
  <si>
    <t xml:space="preserve">P1</t>
  </si>
  <si>
    <t xml:space="preserve">Č2</t>
  </si>
  <si>
    <t xml:space="preserve">P2</t>
  </si>
  <si>
    <t xml:space="preserve">Č3</t>
  </si>
  <si>
    <t xml:space="preserve">P3</t>
  </si>
  <si>
    <t xml:space="preserve">Č4</t>
  </si>
  <si>
    <t xml:space="preserve">P4</t>
  </si>
  <si>
    <t xml:space="preserve">2019 R</t>
  </si>
  <si>
    <t xml:space="preserve">2020 R</t>
  </si>
  <si>
    <t xml:space="preserve">Zdroj krytia</t>
  </si>
  <si>
    <t xml:space="preserve">Dotácie</t>
  </si>
  <si>
    <t xml:space="preserve">Vlastné zdroje</t>
  </si>
  <si>
    <t xml:space="preserve">Iné zdroje</t>
  </si>
  <si>
    <t xml:space="preserve">Ostatné príjmy</t>
  </si>
  <si>
    <t xml:space="preserve">Bežné príjmy</t>
  </si>
  <si>
    <t xml:space="preserve">Kapitálové príjmy</t>
  </si>
  <si>
    <t xml:space="preserve">Úvery</t>
  </si>
  <si>
    <t xml:space="preserve">Finančné operácie</t>
  </si>
  <si>
    <t xml:space="preserve">Celkové príjmy</t>
  </si>
  <si>
    <t xml:space="preserve">DAŇOVÉ PRÍJMY</t>
  </si>
  <si>
    <t xml:space="preserve">Daňové príjmy - rozpis</t>
  </si>
  <si>
    <t xml:space="preserve">FK</t>
  </si>
  <si>
    <t xml:space="preserve">EK</t>
  </si>
  <si>
    <t xml:space="preserve">Názov</t>
  </si>
  <si>
    <t xml:space="preserve">PrD</t>
  </si>
  <si>
    <t xml:space="preserve">Výnos dane z príjmov</t>
  </si>
  <si>
    <t xml:space="preserve">Daň z pozemkov</t>
  </si>
  <si>
    <t xml:space="preserve">Daň zo stavieb</t>
  </si>
  <si>
    <t xml:space="preserve">Daň z bytov</t>
  </si>
  <si>
    <t xml:space="preserve">Daň za psa</t>
  </si>
  <si>
    <t xml:space="preserve">Daň za nevýherné hracie prístroje</t>
  </si>
  <si>
    <t xml:space="preserve">Daň za ubytovanie</t>
  </si>
  <si>
    <t xml:space="preserve">Daň za užívanie verejného priestranstva</t>
  </si>
  <si>
    <t xml:space="preserve">Daň za komunálne odpady a drobné stavebné odpady</t>
  </si>
  <si>
    <t xml:space="preserve">NEDAŇOVÉ PRÍJMY</t>
  </si>
  <si>
    <t xml:space="preserve">Štátne dotácie</t>
  </si>
  <si>
    <t xml:space="preserve">Nedaňové príjmy - rozpis</t>
  </si>
  <si>
    <t xml:space="preserve">PrN</t>
  </si>
  <si>
    <t xml:space="preserve">Iné nedaňové príjmy</t>
  </si>
  <si>
    <t xml:space="preserve">Príjmy z majetku</t>
  </si>
  <si>
    <t xml:space="preserve">Administratívne poplatky a iné platby</t>
  </si>
  <si>
    <t xml:space="preserve">Predaj majetku</t>
  </si>
  <si>
    <t xml:space="preserve">Úroky z vkladov</t>
  </si>
  <si>
    <t xml:space="preserve">RO</t>
  </si>
  <si>
    <t xml:space="preserve">Príjmy ZŠ</t>
  </si>
  <si>
    <t xml:space="preserve">V tom:</t>
  </si>
  <si>
    <t xml:space="preserve">Prenájom budov</t>
  </si>
  <si>
    <t xml:space="preserve">Správne poplatky</t>
  </si>
  <si>
    <t xml:space="preserve">Licencie automaty</t>
  </si>
  <si>
    <t xml:space="preserve">Vodné</t>
  </si>
  <si>
    <t xml:space="preserve">Opatrovateľská služba</t>
  </si>
  <si>
    <t xml:space="preserve">Vstupné na akcie</t>
  </si>
  <si>
    <t xml:space="preserve">Poplatky DOS</t>
  </si>
  <si>
    <t xml:space="preserve">Predaj dreva</t>
  </si>
  <si>
    <t xml:space="preserve">Príspevok rodičov MŠ</t>
  </si>
  <si>
    <t xml:space="preserve">Príspevok CVČ</t>
  </si>
  <si>
    <t xml:space="preserve">Vodovodné prípojky</t>
  </si>
  <si>
    <t xml:space="preserve">Dobropisy</t>
  </si>
  <si>
    <t xml:space="preserve">Stravné zamestnanci</t>
  </si>
  <si>
    <t xml:space="preserve">GRANTY A TRANSFERY</t>
  </si>
  <si>
    <t xml:space="preserve">Granty a transfery - rozpis</t>
  </si>
  <si>
    <t xml:space="preserve">ZŠ normatívne</t>
  </si>
  <si>
    <t xml:space="preserve">ZŠ žiaci zo SZP</t>
  </si>
  <si>
    <t xml:space="preserve">ZŠ asistent učiteľa</t>
  </si>
  <si>
    <t xml:space="preserve">ZŠ vzdelávacie poukazy</t>
  </si>
  <si>
    <t xml:space="preserve">ZŠ stravné ŠJ</t>
  </si>
  <si>
    <t xml:space="preserve">ZŠ školské potreby</t>
  </si>
  <si>
    <t xml:space="preserve">Iné ZŠ</t>
  </si>
  <si>
    <t xml:space="preserve">MŠ predškoláci</t>
  </si>
  <si>
    <t xml:space="preserve">CVČ vzdelávacie</t>
  </si>
  <si>
    <t xml:space="preserve">Prídavky na deti</t>
  </si>
  <si>
    <t xml:space="preserve">Stavebný úrad</t>
  </si>
  <si>
    <t xml:space="preserve">Cestná doprava</t>
  </si>
  <si>
    <t xml:space="preserve">Životné prostredie</t>
  </si>
  <si>
    <t xml:space="preserve">Matrika</t>
  </si>
  <si>
    <t xml:space="preserve">Register obyvateľstva</t>
  </si>
  <si>
    <t xml:space="preserve">Voľby</t>
  </si>
  <si>
    <t xml:space="preserve">Sklad civilnej obrany</t>
  </si>
  <si>
    <t xml:space="preserve">DOS</t>
  </si>
  <si>
    <t xml:space="preserve">Rozvoj športu</t>
  </si>
  <si>
    <t xml:space="preserve">Regionálny rozvoj ESF</t>
  </si>
  <si>
    <t xml:space="preserve">Chránená dielňa ESF</t>
  </si>
  <si>
    <t xml:space="preserve">Kompostéry</t>
  </si>
  <si>
    <t xml:space="preserve">Zberný dvor</t>
  </si>
  <si>
    <t xml:space="preserve">Zateplenie škôlky</t>
  </si>
  <si>
    <t xml:space="preserve">Rozšírenie škôlky</t>
  </si>
  <si>
    <t xml:space="preserve">Zateplenie DOS</t>
  </si>
  <si>
    <t xml:space="preserve">Požiarna zbrojnica</t>
  </si>
  <si>
    <t xml:space="preserve">Tribúna na štadióne</t>
  </si>
  <si>
    <t xml:space="preserve">ZŠ WC/telocvičňa</t>
  </si>
  <si>
    <t xml:space="preserve">Erasmus (RO)</t>
  </si>
  <si>
    <t xml:space="preserve">Zdroj kytia</t>
  </si>
  <si>
    <t xml:space="preserve">Granty</t>
  </si>
  <si>
    <t xml:space="preserve">Granty (RO)</t>
  </si>
  <si>
    <t xml:space="preserve">PRÍJMOVÉ FINANČNÉ OPERÁCIE</t>
  </si>
  <si>
    <t xml:space="preserve">Nevyčerpané dotácie</t>
  </si>
  <si>
    <t xml:space="preserve">Zostatky</t>
  </si>
  <si>
    <t xml:space="preserve">Rezervný fond</t>
  </si>
  <si>
    <t xml:space="preserve">Zábezpeka – verejné obstarávanie</t>
  </si>
  <si>
    <t xml:space="preserve">Úver na rýpadlo</t>
  </si>
  <si>
    <t xml:space="preserve">ROZDIEL PRÍJMOV A VÝDAJOV</t>
  </si>
  <si>
    <t xml:space="preserve">Pr</t>
  </si>
  <si>
    <t xml:space="preserve">Po</t>
  </si>
  <si>
    <t xml:space="preserve">Pv</t>
  </si>
  <si>
    <t xml:space="preserve">SUMÁR VÝDAVKOV</t>
  </si>
  <si>
    <t xml:space="preserve">Bežné výdavky</t>
  </si>
  <si>
    <t xml:space="preserve">Kapitálové výdavky</t>
  </si>
  <si>
    <t xml:space="preserve">Celkové výdavky</t>
  </si>
  <si>
    <t xml:space="preserve">PROGRAM 1 - SAMOSPRÁVA</t>
  </si>
  <si>
    <t xml:space="preserve">Podprogram 1.1 Obecný úrad</t>
  </si>
  <si>
    <t xml:space="preserve">Prvok 1.1.1 Vedenie obce</t>
  </si>
  <si>
    <t xml:space="preserve">01.1.1</t>
  </si>
  <si>
    <t xml:space="preserve">Mzdy</t>
  </si>
  <si>
    <t xml:space="preserve">Odvody</t>
  </si>
  <si>
    <t xml:space="preserve">Tovary a služby</t>
  </si>
  <si>
    <t xml:space="preserve">Transfery</t>
  </si>
  <si>
    <t xml:space="preserve">Odstupné</t>
  </si>
  <si>
    <t xml:space="preserve">Prvok 1.1.2 Personál</t>
  </si>
  <si>
    <t xml:space="preserve">Štátna dotácia</t>
  </si>
  <si>
    <t xml:space="preserve">Prvok 1.1.3 Vnútorná kontrola</t>
  </si>
  <si>
    <t xml:space="preserve">01.1.2</t>
  </si>
  <si>
    <t xml:space="preserve">Prvok 1.1.4 Služby a kancelárske vybavenie</t>
  </si>
  <si>
    <t xml:space="preserve">1AC</t>
  </si>
  <si>
    <t xml:space="preserve">Bankové poplatky</t>
  </si>
  <si>
    <t xml:space="preserve">Právne služby</t>
  </si>
  <si>
    <t xml:space="preserve">Softvér (URBIS)</t>
  </si>
  <si>
    <t xml:space="preserve">Služby ESMAO</t>
  </si>
  <si>
    <t xml:space="preserve">Nábytok OcÚ</t>
  </si>
  <si>
    <t xml:space="preserve">Prvok 1.1.5 Prevádzka</t>
  </si>
  <si>
    <t xml:space="preserve">01.1.3</t>
  </si>
  <si>
    <t xml:space="preserve">01.1.4</t>
  </si>
  <si>
    <t xml:space="preserve">01.1.5</t>
  </si>
  <si>
    <t xml:space="preserve">Elektrina</t>
  </si>
  <si>
    <t xml:space="preserve">Plyn</t>
  </si>
  <si>
    <t xml:space="preserve">Pohonné hmoty</t>
  </si>
  <si>
    <t xml:space="preserve">Prvok 1.1.6 Informačný systém (web a rozhlas)</t>
  </si>
  <si>
    <t xml:space="preserve">08.3.0</t>
  </si>
  <si>
    <t xml:space="preserve">Prvok 1.1.7 Matrika a evidencia obyvateľstva</t>
  </si>
  <si>
    <t xml:space="preserve">01.3.3</t>
  </si>
  <si>
    <t xml:space="preserve">Podprogram 1.2 Spoločný obecný úrad</t>
  </si>
  <si>
    <t xml:space="preserve">09.1.1.1</t>
  </si>
  <si>
    <t xml:space="preserve">Mzdy MŠ Nesluša</t>
  </si>
  <si>
    <t xml:space="preserve">Školský metodik</t>
  </si>
  <si>
    <t xml:space="preserve">Podprogram 1.3 Správa a údržba majetku</t>
  </si>
  <si>
    <t xml:space="preserve">04.2.2</t>
  </si>
  <si>
    <t xml:space="preserve">Lesy</t>
  </si>
  <si>
    <t xml:space="preserve">06.1.0</t>
  </si>
  <si>
    <t xml:space="preserve">Byty</t>
  </si>
  <si>
    <t xml:space="preserve">Ťažba, výsadba</t>
  </si>
  <si>
    <t xml:space="preserve">Revízie el. zariadení</t>
  </si>
  <si>
    <t xml:space="preserve">Podprogram 1.4 Voľby</t>
  </si>
  <si>
    <t xml:space="preserve">01.6.0</t>
  </si>
  <si>
    <t xml:space="preserve">PROGRAM 2 - ŠKOLSTVO</t>
  </si>
  <si>
    <t xml:space="preserve">Podprogram 2.1 Materská škola</t>
  </si>
  <si>
    <t xml:space="preserve">Podprogram 2.2 Základná škola</t>
  </si>
  <si>
    <t xml:space="preserve">09.2.1.1</t>
  </si>
  <si>
    <t xml:space="preserve">Originálne kompetencie</t>
  </si>
  <si>
    <t xml:space="preserve">09.6.0.1</t>
  </si>
  <si>
    <t xml:space="preserve">Podprogram 2.3 Centrum voľného času</t>
  </si>
  <si>
    <t xml:space="preserve">09.5.0</t>
  </si>
  <si>
    <t xml:space="preserve">PROGRAM 3 - VODA</t>
  </si>
  <si>
    <t xml:space="preserve">Podprogram 3.1 Verejný vodovod</t>
  </si>
  <si>
    <t xml:space="preserve">06.3.0</t>
  </si>
  <si>
    <t xml:space="preserve">Údržba vodovodu</t>
  </si>
  <si>
    <t xml:space="preserve">Vodomery</t>
  </si>
  <si>
    <t xml:space="preserve">Rozbor vody</t>
  </si>
  <si>
    <t xml:space="preserve">Prevádzkovanie vodovodu</t>
  </si>
  <si>
    <t xml:space="preserve">Odber podzemnej vody</t>
  </si>
  <si>
    <t xml:space="preserve">Podprogram 3.2 Skupinové vodovody</t>
  </si>
  <si>
    <t xml:space="preserve">PROGRAM 4 - ODPADOVÉ HOSPODÁRSTVO A ŽIVOTNÉ PROSTREDIE</t>
  </si>
  <si>
    <t xml:space="preserve">Podprogram 4.1 Komunálny odpad</t>
  </si>
  <si>
    <t xml:space="preserve">05.1.0</t>
  </si>
  <si>
    <t xml:space="preserve">Podprogram 4.2 Separovaný zber</t>
  </si>
  <si>
    <t xml:space="preserve">Kompostéry do domácností</t>
  </si>
  <si>
    <t xml:space="preserve">Odvoz odpadu</t>
  </si>
  <si>
    <t xml:space="preserve">Podprogram 4.3 Zberný dvor</t>
  </si>
  <si>
    <t xml:space="preserve">Podprogram 4.4 Likvidácia skládok</t>
  </si>
  <si>
    <t xml:space="preserve">PROGRAM 5 - PROSTREDIE PRE ŽIVOT</t>
  </si>
  <si>
    <t xml:space="preserve">Podprogram 5.1 Bezpečnosť</t>
  </si>
  <si>
    <t xml:space="preserve">Prvok 5.1.1 Protipožiarna ochrana</t>
  </si>
  <si>
    <t xml:space="preserve">03.2.0</t>
  </si>
  <si>
    <t xml:space="preserve">Prvok 5.1.2 Civilná obrana</t>
  </si>
  <si>
    <t xml:space="preserve">02.2.0</t>
  </si>
  <si>
    <t xml:space="preserve">Prvok 5.1.3 Verejné osvetlenie</t>
  </si>
  <si>
    <t xml:space="preserve">06.4.0</t>
  </si>
  <si>
    <t xml:space="preserve">Dohoda</t>
  </si>
  <si>
    <t xml:space="preserve">LED svetlá v centre obce</t>
  </si>
  <si>
    <t xml:space="preserve">Prvok 5.1.4 Kamerový systém</t>
  </si>
  <si>
    <t xml:space="preserve">03.6.0</t>
  </si>
  <si>
    <t xml:space="preserve">Podprogram 5.2 Komunikácie a verejné priestranstvá</t>
  </si>
  <si>
    <t xml:space="preserve">Prvok 5.2.1 Miestne komunikácie</t>
  </si>
  <si>
    <t xml:space="preserve">04.5.1</t>
  </si>
  <si>
    <t xml:space="preserve">Zimná údržba</t>
  </si>
  <si>
    <t xml:space="preserve">Cesty a chodníky</t>
  </si>
  <si>
    <t xml:space="preserve">Kanály</t>
  </si>
  <si>
    <t xml:space="preserve">Prvok 5.2.2 Verejné priestranstvá</t>
  </si>
  <si>
    <t xml:space="preserve">06.2.0</t>
  </si>
  <si>
    <t xml:space="preserve">Prvok 5.2.3 Regionálny rozvoj</t>
  </si>
  <si>
    <t xml:space="preserve">Európsky sociálny fond</t>
  </si>
  <si>
    <t xml:space="preserve">PROGRAM 6 - ŠPORT, KULTÚRA A INÉ SPOLOČENSKÉ SLUŽBY</t>
  </si>
  <si>
    <t xml:space="preserve">Podprogram 6.1 Šport</t>
  </si>
  <si>
    <t xml:space="preserve">Prvok 6.1.1 Futbalový klub</t>
  </si>
  <si>
    <t xml:space="preserve">08.1.0</t>
  </si>
  <si>
    <t xml:space="preserve">Prvok 6.1.2 Ostatné športové kluby</t>
  </si>
  <si>
    <t xml:space="preserve">Šachový klub</t>
  </si>
  <si>
    <t xml:space="preserve">Stolný tenis</t>
  </si>
  <si>
    <t xml:space="preserve">Neslušskí vlci</t>
  </si>
  <si>
    <t xml:space="preserve">Podprogram 6.2 Kultúra</t>
  </si>
  <si>
    <t xml:space="preserve">Prvok 6.2.1 Kultúrny dom</t>
  </si>
  <si>
    <t xml:space="preserve">08.2.0</t>
  </si>
  <si>
    <t xml:space="preserve">Dohoda správca</t>
  </si>
  <si>
    <t xml:space="preserve">Prvok 6.2.2 Kultúrne akcie</t>
  </si>
  <si>
    <t xml:space="preserve">Chomút</t>
  </si>
  <si>
    <t xml:space="preserve">Rocknes</t>
  </si>
  <si>
    <t xml:space="preserve">Letné kino, vianočné trhy</t>
  </si>
  <si>
    <t xml:space="preserve">650. výročie obce/Dni obce</t>
  </si>
  <si>
    <t xml:space="preserve">Hody a iné podujatia</t>
  </si>
  <si>
    <t xml:space="preserve">Nerozdelené</t>
  </si>
  <si>
    <t xml:space="preserve">Prvok 6.2.3 Knižnica</t>
  </si>
  <si>
    <t xml:space="preserve">Podprogram 6.3 Iné služby</t>
  </si>
  <si>
    <t xml:space="preserve">Prvok 6.3.1 Pohrebná služby</t>
  </si>
  <si>
    <t xml:space="preserve">08.4.0</t>
  </si>
  <si>
    <t xml:space="preserve">Pohrebná služba Lisko</t>
  </si>
  <si>
    <t xml:space="preserve">Prvok 6.3.2 Náboženské a spoločenské spolky a združenia</t>
  </si>
  <si>
    <t xml:space="preserve">SO SZTP a ZPCCH</t>
  </si>
  <si>
    <t xml:space="preserve">Červený kríž</t>
  </si>
  <si>
    <t xml:space="preserve">Priatelia Kysúc</t>
  </si>
  <si>
    <t xml:space="preserve">Jednota dôchodcov</t>
  </si>
  <si>
    <t xml:space="preserve">PROGRAM 7 - SOLIDARITA</t>
  </si>
  <si>
    <t xml:space="preserve">Podprogram 7.1 Staroba</t>
  </si>
  <si>
    <t xml:space="preserve">Prvok 7.1.1 Dom opatrovateľskej služby</t>
  </si>
  <si>
    <t xml:space="preserve">10.2.0</t>
  </si>
  <si>
    <t xml:space="preserve">Odstupné, náhrada mzdy</t>
  </si>
  <si>
    <t xml:space="preserve">Vratka dotácie – neobsadené miesta</t>
  </si>
  <si>
    <t xml:space="preserve">Koks</t>
  </si>
  <si>
    <t xml:space="preserve">Prvok 7.1.2 Starostlivosť o starých občanov</t>
  </si>
  <si>
    <t xml:space="preserve">Stravovanie</t>
  </si>
  <si>
    <t xml:space="preserve">Jubilanti, úcta k starším</t>
  </si>
  <si>
    <t xml:space="preserve">Podprogram 7.2 Rodina a hmotná núdza</t>
  </si>
  <si>
    <t xml:space="preserve">10.4.0</t>
  </si>
  <si>
    <t xml:space="preserve">10.7.0</t>
  </si>
  <si>
    <t xml:space="preserve">PROGRAM 8 - INVESTÍCIE</t>
  </si>
  <si>
    <t xml:space="preserve">Podprogram 8.1 Samospráva</t>
  </si>
  <si>
    <t xml:space="preserve">01.1.1-710</t>
  </si>
  <si>
    <t xml:space="preserve">Rekonštrukcia obecného úradu</t>
  </si>
  <si>
    <t xml:space="preserve">- schodisko a vonkajší sokel</t>
  </si>
  <si>
    <t xml:space="preserve">- strecha</t>
  </si>
  <si>
    <t xml:space="preserve">- výmena plynového kotla</t>
  </si>
  <si>
    <t xml:space="preserve">- 2. nadzemné podlažie</t>
  </si>
  <si>
    <r>
      <rPr>
        <sz val="10"/>
        <color rgb="FF000000"/>
        <rFont val="Arial"/>
        <family val="2"/>
      </rPr>
      <t xml:space="preserve">- 1. nadzemné podlažie </t>
    </r>
    <r>
      <rPr>
        <b val="true"/>
        <sz val="10"/>
        <color rgb="FF000000"/>
        <rFont val="Arial"/>
        <family val="2"/>
      </rPr>
      <t xml:space="preserve">(</t>
    </r>
    <r>
      <rPr>
        <sz val="10"/>
        <color rgb="FF000000"/>
        <rFont val="Arial"/>
        <family val="2"/>
      </rPr>
      <t xml:space="preserve">kancelárie</t>
    </r>
    <r>
      <rPr>
        <b val="true"/>
        <sz val="10"/>
        <color rgb="FF000000"/>
        <rFont val="Arial"/>
        <family val="2"/>
      </rPr>
      <t xml:space="preserve">)</t>
    </r>
  </si>
  <si>
    <t xml:space="preserve">Kúpa rýpadla</t>
  </si>
  <si>
    <t xml:space="preserve">Nákup strojov – ručná kosačka, krovinorezy, traktorová kosačka, posypovač</t>
  </si>
  <si>
    <t xml:space="preserve">Kúpa vyrozumievacieho zariadenia</t>
  </si>
  <si>
    <t xml:space="preserve">Kúpa motorového vozidla</t>
  </si>
  <si>
    <t xml:space="preserve">Podprogram 8.2 Školstvo</t>
  </si>
  <si>
    <t xml:space="preserve">09.1.1.1-710</t>
  </si>
  <si>
    <t xml:space="preserve">MŠ - zateplenie</t>
  </si>
  <si>
    <t xml:space="preserve">MŠ - rozšírenie kapacity</t>
  </si>
  <si>
    <t xml:space="preserve">ZŠ - átrium</t>
  </si>
  <si>
    <t xml:space="preserve">ZŠ - rekonštrukcia WC</t>
  </si>
  <si>
    <t xml:space="preserve">ZŠ – strecha a telocvičňa</t>
  </si>
  <si>
    <t xml:space="preserve">ZŠ – maľovanie, kanál telocvičňa</t>
  </si>
  <si>
    <t xml:space="preserve">Podprogram 8.3 Voda</t>
  </si>
  <si>
    <t xml:space="preserve">06.3.0-710</t>
  </si>
  <si>
    <t xml:space="preserve">Projekt úpravovne vody – Parišovka, Dúbravy, Chovancovce</t>
  </si>
  <si>
    <t xml:space="preserve">Vodojem Chovancovce</t>
  </si>
  <si>
    <t xml:space="preserve">Rekonštrukcia Močariny</t>
  </si>
  <si>
    <t xml:space="preserve">Rekonštruckia vodojemov</t>
  </si>
  <si>
    <t xml:space="preserve">Projekt obecného vodovodu</t>
  </si>
  <si>
    <t xml:space="preserve">Podprogram 8.4 Odpadové hospodárstvo a životné prostredie</t>
  </si>
  <si>
    <t xml:space="preserve">05.1.0-710</t>
  </si>
  <si>
    <t xml:space="preserve">Zberný dvor – zametacie zariadenie</t>
  </si>
  <si>
    <t xml:space="preserve">Podprogram 8.5 Prostredie pre život</t>
  </si>
  <si>
    <t xml:space="preserve">04.5.1-710</t>
  </si>
  <si>
    <t xml:space="preserve">Výstavba miestnych komunikácií</t>
  </si>
  <si>
    <t xml:space="preserve">Výstavba parkovacích miest</t>
  </si>
  <si>
    <t xml:space="preserve">06.2.0-710</t>
  </si>
  <si>
    <t xml:space="preserve">Projekt centra obce</t>
  </si>
  <si>
    <t xml:space="preserve">Rekonštrukcia centra obce</t>
  </si>
  <si>
    <t xml:space="preserve">Átrium v centre obce</t>
  </si>
  <si>
    <t xml:space="preserve">Detské ihrisko v centre</t>
  </si>
  <si>
    <t xml:space="preserve">Označenie častí obce</t>
  </si>
  <si>
    <t xml:space="preserve">Regulácia potoka - projekt, obstarávanie</t>
  </si>
  <si>
    <t xml:space="preserve">Regulácia potoka - realizácia (dotácia)</t>
  </si>
  <si>
    <t xml:space="preserve">Regulácia potoka - realizácia (vlastné)</t>
  </si>
  <si>
    <t xml:space="preserve">06.4.0-710</t>
  </si>
  <si>
    <t xml:space="preserve">Verejné osvetlenie – projekt</t>
  </si>
  <si>
    <t xml:space="preserve">03.2.0-710</t>
  </si>
  <si>
    <t xml:space="preserve">Rekonštrukcia požiarnej zbrojnice</t>
  </si>
  <si>
    <t xml:space="preserve">03.6.0-710</t>
  </si>
  <si>
    <t xml:space="preserve">Kamerový systém (z dotácie)</t>
  </si>
  <si>
    <t xml:space="preserve">Kamerový systém (vlastné)</t>
  </si>
  <si>
    <t xml:space="preserve">Podprogram 8.6 Šport, kultúra a iné spoločenské služby</t>
  </si>
  <si>
    <t xml:space="preserve">08.1.0-710</t>
  </si>
  <si>
    <t xml:space="preserve">Projektová dokumentácia</t>
  </si>
  <si>
    <t xml:space="preserve">Vysporiadanie pozemkov (nezistení vlastníci)</t>
  </si>
  <si>
    <t xml:space="preserve">Vysporiadanie pozemkov (žijúci)</t>
  </si>
  <si>
    <t xml:space="preserve">Rekonštrukcia tribúny</t>
  </si>
  <si>
    <t xml:space="preserve">Podprogram 8.7 Solidarita</t>
  </si>
  <si>
    <t xml:space="preserve">10.2.0-710</t>
  </si>
  <si>
    <t xml:space="preserve">DOS - výmena okien</t>
  </si>
  <si>
    <t xml:space="preserve">DOS - štúdia prestavby HŠ</t>
  </si>
  <si>
    <t xml:space="preserve">DOS - zníženie energetickej náročnosti</t>
  </si>
  <si>
    <t xml:space="preserve">DOS - plynofikácia</t>
  </si>
  <si>
    <t xml:space="preserve">Podprogram 8.8 Plánovanie</t>
  </si>
  <si>
    <t xml:space="preserve">04.4.3-710</t>
  </si>
  <si>
    <t xml:space="preserve">Územný plán</t>
  </si>
  <si>
    <t xml:space="preserve">PROGRAM 9 - VYROVNANIE DLHU</t>
  </si>
  <si>
    <t xml:space="preserve">Podprogram 9.1 Splácanie úverov</t>
  </si>
  <si>
    <t xml:space="preserve">Splácanie úrokov</t>
  </si>
  <si>
    <t xml:space="preserve">Splácanie istiny</t>
  </si>
  <si>
    <t xml:space="preserve">Iné výdavkové operácie</t>
  </si>
  <si>
    <t xml:space="preserve">#</t>
  </si>
  <si>
    <t xml:space="preserve">číslo štvrťroku</t>
  </si>
  <si>
    <t xml:space="preserve">Skutočnosť v roku 2015</t>
  </si>
  <si>
    <t xml:space="preserve">Skutočnosť v roku 2016</t>
  </si>
  <si>
    <t xml:space="preserve">Schválený rozpočet na rok 2017</t>
  </si>
  <si>
    <t xml:space="preserve">Skutočnosť v roku 2017</t>
  </si>
  <si>
    <t xml:space="preserve">Schválený rozpočet na rok 2018</t>
  </si>
  <si>
    <t xml:space="preserve">Upravený rozpočet na rok 2018</t>
  </si>
  <si>
    <t xml:space="preserve">Schválený rozpočet na rok 2019</t>
  </si>
  <si>
    <t xml:space="preserve">Schválený rozpočet na rok 2020</t>
  </si>
  <si>
    <t xml:space="preserve">CVČ</t>
  </si>
  <si>
    <t xml:space="preserve">centrum voľného času</t>
  </si>
  <si>
    <t xml:space="preserve">Č#</t>
  </si>
  <si>
    <t xml:space="preserve">čerpanie v kvartáli # v eurách</t>
  </si>
  <si>
    <t xml:space="preserve">DCOM</t>
  </si>
  <si>
    <t xml:space="preserve">Dátové centrum obcí a miest (e-gov)</t>
  </si>
  <si>
    <t xml:space="preserve">Dom opatrovateľskej služby</t>
  </si>
  <si>
    <t xml:space="preserve">ekonomická klasifikácia</t>
  </si>
  <si>
    <t xml:space="preserve">ESF</t>
  </si>
  <si>
    <t xml:space="preserve">funkčná klasifikácia</t>
  </si>
  <si>
    <t xml:space="preserve">HŠ</t>
  </si>
  <si>
    <t xml:space="preserve">bývalá horná škola</t>
  </si>
  <si>
    <t xml:space="preserve">KV</t>
  </si>
  <si>
    <t xml:space="preserve">kapitálové výdavky</t>
  </si>
  <si>
    <t xml:space="preserve">MŠ</t>
  </si>
  <si>
    <t xml:space="preserve">Materská škola Nesluša</t>
  </si>
  <si>
    <t xml:space="preserve">P#</t>
  </si>
  <si>
    <t xml:space="preserve">plnenie v kvartáli # v percentách</t>
  </si>
  <si>
    <t xml:space="preserve">program</t>
  </si>
  <si>
    <t xml:space="preserve">podprogram</t>
  </si>
  <si>
    <t xml:space="preserve">prvok</t>
  </si>
  <si>
    <t xml:space="preserve">účtované v účtovníctve rozpočtovej organizácie Základná škola Nesluša</t>
  </si>
  <si>
    <t xml:space="preserve">Spojená organizácia Slovenského zväzu telesne postihnutých a Zväzu postihnutých civilizačnými chorobami</t>
  </si>
  <si>
    <t xml:space="preserve">SZP</t>
  </si>
  <si>
    <t xml:space="preserve">sociálne znevýhodnené prostredie</t>
  </si>
  <si>
    <t xml:space="preserve">ŠJ</t>
  </si>
  <si>
    <t xml:space="preserve">školská jedáleň</t>
  </si>
  <si>
    <t xml:space="preserve">U#</t>
  </si>
  <si>
    <t xml:space="preserve">úpravy v kvartáli #</t>
  </si>
  <si>
    <t xml:space="preserve">URBIS</t>
  </si>
  <si>
    <t xml:space="preserve">informačný systém (účtovníctvo, administratíva, evidencie, dane...)</t>
  </si>
  <si>
    <t xml:space="preserve">ZŠ</t>
  </si>
  <si>
    <t xml:space="preserve">Základná škola Nesluša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</si>
</sst>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\ [$€-41B];[RED]\-#,##0.00\ [$€-41B]"/>
    <numFmt numFmtId="166" formatCode="0\ %"/>
    <numFmt numFmtId="167" formatCode="#,##0.00"/>
    <numFmt numFmtId="168" formatCode="D/M/YYYY"/>
    <numFmt numFmtId="169" formatCode="0.00\ %"/>
  </numFmts>
  <fonts count="12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1"/>
      <color rgb="FF000000"/>
      <name val="Calibri"/>
      <family val="0"/>
    </font>
    <font>
      <b val="true"/>
      <i val="true"/>
      <sz val="16"/>
      <color rgb="FF000000"/>
      <name val="Calibri"/>
      <family val="0"/>
    </font>
    <font>
      <sz val="11"/>
      <color rgb="FF000000"/>
      <name val="Arial"/>
      <family val="0"/>
    </font>
    <font>
      <sz val="10"/>
      <color rgb="FF000000"/>
      <name val="Arial"/>
      <family val="2"/>
    </font>
    <font>
      <b val="true"/>
      <sz val="10"/>
      <color rgb="FF000000"/>
      <name val="Arial"/>
      <family val="2"/>
    </font>
    <font>
      <i val="true"/>
      <sz val="10"/>
      <color rgb="FF000000"/>
      <name val="Arial"/>
      <family val="2"/>
    </font>
    <font>
      <b val="true"/>
      <sz val="9"/>
      <color rgb="FF000000"/>
      <name val="Segoe UI"/>
      <family val="0"/>
    </font>
    <font>
      <sz val="9"/>
      <color rgb="FF000000"/>
      <name val="Segoe UI"/>
      <family val="0"/>
    </font>
  </fonts>
  <fills count="8">
    <fill>
      <patternFill patternType="none"/>
    </fill>
    <fill>
      <patternFill patternType="gray125"/>
    </fill>
    <fill>
      <patternFill patternType="solid">
        <fgColor rgb="FF70AD47"/>
        <bgColor rgb="FF339966"/>
      </patternFill>
    </fill>
    <fill>
      <patternFill patternType="solid">
        <fgColor rgb="FFFFF2CC"/>
        <bgColor rgb="FFE2EFDA"/>
      </patternFill>
    </fill>
    <fill>
      <patternFill patternType="solid">
        <fgColor rgb="FFA9D08E"/>
        <bgColor rgb="FFC6E0B4"/>
      </patternFill>
    </fill>
    <fill>
      <patternFill patternType="solid">
        <fgColor rgb="FFFFFF00"/>
        <bgColor rgb="FFFFFF00"/>
      </patternFill>
    </fill>
    <fill>
      <patternFill patternType="solid">
        <fgColor rgb="FFC6E0B4"/>
        <bgColor rgb="FFCCCCCC"/>
      </patternFill>
    </fill>
    <fill>
      <patternFill patternType="solid">
        <fgColor rgb="FFE2EFDA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9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6" fontId="7" fillId="3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8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5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6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8" fillId="6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7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7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8" fillId="7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8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7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3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7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4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Výsledok" xfId="20"/>
    <cellStyle name="Výsledok2" xfId="21"/>
    <cellStyle name="Nadpis" xfId="22"/>
    <cellStyle name="Nadpis1" xfId="23"/>
    <cellStyle name="Normálne 2" xfId="24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6E0B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A9D08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X139"/>
  <sheetViews>
    <sheetView showFormulas="false" showGridLines="true" showRowColHeaders="true" showZeros="true" rightToLeft="false" tabSelected="true" showOutlineSymbols="true" defaultGridColor="false" view="normal" topLeftCell="A1" colorId="22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1" width="11.61"/>
    <col collapsed="false" customWidth="true" hidden="false" outlineLevel="0" max="2" min="2" style="1" width="8.64"/>
    <col collapsed="false" customWidth="true" hidden="false" outlineLevel="0" max="3" min="3" style="1" width="18.09"/>
    <col collapsed="false" customWidth="true" hidden="true" outlineLevel="0" max="7" min="4" style="1" width="11.22"/>
    <col collapsed="false" customWidth="true" hidden="false" outlineLevel="0" max="8" min="8" style="1" width="11.22"/>
    <col collapsed="false" customWidth="true" hidden="true" outlineLevel="0" max="12" min="9" style="1" width="10.82"/>
    <col collapsed="false" customWidth="true" hidden="false" outlineLevel="0" max="14" min="13" style="1" width="10.97"/>
    <col collapsed="false" customWidth="true" hidden="false" outlineLevel="0" max="15" min="15" style="2" width="5.46"/>
    <col collapsed="false" customWidth="true" hidden="false" outlineLevel="0" max="16" min="16" style="1" width="10.97"/>
    <col collapsed="false" customWidth="true" hidden="false" outlineLevel="0" max="17" min="17" style="2" width="5.46"/>
    <col collapsed="false" customWidth="true" hidden="false" outlineLevel="0" max="18" min="18" style="1" width="10.97"/>
    <col collapsed="false" customWidth="true" hidden="false" outlineLevel="0" max="19" min="19" style="2" width="5.46"/>
    <col collapsed="false" customWidth="true" hidden="false" outlineLevel="0" max="20" min="20" style="1" width="10.97"/>
    <col collapsed="false" customWidth="true" hidden="false" outlineLevel="0" max="21" min="21" style="2" width="5.46"/>
    <col collapsed="false" customWidth="true" hidden="true" outlineLevel="0" max="23" min="22" style="1" width="11.22"/>
    <col collapsed="false" customWidth="true" hidden="false" outlineLevel="0" max="1025" min="24" style="1" width="8.64"/>
  </cols>
  <sheetData>
    <row r="1" customFormat="false" ht="12.8" hidden="false" customHeight="false" outlineLevel="0" collapsed="false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4"/>
      <c r="Q1" s="5"/>
      <c r="R1" s="4"/>
      <c r="S1" s="5"/>
      <c r="T1" s="4"/>
      <c r="U1" s="5"/>
      <c r="V1" s="4"/>
      <c r="W1" s="4"/>
    </row>
    <row r="2" customFormat="false" ht="12.8" hidden="false" customHeight="false" outlineLevel="0" collapsed="false">
      <c r="A2" s="6"/>
      <c r="B2" s="6"/>
      <c r="C2" s="6"/>
      <c r="D2" s="7" t="s">
        <v>1</v>
      </c>
      <c r="E2" s="7" t="s">
        <v>2</v>
      </c>
      <c r="F2" s="7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  <c r="M2" s="7" t="s">
        <v>10</v>
      </c>
      <c r="N2" s="7" t="s">
        <v>11</v>
      </c>
      <c r="O2" s="8" t="s">
        <v>12</v>
      </c>
      <c r="P2" s="7" t="s">
        <v>13</v>
      </c>
      <c r="Q2" s="8" t="s">
        <v>14</v>
      </c>
      <c r="R2" s="7" t="s">
        <v>15</v>
      </c>
      <c r="S2" s="8" t="s">
        <v>16</v>
      </c>
      <c r="T2" s="7" t="s">
        <v>17</v>
      </c>
      <c r="U2" s="8" t="s">
        <v>18</v>
      </c>
      <c r="V2" s="7" t="s">
        <v>19</v>
      </c>
      <c r="W2" s="7" t="s">
        <v>20</v>
      </c>
    </row>
    <row r="3" customFormat="false" ht="12.8" hidden="false" customHeight="true" outlineLevel="0" collapsed="false">
      <c r="A3" s="9" t="s">
        <v>21</v>
      </c>
      <c r="B3" s="10" t="n">
        <v>111</v>
      </c>
      <c r="C3" s="10" t="s">
        <v>22</v>
      </c>
      <c r="D3" s="11" t="n">
        <f aca="false">D79-D8</f>
        <v>486713.67</v>
      </c>
      <c r="E3" s="11" t="n">
        <f aca="false">E79-E8</f>
        <v>564326.47</v>
      </c>
      <c r="F3" s="11" t="n">
        <f aca="false">F79-F8</f>
        <v>1994042</v>
      </c>
      <c r="G3" s="11" t="n">
        <f aca="false">G79-G8</f>
        <v>611082.49</v>
      </c>
      <c r="H3" s="11" t="n">
        <f aca="false">H79-H8+H43</f>
        <v>650396</v>
      </c>
      <c r="I3" s="11" t="n">
        <f aca="false">I79-I8+I43</f>
        <v>300</v>
      </c>
      <c r="J3" s="11" t="n">
        <f aca="false">J79-J8+J43</f>
        <v>7078</v>
      </c>
      <c r="K3" s="11" t="n">
        <f aca="false">K79-K8+K43</f>
        <v>0</v>
      </c>
      <c r="L3" s="11" t="n">
        <f aca="false">L79-L8+L43</f>
        <v>0</v>
      </c>
      <c r="M3" s="11" t="n">
        <f aca="false">M79-M8+M43</f>
        <v>657774</v>
      </c>
      <c r="N3" s="11" t="n">
        <f aca="false">N79-N8+N43</f>
        <v>143006.59</v>
      </c>
      <c r="O3" s="12" t="n">
        <f aca="false">N3/$M3</f>
        <v>0.21740991586776</v>
      </c>
      <c r="P3" s="11" t="n">
        <f aca="false">P79-P8+P43</f>
        <v>263935.16</v>
      </c>
      <c r="Q3" s="12" t="n">
        <f aca="false">P3/$M3</f>
        <v>0.401255081532563</v>
      </c>
      <c r="R3" s="11" t="n">
        <f aca="false">R79-R8+R43</f>
        <v>390245.9</v>
      </c>
      <c r="S3" s="12" t="n">
        <f aca="false">R3/$M3</f>
        <v>0.59328264723142</v>
      </c>
      <c r="T3" s="11" t="n">
        <f aca="false">T79-T8+T43</f>
        <v>519216.48</v>
      </c>
      <c r="U3" s="12" t="n">
        <f aca="false">T3/$M3</f>
        <v>0.789353911829899</v>
      </c>
      <c r="V3" s="11" t="n">
        <f aca="false">V79-V8</f>
        <v>501366</v>
      </c>
      <c r="W3" s="11" t="n">
        <f aca="false">W79-W8</f>
        <v>499866</v>
      </c>
    </row>
    <row r="4" customFormat="false" ht="12.8" hidden="false" customHeight="false" outlineLevel="0" collapsed="false">
      <c r="A4" s="9"/>
      <c r="B4" s="10" t="n">
        <v>41</v>
      </c>
      <c r="C4" s="10" t="s">
        <v>23</v>
      </c>
      <c r="D4" s="11" t="n">
        <f aca="false">D25+D44-D9</f>
        <v>900364.65</v>
      </c>
      <c r="E4" s="11" t="n">
        <f aca="false">E25+E44-E9</f>
        <v>1022076.97</v>
      </c>
      <c r="F4" s="11" t="n">
        <f aca="false">F25+F44-F9</f>
        <v>1056676</v>
      </c>
      <c r="G4" s="11" t="n">
        <f aca="false">G25+G44-G9</f>
        <v>1081720.24</v>
      </c>
      <c r="H4" s="11" t="n">
        <f aca="false">H25+H44-H9</f>
        <v>1111613</v>
      </c>
      <c r="I4" s="11" t="n">
        <f aca="false">I25+I44-I9</f>
        <v>0</v>
      </c>
      <c r="J4" s="11" t="n">
        <f aca="false">J25+J44-J9</f>
        <v>7107</v>
      </c>
      <c r="K4" s="11" t="n">
        <f aca="false">K25+K44-K9</f>
        <v>3815</v>
      </c>
      <c r="L4" s="11" t="n">
        <f aca="false">L25+L44-L9</f>
        <v>14004</v>
      </c>
      <c r="M4" s="11" t="n">
        <f aca="false">M25+M44-M9</f>
        <v>1136539</v>
      </c>
      <c r="N4" s="11" t="n">
        <f aca="false">N25+N44-N9</f>
        <v>303767.05</v>
      </c>
      <c r="O4" s="12" t="n">
        <f aca="false">N4/$M4</f>
        <v>0.267273758313617</v>
      </c>
      <c r="P4" s="11" t="n">
        <f aca="false">P25+P44-P9</f>
        <v>577270.24</v>
      </c>
      <c r="Q4" s="12" t="n">
        <f aca="false">P4/$M4</f>
        <v>0.507919429073705</v>
      </c>
      <c r="R4" s="11" t="n">
        <f aca="false">R25+R44-R9</f>
        <v>862165.24</v>
      </c>
      <c r="S4" s="12" t="n">
        <f aca="false">R4/$M4</f>
        <v>0.758588345846469</v>
      </c>
      <c r="T4" s="11" t="n">
        <f aca="false">T25+T44-T9</f>
        <v>1161876.73</v>
      </c>
      <c r="U4" s="12" t="n">
        <f aca="false">T4/$M4</f>
        <v>1.02229376202664</v>
      </c>
      <c r="V4" s="11" t="n">
        <f aca="false">V25+V44-V9</f>
        <v>1105613</v>
      </c>
      <c r="W4" s="11" t="n">
        <f aca="false">W25+W44-W9</f>
        <v>1105613</v>
      </c>
    </row>
    <row r="5" customFormat="false" ht="12.8" hidden="false" customHeight="false" outlineLevel="0" collapsed="false">
      <c r="A5" s="9"/>
      <c r="B5" s="10" t="n">
        <v>71</v>
      </c>
      <c r="C5" s="10" t="s">
        <v>24</v>
      </c>
      <c r="D5" s="11" t="n">
        <f aca="false">D80</f>
        <v>1317.12</v>
      </c>
      <c r="E5" s="11" t="n">
        <f aca="false">E80</f>
        <v>700</v>
      </c>
      <c r="F5" s="11" t="n">
        <f aca="false">F80</f>
        <v>700</v>
      </c>
      <c r="G5" s="11" t="n">
        <f aca="false">G80</f>
        <v>1400</v>
      </c>
      <c r="H5" s="11" t="n">
        <f aca="false">H80</f>
        <v>1400</v>
      </c>
      <c r="I5" s="11" t="n">
        <f aca="false">I80</f>
        <v>0</v>
      </c>
      <c r="J5" s="11" t="n">
        <f aca="false">J80</f>
        <v>0</v>
      </c>
      <c r="K5" s="11" t="n">
        <f aca="false">K80</f>
        <v>0</v>
      </c>
      <c r="L5" s="11" t="n">
        <f aca="false">L80</f>
        <v>0</v>
      </c>
      <c r="M5" s="11" t="n">
        <f aca="false">M80</f>
        <v>1400</v>
      </c>
      <c r="N5" s="11" t="n">
        <f aca="false">N80</f>
        <v>0</v>
      </c>
      <c r="O5" s="12" t="n">
        <f aca="false">N5/$M5</f>
        <v>0</v>
      </c>
      <c r="P5" s="11" t="n">
        <f aca="false">P80</f>
        <v>1400</v>
      </c>
      <c r="Q5" s="12" t="n">
        <f aca="false">P5/$M5</f>
        <v>1</v>
      </c>
      <c r="R5" s="11" t="n">
        <f aca="false">R80</f>
        <v>1400</v>
      </c>
      <c r="S5" s="12" t="n">
        <f aca="false">R5/$M5</f>
        <v>1</v>
      </c>
      <c r="T5" s="11" t="n">
        <f aca="false">T80</f>
        <v>1400</v>
      </c>
      <c r="U5" s="12" t="n">
        <f aca="false">T5/$M5</f>
        <v>1</v>
      </c>
      <c r="V5" s="11" t="n">
        <f aca="false">V80</f>
        <v>1400</v>
      </c>
      <c r="W5" s="11" t="n">
        <f aca="false">W80</f>
        <v>1400</v>
      </c>
    </row>
    <row r="6" customFormat="false" ht="12.8" hidden="false" customHeight="false" outlineLevel="0" collapsed="false">
      <c r="A6" s="9"/>
      <c r="B6" s="10" t="n">
        <v>72</v>
      </c>
      <c r="C6" s="10" t="s">
        <v>25</v>
      </c>
      <c r="D6" s="11" t="n">
        <f aca="false">D45+D81</f>
        <v>0</v>
      </c>
      <c r="E6" s="11" t="n">
        <f aca="false">E45+E81</f>
        <v>0</v>
      </c>
      <c r="F6" s="11" t="n">
        <f aca="false">F45+F81</f>
        <v>0</v>
      </c>
      <c r="G6" s="11" t="n">
        <f aca="false">G45+G81</f>
        <v>0</v>
      </c>
      <c r="H6" s="11" t="n">
        <f aca="false">H45+H81</f>
        <v>49270</v>
      </c>
      <c r="I6" s="11" t="n">
        <f aca="false">I45+I81</f>
        <v>0</v>
      </c>
      <c r="J6" s="11" t="n">
        <f aca="false">J45+J81</f>
        <v>4652</v>
      </c>
      <c r="K6" s="11" t="n">
        <f aca="false">K45+K81</f>
        <v>0</v>
      </c>
      <c r="L6" s="11" t="n">
        <f aca="false">L45+L81</f>
        <v>0</v>
      </c>
      <c r="M6" s="11" t="n">
        <f aca="false">M45+M81</f>
        <v>53922</v>
      </c>
      <c r="N6" s="11" t="n">
        <f aca="false">N45+N81</f>
        <v>14305.27</v>
      </c>
      <c r="O6" s="12" t="n">
        <f aca="false">N6/$M6</f>
        <v>0.265295612180557</v>
      </c>
      <c r="P6" s="11" t="n">
        <f aca="false">P45+P81</f>
        <v>33503.77</v>
      </c>
      <c r="Q6" s="12" t="n">
        <f aca="false">P6/$M6</f>
        <v>0.62133767293498</v>
      </c>
      <c r="R6" s="11" t="n">
        <f aca="false">R45+R81</f>
        <v>36879.8</v>
      </c>
      <c r="S6" s="12" t="n">
        <f aca="false">R6/$M6</f>
        <v>0.683947182967991</v>
      </c>
      <c r="T6" s="11" t="n">
        <f aca="false">T45+T81</f>
        <v>57663.81</v>
      </c>
      <c r="U6" s="12" t="n">
        <f aca="false">T6/$M6</f>
        <v>1.06939301212863</v>
      </c>
      <c r="V6" s="11" t="n">
        <f aca="false">V45+V81</f>
        <v>49270</v>
      </c>
      <c r="W6" s="11" t="n">
        <f aca="false">W45+W81</f>
        <v>49270</v>
      </c>
    </row>
    <row r="7" customFormat="false" ht="12.8" hidden="false" customHeight="false" outlineLevel="0" collapsed="false">
      <c r="A7" s="9"/>
      <c r="B7" s="10"/>
      <c r="C7" s="13" t="s">
        <v>26</v>
      </c>
      <c r="D7" s="14" t="n">
        <f aca="false">SUM(D3:D6)</f>
        <v>1388395.44</v>
      </c>
      <c r="E7" s="14" t="n">
        <f aca="false">SUM(E3:E6)</f>
        <v>1587103.44</v>
      </c>
      <c r="F7" s="14" t="n">
        <f aca="false">SUM(F3:F6)</f>
        <v>3051418</v>
      </c>
      <c r="G7" s="14" t="n">
        <f aca="false">SUM(G3:G6)</f>
        <v>1694202.73</v>
      </c>
      <c r="H7" s="14" t="n">
        <f aca="false">SUM(H3:H6)</f>
        <v>1812679</v>
      </c>
      <c r="I7" s="14" t="n">
        <f aca="false">SUM(I3:I6)</f>
        <v>300</v>
      </c>
      <c r="J7" s="14" t="n">
        <f aca="false">SUM(J3:J6)</f>
        <v>18837</v>
      </c>
      <c r="K7" s="14" t="n">
        <f aca="false">SUM(K3:K6)</f>
        <v>3815</v>
      </c>
      <c r="L7" s="14" t="n">
        <f aca="false">SUM(L3:L6)</f>
        <v>14004</v>
      </c>
      <c r="M7" s="14" t="n">
        <f aca="false">SUM(M3:M6)</f>
        <v>1849635</v>
      </c>
      <c r="N7" s="14" t="n">
        <f aca="false">SUM(N3:N6)</f>
        <v>461078.91</v>
      </c>
      <c r="O7" s="15" t="n">
        <f aca="false">N7/$M7</f>
        <v>0.249281025715884</v>
      </c>
      <c r="P7" s="14" t="n">
        <f aca="false">SUM(P3:P6)</f>
        <v>876109.17</v>
      </c>
      <c r="Q7" s="15" t="n">
        <f aca="false">P7/$M7</f>
        <v>0.473665977341475</v>
      </c>
      <c r="R7" s="14" t="n">
        <f aca="false">SUM(R3:R6)</f>
        <v>1290690.94</v>
      </c>
      <c r="S7" s="15" t="n">
        <f aca="false">R7/$M7</f>
        <v>0.697808454100404</v>
      </c>
      <c r="T7" s="14" t="n">
        <f aca="false">SUM(T3:T6)</f>
        <v>1740157.02</v>
      </c>
      <c r="U7" s="15" t="n">
        <f aca="false">T7/$M7</f>
        <v>0.940811035690826</v>
      </c>
      <c r="V7" s="14" t="n">
        <f aca="false">SUM(V3:V6)</f>
        <v>1657649</v>
      </c>
      <c r="W7" s="14" t="n">
        <f aca="false">SUM(W3:W6)</f>
        <v>1656149</v>
      </c>
    </row>
    <row r="8" customFormat="false" ht="12.8" hidden="false" customHeight="false" outlineLevel="0" collapsed="false">
      <c r="A8" s="9"/>
      <c r="B8" s="10" t="n">
        <v>111</v>
      </c>
      <c r="C8" s="10" t="s">
        <v>22</v>
      </c>
      <c r="D8" s="11" t="n">
        <f aca="false">D115</f>
        <v>0</v>
      </c>
      <c r="E8" s="11" t="n">
        <f aca="false">E115</f>
        <v>0</v>
      </c>
      <c r="F8" s="11" t="n">
        <f aca="false">F115</f>
        <v>0</v>
      </c>
      <c r="G8" s="11" t="n">
        <f aca="false">G115</f>
        <v>0</v>
      </c>
      <c r="H8" s="11" t="n">
        <f aca="false">SUM(H108:H113)</f>
        <v>1576000</v>
      </c>
      <c r="I8" s="11" t="n">
        <f aca="false">SUM(I108:I113)</f>
        <v>0</v>
      </c>
      <c r="J8" s="11" t="n">
        <f aca="false">SUM(J108:J113)</f>
        <v>-10000</v>
      </c>
      <c r="K8" s="11" t="n">
        <f aca="false">SUM(K108:K113)</f>
        <v>0</v>
      </c>
      <c r="L8" s="11" t="n">
        <f aca="false">SUM(L108:L113)</f>
        <v>0</v>
      </c>
      <c r="M8" s="11" t="n">
        <f aca="false">SUM(M108:M113)</f>
        <v>1566000</v>
      </c>
      <c r="N8" s="11" t="n">
        <f aca="false">N115</f>
        <v>0</v>
      </c>
      <c r="O8" s="12" t="n">
        <f aca="false">N8/$M8</f>
        <v>0</v>
      </c>
      <c r="P8" s="11" t="n">
        <f aca="false">P112</f>
        <v>30000</v>
      </c>
      <c r="Q8" s="12" t="n">
        <f aca="false">P8/$M8</f>
        <v>0.0191570881226054</v>
      </c>
      <c r="R8" s="11" t="n">
        <f aca="false">R112</f>
        <v>30000</v>
      </c>
      <c r="S8" s="12" t="n">
        <f aca="false">R8/$M8</f>
        <v>0.0191570881226054</v>
      </c>
      <c r="T8" s="11" t="n">
        <f aca="false">T108+T110+T112</f>
        <v>562503.78</v>
      </c>
      <c r="U8" s="12" t="n">
        <f aca="false">T8/$M8</f>
        <v>0.359197816091954</v>
      </c>
      <c r="V8" s="11" t="n">
        <f aca="false">V115</f>
        <v>0</v>
      </c>
      <c r="W8" s="11" t="n">
        <f aca="false">W115</f>
        <v>0</v>
      </c>
    </row>
    <row r="9" customFormat="false" ht="12.8" hidden="false" customHeight="false" outlineLevel="0" collapsed="false">
      <c r="A9" s="9"/>
      <c r="B9" s="10" t="n">
        <v>43</v>
      </c>
      <c r="C9" s="10" t="s">
        <v>23</v>
      </c>
      <c r="D9" s="11" t="n">
        <f aca="false">D54</f>
        <v>280</v>
      </c>
      <c r="E9" s="11" t="n">
        <f aca="false">E54</f>
        <v>0</v>
      </c>
      <c r="F9" s="11" t="n">
        <f aca="false">F54</f>
        <v>0</v>
      </c>
      <c r="G9" s="11" t="n">
        <f aca="false">G54</f>
        <v>0</v>
      </c>
      <c r="H9" s="11" t="n">
        <f aca="false">H54</f>
        <v>0</v>
      </c>
      <c r="I9" s="11" t="n">
        <f aca="false">I54</f>
        <v>0</v>
      </c>
      <c r="J9" s="11" t="n">
        <f aca="false">J54</f>
        <v>0</v>
      </c>
      <c r="K9" s="11" t="n">
        <f aca="false">K54</f>
        <v>0</v>
      </c>
      <c r="L9" s="11" t="n">
        <f aca="false">L54</f>
        <v>0</v>
      </c>
      <c r="M9" s="11" t="n">
        <f aca="false">M54</f>
        <v>0</v>
      </c>
      <c r="N9" s="11" t="n">
        <f aca="false">N54</f>
        <v>0</v>
      </c>
      <c r="O9" s="12" t="e">
        <f aca="false">N9/$M9</f>
        <v>#DIV/0!</v>
      </c>
      <c r="P9" s="11" t="n">
        <f aca="false">P54</f>
        <v>0</v>
      </c>
      <c r="Q9" s="12" t="e">
        <f aca="false">P9/$M9</f>
        <v>#DIV/0!</v>
      </c>
      <c r="R9" s="11" t="n">
        <f aca="false">R54</f>
        <v>0</v>
      </c>
      <c r="S9" s="12" t="e">
        <f aca="false">R9/$M9</f>
        <v>#DIV/0!</v>
      </c>
      <c r="T9" s="11" t="n">
        <f aca="false">T54</f>
        <v>0</v>
      </c>
      <c r="U9" s="12" t="e">
        <f aca="false">T9/$M9</f>
        <v>#DIV/0!</v>
      </c>
      <c r="V9" s="11" t="n">
        <f aca="false">V54</f>
        <v>0</v>
      </c>
      <c r="W9" s="11" t="n">
        <f aca="false">W54</f>
        <v>0</v>
      </c>
    </row>
    <row r="10" customFormat="false" ht="12.8" hidden="false" customHeight="false" outlineLevel="0" collapsed="false">
      <c r="A10" s="9"/>
      <c r="B10" s="10"/>
      <c r="C10" s="13" t="s">
        <v>27</v>
      </c>
      <c r="D10" s="14" t="n">
        <f aca="false">SUM(D8:D9)</f>
        <v>280</v>
      </c>
      <c r="E10" s="14" t="n">
        <f aca="false">SUM(E8:E9)</f>
        <v>0</v>
      </c>
      <c r="F10" s="14" t="n">
        <f aca="false">SUM(F8:F9)</f>
        <v>0</v>
      </c>
      <c r="G10" s="14" t="n">
        <f aca="false">SUM(G8:G9)</f>
        <v>0</v>
      </c>
      <c r="H10" s="14" t="n">
        <f aca="false">SUM(H8:H9)</f>
        <v>1576000</v>
      </c>
      <c r="I10" s="14" t="n">
        <f aca="false">SUM(I8:I9)</f>
        <v>0</v>
      </c>
      <c r="J10" s="14" t="n">
        <f aca="false">SUM(J8:J9)</f>
        <v>-10000</v>
      </c>
      <c r="K10" s="14" t="n">
        <f aca="false">SUM(K8:K9)</f>
        <v>0</v>
      </c>
      <c r="L10" s="14" t="n">
        <f aca="false">SUM(L8:L9)</f>
        <v>0</v>
      </c>
      <c r="M10" s="14" t="n">
        <f aca="false">SUM(M8:M9)</f>
        <v>1566000</v>
      </c>
      <c r="N10" s="14" t="n">
        <f aca="false">SUM(N8:N9)</f>
        <v>0</v>
      </c>
      <c r="O10" s="15" t="n">
        <f aca="false">N10/$M10</f>
        <v>0</v>
      </c>
      <c r="P10" s="14" t="n">
        <f aca="false">SUM(P8:P9)</f>
        <v>30000</v>
      </c>
      <c r="Q10" s="15" t="n">
        <f aca="false">P10/$M10</f>
        <v>0.0191570881226054</v>
      </c>
      <c r="R10" s="14" t="n">
        <f aca="false">SUM(R8:R9)</f>
        <v>30000</v>
      </c>
      <c r="S10" s="15" t="n">
        <f aca="false">R10/$M10</f>
        <v>0.0191570881226054</v>
      </c>
      <c r="T10" s="14" t="n">
        <f aca="false">SUM(T8:T9)</f>
        <v>562503.78</v>
      </c>
      <c r="U10" s="15" t="n">
        <f aca="false">T10/$M10</f>
        <v>0.359197816091954</v>
      </c>
      <c r="V10" s="14" t="n">
        <f aca="false">SUM(V8:V9)</f>
        <v>0</v>
      </c>
      <c r="W10" s="14" t="n">
        <f aca="false">SUM(W8:W9)</f>
        <v>0</v>
      </c>
    </row>
    <row r="11" customFormat="false" ht="12.8" hidden="false" customHeight="false" outlineLevel="0" collapsed="false">
      <c r="A11" s="9"/>
      <c r="B11" s="10" t="n">
        <v>131</v>
      </c>
      <c r="C11" s="10" t="s">
        <v>22</v>
      </c>
      <c r="D11" s="11" t="n">
        <f aca="false">D125</f>
        <v>17330.41</v>
      </c>
      <c r="E11" s="11" t="n">
        <f aca="false">E125</f>
        <v>3513</v>
      </c>
      <c r="F11" s="11" t="n">
        <f aca="false">F125</f>
        <v>0</v>
      </c>
      <c r="G11" s="11" t="n">
        <f aca="false">G125</f>
        <v>1030.96</v>
      </c>
      <c r="H11" s="11" t="n">
        <f aca="false">H125</f>
        <v>116854</v>
      </c>
      <c r="I11" s="11" t="n">
        <f aca="false">I125</f>
        <v>0</v>
      </c>
      <c r="J11" s="11" t="n">
        <f aca="false">J125</f>
        <v>0</v>
      </c>
      <c r="K11" s="11" t="n">
        <f aca="false">K125</f>
        <v>0</v>
      </c>
      <c r="L11" s="11" t="n">
        <f aca="false">L125</f>
        <v>0</v>
      </c>
      <c r="M11" s="11" t="n">
        <f aca="false">M125</f>
        <v>116854</v>
      </c>
      <c r="N11" s="11" t="n">
        <f aca="false">N125</f>
        <v>0</v>
      </c>
      <c r="O11" s="12" t="n">
        <f aca="false">N11/$M11</f>
        <v>0</v>
      </c>
      <c r="P11" s="11" t="n">
        <f aca="false">P125</f>
        <v>116750.27</v>
      </c>
      <c r="Q11" s="12" t="n">
        <f aca="false">P11/$M11</f>
        <v>0.999112311089051</v>
      </c>
      <c r="R11" s="11" t="n">
        <f aca="false">R125</f>
        <v>116750.27</v>
      </c>
      <c r="S11" s="12" t="n">
        <f aca="false">R11/$M11</f>
        <v>0.999112311089051</v>
      </c>
      <c r="T11" s="11" t="n">
        <f aca="false">T125</f>
        <v>116750.27</v>
      </c>
      <c r="U11" s="12" t="n">
        <f aca="false">T11/$M11</f>
        <v>0.999112311089051</v>
      </c>
      <c r="V11" s="11" t="n">
        <f aca="false">V125</f>
        <v>0</v>
      </c>
      <c r="W11" s="11" t="n">
        <f aca="false">W125</f>
        <v>0</v>
      </c>
    </row>
    <row r="12" customFormat="false" ht="12.8" hidden="false" customHeight="false" outlineLevel="0" collapsed="false">
      <c r="A12" s="9"/>
      <c r="B12" s="10" t="n">
        <v>41</v>
      </c>
      <c r="C12" s="10" t="s">
        <v>23</v>
      </c>
      <c r="D12" s="11" t="n">
        <f aca="false">D126</f>
        <v>12173.51</v>
      </c>
      <c r="E12" s="11" t="n">
        <f aca="false">E126</f>
        <v>11270.57</v>
      </c>
      <c r="F12" s="11" t="n">
        <f aca="false">F126</f>
        <v>147240</v>
      </c>
      <c r="G12" s="11" t="n">
        <f aca="false">G126</f>
        <v>191209</v>
      </c>
      <c r="H12" s="11" t="n">
        <f aca="false">H126</f>
        <v>338753</v>
      </c>
      <c r="I12" s="11" t="n">
        <f aca="false">I126</f>
        <v>0</v>
      </c>
      <c r="J12" s="11" t="n">
        <f aca="false">J126</f>
        <v>0</v>
      </c>
      <c r="K12" s="11" t="n">
        <f aca="false">K126</f>
        <v>0</v>
      </c>
      <c r="L12" s="11" t="n">
        <f aca="false">L126</f>
        <v>0</v>
      </c>
      <c r="M12" s="11" t="n">
        <f aca="false">M126</f>
        <v>338753</v>
      </c>
      <c r="N12" s="11" t="n">
        <f aca="false">N126</f>
        <v>0</v>
      </c>
      <c r="O12" s="12" t="n">
        <f aca="false">N12/$M12</f>
        <v>0</v>
      </c>
      <c r="P12" s="11" t="n">
        <f aca="false">P126</f>
        <v>335003</v>
      </c>
      <c r="Q12" s="12" t="n">
        <f aca="false">P12/$M12</f>
        <v>0.988929987335906</v>
      </c>
      <c r="R12" s="11" t="n">
        <f aca="false">R126</f>
        <v>335003</v>
      </c>
      <c r="S12" s="12" t="n">
        <f aca="false">R12/$M12</f>
        <v>0.988929987335906</v>
      </c>
      <c r="T12" s="11" t="n">
        <f aca="false">T126</f>
        <v>335003</v>
      </c>
      <c r="U12" s="12" t="n">
        <f aca="false">T12/$M12</f>
        <v>0.988929987335906</v>
      </c>
      <c r="V12" s="11" t="n">
        <f aca="false">V126</f>
        <v>0</v>
      </c>
      <c r="W12" s="11" t="n">
        <f aca="false">W126</f>
        <v>0</v>
      </c>
    </row>
    <row r="13" customFormat="false" ht="12.8" hidden="false" customHeight="false" outlineLevel="0" collapsed="false">
      <c r="A13" s="9"/>
      <c r="B13" s="10" t="n">
        <v>52</v>
      </c>
      <c r="C13" s="10" t="s">
        <v>28</v>
      </c>
      <c r="D13" s="11" t="n">
        <f aca="false">D127</f>
        <v>0</v>
      </c>
      <c r="E13" s="11" t="n">
        <f aca="false">E127</f>
        <v>0</v>
      </c>
      <c r="F13" s="11" t="n">
        <f aca="false">F127</f>
        <v>60000</v>
      </c>
      <c r="G13" s="11" t="n">
        <f aca="false">G127</f>
        <v>0</v>
      </c>
      <c r="H13" s="11" t="n">
        <f aca="false">H127</f>
        <v>0</v>
      </c>
      <c r="I13" s="11" t="n">
        <f aca="false">I127</f>
        <v>0</v>
      </c>
      <c r="J13" s="11" t="n">
        <f aca="false">J127</f>
        <v>0</v>
      </c>
      <c r="K13" s="11" t="n">
        <f aca="false">K127</f>
        <v>0</v>
      </c>
      <c r="L13" s="11" t="n">
        <f aca="false">L127</f>
        <v>0</v>
      </c>
      <c r="M13" s="11" t="n">
        <f aca="false">M127</f>
        <v>0</v>
      </c>
      <c r="N13" s="11" t="n">
        <f aca="false">N127</f>
        <v>0</v>
      </c>
      <c r="O13" s="12" t="e">
        <f aca="false">N13/$M13</f>
        <v>#DIV/0!</v>
      </c>
      <c r="P13" s="11" t="n">
        <f aca="false">P127</f>
        <v>0</v>
      </c>
      <c r="Q13" s="12" t="e">
        <f aca="false">P13/$M13</f>
        <v>#DIV/0!</v>
      </c>
      <c r="R13" s="11" t="n">
        <f aca="false">R127</f>
        <v>0</v>
      </c>
      <c r="S13" s="12" t="e">
        <f aca="false">R13/$M13</f>
        <v>#DIV/0!</v>
      </c>
      <c r="T13" s="11" t="n">
        <f aca="false">T127</f>
        <v>0</v>
      </c>
      <c r="U13" s="12" t="e">
        <f aca="false">T13/$M13</f>
        <v>#DIV/0!</v>
      </c>
      <c r="V13" s="11" t="n">
        <f aca="false">V127</f>
        <v>0</v>
      </c>
      <c r="W13" s="11" t="n">
        <f aca="false">W127</f>
        <v>0</v>
      </c>
    </row>
    <row r="14" customFormat="false" ht="12.8" hidden="false" customHeight="false" outlineLevel="0" collapsed="false">
      <c r="A14" s="9"/>
      <c r="B14" s="10" t="n">
        <v>71</v>
      </c>
      <c r="C14" s="10" t="s">
        <v>24</v>
      </c>
      <c r="D14" s="11" t="n">
        <f aca="false">D128</f>
        <v>0</v>
      </c>
      <c r="E14" s="11" t="n">
        <f aca="false">E128</f>
        <v>0</v>
      </c>
      <c r="F14" s="11" t="n">
        <f aca="false">F128</f>
        <v>0</v>
      </c>
      <c r="G14" s="11" t="n">
        <f aca="false">G128</f>
        <v>16000</v>
      </c>
      <c r="H14" s="11" t="n">
        <f aca="false">H128</f>
        <v>16000</v>
      </c>
      <c r="I14" s="11" t="n">
        <f aca="false">I128</f>
        <v>0</v>
      </c>
      <c r="J14" s="11" t="n">
        <f aca="false">J128</f>
        <v>59211</v>
      </c>
      <c r="K14" s="11" t="n">
        <f aca="false">K128</f>
        <v>0</v>
      </c>
      <c r="L14" s="11" t="n">
        <f aca="false">L128</f>
        <v>0</v>
      </c>
      <c r="M14" s="11" t="n">
        <f aca="false">M128</f>
        <v>75211</v>
      </c>
      <c r="N14" s="11" t="n">
        <f aca="false">N128</f>
        <v>10000</v>
      </c>
      <c r="O14" s="12" t="n">
        <f aca="false">N14/$M14</f>
        <v>0.132959274574198</v>
      </c>
      <c r="P14" s="11" t="n">
        <f aca="false">P128</f>
        <v>75210.5</v>
      </c>
      <c r="Q14" s="12" t="n">
        <f aca="false">P14/$M14</f>
        <v>0.999993352036271</v>
      </c>
      <c r="R14" s="11" t="n">
        <f aca="false">R128</f>
        <v>75210.5</v>
      </c>
      <c r="S14" s="12" t="n">
        <f aca="false">R14/$M14</f>
        <v>0.999993352036271</v>
      </c>
      <c r="T14" s="11" t="n">
        <f aca="false">T128</f>
        <v>75210.5</v>
      </c>
      <c r="U14" s="12" t="n">
        <f aca="false">T14/$M14</f>
        <v>0.999993352036271</v>
      </c>
      <c r="V14" s="11" t="n">
        <f aca="false">V128</f>
        <v>0</v>
      </c>
      <c r="W14" s="11" t="n">
        <f aca="false">W128</f>
        <v>0</v>
      </c>
    </row>
    <row r="15" customFormat="false" ht="12.8" hidden="false" customHeight="false" outlineLevel="0" collapsed="false">
      <c r="A15" s="9"/>
      <c r="B15" s="10"/>
      <c r="C15" s="13" t="s">
        <v>29</v>
      </c>
      <c r="D15" s="14" t="n">
        <f aca="false">SUM(D11:D14)</f>
        <v>29503.92</v>
      </c>
      <c r="E15" s="14" t="n">
        <f aca="false">SUM(E11:E14)</f>
        <v>14783.57</v>
      </c>
      <c r="F15" s="14" t="n">
        <f aca="false">SUM(F11:F14)</f>
        <v>207240</v>
      </c>
      <c r="G15" s="14" t="n">
        <f aca="false">SUM(G11:G14)</f>
        <v>208239.96</v>
      </c>
      <c r="H15" s="14" t="n">
        <f aca="false">SUM(H11:H14)</f>
        <v>471607</v>
      </c>
      <c r="I15" s="14" t="n">
        <f aca="false">SUM(I11:I14)</f>
        <v>0</v>
      </c>
      <c r="J15" s="14" t="n">
        <f aca="false">SUM(J11:J14)</f>
        <v>59211</v>
      </c>
      <c r="K15" s="14" t="n">
        <f aca="false">SUM(K11:K14)</f>
        <v>0</v>
      </c>
      <c r="L15" s="14" t="n">
        <f aca="false">SUM(L11:L14)</f>
        <v>0</v>
      </c>
      <c r="M15" s="14" t="n">
        <f aca="false">SUM(M11:M14)</f>
        <v>530818</v>
      </c>
      <c r="N15" s="14" t="n">
        <f aca="false">SUM(N11:N14)</f>
        <v>10000</v>
      </c>
      <c r="O15" s="15" t="n">
        <f aca="false">N15/$M15</f>
        <v>0.018838848720277</v>
      </c>
      <c r="P15" s="14" t="n">
        <f aca="false">SUM(P11:P14)</f>
        <v>526963.77</v>
      </c>
      <c r="Q15" s="15" t="n">
        <f aca="false">P15/$M15</f>
        <v>0.992739074409685</v>
      </c>
      <c r="R15" s="14" t="n">
        <f aca="false">SUM(R11:R14)</f>
        <v>526963.77</v>
      </c>
      <c r="S15" s="15" t="n">
        <f aca="false">R15/$M15</f>
        <v>0.992739074409685</v>
      </c>
      <c r="T15" s="14" t="n">
        <f aca="false">SUM(T11:T14)</f>
        <v>526963.77</v>
      </c>
      <c r="U15" s="15" t="n">
        <f aca="false">T15/$M15</f>
        <v>0.992739074409685</v>
      </c>
      <c r="V15" s="14" t="n">
        <f aca="false">SUM(V11:V14)</f>
        <v>0</v>
      </c>
      <c r="W15" s="14" t="n">
        <f aca="false">SUM(W11:W14)</f>
        <v>0</v>
      </c>
    </row>
    <row r="16" customFormat="false" ht="12.8" hidden="false" customHeight="false" outlineLevel="0" collapsed="false">
      <c r="A16" s="9"/>
      <c r="B16" s="10" t="n">
        <v>111</v>
      </c>
      <c r="C16" s="10" t="s">
        <v>22</v>
      </c>
      <c r="D16" s="11" t="n">
        <f aca="false">D3+D8+D11</f>
        <v>504044.08</v>
      </c>
      <c r="E16" s="11" t="n">
        <f aca="false">E3+E8+E11</f>
        <v>567839.47</v>
      </c>
      <c r="F16" s="11" t="n">
        <f aca="false">F3+F8+F11</f>
        <v>1994042</v>
      </c>
      <c r="G16" s="11" t="n">
        <f aca="false">G3+G8+G11</f>
        <v>612113.45</v>
      </c>
      <c r="H16" s="11" t="n">
        <f aca="false">H3+H8+H11</f>
        <v>2343250</v>
      </c>
      <c r="I16" s="11" t="n">
        <f aca="false">I3+I8+I11</f>
        <v>300</v>
      </c>
      <c r="J16" s="11" t="n">
        <f aca="false">J3+J8+J11</f>
        <v>-2922</v>
      </c>
      <c r="K16" s="11" t="n">
        <f aca="false">K3+K8+K11</f>
        <v>0</v>
      </c>
      <c r="L16" s="11" t="n">
        <f aca="false">L3+L8+L11</f>
        <v>0</v>
      </c>
      <c r="M16" s="11" t="n">
        <f aca="false">M3+M8+M11</f>
        <v>2340628</v>
      </c>
      <c r="N16" s="11" t="n">
        <f aca="false">N3+N8+N11</f>
        <v>143006.59</v>
      </c>
      <c r="O16" s="12" t="n">
        <f aca="false">N16/$M16</f>
        <v>0.0610975302354753</v>
      </c>
      <c r="P16" s="11" t="n">
        <f aca="false">P3+P8+P11</f>
        <v>410685.43</v>
      </c>
      <c r="Q16" s="12" t="n">
        <f aca="false">P16/$M16</f>
        <v>0.175459504885014</v>
      </c>
      <c r="R16" s="11" t="n">
        <f aca="false">R3+R8+R11</f>
        <v>536996.17</v>
      </c>
      <c r="S16" s="12" t="n">
        <f aca="false">R16/$M16</f>
        <v>0.22942397083176</v>
      </c>
      <c r="T16" s="11" t="n">
        <f aca="false">T3+T8+T11</f>
        <v>1198470.53</v>
      </c>
      <c r="U16" s="12" t="n">
        <f aca="false">T16/$M16</f>
        <v>0.512029476704543</v>
      </c>
      <c r="V16" s="11" t="n">
        <f aca="false">V3+V8+V11</f>
        <v>501366</v>
      </c>
      <c r="W16" s="11" t="n">
        <f aca="false">W3+W8+W11</f>
        <v>499866</v>
      </c>
    </row>
    <row r="17" customFormat="false" ht="12.8" hidden="false" customHeight="false" outlineLevel="0" collapsed="false">
      <c r="A17" s="9"/>
      <c r="B17" s="10" t="n">
        <v>41</v>
      </c>
      <c r="C17" s="10" t="s">
        <v>23</v>
      </c>
      <c r="D17" s="11" t="n">
        <f aca="false">D4+D9+D12</f>
        <v>912818.16</v>
      </c>
      <c r="E17" s="11" t="n">
        <f aca="false">E4+E9+E12</f>
        <v>1033347.54</v>
      </c>
      <c r="F17" s="11" t="n">
        <f aca="false">F4+F9+F12</f>
        <v>1203916</v>
      </c>
      <c r="G17" s="11" t="n">
        <f aca="false">G4+G9+G12</f>
        <v>1272929.24</v>
      </c>
      <c r="H17" s="11" t="n">
        <f aca="false">H4+H9+H12</f>
        <v>1450366</v>
      </c>
      <c r="I17" s="11" t="n">
        <f aca="false">I4+I9+I12</f>
        <v>0</v>
      </c>
      <c r="J17" s="11" t="n">
        <f aca="false">J4+J9+J12</f>
        <v>7107</v>
      </c>
      <c r="K17" s="11" t="n">
        <f aca="false">K4+K9+K12</f>
        <v>3815</v>
      </c>
      <c r="L17" s="11" t="n">
        <f aca="false">L4+L9+L12</f>
        <v>14004</v>
      </c>
      <c r="M17" s="11" t="n">
        <f aca="false">M4+M9+M12</f>
        <v>1475292</v>
      </c>
      <c r="N17" s="11" t="n">
        <f aca="false">N4+N9+N12</f>
        <v>303767.05</v>
      </c>
      <c r="O17" s="12" t="n">
        <f aca="false">N17/$M17</f>
        <v>0.205903000897449</v>
      </c>
      <c r="P17" s="11" t="n">
        <f aca="false">P4+P9+P12</f>
        <v>912273.24</v>
      </c>
      <c r="Q17" s="12" t="n">
        <f aca="false">P17/$M17</f>
        <v>0.618367916317583</v>
      </c>
      <c r="R17" s="11" t="n">
        <f aca="false">R4+R9+R12</f>
        <v>1197168.24</v>
      </c>
      <c r="S17" s="12" t="n">
        <f aca="false">R17/$M17</f>
        <v>0.81147883944331</v>
      </c>
      <c r="T17" s="11" t="n">
        <f aca="false">T4+T9+T12</f>
        <v>1496879.73</v>
      </c>
      <c r="U17" s="12" t="n">
        <f aca="false">T17/$M17</f>
        <v>1.01463285234381</v>
      </c>
      <c r="V17" s="11" t="n">
        <f aca="false">V4+V9+V12</f>
        <v>1105613</v>
      </c>
      <c r="W17" s="11" t="n">
        <f aca="false">W4+W9+W12</f>
        <v>1105613</v>
      </c>
    </row>
    <row r="18" customFormat="false" ht="12.8" hidden="false" customHeight="false" outlineLevel="0" collapsed="false">
      <c r="A18" s="9"/>
      <c r="B18" s="10" t="n">
        <v>52</v>
      </c>
      <c r="C18" s="10" t="s">
        <v>28</v>
      </c>
      <c r="D18" s="11" t="n">
        <f aca="false">D13</f>
        <v>0</v>
      </c>
      <c r="E18" s="11" t="n">
        <f aca="false">E13</f>
        <v>0</v>
      </c>
      <c r="F18" s="11" t="n">
        <f aca="false">F13</f>
        <v>60000</v>
      </c>
      <c r="G18" s="11" t="n">
        <f aca="false">G13</f>
        <v>0</v>
      </c>
      <c r="H18" s="11" t="n">
        <f aca="false">H13</f>
        <v>0</v>
      </c>
      <c r="I18" s="11" t="n">
        <f aca="false">I13</f>
        <v>0</v>
      </c>
      <c r="J18" s="11" t="n">
        <f aca="false">J13</f>
        <v>0</v>
      </c>
      <c r="K18" s="11" t="n">
        <f aca="false">K13</f>
        <v>0</v>
      </c>
      <c r="L18" s="11" t="n">
        <f aca="false">L13</f>
        <v>0</v>
      </c>
      <c r="M18" s="11" t="n">
        <f aca="false">M13</f>
        <v>0</v>
      </c>
      <c r="N18" s="11" t="n">
        <f aca="false">N13</f>
        <v>0</v>
      </c>
      <c r="O18" s="12" t="e">
        <f aca="false">N18/$M18</f>
        <v>#DIV/0!</v>
      </c>
      <c r="P18" s="11" t="n">
        <f aca="false">P13</f>
        <v>0</v>
      </c>
      <c r="Q18" s="12" t="e">
        <f aca="false">P18/$M18</f>
        <v>#DIV/0!</v>
      </c>
      <c r="R18" s="11" t="n">
        <f aca="false">R13</f>
        <v>0</v>
      </c>
      <c r="S18" s="12" t="e">
        <f aca="false">R18/$M18</f>
        <v>#DIV/0!</v>
      </c>
      <c r="T18" s="11" t="n">
        <f aca="false">T13</f>
        <v>0</v>
      </c>
      <c r="U18" s="12" t="e">
        <f aca="false">T18/$M18</f>
        <v>#DIV/0!</v>
      </c>
      <c r="V18" s="11" t="n">
        <f aca="false">V13</f>
        <v>0</v>
      </c>
      <c r="W18" s="11" t="n">
        <f aca="false">W13</f>
        <v>0</v>
      </c>
    </row>
    <row r="19" customFormat="false" ht="12.8" hidden="false" customHeight="false" outlineLevel="0" collapsed="false">
      <c r="A19" s="9"/>
      <c r="B19" s="10" t="n">
        <v>71</v>
      </c>
      <c r="C19" s="10" t="s">
        <v>24</v>
      </c>
      <c r="D19" s="11" t="n">
        <f aca="false">D5+D14</f>
        <v>1317.12</v>
      </c>
      <c r="E19" s="11" t="n">
        <f aca="false">E5+E14</f>
        <v>700</v>
      </c>
      <c r="F19" s="11" t="n">
        <f aca="false">F5+F14</f>
        <v>700</v>
      </c>
      <c r="G19" s="11" t="n">
        <f aca="false">G5+G14</f>
        <v>17400</v>
      </c>
      <c r="H19" s="11" t="n">
        <f aca="false">H5+H14</f>
        <v>17400</v>
      </c>
      <c r="I19" s="11" t="n">
        <f aca="false">I5+I14</f>
        <v>0</v>
      </c>
      <c r="J19" s="11" t="n">
        <f aca="false">J5+J14</f>
        <v>59211</v>
      </c>
      <c r="K19" s="11" t="n">
        <f aca="false">K5+K14</f>
        <v>0</v>
      </c>
      <c r="L19" s="11" t="n">
        <f aca="false">L5+L14</f>
        <v>0</v>
      </c>
      <c r="M19" s="11" t="n">
        <f aca="false">M5+M14</f>
        <v>76611</v>
      </c>
      <c r="N19" s="11" t="n">
        <f aca="false">N5+N14</f>
        <v>10000</v>
      </c>
      <c r="O19" s="12" t="n">
        <f aca="false">N19/$M19</f>
        <v>0.130529558418504</v>
      </c>
      <c r="P19" s="11" t="n">
        <f aca="false">P5+P14</f>
        <v>76610.5</v>
      </c>
      <c r="Q19" s="12" t="n">
        <f aca="false">P19/$M19</f>
        <v>0.999993473522079</v>
      </c>
      <c r="R19" s="11" t="n">
        <f aca="false">R5+R14</f>
        <v>76610.5</v>
      </c>
      <c r="S19" s="12" t="n">
        <f aca="false">R19/$M19</f>
        <v>0.999993473522079</v>
      </c>
      <c r="T19" s="11" t="n">
        <f aca="false">T5+T14</f>
        <v>76610.5</v>
      </c>
      <c r="U19" s="12" t="n">
        <f aca="false">T19/$M19</f>
        <v>0.999993473522079</v>
      </c>
      <c r="V19" s="11" t="n">
        <f aca="false">V5+V14</f>
        <v>1400</v>
      </c>
      <c r="W19" s="11" t="n">
        <f aca="false">W5+W14</f>
        <v>1400</v>
      </c>
    </row>
    <row r="20" customFormat="false" ht="12.8" hidden="false" customHeight="false" outlineLevel="0" collapsed="false">
      <c r="A20" s="9"/>
      <c r="B20" s="10" t="n">
        <v>72</v>
      </c>
      <c r="C20" s="10" t="s">
        <v>25</v>
      </c>
      <c r="D20" s="11" t="n">
        <f aca="false">D6</f>
        <v>0</v>
      </c>
      <c r="E20" s="11" t="n">
        <f aca="false">E6</f>
        <v>0</v>
      </c>
      <c r="F20" s="11" t="n">
        <f aca="false">F6</f>
        <v>0</v>
      </c>
      <c r="G20" s="11" t="n">
        <f aca="false">G6</f>
        <v>0</v>
      </c>
      <c r="H20" s="11" t="n">
        <f aca="false">H6</f>
        <v>49270</v>
      </c>
      <c r="I20" s="11" t="n">
        <f aca="false">I6</f>
        <v>0</v>
      </c>
      <c r="J20" s="11" t="n">
        <f aca="false">J6</f>
        <v>4652</v>
      </c>
      <c r="K20" s="11" t="n">
        <f aca="false">K6</f>
        <v>0</v>
      </c>
      <c r="L20" s="11" t="n">
        <f aca="false">L6</f>
        <v>0</v>
      </c>
      <c r="M20" s="11" t="n">
        <f aca="false">M6</f>
        <v>53922</v>
      </c>
      <c r="N20" s="11" t="n">
        <f aca="false">N6</f>
        <v>14305.27</v>
      </c>
      <c r="O20" s="12" t="n">
        <f aca="false">N20/$M20</f>
        <v>0.265295612180557</v>
      </c>
      <c r="P20" s="11" t="n">
        <f aca="false">P6</f>
        <v>33503.77</v>
      </c>
      <c r="Q20" s="12" t="n">
        <f aca="false">P20/$M20</f>
        <v>0.62133767293498</v>
      </c>
      <c r="R20" s="11" t="n">
        <f aca="false">R6</f>
        <v>36879.8</v>
      </c>
      <c r="S20" s="12" t="n">
        <f aca="false">R20/$M20</f>
        <v>0.683947182967991</v>
      </c>
      <c r="T20" s="11" t="n">
        <f aca="false">T6</f>
        <v>57663.81</v>
      </c>
      <c r="U20" s="12" t="n">
        <f aca="false">T20/$M20</f>
        <v>1.06939301212863</v>
      </c>
      <c r="V20" s="11" t="n">
        <f aca="false">V6</f>
        <v>49270</v>
      </c>
      <c r="W20" s="11" t="n">
        <f aca="false">W6</f>
        <v>49270</v>
      </c>
    </row>
    <row r="21" customFormat="false" ht="12.8" hidden="false" customHeight="false" outlineLevel="0" collapsed="false">
      <c r="A21" s="16"/>
      <c r="B21" s="17"/>
      <c r="C21" s="13" t="s">
        <v>30</v>
      </c>
      <c r="D21" s="14" t="n">
        <f aca="false">SUM(D16:D20)</f>
        <v>1418179.36</v>
      </c>
      <c r="E21" s="14" t="n">
        <f aca="false">SUM(E16:E20)</f>
        <v>1601887.01</v>
      </c>
      <c r="F21" s="14" t="n">
        <f aca="false">SUM(F16:F20)</f>
        <v>3258658</v>
      </c>
      <c r="G21" s="14" t="n">
        <f aca="false">SUM(G16:G20)</f>
        <v>1902442.69</v>
      </c>
      <c r="H21" s="14" t="n">
        <f aca="false">SUM(H16:H20)</f>
        <v>3860286</v>
      </c>
      <c r="I21" s="14" t="n">
        <f aca="false">SUM(I16:I20)</f>
        <v>300</v>
      </c>
      <c r="J21" s="14" t="n">
        <f aca="false">SUM(J16:J20)</f>
        <v>68048</v>
      </c>
      <c r="K21" s="14" t="n">
        <f aca="false">SUM(K16:K20)</f>
        <v>3815</v>
      </c>
      <c r="L21" s="14" t="n">
        <f aca="false">SUM(L16:L20)</f>
        <v>14004</v>
      </c>
      <c r="M21" s="14" t="n">
        <f aca="false">SUM(M16:M20)</f>
        <v>3946453</v>
      </c>
      <c r="N21" s="14" t="n">
        <f aca="false">SUM(N16:N20)</f>
        <v>471078.91</v>
      </c>
      <c r="O21" s="15" t="n">
        <f aca="false">N21/$M21</f>
        <v>0.119367672692415</v>
      </c>
      <c r="P21" s="14" t="n">
        <f aca="false">SUM(P16:P20)</f>
        <v>1433072.94</v>
      </c>
      <c r="Q21" s="15" t="n">
        <f aca="false">P21/$M21</f>
        <v>0.363129356918732</v>
      </c>
      <c r="R21" s="14" t="n">
        <f aca="false">SUM(R16:R20)</f>
        <v>1847654.71</v>
      </c>
      <c r="S21" s="15" t="n">
        <f aca="false">R21/$M21</f>
        <v>0.468181100851828</v>
      </c>
      <c r="T21" s="14" t="n">
        <f aca="false">SUM(T16:T20)</f>
        <v>2829624.57</v>
      </c>
      <c r="U21" s="15" t="n">
        <f aca="false">T21/$M21</f>
        <v>0.717004502524165</v>
      </c>
      <c r="V21" s="14" t="n">
        <f aca="false">SUM(V16:V20)</f>
        <v>1657649</v>
      </c>
      <c r="W21" s="14" t="n">
        <f aca="false">SUM(W16:W20)</f>
        <v>1656149</v>
      </c>
    </row>
    <row r="23" customFormat="false" ht="12.8" hidden="false" customHeight="false" outlineLevel="0" collapsed="false">
      <c r="A23" s="18" t="s">
        <v>31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9"/>
      <c r="P23" s="18"/>
      <c r="Q23" s="19"/>
      <c r="R23" s="18"/>
      <c r="S23" s="19"/>
      <c r="T23" s="18"/>
      <c r="U23" s="19"/>
      <c r="V23" s="18"/>
      <c r="W23" s="18"/>
    </row>
    <row r="24" customFormat="false" ht="12.8" hidden="false" customHeight="false" outlineLevel="0" collapsed="false">
      <c r="A24" s="6"/>
      <c r="B24" s="6"/>
      <c r="C24" s="6"/>
      <c r="D24" s="7" t="s">
        <v>1</v>
      </c>
      <c r="E24" s="7" t="s">
        <v>2</v>
      </c>
      <c r="F24" s="7" t="s">
        <v>3</v>
      </c>
      <c r="G24" s="7" t="s">
        <v>4</v>
      </c>
      <c r="H24" s="7" t="s">
        <v>5</v>
      </c>
      <c r="I24" s="7" t="s">
        <v>6</v>
      </c>
      <c r="J24" s="7" t="s">
        <v>7</v>
      </c>
      <c r="K24" s="7" t="s">
        <v>8</v>
      </c>
      <c r="L24" s="7" t="s">
        <v>9</v>
      </c>
      <c r="M24" s="7" t="s">
        <v>10</v>
      </c>
      <c r="N24" s="7" t="s">
        <v>11</v>
      </c>
      <c r="O24" s="8" t="s">
        <v>12</v>
      </c>
      <c r="P24" s="7" t="s">
        <v>13</v>
      </c>
      <c r="Q24" s="8" t="s">
        <v>14</v>
      </c>
      <c r="R24" s="7" t="s">
        <v>15</v>
      </c>
      <c r="S24" s="8" t="s">
        <v>16</v>
      </c>
      <c r="T24" s="7" t="s">
        <v>17</v>
      </c>
      <c r="U24" s="8" t="s">
        <v>18</v>
      </c>
      <c r="V24" s="7" t="s">
        <v>19</v>
      </c>
      <c r="W24" s="7" t="s">
        <v>20</v>
      </c>
    </row>
    <row r="25" customFormat="false" ht="12.8" hidden="false" customHeight="false" outlineLevel="0" collapsed="false">
      <c r="A25" s="20" t="s">
        <v>21</v>
      </c>
      <c r="B25" s="21" t="n">
        <v>41</v>
      </c>
      <c r="C25" s="21" t="s">
        <v>23</v>
      </c>
      <c r="D25" s="22" t="n">
        <f aca="false">D39</f>
        <v>807107.68</v>
      </c>
      <c r="E25" s="22" t="n">
        <f aca="false">E39</f>
        <v>917795.05</v>
      </c>
      <c r="F25" s="22" t="n">
        <f aca="false">F39</f>
        <v>970576</v>
      </c>
      <c r="G25" s="22" t="n">
        <f aca="false">G39</f>
        <v>985502.29</v>
      </c>
      <c r="H25" s="22" t="n">
        <f aca="false">H39</f>
        <v>1027213</v>
      </c>
      <c r="I25" s="22" t="n">
        <f aca="false">I39</f>
        <v>0</v>
      </c>
      <c r="J25" s="22" t="n">
        <f aca="false">J39</f>
        <v>500</v>
      </c>
      <c r="K25" s="22" t="n">
        <f aca="false">K39</f>
        <v>50</v>
      </c>
      <c r="L25" s="22" t="n">
        <f aca="false">L39</f>
        <v>14004</v>
      </c>
      <c r="M25" s="22" t="n">
        <f aca="false">M39</f>
        <v>1041767</v>
      </c>
      <c r="N25" s="22" t="n">
        <f aca="false">N39</f>
        <v>281379.93</v>
      </c>
      <c r="O25" s="23" t="n">
        <f aca="false">N25/$M25</f>
        <v>0.270098716891589</v>
      </c>
      <c r="P25" s="22" t="n">
        <f aca="false">P39</f>
        <v>529132.37</v>
      </c>
      <c r="Q25" s="23" t="n">
        <f aca="false">P25/$M25</f>
        <v>0.507918152523549</v>
      </c>
      <c r="R25" s="22" t="n">
        <f aca="false">R39</f>
        <v>797596.71</v>
      </c>
      <c r="S25" s="23" t="n">
        <f aca="false">R25/$M25</f>
        <v>0.765619097168561</v>
      </c>
      <c r="T25" s="22" t="n">
        <f aca="false">T39</f>
        <v>1058767.42</v>
      </c>
      <c r="U25" s="23" t="n">
        <f aca="false">T25/$M25</f>
        <v>1.01631883137016</v>
      </c>
      <c r="V25" s="22" t="n">
        <f aca="false">V39</f>
        <v>1027213</v>
      </c>
      <c r="W25" s="22" t="n">
        <f aca="false">W39</f>
        <v>1027213</v>
      </c>
    </row>
    <row r="26" customFormat="false" ht="12.8" hidden="false" customHeight="false" outlineLevel="0" collapsed="false">
      <c r="A26" s="16"/>
      <c r="B26" s="17"/>
      <c r="C26" s="24" t="s">
        <v>30</v>
      </c>
      <c r="D26" s="25" t="n">
        <f aca="false">SUM(D25:D25)</f>
        <v>807107.68</v>
      </c>
      <c r="E26" s="25" t="n">
        <f aca="false">SUM(E25:E25)</f>
        <v>917795.05</v>
      </c>
      <c r="F26" s="25" t="n">
        <f aca="false">SUM(F25:F25)</f>
        <v>970576</v>
      </c>
      <c r="G26" s="25" t="n">
        <f aca="false">SUM(G25:G25)</f>
        <v>985502.29</v>
      </c>
      <c r="H26" s="25" t="n">
        <f aca="false">SUM(H25:H25)</f>
        <v>1027213</v>
      </c>
      <c r="I26" s="25" t="n">
        <f aca="false">SUM(I25:I25)</f>
        <v>0</v>
      </c>
      <c r="J26" s="25" t="n">
        <f aca="false">SUM(J25:J25)</f>
        <v>500</v>
      </c>
      <c r="K26" s="25" t="n">
        <f aca="false">SUM(K25:K25)</f>
        <v>50</v>
      </c>
      <c r="L26" s="25" t="n">
        <f aca="false">SUM(L25:L25)</f>
        <v>14004</v>
      </c>
      <c r="M26" s="25" t="n">
        <f aca="false">SUM(M25:M25)</f>
        <v>1041767</v>
      </c>
      <c r="N26" s="25" t="n">
        <f aca="false">SUM(N25:N25)</f>
        <v>281379.93</v>
      </c>
      <c r="O26" s="26" t="n">
        <f aca="false">N26/$M26</f>
        <v>0.270098716891589</v>
      </c>
      <c r="P26" s="25" t="n">
        <f aca="false">SUM(P25:P25)</f>
        <v>529132.37</v>
      </c>
      <c r="Q26" s="26" t="n">
        <f aca="false">P26/$M26</f>
        <v>0.507918152523549</v>
      </c>
      <c r="R26" s="25" t="n">
        <f aca="false">SUM(R25:R25)</f>
        <v>797596.71</v>
      </c>
      <c r="S26" s="26" t="n">
        <f aca="false">R26/$M26</f>
        <v>0.765619097168561</v>
      </c>
      <c r="T26" s="25" t="n">
        <f aca="false">SUM(T25:T25)</f>
        <v>1058767.42</v>
      </c>
      <c r="U26" s="26" t="n">
        <f aca="false">T26/$M26</f>
        <v>1.01631883137016</v>
      </c>
      <c r="V26" s="25" t="n">
        <f aca="false">SUM(V25:V25)</f>
        <v>1027213</v>
      </c>
      <c r="W26" s="25" t="n">
        <f aca="false">SUM(W25:W25)</f>
        <v>1027213</v>
      </c>
    </row>
    <row r="28" customFormat="false" ht="12.8" hidden="false" customHeight="false" outlineLevel="0" collapsed="false">
      <c r="A28" s="27" t="s">
        <v>32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8"/>
      <c r="P28" s="27"/>
      <c r="Q28" s="28"/>
      <c r="R28" s="27"/>
      <c r="S28" s="28"/>
      <c r="T28" s="27"/>
      <c r="U28" s="28"/>
      <c r="V28" s="27"/>
      <c r="W28" s="27"/>
    </row>
    <row r="29" customFormat="false" ht="12.8" hidden="false" customHeight="false" outlineLevel="0" collapsed="false">
      <c r="A29" s="7" t="s">
        <v>33</v>
      </c>
      <c r="B29" s="7" t="s">
        <v>34</v>
      </c>
      <c r="C29" s="7" t="s">
        <v>35</v>
      </c>
      <c r="D29" s="7" t="s">
        <v>1</v>
      </c>
      <c r="E29" s="7" t="s">
        <v>2</v>
      </c>
      <c r="F29" s="7" t="s">
        <v>3</v>
      </c>
      <c r="G29" s="7" t="s">
        <v>4</v>
      </c>
      <c r="H29" s="7" t="s">
        <v>5</v>
      </c>
      <c r="I29" s="7" t="s">
        <v>6</v>
      </c>
      <c r="J29" s="7" t="s">
        <v>7</v>
      </c>
      <c r="K29" s="7" t="s">
        <v>8</v>
      </c>
      <c r="L29" s="7" t="s">
        <v>9</v>
      </c>
      <c r="M29" s="7" t="s">
        <v>10</v>
      </c>
      <c r="N29" s="7" t="s">
        <v>11</v>
      </c>
      <c r="O29" s="8" t="s">
        <v>12</v>
      </c>
      <c r="P29" s="7" t="s">
        <v>13</v>
      </c>
      <c r="Q29" s="8" t="s">
        <v>14</v>
      </c>
      <c r="R29" s="7" t="s">
        <v>15</v>
      </c>
      <c r="S29" s="8" t="s">
        <v>16</v>
      </c>
      <c r="T29" s="7" t="s">
        <v>17</v>
      </c>
      <c r="U29" s="8" t="s">
        <v>18</v>
      </c>
      <c r="V29" s="7" t="s">
        <v>19</v>
      </c>
      <c r="W29" s="7" t="s">
        <v>20</v>
      </c>
    </row>
    <row r="30" customFormat="false" ht="12.8" hidden="false" customHeight="false" outlineLevel="0" collapsed="false">
      <c r="A30" s="29" t="s">
        <v>36</v>
      </c>
      <c r="B30" s="10" t="n">
        <v>111003</v>
      </c>
      <c r="C30" s="10" t="s">
        <v>37</v>
      </c>
      <c r="D30" s="11" t="n">
        <v>723616.41</v>
      </c>
      <c r="E30" s="11" t="n">
        <v>832585.1</v>
      </c>
      <c r="F30" s="11" t="n">
        <v>878696</v>
      </c>
      <c r="G30" s="11" t="n">
        <v>895976.98</v>
      </c>
      <c r="H30" s="11" t="n">
        <v>937258</v>
      </c>
      <c r="I30" s="11"/>
      <c r="J30" s="11"/>
      <c r="K30" s="11"/>
      <c r="L30" s="11" t="n">
        <f aca="false">5819+8185</f>
        <v>14004</v>
      </c>
      <c r="M30" s="11" t="n">
        <f aca="false">H30+SUM(I30:L30)</f>
        <v>951262</v>
      </c>
      <c r="N30" s="11" t="n">
        <v>272690.76</v>
      </c>
      <c r="O30" s="12" t="n">
        <f aca="false">N30/$M30</f>
        <v>0.286662097298116</v>
      </c>
      <c r="P30" s="11" t="n">
        <v>471677.76</v>
      </c>
      <c r="Q30" s="12" t="n">
        <f aca="false">P30/$M30</f>
        <v>0.495844215368637</v>
      </c>
      <c r="R30" s="11" t="n">
        <v>727762.76</v>
      </c>
      <c r="S30" s="12" t="n">
        <f aca="false">R30/$M30</f>
        <v>0.765049754957099</v>
      </c>
      <c r="T30" s="11" t="n">
        <v>975606.76</v>
      </c>
      <c r="U30" s="12" t="n">
        <f aca="false">T30/$M30</f>
        <v>1.02559206611848</v>
      </c>
      <c r="V30" s="11" t="n">
        <f aca="false">H30</f>
        <v>937258</v>
      </c>
      <c r="W30" s="11" t="n">
        <f aca="false">V30</f>
        <v>937258</v>
      </c>
    </row>
    <row r="31" customFormat="false" ht="12.8" hidden="false" customHeight="false" outlineLevel="0" collapsed="false">
      <c r="A31" s="29"/>
      <c r="B31" s="10" t="n">
        <v>121001</v>
      </c>
      <c r="C31" s="10" t="s">
        <v>38</v>
      </c>
      <c r="D31" s="11" t="n">
        <v>16830.32</v>
      </c>
      <c r="E31" s="11" t="n">
        <v>18996.12</v>
      </c>
      <c r="F31" s="11" t="n">
        <v>19500</v>
      </c>
      <c r="G31" s="11" t="n">
        <v>16997.08</v>
      </c>
      <c r="H31" s="11" t="n">
        <v>17000</v>
      </c>
      <c r="I31" s="11"/>
      <c r="J31" s="11"/>
      <c r="K31" s="11"/>
      <c r="L31" s="11"/>
      <c r="M31" s="11" t="n">
        <f aca="false">H31+SUM(I31:L31)</f>
        <v>17000</v>
      </c>
      <c r="N31" s="11" t="n">
        <v>789.93</v>
      </c>
      <c r="O31" s="12" t="n">
        <f aca="false">N31/$M31</f>
        <v>0.0464664705882353</v>
      </c>
      <c r="P31" s="11" t="n">
        <v>4453.85</v>
      </c>
      <c r="Q31" s="12" t="n">
        <f aca="false">P31/$M31</f>
        <v>0.261991176470588</v>
      </c>
      <c r="R31" s="11" t="n">
        <v>5970.61</v>
      </c>
      <c r="S31" s="12" t="n">
        <f aca="false">R31/$M31</f>
        <v>0.351212352941176</v>
      </c>
      <c r="T31" s="11" t="n">
        <v>7935.49</v>
      </c>
      <c r="U31" s="12" t="n">
        <f aca="false">T31/$M31</f>
        <v>0.466793529411765</v>
      </c>
      <c r="V31" s="11" t="n">
        <f aca="false">H31</f>
        <v>17000</v>
      </c>
      <c r="W31" s="11" t="n">
        <f aca="false">V31</f>
        <v>17000</v>
      </c>
    </row>
    <row r="32" customFormat="false" ht="12.8" hidden="false" customHeight="false" outlineLevel="0" collapsed="false">
      <c r="A32" s="29"/>
      <c r="B32" s="10" t="n">
        <v>121002</v>
      </c>
      <c r="C32" s="10" t="s">
        <v>39</v>
      </c>
      <c r="D32" s="11" t="n">
        <v>19766.12</v>
      </c>
      <c r="E32" s="11" t="n">
        <v>20327.07</v>
      </c>
      <c r="F32" s="11" t="n">
        <v>21000</v>
      </c>
      <c r="G32" s="11" t="n">
        <v>20377.67</v>
      </c>
      <c r="H32" s="11" t="n">
        <v>20500</v>
      </c>
      <c r="I32" s="11"/>
      <c r="J32" s="11"/>
      <c r="K32" s="11"/>
      <c r="L32" s="11"/>
      <c r="M32" s="11" t="n">
        <f aca="false">H32+SUM(I32:L32)</f>
        <v>20500</v>
      </c>
      <c r="N32" s="11" t="n">
        <v>2388.35</v>
      </c>
      <c r="O32" s="12" t="n">
        <f aca="false">N32/$M32</f>
        <v>0.11650487804878</v>
      </c>
      <c r="P32" s="11" t="n">
        <v>14181.16</v>
      </c>
      <c r="Q32" s="12" t="n">
        <f aca="false">P32/$M32</f>
        <v>0.691763902439024</v>
      </c>
      <c r="R32" s="11" t="n">
        <v>18075.65</v>
      </c>
      <c r="S32" s="12" t="n">
        <f aca="false">R32/$M32</f>
        <v>0.881739024390244</v>
      </c>
      <c r="T32" s="11" t="n">
        <v>20883.13</v>
      </c>
      <c r="U32" s="12" t="n">
        <f aca="false">T32/$M32</f>
        <v>1.01868926829268</v>
      </c>
      <c r="V32" s="11" t="n">
        <f aca="false">H32</f>
        <v>20500</v>
      </c>
      <c r="W32" s="11" t="n">
        <f aca="false">V32</f>
        <v>20500</v>
      </c>
    </row>
    <row r="33" customFormat="false" ht="12.8" hidden="false" customHeight="false" outlineLevel="0" collapsed="false">
      <c r="A33" s="29"/>
      <c r="B33" s="10" t="n">
        <v>121003</v>
      </c>
      <c r="C33" s="10" t="s">
        <v>40</v>
      </c>
      <c r="D33" s="11" t="n">
        <v>124.83</v>
      </c>
      <c r="E33" s="11" t="n">
        <v>0</v>
      </c>
      <c r="F33" s="11" t="n">
        <v>100</v>
      </c>
      <c r="G33" s="11" t="n">
        <v>94.98</v>
      </c>
      <c r="H33" s="11" t="n">
        <v>125</v>
      </c>
      <c r="I33" s="11"/>
      <c r="J33" s="11"/>
      <c r="K33" s="11"/>
      <c r="L33" s="11"/>
      <c r="M33" s="11" t="n">
        <f aca="false">H33+SUM(I33:L33)</f>
        <v>125</v>
      </c>
      <c r="N33" s="11" t="n">
        <v>5.14</v>
      </c>
      <c r="O33" s="12" t="n">
        <f aca="false">N33/$M33</f>
        <v>0.04112</v>
      </c>
      <c r="P33" s="11" t="n">
        <v>69.24</v>
      </c>
      <c r="Q33" s="12" t="n">
        <f aca="false">P33/$M33</f>
        <v>0.55392</v>
      </c>
      <c r="R33" s="11" t="n">
        <v>120.28</v>
      </c>
      <c r="S33" s="12" t="n">
        <f aca="false">R33/$M33</f>
        <v>0.96224</v>
      </c>
      <c r="T33" s="11" t="n">
        <v>140.65</v>
      </c>
      <c r="U33" s="12" t="n">
        <f aca="false">T33/$M33</f>
        <v>1.1252</v>
      </c>
      <c r="V33" s="11" t="n">
        <f aca="false">H33</f>
        <v>125</v>
      </c>
      <c r="W33" s="11" t="n">
        <f aca="false">V33</f>
        <v>125</v>
      </c>
    </row>
    <row r="34" customFormat="false" ht="12.8" hidden="false" customHeight="false" outlineLevel="0" collapsed="false">
      <c r="A34" s="29"/>
      <c r="B34" s="10" t="n">
        <v>133001</v>
      </c>
      <c r="C34" s="10" t="s">
        <v>41</v>
      </c>
      <c r="D34" s="11" t="n">
        <v>2264</v>
      </c>
      <c r="E34" s="11" t="n">
        <v>2221.35</v>
      </c>
      <c r="F34" s="11" t="n">
        <v>2300</v>
      </c>
      <c r="G34" s="11" t="n">
        <v>2375.51</v>
      </c>
      <c r="H34" s="11" t="n">
        <v>2400</v>
      </c>
      <c r="I34" s="11"/>
      <c r="J34" s="11"/>
      <c r="K34" s="11" t="n">
        <v>50</v>
      </c>
      <c r="L34" s="11"/>
      <c r="M34" s="11" t="n">
        <f aca="false">H34+SUM(I34:L34)</f>
        <v>2450</v>
      </c>
      <c r="N34" s="11" t="n">
        <v>258</v>
      </c>
      <c r="O34" s="12" t="n">
        <f aca="false">N34/$M34</f>
        <v>0.10530612244898</v>
      </c>
      <c r="P34" s="11" t="n">
        <v>1810.76</v>
      </c>
      <c r="Q34" s="12" t="n">
        <f aca="false">P34/$M34</f>
        <v>0.739085714285714</v>
      </c>
      <c r="R34" s="11" t="n">
        <v>2283.02</v>
      </c>
      <c r="S34" s="12" t="n">
        <f aca="false">R34/$M34</f>
        <v>0.931844897959184</v>
      </c>
      <c r="T34" s="11" t="n">
        <v>2601.41</v>
      </c>
      <c r="U34" s="12" t="n">
        <f aca="false">T34/$M34</f>
        <v>1.0618</v>
      </c>
      <c r="V34" s="11" t="n">
        <f aca="false">H34</f>
        <v>2400</v>
      </c>
      <c r="W34" s="11" t="n">
        <f aca="false">V34</f>
        <v>2400</v>
      </c>
    </row>
    <row r="35" customFormat="false" ht="12.8" hidden="false" customHeight="false" outlineLevel="0" collapsed="false">
      <c r="A35" s="29"/>
      <c r="B35" s="10" t="n">
        <v>133003</v>
      </c>
      <c r="C35" s="10" t="s">
        <v>42</v>
      </c>
      <c r="D35" s="11" t="n">
        <v>0</v>
      </c>
      <c r="E35" s="11" t="n">
        <v>30</v>
      </c>
      <c r="F35" s="11" t="n">
        <v>50</v>
      </c>
      <c r="G35" s="11" t="n">
        <v>0</v>
      </c>
      <c r="H35" s="11" t="n">
        <v>30</v>
      </c>
      <c r="I35" s="11"/>
      <c r="J35" s="11"/>
      <c r="K35" s="11"/>
      <c r="L35" s="11"/>
      <c r="M35" s="11" t="n">
        <f aca="false">H35+SUM(I35:L35)</f>
        <v>30</v>
      </c>
      <c r="N35" s="11" t="n">
        <v>0</v>
      </c>
      <c r="O35" s="12" t="n">
        <f aca="false">N35/$M35</f>
        <v>0</v>
      </c>
      <c r="P35" s="11" t="n">
        <v>0</v>
      </c>
      <c r="Q35" s="12" t="n">
        <f aca="false">P35/$M35</f>
        <v>0</v>
      </c>
      <c r="R35" s="11" t="n">
        <v>0</v>
      </c>
      <c r="S35" s="12" t="n">
        <f aca="false">R35/$M35</f>
        <v>0</v>
      </c>
      <c r="T35" s="11" t="n">
        <v>0</v>
      </c>
      <c r="U35" s="12" t="n">
        <f aca="false">T35/$M35</f>
        <v>0</v>
      </c>
      <c r="V35" s="11" t="n">
        <f aca="false">H35</f>
        <v>30</v>
      </c>
      <c r="W35" s="11" t="n">
        <f aca="false">V35</f>
        <v>30</v>
      </c>
    </row>
    <row r="36" customFormat="false" ht="12.8" hidden="false" customHeight="false" outlineLevel="0" collapsed="false">
      <c r="A36" s="29"/>
      <c r="B36" s="10" t="n">
        <v>133006</v>
      </c>
      <c r="C36" s="10" t="s">
        <v>43</v>
      </c>
      <c r="D36" s="11" t="n">
        <v>0</v>
      </c>
      <c r="E36" s="11" t="n">
        <v>219</v>
      </c>
      <c r="F36" s="11" t="n">
        <v>250</v>
      </c>
      <c r="G36" s="11" t="n">
        <v>376.8</v>
      </c>
      <c r="H36" s="11" t="n">
        <v>400</v>
      </c>
      <c r="I36" s="11"/>
      <c r="J36" s="11" t="n">
        <v>500</v>
      </c>
      <c r="K36" s="11"/>
      <c r="L36" s="11"/>
      <c r="M36" s="11" t="n">
        <f aca="false">H36+SUM(I36:L36)</f>
        <v>900</v>
      </c>
      <c r="N36" s="11" t="n">
        <v>123.6</v>
      </c>
      <c r="O36" s="12" t="n">
        <f aca="false">N36/$M36</f>
        <v>0.137333333333333</v>
      </c>
      <c r="P36" s="11" t="n">
        <v>287.1</v>
      </c>
      <c r="Q36" s="12" t="n">
        <f aca="false">P36/$M36</f>
        <v>0.319</v>
      </c>
      <c r="R36" s="11" t="n">
        <v>451.8</v>
      </c>
      <c r="S36" s="12" t="n">
        <f aca="false">R36/$M36</f>
        <v>0.502</v>
      </c>
      <c r="T36" s="11" t="n">
        <v>614.4</v>
      </c>
      <c r="U36" s="12" t="n">
        <f aca="false">T36/$M36</f>
        <v>0.682666666666667</v>
      </c>
      <c r="V36" s="11" t="n">
        <f aca="false">H36</f>
        <v>400</v>
      </c>
      <c r="W36" s="11" t="n">
        <f aca="false">V36</f>
        <v>400</v>
      </c>
    </row>
    <row r="37" customFormat="false" ht="12.8" hidden="false" customHeight="false" outlineLevel="0" collapsed="false">
      <c r="A37" s="29"/>
      <c r="B37" s="10" t="n">
        <v>133012</v>
      </c>
      <c r="C37" s="10" t="s">
        <v>44</v>
      </c>
      <c r="D37" s="11" t="n">
        <v>2145</v>
      </c>
      <c r="E37" s="11" t="n">
        <v>2108.78</v>
      </c>
      <c r="F37" s="11" t="n">
        <v>2150</v>
      </c>
      <c r="G37" s="11" t="n">
        <v>2952.22</v>
      </c>
      <c r="H37" s="11" t="n">
        <v>3000</v>
      </c>
      <c r="I37" s="11"/>
      <c r="J37" s="11"/>
      <c r="K37" s="11"/>
      <c r="L37" s="11"/>
      <c r="M37" s="11" t="n">
        <f aca="false">H37+SUM(I37:L37)</f>
        <v>3000</v>
      </c>
      <c r="N37" s="11" t="n">
        <v>74</v>
      </c>
      <c r="O37" s="12" t="n">
        <f aca="false">N37/$M37</f>
        <v>0.0246666666666667</v>
      </c>
      <c r="P37" s="11" t="n">
        <v>1565.88</v>
      </c>
      <c r="Q37" s="12" t="n">
        <f aca="false">P37/$M37</f>
        <v>0.52196</v>
      </c>
      <c r="R37" s="11" t="n">
        <v>1808.93</v>
      </c>
      <c r="S37" s="12" t="n">
        <f aca="false">R37/$M37</f>
        <v>0.602976666666667</v>
      </c>
      <c r="T37" s="11" t="n">
        <v>2014.43</v>
      </c>
      <c r="U37" s="12" t="n">
        <f aca="false">T37/$M37</f>
        <v>0.671476666666667</v>
      </c>
      <c r="V37" s="11" t="n">
        <f aca="false">H37</f>
        <v>3000</v>
      </c>
      <c r="W37" s="11" t="n">
        <f aca="false">V37</f>
        <v>3000</v>
      </c>
    </row>
    <row r="38" customFormat="false" ht="12.8" hidden="false" customHeight="false" outlineLevel="0" collapsed="false">
      <c r="A38" s="29"/>
      <c r="B38" s="10" t="n">
        <v>133013</v>
      </c>
      <c r="C38" s="10" t="s">
        <v>45</v>
      </c>
      <c r="D38" s="11" t="n">
        <v>42361</v>
      </c>
      <c r="E38" s="11" t="n">
        <v>41307.63</v>
      </c>
      <c r="F38" s="11" t="n">
        <v>46530</v>
      </c>
      <c r="G38" s="11" t="n">
        <v>46351.05</v>
      </c>
      <c r="H38" s="11" t="n">
        <v>46500</v>
      </c>
      <c r="I38" s="11"/>
      <c r="J38" s="11"/>
      <c r="K38" s="11"/>
      <c r="L38" s="11"/>
      <c r="M38" s="11" t="n">
        <f aca="false">H38+SUM(I38:L38)</f>
        <v>46500</v>
      </c>
      <c r="N38" s="11" t="n">
        <v>5050.15</v>
      </c>
      <c r="O38" s="12" t="n">
        <f aca="false">N38/$M38</f>
        <v>0.108605376344086</v>
      </c>
      <c r="P38" s="11" t="n">
        <v>35086.62</v>
      </c>
      <c r="Q38" s="12" t="n">
        <f aca="false">P38/$M38</f>
        <v>0.754550967741936</v>
      </c>
      <c r="R38" s="11" t="n">
        <v>41123.66</v>
      </c>
      <c r="S38" s="12" t="n">
        <f aca="false">R38/$M38</f>
        <v>0.884379784946237</v>
      </c>
      <c r="T38" s="11" t="n">
        <v>48971.15</v>
      </c>
      <c r="U38" s="12" t="n">
        <f aca="false">T38/$M38</f>
        <v>1.05314301075269</v>
      </c>
      <c r="V38" s="11" t="n">
        <f aca="false">H38</f>
        <v>46500</v>
      </c>
      <c r="W38" s="11" t="n">
        <f aca="false">V38</f>
        <v>46500</v>
      </c>
    </row>
    <row r="39" s="30" customFormat="true" ht="12.8" hidden="false" customHeight="false" outlineLevel="0" collapsed="false">
      <c r="A39" s="13" t="s">
        <v>21</v>
      </c>
      <c r="B39" s="13" t="n">
        <v>41</v>
      </c>
      <c r="C39" s="13" t="s">
        <v>23</v>
      </c>
      <c r="D39" s="14" t="n">
        <f aca="false">SUM(D30:D38)</f>
        <v>807107.68</v>
      </c>
      <c r="E39" s="14" t="n">
        <f aca="false">SUM(E30:E38)</f>
        <v>917795.05</v>
      </c>
      <c r="F39" s="14" t="n">
        <f aca="false">SUM(F30:F38)</f>
        <v>970576</v>
      </c>
      <c r="G39" s="14" t="n">
        <f aca="false">SUM(G30:G38)</f>
        <v>985502.29</v>
      </c>
      <c r="H39" s="14" t="n">
        <f aca="false">SUM(H30:H38)</f>
        <v>1027213</v>
      </c>
      <c r="I39" s="14" t="n">
        <f aca="false">SUM(I30:I38)</f>
        <v>0</v>
      </c>
      <c r="J39" s="14" t="n">
        <f aca="false">SUM(J30:J38)</f>
        <v>500</v>
      </c>
      <c r="K39" s="14" t="n">
        <f aca="false">SUM(K30:K38)</f>
        <v>50</v>
      </c>
      <c r="L39" s="14" t="n">
        <f aca="false">SUM(L30:L38)</f>
        <v>14004</v>
      </c>
      <c r="M39" s="14" t="n">
        <f aca="false">SUM(M30:M38)</f>
        <v>1041767</v>
      </c>
      <c r="N39" s="14" t="n">
        <f aca="false">SUM(N30:N38)</f>
        <v>281379.93</v>
      </c>
      <c r="O39" s="15" t="n">
        <f aca="false">N39/$M39</f>
        <v>0.270098716891589</v>
      </c>
      <c r="P39" s="14" t="n">
        <f aca="false">SUM(P30:P38)</f>
        <v>529132.37</v>
      </c>
      <c r="Q39" s="15" t="n">
        <f aca="false">P39/$M39</f>
        <v>0.507918152523549</v>
      </c>
      <c r="R39" s="14" t="n">
        <f aca="false">SUM(R30:R38)</f>
        <v>797596.71</v>
      </c>
      <c r="S39" s="15" t="n">
        <f aca="false">R39/$M39</f>
        <v>0.765619097168561</v>
      </c>
      <c r="T39" s="14" t="n">
        <f aca="false">SUM(T30:T38)</f>
        <v>1058767.42</v>
      </c>
      <c r="U39" s="15" t="n">
        <f aca="false">T39/$M39</f>
        <v>1.01631883137016</v>
      </c>
      <c r="V39" s="14" t="n">
        <f aca="false">SUM(V30:V38)</f>
        <v>1027213</v>
      </c>
      <c r="W39" s="14" t="n">
        <f aca="false">SUM(W30:W38)</f>
        <v>1027213</v>
      </c>
    </row>
    <row r="41" customFormat="false" ht="12.8" hidden="false" customHeight="false" outlineLevel="0" collapsed="false">
      <c r="A41" s="18" t="s">
        <v>46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9"/>
      <c r="P41" s="18"/>
      <c r="Q41" s="19"/>
      <c r="R41" s="18"/>
      <c r="S41" s="19"/>
      <c r="T41" s="18"/>
      <c r="U41" s="19"/>
      <c r="V41" s="18"/>
      <c r="W41" s="18"/>
    </row>
    <row r="42" customFormat="false" ht="12.8" hidden="false" customHeight="false" outlineLevel="0" collapsed="false">
      <c r="A42" s="6"/>
      <c r="B42" s="6"/>
      <c r="C42" s="6"/>
      <c r="D42" s="7" t="s">
        <v>1</v>
      </c>
      <c r="E42" s="7" t="s">
        <v>2</v>
      </c>
      <c r="F42" s="7" t="s">
        <v>3</v>
      </c>
      <c r="G42" s="7" t="s">
        <v>4</v>
      </c>
      <c r="H42" s="7" t="s">
        <v>5</v>
      </c>
      <c r="I42" s="7" t="s">
        <v>6</v>
      </c>
      <c r="J42" s="7" t="s">
        <v>7</v>
      </c>
      <c r="K42" s="7" t="s">
        <v>8</v>
      </c>
      <c r="L42" s="7" t="s">
        <v>9</v>
      </c>
      <c r="M42" s="7" t="s">
        <v>10</v>
      </c>
      <c r="N42" s="7" t="s">
        <v>11</v>
      </c>
      <c r="O42" s="8" t="s">
        <v>12</v>
      </c>
      <c r="P42" s="7" t="s">
        <v>13</v>
      </c>
      <c r="Q42" s="8" t="s">
        <v>14</v>
      </c>
      <c r="R42" s="7" t="s">
        <v>15</v>
      </c>
      <c r="S42" s="8" t="s">
        <v>16</v>
      </c>
      <c r="T42" s="7" t="s">
        <v>17</v>
      </c>
      <c r="U42" s="8" t="s">
        <v>18</v>
      </c>
      <c r="V42" s="7" t="s">
        <v>19</v>
      </c>
      <c r="W42" s="7" t="s">
        <v>20</v>
      </c>
    </row>
    <row r="43" customFormat="false" ht="12.8" hidden="false" customHeight="false" outlineLevel="0" collapsed="false">
      <c r="A43" s="20" t="s">
        <v>21</v>
      </c>
      <c r="B43" s="21" t="n">
        <v>111</v>
      </c>
      <c r="C43" s="21" t="s">
        <v>47</v>
      </c>
      <c r="D43" s="22" t="n">
        <f aca="false">D57</f>
        <v>8439</v>
      </c>
      <c r="E43" s="22" t="n">
        <f aca="false">E57</f>
        <v>11700.71</v>
      </c>
      <c r="F43" s="22" t="n">
        <f aca="false">F57</f>
        <v>5950</v>
      </c>
      <c r="G43" s="22" t="n">
        <f aca="false">G57</f>
        <v>9587.64</v>
      </c>
      <c r="H43" s="22" t="n">
        <f aca="false">H51</f>
        <v>0</v>
      </c>
      <c r="I43" s="22" t="n">
        <f aca="false">I51</f>
        <v>0</v>
      </c>
      <c r="J43" s="22" t="n">
        <f aca="false">J51</f>
        <v>17</v>
      </c>
      <c r="K43" s="22" t="n">
        <f aca="false">K51</f>
        <v>0</v>
      </c>
      <c r="L43" s="22" t="n">
        <f aca="false">L51</f>
        <v>0</v>
      </c>
      <c r="M43" s="22" t="n">
        <f aca="false">M51</f>
        <v>17</v>
      </c>
      <c r="N43" s="22" t="n">
        <f aca="false">N51</f>
        <v>16.31</v>
      </c>
      <c r="O43" s="23" t="n">
        <f aca="false">N43/$M43</f>
        <v>0.959411764705882</v>
      </c>
      <c r="P43" s="22" t="n">
        <f aca="false">P51</f>
        <v>16.31</v>
      </c>
      <c r="Q43" s="23" t="n">
        <f aca="false">P43/$M43</f>
        <v>0.959411764705882</v>
      </c>
      <c r="R43" s="22" t="n">
        <f aca="false">R51</f>
        <v>574.64</v>
      </c>
      <c r="S43" s="23" t="n">
        <f aca="false">R43/$M43</f>
        <v>33.8023529411765</v>
      </c>
      <c r="T43" s="22" t="n">
        <f aca="false">T51</f>
        <v>574.64</v>
      </c>
      <c r="U43" s="23" t="n">
        <f aca="false">T43/$M43</f>
        <v>33.8023529411765</v>
      </c>
      <c r="V43" s="22" t="n">
        <f aca="false">V57</f>
        <v>0</v>
      </c>
      <c r="W43" s="22" t="n">
        <f aca="false">W57</f>
        <v>0</v>
      </c>
    </row>
    <row r="44" customFormat="false" ht="12.8" hidden="false" customHeight="false" outlineLevel="0" collapsed="false">
      <c r="A44" s="20"/>
      <c r="B44" s="21" t="n">
        <v>41</v>
      </c>
      <c r="C44" s="21" t="s">
        <v>23</v>
      </c>
      <c r="D44" s="22" t="n">
        <f aca="false">D58</f>
        <v>93536.97</v>
      </c>
      <c r="E44" s="22" t="n">
        <f aca="false">E58</f>
        <v>104281.92</v>
      </c>
      <c r="F44" s="22" t="n">
        <f aca="false">F58</f>
        <v>86100</v>
      </c>
      <c r="G44" s="22" t="n">
        <f aca="false">G58</f>
        <v>96217.95</v>
      </c>
      <c r="H44" s="22" t="n">
        <f aca="false">H58</f>
        <v>84400</v>
      </c>
      <c r="I44" s="22" t="n">
        <f aca="false">I58</f>
        <v>0</v>
      </c>
      <c r="J44" s="22" t="n">
        <f aca="false">J58</f>
        <v>6607</v>
      </c>
      <c r="K44" s="22" t="n">
        <f aca="false">K58</f>
        <v>3765</v>
      </c>
      <c r="L44" s="22" t="n">
        <f aca="false">L58</f>
        <v>0</v>
      </c>
      <c r="M44" s="22" t="n">
        <f aca="false">M58</f>
        <v>94772</v>
      </c>
      <c r="N44" s="22" t="n">
        <f aca="false">N58</f>
        <v>22387.12</v>
      </c>
      <c r="O44" s="23" t="n">
        <f aca="false">N44/$M44</f>
        <v>0.236220824716161</v>
      </c>
      <c r="P44" s="22" t="n">
        <f aca="false">P58</f>
        <v>48137.87</v>
      </c>
      <c r="Q44" s="23" t="n">
        <f aca="false">P44/$M44</f>
        <v>0.507933461359895</v>
      </c>
      <c r="R44" s="22" t="n">
        <f aca="false">R58</f>
        <v>64568.53</v>
      </c>
      <c r="S44" s="23" t="n">
        <f aca="false">R44/$M44</f>
        <v>0.681303866120795</v>
      </c>
      <c r="T44" s="22" t="n">
        <f aca="false">T58</f>
        <v>103109.31</v>
      </c>
      <c r="U44" s="23" t="n">
        <f aca="false">T44/$M44</f>
        <v>1.08797229139408</v>
      </c>
      <c r="V44" s="22" t="n">
        <f aca="false">V58</f>
        <v>78400</v>
      </c>
      <c r="W44" s="22" t="n">
        <f aca="false">W58</f>
        <v>78400</v>
      </c>
    </row>
    <row r="45" customFormat="false" ht="12.8" hidden="false" customHeight="false" outlineLevel="0" collapsed="false">
      <c r="A45" s="20"/>
      <c r="B45" s="21" t="n">
        <v>72</v>
      </c>
      <c r="C45" s="21" t="s">
        <v>25</v>
      </c>
      <c r="D45" s="22" t="n">
        <f aca="false">D61</f>
        <v>0</v>
      </c>
      <c r="E45" s="22" t="n">
        <f aca="false">E61</f>
        <v>0</v>
      </c>
      <c r="F45" s="22" t="n">
        <f aca="false">F61</f>
        <v>0</v>
      </c>
      <c r="G45" s="22" t="n">
        <f aca="false">G61</f>
        <v>0</v>
      </c>
      <c r="H45" s="22" t="n">
        <f aca="false">H61</f>
        <v>48370</v>
      </c>
      <c r="I45" s="22" t="n">
        <f aca="false">I61</f>
        <v>0</v>
      </c>
      <c r="J45" s="22" t="n">
        <f aca="false">J61</f>
        <v>1892</v>
      </c>
      <c r="K45" s="22" t="n">
        <f aca="false">K61</f>
        <v>0</v>
      </c>
      <c r="L45" s="22" t="n">
        <f aca="false">L61</f>
        <v>0</v>
      </c>
      <c r="M45" s="22" t="n">
        <f aca="false">M61</f>
        <v>50262</v>
      </c>
      <c r="N45" s="22" t="n">
        <f aca="false">N61</f>
        <v>14263.17</v>
      </c>
      <c r="O45" s="23" t="n">
        <f aca="false">N45/$M45</f>
        <v>0.283776411603199</v>
      </c>
      <c r="P45" s="22" t="n">
        <f aca="false">P61</f>
        <v>29687.45</v>
      </c>
      <c r="Q45" s="23" t="n">
        <f aca="false">P45/$M45</f>
        <v>0.590653973180534</v>
      </c>
      <c r="R45" s="22" t="n">
        <f aca="false">R61</f>
        <v>33063.48</v>
      </c>
      <c r="S45" s="23" t="n">
        <f aca="false">R45/$M45</f>
        <v>0.657822609526083</v>
      </c>
      <c r="T45" s="22" t="n">
        <f aca="false">T61</f>
        <v>51128.59</v>
      </c>
      <c r="U45" s="23" t="n">
        <f aca="false">T45/$M45</f>
        <v>1.01724145477697</v>
      </c>
      <c r="V45" s="22" t="n">
        <f aca="false">V61</f>
        <v>48370</v>
      </c>
      <c r="W45" s="22" t="n">
        <f aca="false">W61</f>
        <v>48370</v>
      </c>
    </row>
    <row r="46" customFormat="false" ht="12.8" hidden="false" customHeight="false" outlineLevel="0" collapsed="false">
      <c r="A46" s="16"/>
      <c r="B46" s="17"/>
      <c r="C46" s="24" t="s">
        <v>30</v>
      </c>
      <c r="D46" s="25" t="n">
        <f aca="false">SUM(D44:D45)</f>
        <v>93536.97</v>
      </c>
      <c r="E46" s="25" t="n">
        <f aca="false">SUM(E44:E45)</f>
        <v>104281.92</v>
      </c>
      <c r="F46" s="25" t="n">
        <f aca="false">SUM(F44:F45)</f>
        <v>86100</v>
      </c>
      <c r="G46" s="25" t="n">
        <f aca="false">SUM(G44:G45)</f>
        <v>96217.95</v>
      </c>
      <c r="H46" s="25" t="n">
        <f aca="false">SUM(H43:H45)</f>
        <v>132770</v>
      </c>
      <c r="I46" s="25" t="n">
        <f aca="false">SUM(I44:I45)</f>
        <v>0</v>
      </c>
      <c r="J46" s="25" t="n">
        <f aca="false">SUM(J44:J45)</f>
        <v>8499</v>
      </c>
      <c r="K46" s="25" t="n">
        <f aca="false">SUM(K44:K45)</f>
        <v>3765</v>
      </c>
      <c r="L46" s="25" t="n">
        <f aca="false">SUM(L44:L45)</f>
        <v>0</v>
      </c>
      <c r="M46" s="25" t="n">
        <f aca="false">SUM(M43:M45)</f>
        <v>145051</v>
      </c>
      <c r="N46" s="25" t="n">
        <f aca="false">SUM(N43:N45)</f>
        <v>36666.6</v>
      </c>
      <c r="O46" s="26" t="n">
        <f aca="false">N46/$M46</f>
        <v>0.252784193145859</v>
      </c>
      <c r="P46" s="25" t="n">
        <f aca="false">SUM(P43:P45)</f>
        <v>77841.63</v>
      </c>
      <c r="Q46" s="26" t="n">
        <f aca="false">P46/$M46</f>
        <v>0.536650074801277</v>
      </c>
      <c r="R46" s="25" t="n">
        <f aca="false">SUM(R43:R45)</f>
        <v>98206.65</v>
      </c>
      <c r="S46" s="26" t="n">
        <f aca="false">R46/$M46</f>
        <v>0.677049106865861</v>
      </c>
      <c r="T46" s="25" t="n">
        <f aca="false">SUM(T43:T45)</f>
        <v>154812.54</v>
      </c>
      <c r="U46" s="26" t="n">
        <f aca="false">T46/$M46</f>
        <v>1.06729729543402</v>
      </c>
      <c r="V46" s="25" t="n">
        <f aca="false">SUM(V44:V45)</f>
        <v>126770</v>
      </c>
      <c r="W46" s="25" t="n">
        <f aca="false">SUM(W44:W45)</f>
        <v>126770</v>
      </c>
    </row>
    <row r="48" customFormat="false" ht="12.8" hidden="false" customHeight="false" outlineLevel="0" collapsed="false">
      <c r="A48" s="27" t="s">
        <v>48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8"/>
      <c r="P48" s="27"/>
      <c r="Q48" s="28"/>
      <c r="R48" s="27"/>
      <c r="S48" s="28"/>
      <c r="T48" s="27"/>
      <c r="U48" s="28"/>
      <c r="V48" s="27"/>
      <c r="W48" s="27"/>
    </row>
    <row r="49" customFormat="false" ht="12.8" hidden="false" customHeight="false" outlineLevel="0" collapsed="false">
      <c r="A49" s="7" t="s">
        <v>33</v>
      </c>
      <c r="B49" s="7" t="s">
        <v>34</v>
      </c>
      <c r="C49" s="7" t="s">
        <v>35</v>
      </c>
      <c r="D49" s="7" t="s">
        <v>1</v>
      </c>
      <c r="E49" s="7" t="s">
        <v>2</v>
      </c>
      <c r="F49" s="7" t="s">
        <v>3</v>
      </c>
      <c r="G49" s="7" t="s">
        <v>4</v>
      </c>
      <c r="H49" s="7" t="s">
        <v>5</v>
      </c>
      <c r="I49" s="7" t="s">
        <v>6</v>
      </c>
      <c r="J49" s="7" t="s">
        <v>7</v>
      </c>
      <c r="K49" s="7" t="s">
        <v>8</v>
      </c>
      <c r="L49" s="7" t="s">
        <v>9</v>
      </c>
      <c r="M49" s="7" t="s">
        <v>10</v>
      </c>
      <c r="N49" s="7" t="s">
        <v>11</v>
      </c>
      <c r="O49" s="8" t="s">
        <v>12</v>
      </c>
      <c r="P49" s="7" t="s">
        <v>13</v>
      </c>
      <c r="Q49" s="8" t="s">
        <v>14</v>
      </c>
      <c r="R49" s="7" t="s">
        <v>15</v>
      </c>
      <c r="S49" s="8" t="s">
        <v>16</v>
      </c>
      <c r="T49" s="7" t="s">
        <v>17</v>
      </c>
      <c r="U49" s="8" t="s">
        <v>18</v>
      </c>
      <c r="V49" s="7" t="s">
        <v>19</v>
      </c>
      <c r="W49" s="7" t="s">
        <v>20</v>
      </c>
    </row>
    <row r="50" customFormat="false" ht="12.8" hidden="false" customHeight="false" outlineLevel="0" collapsed="false">
      <c r="A50" s="29" t="s">
        <v>49</v>
      </c>
      <c r="B50" s="10" t="n">
        <v>290</v>
      </c>
      <c r="C50" s="10" t="s">
        <v>50</v>
      </c>
      <c r="D50" s="11" t="n">
        <v>0</v>
      </c>
      <c r="E50" s="11" t="n">
        <v>0</v>
      </c>
      <c r="F50" s="11" t="n">
        <v>0</v>
      </c>
      <c r="G50" s="11" t="n">
        <v>0</v>
      </c>
      <c r="H50" s="11" t="n">
        <v>0</v>
      </c>
      <c r="I50" s="11"/>
      <c r="J50" s="11" t="n">
        <v>17</v>
      </c>
      <c r="K50" s="11"/>
      <c r="L50" s="11"/>
      <c r="M50" s="11" t="n">
        <f aca="false">H50+SUM(I50:L50)</f>
        <v>17</v>
      </c>
      <c r="N50" s="11" t="n">
        <v>16.31</v>
      </c>
      <c r="O50" s="12" t="n">
        <f aca="false">N50/$M50</f>
        <v>0.959411764705882</v>
      </c>
      <c r="P50" s="11" t="n">
        <v>16.31</v>
      </c>
      <c r="Q50" s="12" t="n">
        <f aca="false">P50/$M50</f>
        <v>0.959411764705882</v>
      </c>
      <c r="R50" s="11" t="n">
        <v>574.64</v>
      </c>
      <c r="S50" s="12" t="n">
        <f aca="false">R50/$M50</f>
        <v>33.8023529411765</v>
      </c>
      <c r="T50" s="11" t="n">
        <v>574.64</v>
      </c>
      <c r="U50" s="12" t="n">
        <f aca="false">T50/$M50</f>
        <v>33.8023529411765</v>
      </c>
      <c r="V50" s="11" t="n">
        <f aca="false">3770-V110</f>
        <v>3770</v>
      </c>
      <c r="W50" s="11" t="n">
        <f aca="false">3770-W110</f>
        <v>3770</v>
      </c>
    </row>
    <row r="51" customFormat="false" ht="12.8" hidden="false" customHeight="false" outlineLevel="0" collapsed="false">
      <c r="A51" s="31" t="s">
        <v>21</v>
      </c>
      <c r="B51" s="32" t="n">
        <v>111</v>
      </c>
      <c r="C51" s="32" t="s">
        <v>47</v>
      </c>
      <c r="D51" s="33" t="n">
        <v>0</v>
      </c>
      <c r="E51" s="33" t="n">
        <v>0</v>
      </c>
      <c r="F51" s="33" t="n">
        <v>0</v>
      </c>
      <c r="G51" s="33" t="n">
        <v>0</v>
      </c>
      <c r="H51" s="33" t="n">
        <f aca="false">SUM(H50:H50)</f>
        <v>0</v>
      </c>
      <c r="I51" s="33" t="n">
        <f aca="false">SUM(I50:I50)</f>
        <v>0</v>
      </c>
      <c r="J51" s="33" t="n">
        <f aca="false">SUM(J50:J50)</f>
        <v>17</v>
      </c>
      <c r="K51" s="33" t="n">
        <f aca="false">SUM(K50:K50)</f>
        <v>0</v>
      </c>
      <c r="L51" s="33" t="n">
        <f aca="false">SUM(L50:L50)</f>
        <v>0</v>
      </c>
      <c r="M51" s="33" t="n">
        <f aca="false">SUM(M50:M50)</f>
        <v>17</v>
      </c>
      <c r="N51" s="33" t="n">
        <f aca="false">SUM(N50:N50)</f>
        <v>16.31</v>
      </c>
      <c r="O51" s="34" t="n">
        <f aca="false">N51/$M51</f>
        <v>0.959411764705882</v>
      </c>
      <c r="P51" s="33" t="n">
        <f aca="false">SUM(P50:P50)</f>
        <v>16.31</v>
      </c>
      <c r="Q51" s="34" t="n">
        <f aca="false">P51/$M51</f>
        <v>0.959411764705882</v>
      </c>
      <c r="R51" s="33" t="n">
        <f aca="false">SUM(R50:R50)</f>
        <v>574.64</v>
      </c>
      <c r="S51" s="34" t="n">
        <f aca="false">R51/$M51</f>
        <v>33.8023529411765</v>
      </c>
      <c r="T51" s="33" t="n">
        <f aca="false">SUM(T50:T50)</f>
        <v>574.64</v>
      </c>
      <c r="U51" s="34" t="n">
        <f aca="false">T51/$M51</f>
        <v>33.8023529411765</v>
      </c>
      <c r="V51" s="33" t="n">
        <f aca="false">H51</f>
        <v>0</v>
      </c>
      <c r="W51" s="33" t="n">
        <f aca="false">V51</f>
        <v>0</v>
      </c>
      <c r="X51" s="35"/>
    </row>
    <row r="52" customFormat="false" ht="12.8" hidden="false" customHeight="false" outlineLevel="0" collapsed="false">
      <c r="A52" s="36" t="s">
        <v>49</v>
      </c>
      <c r="B52" s="10" t="n">
        <v>210</v>
      </c>
      <c r="C52" s="10" t="s">
        <v>51</v>
      </c>
      <c r="D52" s="11" t="n">
        <v>9992.05</v>
      </c>
      <c r="E52" s="11" t="n">
        <v>6940.41</v>
      </c>
      <c r="F52" s="11" t="n">
        <v>6900</v>
      </c>
      <c r="G52" s="11" t="n">
        <v>6450.89</v>
      </c>
      <c r="H52" s="11" t="n">
        <v>6500</v>
      </c>
      <c r="I52" s="11"/>
      <c r="J52" s="11" t="n">
        <v>296</v>
      </c>
      <c r="K52" s="11"/>
      <c r="L52" s="11"/>
      <c r="M52" s="11" t="n">
        <f aca="false">H52+SUM(I52:L52)</f>
        <v>6796</v>
      </c>
      <c r="N52" s="11" t="n">
        <v>1911.01</v>
      </c>
      <c r="O52" s="12" t="n">
        <f aca="false">N52/$M52</f>
        <v>0.281196291936433</v>
      </c>
      <c r="P52" s="11" t="n">
        <v>2666.27</v>
      </c>
      <c r="Q52" s="12" t="n">
        <f aca="false">P52/$M52</f>
        <v>0.392329311359623</v>
      </c>
      <c r="R52" s="11" t="n">
        <v>3408.86</v>
      </c>
      <c r="S52" s="12" t="n">
        <f aca="false">R52/$M52</f>
        <v>0.501597998822837</v>
      </c>
      <c r="T52" s="11" t="n">
        <v>4424.67</v>
      </c>
      <c r="U52" s="12" t="n">
        <f aca="false">T52/$M52</f>
        <v>0.651069746909947</v>
      </c>
      <c r="V52" s="11" t="n">
        <f aca="false">H52</f>
        <v>6500</v>
      </c>
      <c r="W52" s="11" t="n">
        <f aca="false">V52</f>
        <v>6500</v>
      </c>
    </row>
    <row r="53" customFormat="false" ht="12.8" hidden="false" customHeight="false" outlineLevel="0" collapsed="false">
      <c r="A53" s="36"/>
      <c r="B53" s="10" t="n">
        <v>220</v>
      </c>
      <c r="C53" s="10" t="s">
        <v>52</v>
      </c>
      <c r="D53" s="11" t="n">
        <v>63741.24</v>
      </c>
      <c r="E53" s="11" t="n">
        <v>65784.01</v>
      </c>
      <c r="F53" s="11" t="n">
        <v>64500</v>
      </c>
      <c r="G53" s="11" t="n">
        <v>61587.09</v>
      </c>
      <c r="H53" s="11" t="n">
        <v>68000</v>
      </c>
      <c r="I53" s="11"/>
      <c r="J53" s="11" t="n">
        <f aca="false">3483+337</f>
        <v>3820</v>
      </c>
      <c r="K53" s="11" t="n">
        <v>2752</v>
      </c>
      <c r="L53" s="11"/>
      <c r="M53" s="11" t="n">
        <f aca="false">H53+SUM(I53:L53)</f>
        <v>74572</v>
      </c>
      <c r="N53" s="11" t="n">
        <v>16190.23</v>
      </c>
      <c r="O53" s="12" t="n">
        <f aca="false">N53/$M53</f>
        <v>0.217108700316473</v>
      </c>
      <c r="P53" s="11" t="n">
        <v>39191.27</v>
      </c>
      <c r="Q53" s="12" t="n">
        <f aca="false">P53/$M53</f>
        <v>0.525549401920292</v>
      </c>
      <c r="R53" s="11" t="n">
        <v>51692.59</v>
      </c>
      <c r="S53" s="12" t="n">
        <f aca="false">R53/$M53</f>
        <v>0.693190339537628</v>
      </c>
      <c r="T53" s="11" t="n">
        <v>83794.12</v>
      </c>
      <c r="U53" s="12" t="n">
        <f aca="false">T53/$M53</f>
        <v>1.12366732821971</v>
      </c>
      <c r="V53" s="11" t="n">
        <f aca="false">H53-6000</f>
        <v>62000</v>
      </c>
      <c r="W53" s="11" t="n">
        <f aca="false">V53</f>
        <v>62000</v>
      </c>
    </row>
    <row r="54" customFormat="false" ht="12.8" hidden="false" customHeight="false" outlineLevel="0" collapsed="false">
      <c r="A54" s="36"/>
      <c r="B54" s="10" t="n">
        <v>230</v>
      </c>
      <c r="C54" s="10" t="s">
        <v>53</v>
      </c>
      <c r="D54" s="11" t="n">
        <v>280</v>
      </c>
      <c r="E54" s="11" t="n">
        <v>0</v>
      </c>
      <c r="F54" s="11" t="n">
        <v>0</v>
      </c>
      <c r="G54" s="11"/>
      <c r="H54" s="11" t="n">
        <v>0</v>
      </c>
      <c r="I54" s="11"/>
      <c r="J54" s="11"/>
      <c r="K54" s="11"/>
      <c r="L54" s="11"/>
      <c r="M54" s="11" t="n">
        <f aca="false">H54+SUM(I54:L54)</f>
        <v>0</v>
      </c>
      <c r="N54" s="11" t="n">
        <v>0</v>
      </c>
      <c r="O54" s="12" t="e">
        <f aca="false">N54/$M54</f>
        <v>#DIV/0!</v>
      </c>
      <c r="P54" s="11" t="n">
        <v>0</v>
      </c>
      <c r="Q54" s="12" t="e">
        <f aca="false">P54/$M54</f>
        <v>#DIV/0!</v>
      </c>
      <c r="R54" s="11" t="n">
        <v>0</v>
      </c>
      <c r="S54" s="12" t="e">
        <f aca="false">R54/$M54</f>
        <v>#DIV/0!</v>
      </c>
      <c r="T54" s="11" t="n">
        <v>0</v>
      </c>
      <c r="U54" s="12" t="e">
        <f aca="false">T54/$M54</f>
        <v>#DIV/0!</v>
      </c>
      <c r="V54" s="11" t="n">
        <f aca="false">H54</f>
        <v>0</v>
      </c>
      <c r="W54" s="11" t="n">
        <f aca="false">V54</f>
        <v>0</v>
      </c>
    </row>
    <row r="55" customFormat="false" ht="12.8" hidden="false" customHeight="false" outlineLevel="0" collapsed="false">
      <c r="A55" s="36"/>
      <c r="B55" s="10" t="n">
        <v>240</v>
      </c>
      <c r="C55" s="10" t="s">
        <v>54</v>
      </c>
      <c r="D55" s="11" t="n">
        <v>20.59</v>
      </c>
      <c r="E55" s="11" t="n">
        <v>701.63</v>
      </c>
      <c r="F55" s="11" t="n">
        <v>150</v>
      </c>
      <c r="G55" s="11" t="n">
        <v>1084.76</v>
      </c>
      <c r="H55" s="11" t="n">
        <v>1100</v>
      </c>
      <c r="I55" s="11"/>
      <c r="J55" s="11"/>
      <c r="K55" s="11"/>
      <c r="L55" s="11"/>
      <c r="M55" s="11" t="n">
        <f aca="false">H55+SUM(I55:L55)</f>
        <v>1100</v>
      </c>
      <c r="N55" s="11" t="n">
        <v>307.38</v>
      </c>
      <c r="O55" s="12" t="n">
        <f aca="false">N55/$M55</f>
        <v>0.279436363636364</v>
      </c>
      <c r="P55" s="11" t="n">
        <v>649.87</v>
      </c>
      <c r="Q55" s="12" t="n">
        <f aca="false">P55/$M55</f>
        <v>0.590790909090909</v>
      </c>
      <c r="R55" s="11" t="n">
        <v>917.54</v>
      </c>
      <c r="S55" s="12" t="n">
        <f aca="false">R55/$M55</f>
        <v>0.834127272727273</v>
      </c>
      <c r="T55" s="11" t="n">
        <v>1088.77</v>
      </c>
      <c r="U55" s="12" t="n">
        <f aca="false">T55/$M55</f>
        <v>0.989790909090909</v>
      </c>
      <c r="V55" s="11" t="n">
        <f aca="false">H55</f>
        <v>1100</v>
      </c>
      <c r="W55" s="11" t="n">
        <f aca="false">V55</f>
        <v>1100</v>
      </c>
    </row>
    <row r="56" customFormat="false" ht="12.8" hidden="false" customHeight="false" outlineLevel="0" collapsed="false">
      <c r="A56" s="36"/>
      <c r="B56" s="10" t="n">
        <v>290</v>
      </c>
      <c r="C56" s="10" t="s">
        <v>50</v>
      </c>
      <c r="D56" s="11" t="n">
        <v>11064.09</v>
      </c>
      <c r="E56" s="11" t="n">
        <v>19155.16</v>
      </c>
      <c r="F56" s="11" t="n">
        <v>8600</v>
      </c>
      <c r="G56" s="11" t="n">
        <v>17507.57</v>
      </c>
      <c r="H56" s="11" t="n">
        <v>8800</v>
      </c>
      <c r="I56" s="11"/>
      <c r="J56" s="11" t="n">
        <f aca="false">2337+147</f>
        <v>2484</v>
      </c>
      <c r="K56" s="11" t="n">
        <v>1013</v>
      </c>
      <c r="L56" s="11"/>
      <c r="M56" s="11" t="n">
        <f aca="false">H56+SUM(I56:L56)</f>
        <v>12297</v>
      </c>
      <c r="N56" s="11" t="n">
        <v>3967.31</v>
      </c>
      <c r="O56" s="12" t="n">
        <f aca="false">N56/$M56</f>
        <v>0.32262421728877</v>
      </c>
      <c r="P56" s="11" t="n">
        <v>5603.27</v>
      </c>
      <c r="Q56" s="12" t="n">
        <f aca="false">P56/$M56</f>
        <v>0.455661543465886</v>
      </c>
      <c r="R56" s="11" t="n">
        <v>8522.35</v>
      </c>
      <c r="S56" s="12" t="n">
        <f aca="false">R56/$M56</f>
        <v>0.693043018622428</v>
      </c>
      <c r="T56" s="11" t="n">
        <v>13774.56</v>
      </c>
      <c r="U56" s="12" t="n">
        <f aca="false">T56/$M56</f>
        <v>1.12015613564284</v>
      </c>
      <c r="V56" s="11" t="n">
        <f aca="false">H56</f>
        <v>8800</v>
      </c>
      <c r="W56" s="11" t="n">
        <f aca="false">V56</f>
        <v>8800</v>
      </c>
    </row>
    <row r="57" customFormat="false" ht="12.8" hidden="false" customHeight="false" outlineLevel="0" collapsed="false">
      <c r="A57" s="36"/>
      <c r="B57" s="10" t="s">
        <v>55</v>
      </c>
      <c r="C57" s="10" t="s">
        <v>56</v>
      </c>
      <c r="D57" s="11" t="n">
        <v>8439</v>
      </c>
      <c r="E57" s="37" t="n">
        <v>11700.71</v>
      </c>
      <c r="F57" s="37" t="n">
        <v>5950</v>
      </c>
      <c r="G57" s="37" t="n">
        <v>9587.64</v>
      </c>
      <c r="H57" s="37" t="n">
        <v>0</v>
      </c>
      <c r="I57" s="37"/>
      <c r="J57" s="37" t="n">
        <v>7</v>
      </c>
      <c r="K57" s="37"/>
      <c r="L57" s="37"/>
      <c r="M57" s="37" t="n">
        <f aca="false">H57+SUM(I57:L57)</f>
        <v>7</v>
      </c>
      <c r="N57" s="37" t="n">
        <f aca="false">6.81+4.38</f>
        <v>11.19</v>
      </c>
      <c r="O57" s="38" t="n">
        <f aca="false">N57/$M57</f>
        <v>1.59857142857143</v>
      </c>
      <c r="P57" s="37" t="n">
        <f aca="false">22.81+4.38</f>
        <v>27.19</v>
      </c>
      <c r="Q57" s="38" t="n">
        <f aca="false">P57/$M57</f>
        <v>3.88428571428571</v>
      </c>
      <c r="R57" s="37" t="n">
        <f aca="false">22.81+4.38</f>
        <v>27.19</v>
      </c>
      <c r="S57" s="38" t="n">
        <f aca="false">R57/$M57</f>
        <v>3.88428571428571</v>
      </c>
      <c r="T57" s="37" t="n">
        <f aca="false">22.81+4.38</f>
        <v>27.19</v>
      </c>
      <c r="U57" s="38" t="n">
        <f aca="false">T57/$M57</f>
        <v>3.88428571428571</v>
      </c>
      <c r="V57" s="11" t="n">
        <f aca="false">H57</f>
        <v>0</v>
      </c>
      <c r="W57" s="11" t="n">
        <f aca="false">V57</f>
        <v>0</v>
      </c>
    </row>
    <row r="58" customFormat="false" ht="12.8" hidden="false" customHeight="false" outlineLevel="0" collapsed="false">
      <c r="A58" s="32" t="s">
        <v>21</v>
      </c>
      <c r="B58" s="32" t="n">
        <v>41</v>
      </c>
      <c r="C58" s="32" t="s">
        <v>23</v>
      </c>
      <c r="D58" s="33" t="n">
        <f aca="false">SUM(D52:D57)</f>
        <v>93536.97</v>
      </c>
      <c r="E58" s="33" t="n">
        <f aca="false">SUM(E52:E57)</f>
        <v>104281.92</v>
      </c>
      <c r="F58" s="33" t="n">
        <f aca="false">SUM(F52:F57)</f>
        <v>86100</v>
      </c>
      <c r="G58" s="33" t="n">
        <f aca="false">SUM(G52:G57)</f>
        <v>96217.95</v>
      </c>
      <c r="H58" s="33" t="n">
        <f aca="false">SUM(H52:H57)</f>
        <v>84400</v>
      </c>
      <c r="I58" s="33" t="n">
        <f aca="false">SUM(I52:I57)</f>
        <v>0</v>
      </c>
      <c r="J58" s="33" t="n">
        <f aca="false">SUM(J52:J57)</f>
        <v>6607</v>
      </c>
      <c r="K58" s="33" t="n">
        <f aca="false">SUM(K52:K57)</f>
        <v>3765</v>
      </c>
      <c r="L58" s="33" t="n">
        <f aca="false">SUM(L52:L57)</f>
        <v>0</v>
      </c>
      <c r="M58" s="33" t="n">
        <f aca="false">SUM(M52:M57)</f>
        <v>94772</v>
      </c>
      <c r="N58" s="33" t="n">
        <f aca="false">SUM(N52:N57)</f>
        <v>22387.12</v>
      </c>
      <c r="O58" s="34" t="n">
        <f aca="false">N58/$M58</f>
        <v>0.236220824716161</v>
      </c>
      <c r="P58" s="33" t="n">
        <f aca="false">SUM(P52:P57)</f>
        <v>48137.87</v>
      </c>
      <c r="Q58" s="34" t="n">
        <f aca="false">P58/$M58</f>
        <v>0.507933461359895</v>
      </c>
      <c r="R58" s="33" t="n">
        <f aca="false">SUM(R52:R57)</f>
        <v>64568.53</v>
      </c>
      <c r="S58" s="34" t="n">
        <f aca="false">R58/$M58</f>
        <v>0.681303866120795</v>
      </c>
      <c r="T58" s="33" t="n">
        <f aca="false">SUM(T52:T57)</f>
        <v>103109.31</v>
      </c>
      <c r="U58" s="34" t="n">
        <f aca="false">T58/$M58</f>
        <v>1.08797229139408</v>
      </c>
      <c r="V58" s="33" t="n">
        <f aca="false">SUM(V52:V57)</f>
        <v>78400</v>
      </c>
      <c r="W58" s="33" t="n">
        <f aca="false">SUM(W52:W57)</f>
        <v>78400</v>
      </c>
      <c r="X58" s="35"/>
    </row>
    <row r="59" customFormat="false" ht="12.8" hidden="false" customHeight="false" outlineLevel="0" collapsed="false">
      <c r="A59" s="29" t="s">
        <v>49</v>
      </c>
      <c r="B59" s="10" t="n">
        <v>290</v>
      </c>
      <c r="C59" s="10" t="s">
        <v>50</v>
      </c>
      <c r="D59" s="11" t="n">
        <v>0</v>
      </c>
      <c r="E59" s="11" t="n">
        <v>0</v>
      </c>
      <c r="F59" s="11" t="n">
        <v>0</v>
      </c>
      <c r="G59" s="11" t="n">
        <v>0</v>
      </c>
      <c r="H59" s="11" t="n">
        <f aca="false">3770-H119</f>
        <v>2870</v>
      </c>
      <c r="I59" s="11"/>
      <c r="J59" s="11"/>
      <c r="K59" s="11"/>
      <c r="L59" s="11"/>
      <c r="M59" s="11" t="n">
        <f aca="false">H59+SUM(I59:L59)</f>
        <v>2870</v>
      </c>
      <c r="N59" s="11" t="n">
        <v>728.53</v>
      </c>
      <c r="O59" s="12" t="n">
        <f aca="false">N59/$M59</f>
        <v>0.253843205574913</v>
      </c>
      <c r="P59" s="11" t="n">
        <v>1569.05</v>
      </c>
      <c r="Q59" s="12" t="n">
        <f aca="false">P59/$M59</f>
        <v>0.546707317073171</v>
      </c>
      <c r="R59" s="11" t="n">
        <v>2299.93</v>
      </c>
      <c r="S59" s="12" t="n">
        <f aca="false">R59/$M59</f>
        <v>0.801369337979094</v>
      </c>
      <c r="T59" s="11" t="n">
        <v>3348.12</v>
      </c>
      <c r="U59" s="12" t="n">
        <f aca="false">T59/$M59</f>
        <v>1.16659233449477</v>
      </c>
      <c r="V59" s="11" t="n">
        <f aca="false">3770-V119</f>
        <v>2870</v>
      </c>
      <c r="W59" s="11" t="n">
        <f aca="false">3770-W119</f>
        <v>2870</v>
      </c>
    </row>
    <row r="60" customFormat="false" ht="12.8" hidden="false" customHeight="false" outlineLevel="0" collapsed="false">
      <c r="A60" s="29"/>
      <c r="B60" s="10" t="s">
        <v>55</v>
      </c>
      <c r="C60" s="10" t="s">
        <v>56</v>
      </c>
      <c r="D60" s="11" t="n">
        <v>0</v>
      </c>
      <c r="E60" s="11" t="n">
        <v>0</v>
      </c>
      <c r="F60" s="11" t="n">
        <v>0</v>
      </c>
      <c r="G60" s="11" t="n">
        <v>0</v>
      </c>
      <c r="H60" s="11" t="n">
        <f aca="false">33500+700+11300</f>
        <v>45500</v>
      </c>
      <c r="I60" s="11"/>
      <c r="J60" s="11" t="n">
        <v>1892</v>
      </c>
      <c r="K60" s="11"/>
      <c r="L60" s="11"/>
      <c r="M60" s="11" t="n">
        <f aca="false">H60+SUM(I60:L60)</f>
        <v>47392</v>
      </c>
      <c r="N60" s="11" t="n">
        <v>13534.64</v>
      </c>
      <c r="O60" s="12" t="n">
        <f aca="false">N60/$M60</f>
        <v>0.285589128966914</v>
      </c>
      <c r="P60" s="11" t="n">
        <v>28118.4</v>
      </c>
      <c r="Q60" s="12" t="n">
        <f aca="false">P60/$M60</f>
        <v>0.593315327481431</v>
      </c>
      <c r="R60" s="11" t="n">
        <v>30763.55</v>
      </c>
      <c r="S60" s="12" t="n">
        <f aca="false">R60/$M60</f>
        <v>0.649129599932478</v>
      </c>
      <c r="T60" s="11" t="n">
        <v>47780.47</v>
      </c>
      <c r="U60" s="12" t="n">
        <f aca="false">T60/$M60</f>
        <v>1.00819695307225</v>
      </c>
      <c r="V60" s="11" t="n">
        <f aca="false">H60</f>
        <v>45500</v>
      </c>
      <c r="W60" s="11" t="n">
        <f aca="false">V60</f>
        <v>45500</v>
      </c>
    </row>
    <row r="61" customFormat="false" ht="12.8" hidden="false" customHeight="false" outlineLevel="0" collapsed="false">
      <c r="A61" s="32" t="s">
        <v>21</v>
      </c>
      <c r="B61" s="32" t="n">
        <v>72</v>
      </c>
      <c r="C61" s="32" t="s">
        <v>25</v>
      </c>
      <c r="D61" s="33" t="n">
        <f aca="false">SUM(D59:D60)</f>
        <v>0</v>
      </c>
      <c r="E61" s="33" t="n">
        <f aca="false">SUM(E59:E60)</f>
        <v>0</v>
      </c>
      <c r="F61" s="33" t="n">
        <f aca="false">SUM(F59:F60)</f>
        <v>0</v>
      </c>
      <c r="G61" s="33" t="n">
        <f aca="false">SUM(G59:G60)</f>
        <v>0</v>
      </c>
      <c r="H61" s="33" t="n">
        <f aca="false">SUM(H59:H60)</f>
        <v>48370</v>
      </c>
      <c r="I61" s="33" t="n">
        <f aca="false">SUM(I59:I60)</f>
        <v>0</v>
      </c>
      <c r="J61" s="33" t="n">
        <f aca="false">SUM(J59:J60)</f>
        <v>1892</v>
      </c>
      <c r="K61" s="33" t="n">
        <f aca="false">SUM(K59:K60)</f>
        <v>0</v>
      </c>
      <c r="L61" s="33" t="n">
        <f aca="false">SUM(L59:L60)</f>
        <v>0</v>
      </c>
      <c r="M61" s="33" t="n">
        <f aca="false">SUM(M59:M60)</f>
        <v>50262</v>
      </c>
      <c r="N61" s="33" t="n">
        <f aca="false">SUM(N59:N60)</f>
        <v>14263.17</v>
      </c>
      <c r="O61" s="34" t="n">
        <f aca="false">N61/$M61</f>
        <v>0.283776411603199</v>
      </c>
      <c r="P61" s="33" t="n">
        <f aca="false">SUM(P59:P60)</f>
        <v>29687.45</v>
      </c>
      <c r="Q61" s="34" t="n">
        <f aca="false">P61/$M61</f>
        <v>0.590653973180534</v>
      </c>
      <c r="R61" s="33" t="n">
        <f aca="false">SUM(R59:R60)</f>
        <v>33063.48</v>
      </c>
      <c r="S61" s="34" t="n">
        <f aca="false">R61/$M61</f>
        <v>0.657822609526083</v>
      </c>
      <c r="T61" s="33" t="n">
        <f aca="false">SUM(T59:T60)</f>
        <v>51128.59</v>
      </c>
      <c r="U61" s="34" t="n">
        <f aca="false">T61/$M61</f>
        <v>1.01724145477697</v>
      </c>
      <c r="V61" s="33" t="n">
        <f aca="false">SUM(V59:V60)</f>
        <v>48370</v>
      </c>
      <c r="W61" s="33" t="n">
        <f aca="false">SUM(W59:W60)</f>
        <v>48370</v>
      </c>
      <c r="X61" s="35"/>
    </row>
    <row r="63" customFormat="false" ht="12.8" hidden="false" customHeight="false" outlineLevel="0" collapsed="false">
      <c r="B63" s="39" t="s">
        <v>57</v>
      </c>
      <c r="C63" s="16" t="s">
        <v>58</v>
      </c>
      <c r="D63" s="40" t="n">
        <v>9629</v>
      </c>
      <c r="E63" s="40" t="n">
        <v>6576.64</v>
      </c>
      <c r="F63" s="40" t="n">
        <v>6300</v>
      </c>
      <c r="G63" s="40" t="n">
        <v>5860.78</v>
      </c>
      <c r="H63" s="40" t="n">
        <v>5900</v>
      </c>
      <c r="I63" s="40"/>
      <c r="J63" s="40"/>
      <c r="K63" s="40"/>
      <c r="L63" s="40"/>
      <c r="M63" s="40" t="n">
        <f aca="false">H63+SUM(I63:L63)</f>
        <v>5900</v>
      </c>
      <c r="N63" s="40" t="n">
        <v>1845</v>
      </c>
      <c r="O63" s="41" t="n">
        <f aca="false">N63/$M63</f>
        <v>0.31271186440678</v>
      </c>
      <c r="P63" s="40" t="n">
        <v>2541</v>
      </c>
      <c r="Q63" s="41" t="n">
        <f aca="false">P63/$M63</f>
        <v>0.430677966101695</v>
      </c>
      <c r="R63" s="40" t="n">
        <v>3209.33</v>
      </c>
      <c r="S63" s="41" t="n">
        <f aca="false">R63/$M63</f>
        <v>0.543954237288136</v>
      </c>
      <c r="T63" s="40" t="n">
        <v>4092.33</v>
      </c>
      <c r="U63" s="42" t="n">
        <f aca="false">T63/$M63</f>
        <v>0.693615254237288</v>
      </c>
      <c r="V63" s="43" t="n">
        <f aca="false">H63</f>
        <v>5900</v>
      </c>
      <c r="W63" s="44" t="n">
        <f aca="false">V63</f>
        <v>5900</v>
      </c>
    </row>
    <row r="64" customFormat="false" ht="12.8" hidden="false" customHeight="false" outlineLevel="0" collapsed="false">
      <c r="B64" s="45"/>
      <c r="C64" s="46" t="s">
        <v>59</v>
      </c>
      <c r="D64" s="47" t="n">
        <v>7544.18</v>
      </c>
      <c r="E64" s="47" t="n">
        <v>8783.3</v>
      </c>
      <c r="F64" s="47" t="n">
        <v>8900</v>
      </c>
      <c r="G64" s="47" t="n">
        <v>7219.5</v>
      </c>
      <c r="H64" s="47" t="n">
        <v>7200</v>
      </c>
      <c r="I64" s="47"/>
      <c r="J64" s="47"/>
      <c r="K64" s="47" t="n">
        <v>200</v>
      </c>
      <c r="L64" s="47"/>
      <c r="M64" s="47" t="n">
        <f aca="false">H64+SUM(I64:L64)</f>
        <v>7400</v>
      </c>
      <c r="N64" s="47" t="n">
        <v>1524.5</v>
      </c>
      <c r="O64" s="2" t="n">
        <f aca="false">N64/$M64</f>
        <v>0.206013513513513</v>
      </c>
      <c r="P64" s="47" t="n">
        <v>4140.5</v>
      </c>
      <c r="Q64" s="2" t="n">
        <f aca="false">P64/$M64</f>
        <v>0.559527027027027</v>
      </c>
      <c r="R64" s="47" t="n">
        <v>6040</v>
      </c>
      <c r="S64" s="2" t="n">
        <f aca="false">R64/$M64</f>
        <v>0.816216216216216</v>
      </c>
      <c r="T64" s="47" t="n">
        <v>7541</v>
      </c>
      <c r="U64" s="48" t="n">
        <f aca="false">T64/$M64</f>
        <v>1.01905405405405</v>
      </c>
      <c r="V64" s="49" t="n">
        <f aca="false">H64</f>
        <v>7200</v>
      </c>
      <c r="W64" s="50" t="n">
        <f aca="false">V64</f>
        <v>7200</v>
      </c>
    </row>
    <row r="65" customFormat="false" ht="12.8" hidden="false" customHeight="false" outlineLevel="0" collapsed="false">
      <c r="B65" s="45"/>
      <c r="C65" s="46" t="s">
        <v>60</v>
      </c>
      <c r="D65" s="47" t="n">
        <v>3200</v>
      </c>
      <c r="E65" s="47" t="n">
        <v>3200</v>
      </c>
      <c r="F65" s="47" t="n">
        <v>3200</v>
      </c>
      <c r="G65" s="47" t="n">
        <v>3212</v>
      </c>
      <c r="H65" s="47" t="n">
        <v>3200</v>
      </c>
      <c r="I65" s="47"/>
      <c r="J65" s="47"/>
      <c r="K65" s="47"/>
      <c r="L65" s="47"/>
      <c r="M65" s="47" t="n">
        <f aca="false">H65+SUM(I65:L65)</f>
        <v>3200</v>
      </c>
      <c r="N65" s="47" t="n">
        <v>0</v>
      </c>
      <c r="O65" s="2" t="n">
        <f aca="false">N65/$M65</f>
        <v>0</v>
      </c>
      <c r="P65" s="47" t="n">
        <v>0</v>
      </c>
      <c r="Q65" s="2" t="n">
        <f aca="false">P65/$M65</f>
        <v>0</v>
      </c>
      <c r="R65" s="47" t="n">
        <v>0</v>
      </c>
      <c r="S65" s="2" t="n">
        <f aca="false">R65/$M65</f>
        <v>0</v>
      </c>
      <c r="T65" s="47" t="n">
        <v>0</v>
      </c>
      <c r="U65" s="48" t="n">
        <f aca="false">T65/$M65</f>
        <v>0</v>
      </c>
      <c r="V65" s="49" t="n">
        <f aca="false">H65</f>
        <v>3200</v>
      </c>
      <c r="W65" s="50" t="n">
        <f aca="false">V65</f>
        <v>3200</v>
      </c>
    </row>
    <row r="66" customFormat="false" ht="12.8" hidden="false" customHeight="false" outlineLevel="0" collapsed="false">
      <c r="B66" s="45"/>
      <c r="C66" s="46" t="s">
        <v>61</v>
      </c>
      <c r="D66" s="47" t="n">
        <v>20772.49</v>
      </c>
      <c r="E66" s="47" t="n">
        <v>17460.64</v>
      </c>
      <c r="F66" s="47" t="n">
        <v>18000</v>
      </c>
      <c r="G66" s="47" t="n">
        <v>21368.48</v>
      </c>
      <c r="H66" s="47" t="n">
        <v>21500</v>
      </c>
      <c r="I66" s="47"/>
      <c r="J66" s="47"/>
      <c r="K66" s="47" t="n">
        <v>500</v>
      </c>
      <c r="L66" s="47"/>
      <c r="M66" s="47" t="n">
        <f aca="false">H66+SUM(I66:L66)</f>
        <v>22000</v>
      </c>
      <c r="N66" s="47" t="n">
        <v>8026.57</v>
      </c>
      <c r="O66" s="2" t="n">
        <f aca="false">N66/$M66</f>
        <v>0.364844090909091</v>
      </c>
      <c r="P66" s="47" t="n">
        <v>12305.95</v>
      </c>
      <c r="Q66" s="2" t="n">
        <f aca="false">P66/$M66</f>
        <v>0.559361363636364</v>
      </c>
      <c r="R66" s="47" t="n">
        <v>15806.63</v>
      </c>
      <c r="S66" s="2" t="n">
        <f aca="false">R66/$M66</f>
        <v>0.718483181818182</v>
      </c>
      <c r="T66" s="47" t="n">
        <v>27465.81</v>
      </c>
      <c r="U66" s="48" t="n">
        <f aca="false">T66/$M66</f>
        <v>1.24844590909091</v>
      </c>
      <c r="V66" s="49" t="n">
        <f aca="false">H66</f>
        <v>21500</v>
      </c>
      <c r="W66" s="50" t="n">
        <f aca="false">V66</f>
        <v>21500</v>
      </c>
    </row>
    <row r="67" customFormat="false" ht="12.8" hidden="false" customHeight="false" outlineLevel="0" collapsed="false">
      <c r="B67" s="45"/>
      <c r="C67" s="46" t="s">
        <v>62</v>
      </c>
      <c r="D67" s="47" t="n">
        <v>1358.39</v>
      </c>
      <c r="E67" s="47" t="n">
        <v>503.8</v>
      </c>
      <c r="F67" s="47" t="n">
        <v>50</v>
      </c>
      <c r="G67" s="47" t="n">
        <v>86.9</v>
      </c>
      <c r="H67" s="47" t="n">
        <v>90</v>
      </c>
      <c r="I67" s="47"/>
      <c r="J67" s="47"/>
      <c r="K67" s="47"/>
      <c r="L67" s="47"/>
      <c r="M67" s="47" t="n">
        <f aca="false">H67+SUM(I67:L67)</f>
        <v>90</v>
      </c>
      <c r="N67" s="47" t="n">
        <v>0</v>
      </c>
      <c r="O67" s="2" t="n">
        <f aca="false">N67/$M67</f>
        <v>0</v>
      </c>
      <c r="P67" s="47" t="n">
        <v>0</v>
      </c>
      <c r="Q67" s="2" t="n">
        <f aca="false">P67/$M67</f>
        <v>0</v>
      </c>
      <c r="R67" s="47" t="n">
        <v>0</v>
      </c>
      <c r="S67" s="2" t="n">
        <f aca="false">R67/$M67</f>
        <v>0</v>
      </c>
      <c r="T67" s="47" t="n">
        <v>0</v>
      </c>
      <c r="U67" s="48" t="n">
        <f aca="false">T67/$M67</f>
        <v>0</v>
      </c>
      <c r="V67" s="49" t="n">
        <f aca="false">H67</f>
        <v>90</v>
      </c>
      <c r="W67" s="50" t="n">
        <f aca="false">V67</f>
        <v>90</v>
      </c>
    </row>
    <row r="68" customFormat="false" ht="12.8" hidden="false" customHeight="false" outlineLevel="0" collapsed="false">
      <c r="B68" s="45"/>
      <c r="C68" s="46" t="s">
        <v>63</v>
      </c>
      <c r="D68" s="47" t="n">
        <v>0</v>
      </c>
      <c r="E68" s="47" t="n">
        <v>1269</v>
      </c>
      <c r="F68" s="47" t="n">
        <v>0</v>
      </c>
      <c r="G68" s="47" t="n">
        <v>480</v>
      </c>
      <c r="H68" s="47" t="n">
        <v>500</v>
      </c>
      <c r="I68" s="47"/>
      <c r="J68" s="47"/>
      <c r="K68" s="47"/>
      <c r="L68" s="47"/>
      <c r="M68" s="47" t="n">
        <f aca="false">H68+SUM(I68:L68)</f>
        <v>500</v>
      </c>
      <c r="N68" s="47" t="n">
        <v>0</v>
      </c>
      <c r="O68" s="2" t="n">
        <f aca="false">N68/$M68</f>
        <v>0</v>
      </c>
      <c r="P68" s="47" t="n">
        <v>0</v>
      </c>
      <c r="Q68" s="2" t="n">
        <f aca="false">P68/$M68</f>
        <v>0</v>
      </c>
      <c r="R68" s="47" t="n">
        <v>0</v>
      </c>
      <c r="S68" s="2" t="n">
        <f aca="false">R68/$M68</f>
        <v>0</v>
      </c>
      <c r="T68" s="47" t="n">
        <v>0</v>
      </c>
      <c r="U68" s="48" t="n">
        <f aca="false">T68/$M68</f>
        <v>0</v>
      </c>
      <c r="V68" s="49" t="n">
        <f aca="false">H68</f>
        <v>500</v>
      </c>
      <c r="W68" s="50" t="n">
        <f aca="false">V68</f>
        <v>500</v>
      </c>
    </row>
    <row r="69" customFormat="false" ht="12.8" hidden="false" customHeight="false" outlineLevel="0" collapsed="false">
      <c r="B69" s="45"/>
      <c r="C69" s="46" t="s">
        <v>64</v>
      </c>
      <c r="D69" s="51" t="n">
        <v>19583.23</v>
      </c>
      <c r="E69" s="51" t="n">
        <v>19749.61</v>
      </c>
      <c r="F69" s="51" t="n">
        <v>18000</v>
      </c>
      <c r="G69" s="51" t="n">
        <v>20131.04</v>
      </c>
      <c r="H69" s="51" t="n">
        <v>20100</v>
      </c>
      <c r="I69" s="51"/>
      <c r="J69" s="51"/>
      <c r="K69" s="51"/>
      <c r="L69" s="51"/>
      <c r="M69" s="51" t="n">
        <f aca="false">H69+SUM(I69:L69)</f>
        <v>20100</v>
      </c>
      <c r="N69" s="51" t="n">
        <v>4425.58</v>
      </c>
      <c r="O69" s="52" t="n">
        <f aca="false">N69/$M69</f>
        <v>0.220178109452736</v>
      </c>
      <c r="P69" s="51" t="n">
        <v>8828.36</v>
      </c>
      <c r="Q69" s="52" t="n">
        <f aca="false">P69/$M69</f>
        <v>0.439221890547264</v>
      </c>
      <c r="R69" s="51" t="n">
        <v>13563.61</v>
      </c>
      <c r="S69" s="52" t="n">
        <f aca="false">R69/$M69</f>
        <v>0.674806467661692</v>
      </c>
      <c r="T69" s="51" t="n">
        <v>18265.32</v>
      </c>
      <c r="U69" s="53" t="n">
        <f aca="false">T69/$M69</f>
        <v>0.908722388059701</v>
      </c>
      <c r="V69" s="49" t="n">
        <f aca="false">H69</f>
        <v>20100</v>
      </c>
      <c r="W69" s="50" t="n">
        <f aca="false">V69</f>
        <v>20100</v>
      </c>
    </row>
    <row r="70" customFormat="false" ht="12.8" hidden="false" customHeight="false" outlineLevel="0" collapsed="false">
      <c r="B70" s="45"/>
      <c r="C70" s="46" t="s">
        <v>65</v>
      </c>
      <c r="D70" s="47" t="n">
        <v>2245.45</v>
      </c>
      <c r="E70" s="51" t="n">
        <v>5280</v>
      </c>
      <c r="F70" s="51" t="n">
        <v>5000</v>
      </c>
      <c r="G70" s="51" t="n">
        <v>0</v>
      </c>
      <c r="H70" s="51" t="n">
        <v>6000</v>
      </c>
      <c r="I70" s="51"/>
      <c r="J70" s="51" t="n">
        <v>2483</v>
      </c>
      <c r="K70" s="51"/>
      <c r="L70" s="51"/>
      <c r="M70" s="51" t="n">
        <f aca="false">H70+SUM(I70:L70)</f>
        <v>8483</v>
      </c>
      <c r="N70" s="51" t="n">
        <v>0</v>
      </c>
      <c r="O70" s="52" t="n">
        <f aca="false">N70/$M70</f>
        <v>0</v>
      </c>
      <c r="P70" s="51" t="n">
        <v>8482.59</v>
      </c>
      <c r="Q70" s="52" t="n">
        <f aca="false">P70/$M70</f>
        <v>0.999951668041966</v>
      </c>
      <c r="R70" s="51" t="n">
        <v>8482.59</v>
      </c>
      <c r="S70" s="52" t="n">
        <f aca="false">R70/$M70</f>
        <v>0.999951668041966</v>
      </c>
      <c r="T70" s="51" t="n">
        <v>19051.03</v>
      </c>
      <c r="U70" s="53" t="n">
        <f aca="false">T70/$M70</f>
        <v>2.24578922550984</v>
      </c>
      <c r="V70" s="49" t="n">
        <v>0</v>
      </c>
      <c r="W70" s="50" t="n">
        <f aca="false">V70</f>
        <v>0</v>
      </c>
    </row>
    <row r="71" customFormat="false" ht="12.8" hidden="false" customHeight="false" outlineLevel="0" collapsed="false">
      <c r="B71" s="45"/>
      <c r="C71" s="46" t="s">
        <v>66</v>
      </c>
      <c r="D71" s="51" t="n">
        <v>2786</v>
      </c>
      <c r="E71" s="51" t="n">
        <v>3339</v>
      </c>
      <c r="F71" s="51" t="n">
        <v>4400</v>
      </c>
      <c r="G71" s="51" t="n">
        <v>3424</v>
      </c>
      <c r="H71" s="51" t="n">
        <v>3500</v>
      </c>
      <c r="I71" s="51"/>
      <c r="J71" s="51"/>
      <c r="K71" s="51"/>
      <c r="L71" s="51"/>
      <c r="M71" s="51" t="n">
        <f aca="false">H71+SUM(I71:L71)</f>
        <v>3500</v>
      </c>
      <c r="N71" s="51" t="n">
        <v>977</v>
      </c>
      <c r="O71" s="52" t="n">
        <f aca="false">N71/$M71</f>
        <v>0.279142857142857</v>
      </c>
      <c r="P71" s="51" t="n">
        <v>2010</v>
      </c>
      <c r="Q71" s="52" t="n">
        <f aca="false">P71/$M71</f>
        <v>0.574285714285714</v>
      </c>
      <c r="R71" s="51" t="n">
        <v>2030</v>
      </c>
      <c r="S71" s="52" t="n">
        <f aca="false">R71/$M71</f>
        <v>0.58</v>
      </c>
      <c r="T71" s="51" t="n">
        <v>3249</v>
      </c>
      <c r="U71" s="53" t="n">
        <f aca="false">T71/$M71</f>
        <v>0.928285714285714</v>
      </c>
      <c r="V71" s="49" t="n">
        <f aca="false">H71</f>
        <v>3500</v>
      </c>
      <c r="W71" s="50" t="n">
        <f aca="false">V71</f>
        <v>3500</v>
      </c>
    </row>
    <row r="72" customFormat="false" ht="12.8" hidden="false" customHeight="false" outlineLevel="0" collapsed="false">
      <c r="B72" s="45"/>
      <c r="C72" s="46" t="s">
        <v>67</v>
      </c>
      <c r="D72" s="51" t="n">
        <v>1624</v>
      </c>
      <c r="E72" s="51" t="n">
        <v>391</v>
      </c>
      <c r="F72" s="51" t="n">
        <v>400</v>
      </c>
      <c r="G72" s="51" t="n">
        <v>927</v>
      </c>
      <c r="H72" s="51" t="n">
        <v>900</v>
      </c>
      <c r="I72" s="51"/>
      <c r="J72" s="51"/>
      <c r="K72" s="51"/>
      <c r="L72" s="51"/>
      <c r="M72" s="51" t="n">
        <f aca="false">H72+SUM(I72:L72)</f>
        <v>900</v>
      </c>
      <c r="N72" s="51" t="n">
        <v>0</v>
      </c>
      <c r="O72" s="52" t="n">
        <f aca="false">N72/$M72</f>
        <v>0</v>
      </c>
      <c r="P72" s="51" t="n">
        <v>0</v>
      </c>
      <c r="Q72" s="52" t="n">
        <f aca="false">P72/$M72</f>
        <v>0</v>
      </c>
      <c r="R72" s="51" t="n">
        <v>206</v>
      </c>
      <c r="S72" s="52" t="n">
        <f aca="false">R72/$M72</f>
        <v>0.228888888888889</v>
      </c>
      <c r="T72" s="51" t="n">
        <v>536</v>
      </c>
      <c r="U72" s="53" t="n">
        <f aca="false">T72/$M72</f>
        <v>0.595555555555556</v>
      </c>
      <c r="V72" s="49" t="n">
        <f aca="false">H72</f>
        <v>900</v>
      </c>
      <c r="W72" s="50" t="n">
        <f aca="false">V72</f>
        <v>900</v>
      </c>
    </row>
    <row r="73" customFormat="false" ht="12.8" hidden="false" customHeight="false" outlineLevel="0" collapsed="false">
      <c r="B73" s="45"/>
      <c r="C73" s="46" t="s">
        <v>68</v>
      </c>
      <c r="D73" s="51" t="n">
        <v>600</v>
      </c>
      <c r="E73" s="51" t="n">
        <v>0</v>
      </c>
      <c r="F73" s="51" t="n">
        <v>660</v>
      </c>
      <c r="G73" s="51" t="n">
        <v>480</v>
      </c>
      <c r="H73" s="51" t="n">
        <v>500</v>
      </c>
      <c r="I73" s="51"/>
      <c r="J73" s="51"/>
      <c r="K73" s="51"/>
      <c r="L73" s="51"/>
      <c r="M73" s="51" t="n">
        <f aca="false">H73+SUM(I73:L73)</f>
        <v>500</v>
      </c>
      <c r="N73" s="51" t="n">
        <v>0</v>
      </c>
      <c r="O73" s="52" t="n">
        <f aca="false">N73/$M73</f>
        <v>0</v>
      </c>
      <c r="P73" s="51" t="n">
        <v>120</v>
      </c>
      <c r="Q73" s="52" t="n">
        <f aca="false">P73/$M73</f>
        <v>0.24</v>
      </c>
      <c r="R73" s="51" t="n">
        <v>240</v>
      </c>
      <c r="S73" s="52" t="n">
        <f aca="false">R73/$M73</f>
        <v>0.48</v>
      </c>
      <c r="T73" s="51" t="n">
        <v>360</v>
      </c>
      <c r="U73" s="53" t="n">
        <f aca="false">T73/$M73</f>
        <v>0.72</v>
      </c>
      <c r="V73" s="49" t="n">
        <f aca="false">H73</f>
        <v>500</v>
      </c>
      <c r="W73" s="50" t="n">
        <f aca="false">V73</f>
        <v>500</v>
      </c>
    </row>
    <row r="74" customFormat="false" ht="12.8" hidden="false" customHeight="false" outlineLevel="0" collapsed="false">
      <c r="B74" s="45"/>
      <c r="C74" s="46" t="s">
        <v>69</v>
      </c>
      <c r="D74" s="47" t="n">
        <v>1997.99</v>
      </c>
      <c r="E74" s="47" t="n">
        <v>5768.62</v>
      </c>
      <c r="F74" s="47" t="n">
        <v>0</v>
      </c>
      <c r="G74" s="47" t="n">
        <v>3518.98</v>
      </c>
      <c r="H74" s="47" t="n">
        <v>0</v>
      </c>
      <c r="I74" s="47"/>
      <c r="J74" s="47" t="n">
        <v>2110</v>
      </c>
      <c r="K74" s="47"/>
      <c r="L74" s="47"/>
      <c r="M74" s="47" t="n">
        <f aca="false">H74+SUM(I74:L74)</f>
        <v>2110</v>
      </c>
      <c r="N74" s="47" t="n">
        <v>2110.32</v>
      </c>
      <c r="O74" s="2" t="n">
        <f aca="false">N74/$M74</f>
        <v>1.00015165876777</v>
      </c>
      <c r="P74" s="47" t="n">
        <v>2110.32</v>
      </c>
      <c r="Q74" s="2" t="n">
        <f aca="false">P74/$M74</f>
        <v>1.00015165876777</v>
      </c>
      <c r="R74" s="47" t="n">
        <v>2110.32</v>
      </c>
      <c r="S74" s="2" t="n">
        <f aca="false">R74/$M74</f>
        <v>1.00015165876777</v>
      </c>
      <c r="T74" s="47" t="n">
        <v>2110.32</v>
      </c>
      <c r="U74" s="48" t="n">
        <f aca="false">T74/$M74</f>
        <v>1.00015165876777</v>
      </c>
      <c r="V74" s="49" t="n">
        <f aca="false">H74</f>
        <v>0</v>
      </c>
      <c r="W74" s="50" t="n">
        <f aca="false">V74</f>
        <v>0</v>
      </c>
    </row>
    <row r="75" customFormat="false" ht="12.8" hidden="false" customHeight="false" outlineLevel="0" collapsed="false">
      <c r="B75" s="54"/>
      <c r="C75" s="55" t="s">
        <v>70</v>
      </c>
      <c r="D75" s="56" t="n">
        <v>8820.15</v>
      </c>
      <c r="E75" s="56" t="n">
        <v>6400.84</v>
      </c>
      <c r="F75" s="56" t="n">
        <v>8600</v>
      </c>
      <c r="G75" s="56" t="n">
        <v>8367.37</v>
      </c>
      <c r="H75" s="56" t="n">
        <v>8600</v>
      </c>
      <c r="I75" s="56"/>
      <c r="J75" s="56"/>
      <c r="K75" s="56"/>
      <c r="L75" s="56"/>
      <c r="M75" s="56" t="n">
        <f aca="false">H75+SUM(I75:L75)</f>
        <v>8600</v>
      </c>
      <c r="N75" s="56" t="n">
        <v>1516</v>
      </c>
      <c r="O75" s="57" t="n">
        <f aca="false">N75/$M75</f>
        <v>0.176279069767442</v>
      </c>
      <c r="P75" s="56" t="n">
        <v>3043</v>
      </c>
      <c r="Q75" s="57" t="n">
        <f aca="false">P75/$M75</f>
        <v>0.353837209302326</v>
      </c>
      <c r="R75" s="56" t="n">
        <v>4739.4</v>
      </c>
      <c r="S75" s="57" t="n">
        <f aca="false">R75/$M75</f>
        <v>0.551093023255814</v>
      </c>
      <c r="T75" s="56" t="n">
        <v>9519.4</v>
      </c>
      <c r="U75" s="58" t="n">
        <f aca="false">T75/$M75</f>
        <v>1.10690697674419</v>
      </c>
      <c r="V75" s="59" t="n">
        <f aca="false">H75</f>
        <v>8600</v>
      </c>
      <c r="W75" s="60" t="n">
        <f aca="false">V75</f>
        <v>8600</v>
      </c>
    </row>
    <row r="77" customFormat="false" ht="12.8" hidden="false" customHeight="false" outlineLevel="0" collapsed="false">
      <c r="A77" s="18" t="s">
        <v>71</v>
      </c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9"/>
      <c r="P77" s="18"/>
      <c r="Q77" s="19"/>
      <c r="R77" s="18"/>
      <c r="S77" s="19"/>
      <c r="T77" s="18"/>
      <c r="U77" s="19"/>
      <c r="V77" s="18"/>
      <c r="W77" s="18"/>
    </row>
    <row r="78" customFormat="false" ht="12.8" hidden="false" customHeight="false" outlineLevel="0" collapsed="false">
      <c r="A78" s="6"/>
      <c r="B78" s="6"/>
      <c r="C78" s="6"/>
      <c r="D78" s="7" t="s">
        <v>1</v>
      </c>
      <c r="E78" s="7" t="s">
        <v>2</v>
      </c>
      <c r="F78" s="7" t="s">
        <v>3</v>
      </c>
      <c r="G78" s="7" t="s">
        <v>4</v>
      </c>
      <c r="H78" s="7" t="s">
        <v>5</v>
      </c>
      <c r="I78" s="7" t="s">
        <v>6</v>
      </c>
      <c r="J78" s="7" t="s">
        <v>7</v>
      </c>
      <c r="K78" s="7" t="s">
        <v>8</v>
      </c>
      <c r="L78" s="7" t="s">
        <v>9</v>
      </c>
      <c r="M78" s="7" t="s">
        <v>10</v>
      </c>
      <c r="N78" s="7" t="s">
        <v>11</v>
      </c>
      <c r="O78" s="8" t="s">
        <v>12</v>
      </c>
      <c r="P78" s="7" t="s">
        <v>13</v>
      </c>
      <c r="Q78" s="8" t="s">
        <v>14</v>
      </c>
      <c r="R78" s="7" t="s">
        <v>15</v>
      </c>
      <c r="S78" s="8" t="s">
        <v>16</v>
      </c>
      <c r="T78" s="7" t="s">
        <v>17</v>
      </c>
      <c r="U78" s="8" t="s">
        <v>18</v>
      </c>
      <c r="V78" s="7" t="s">
        <v>19</v>
      </c>
      <c r="W78" s="7" t="s">
        <v>20</v>
      </c>
    </row>
    <row r="79" customFormat="false" ht="12.8" hidden="false" customHeight="false" outlineLevel="0" collapsed="false">
      <c r="A79" s="20" t="s">
        <v>21</v>
      </c>
      <c r="B79" s="21" t="n">
        <v>111</v>
      </c>
      <c r="C79" s="21" t="s">
        <v>22</v>
      </c>
      <c r="D79" s="22" t="n">
        <f aca="false">D116</f>
        <v>486713.67</v>
      </c>
      <c r="E79" s="61" t="n">
        <f aca="false">E116</f>
        <v>564326.47</v>
      </c>
      <c r="F79" s="61" t="n">
        <f aca="false">F116</f>
        <v>1994042</v>
      </c>
      <c r="G79" s="61" t="n">
        <f aca="false">G116</f>
        <v>611082.49</v>
      </c>
      <c r="H79" s="61" t="n">
        <f aca="false">H116</f>
        <v>2226396</v>
      </c>
      <c r="I79" s="61" t="n">
        <f aca="false">I116</f>
        <v>300</v>
      </c>
      <c r="J79" s="61" t="n">
        <f aca="false">J116</f>
        <v>-2939</v>
      </c>
      <c r="K79" s="61" t="n">
        <f aca="false">K116</f>
        <v>0</v>
      </c>
      <c r="L79" s="61" t="n">
        <f aca="false">L116</f>
        <v>0</v>
      </c>
      <c r="M79" s="61" t="n">
        <f aca="false">M116</f>
        <v>2223757</v>
      </c>
      <c r="N79" s="61" t="n">
        <f aca="false">N116</f>
        <v>142990.28</v>
      </c>
      <c r="O79" s="62" t="n">
        <f aca="false">N79/$M79</f>
        <v>0.0643012163649176</v>
      </c>
      <c r="P79" s="61" t="n">
        <f aca="false">P116</f>
        <v>293918.85</v>
      </c>
      <c r="Q79" s="62" t="n">
        <f aca="false">P79/$M79</f>
        <v>0.132172197771609</v>
      </c>
      <c r="R79" s="61" t="n">
        <f aca="false">R116</f>
        <v>419671.26</v>
      </c>
      <c r="S79" s="62" t="n">
        <f aca="false">R79/$M79</f>
        <v>0.188721726339703</v>
      </c>
      <c r="T79" s="61" t="n">
        <f aca="false">T116</f>
        <v>1081145.62</v>
      </c>
      <c r="U79" s="62" t="n">
        <f aca="false">T79/$M79</f>
        <v>0.486179748956383</v>
      </c>
      <c r="V79" s="61" t="n">
        <f aca="false">V116</f>
        <v>501366</v>
      </c>
      <c r="W79" s="61" t="n">
        <f aca="false">W116</f>
        <v>499866</v>
      </c>
    </row>
    <row r="80" customFormat="false" ht="12.8" hidden="false" customHeight="false" outlineLevel="0" collapsed="false">
      <c r="A80" s="20" t="s">
        <v>21</v>
      </c>
      <c r="B80" s="21" t="n">
        <v>71</v>
      </c>
      <c r="C80" s="21" t="s">
        <v>24</v>
      </c>
      <c r="D80" s="22" t="n">
        <f aca="false">D118</f>
        <v>1317.12</v>
      </c>
      <c r="E80" s="22" t="n">
        <f aca="false">E118</f>
        <v>700</v>
      </c>
      <c r="F80" s="22" t="n">
        <f aca="false">F118</f>
        <v>700</v>
      </c>
      <c r="G80" s="22" t="n">
        <f aca="false">G118</f>
        <v>1400</v>
      </c>
      <c r="H80" s="22" t="n">
        <f aca="false">H118</f>
        <v>1400</v>
      </c>
      <c r="I80" s="22" t="n">
        <f aca="false">I118</f>
        <v>0</v>
      </c>
      <c r="J80" s="22" t="n">
        <f aca="false">J118</f>
        <v>0</v>
      </c>
      <c r="K80" s="22" t="n">
        <f aca="false">K118</f>
        <v>0</v>
      </c>
      <c r="L80" s="22" t="n">
        <f aca="false">L118</f>
        <v>0</v>
      </c>
      <c r="M80" s="22" t="n">
        <f aca="false">M118</f>
        <v>1400</v>
      </c>
      <c r="N80" s="22" t="n">
        <f aca="false">N118</f>
        <v>0</v>
      </c>
      <c r="O80" s="23" t="n">
        <f aca="false">N80/$M80</f>
        <v>0</v>
      </c>
      <c r="P80" s="22" t="n">
        <f aca="false">P118</f>
        <v>1400</v>
      </c>
      <c r="Q80" s="23" t="n">
        <f aca="false">P80/$M80</f>
        <v>1</v>
      </c>
      <c r="R80" s="22" t="n">
        <f aca="false">R118</f>
        <v>1400</v>
      </c>
      <c r="S80" s="23" t="n">
        <f aca="false">R80/$M80</f>
        <v>1</v>
      </c>
      <c r="T80" s="22" t="n">
        <f aca="false">T118</f>
        <v>1400</v>
      </c>
      <c r="U80" s="23" t="n">
        <f aca="false">T80/$M80</f>
        <v>1</v>
      </c>
      <c r="V80" s="22" t="n">
        <f aca="false">V118</f>
        <v>1400</v>
      </c>
      <c r="W80" s="22" t="n">
        <f aca="false">W118</f>
        <v>1400</v>
      </c>
    </row>
    <row r="81" customFormat="false" ht="12.8" hidden="false" customHeight="false" outlineLevel="0" collapsed="false">
      <c r="A81" s="20" t="s">
        <v>21</v>
      </c>
      <c r="B81" s="21" t="n">
        <v>72</v>
      </c>
      <c r="C81" s="21" t="s">
        <v>25</v>
      </c>
      <c r="D81" s="22" t="n">
        <f aca="false">D121</f>
        <v>0</v>
      </c>
      <c r="E81" s="22" t="n">
        <f aca="false">E121</f>
        <v>0</v>
      </c>
      <c r="F81" s="22" t="n">
        <f aca="false">F121</f>
        <v>0</v>
      </c>
      <c r="G81" s="22" t="n">
        <f aca="false">G121</f>
        <v>0</v>
      </c>
      <c r="H81" s="22" t="n">
        <f aca="false">H121</f>
        <v>900</v>
      </c>
      <c r="I81" s="22" t="n">
        <f aca="false">I121</f>
        <v>0</v>
      </c>
      <c r="J81" s="22" t="n">
        <f aca="false">J121</f>
        <v>2760</v>
      </c>
      <c r="K81" s="22" t="n">
        <f aca="false">K121</f>
        <v>0</v>
      </c>
      <c r="L81" s="22" t="n">
        <f aca="false">L121</f>
        <v>0</v>
      </c>
      <c r="M81" s="22" t="n">
        <f aca="false">M121</f>
        <v>3660</v>
      </c>
      <c r="N81" s="22" t="n">
        <f aca="false">N121</f>
        <v>42.1</v>
      </c>
      <c r="O81" s="23" t="n">
        <f aca="false">N81/$M81</f>
        <v>0.0115027322404372</v>
      </c>
      <c r="P81" s="22" t="n">
        <f aca="false">P121</f>
        <v>3816.32</v>
      </c>
      <c r="Q81" s="23" t="n">
        <f aca="false">P81/$M81</f>
        <v>1.04271038251366</v>
      </c>
      <c r="R81" s="22" t="n">
        <f aca="false">R121</f>
        <v>3816.32</v>
      </c>
      <c r="S81" s="23" t="n">
        <f aca="false">R81/$M81</f>
        <v>1.04271038251366</v>
      </c>
      <c r="T81" s="22" t="n">
        <f aca="false">T121</f>
        <v>6535.22</v>
      </c>
      <c r="U81" s="23" t="n">
        <f aca="false">T81/$M81</f>
        <v>1.78557923497268</v>
      </c>
      <c r="V81" s="22" t="n">
        <f aca="false">V121</f>
        <v>900</v>
      </c>
      <c r="W81" s="22" t="n">
        <f aca="false">W121</f>
        <v>900</v>
      </c>
    </row>
    <row r="82" customFormat="false" ht="12.8" hidden="false" customHeight="false" outlineLevel="0" collapsed="false">
      <c r="A82" s="16"/>
      <c r="B82" s="17"/>
      <c r="C82" s="24" t="s">
        <v>30</v>
      </c>
      <c r="D82" s="25" t="n">
        <f aca="false">SUM(D79:D81)</f>
        <v>488030.79</v>
      </c>
      <c r="E82" s="25" t="n">
        <f aca="false">SUM(E79:E81)</f>
        <v>565026.47</v>
      </c>
      <c r="F82" s="25" t="n">
        <f aca="false">SUM(F79:F81)</f>
        <v>1994742</v>
      </c>
      <c r="G82" s="25" t="n">
        <f aca="false">SUM(G79:G81)</f>
        <v>612482.49</v>
      </c>
      <c r="H82" s="25" t="n">
        <f aca="false">SUM(H79:H81)</f>
        <v>2228696</v>
      </c>
      <c r="I82" s="25" t="n">
        <f aca="false">SUM(I79:I81)</f>
        <v>300</v>
      </c>
      <c r="J82" s="25" t="n">
        <f aca="false">SUM(J79:J81)</f>
        <v>-179</v>
      </c>
      <c r="K82" s="25" t="n">
        <f aca="false">SUM(K79:K81)</f>
        <v>0</v>
      </c>
      <c r="L82" s="25" t="n">
        <f aca="false">SUM(L79:L81)</f>
        <v>0</v>
      </c>
      <c r="M82" s="25" t="n">
        <f aca="false">H82+SUM(I82:L82)</f>
        <v>2228817</v>
      </c>
      <c r="N82" s="25" t="n">
        <f aca="false">SUM(N79:N81)</f>
        <v>143032.38</v>
      </c>
      <c r="O82" s="26" t="n">
        <f aca="false">N82/$M82</f>
        <v>0.0641741246589559</v>
      </c>
      <c r="P82" s="25" t="n">
        <f aca="false">SUM(P79:P81)</f>
        <v>299135.17</v>
      </c>
      <c r="Q82" s="26" t="n">
        <f aca="false">P82/$M82</f>
        <v>0.134212530683318</v>
      </c>
      <c r="R82" s="25" t="n">
        <f aca="false">SUM(R79:R81)</f>
        <v>424887.58</v>
      </c>
      <c r="S82" s="26" t="n">
        <f aca="false">R82/$M82</f>
        <v>0.190633676968544</v>
      </c>
      <c r="T82" s="25" t="n">
        <f aca="false">SUM(T79:T81)</f>
        <v>1089080.84</v>
      </c>
      <c r="U82" s="26" t="n">
        <f aca="false">T82/$M82</f>
        <v>0.488636276553885</v>
      </c>
      <c r="V82" s="25" t="n">
        <f aca="false">SUM(V79:V81)</f>
        <v>503666</v>
      </c>
      <c r="W82" s="25" t="n">
        <f aca="false">SUM(W79:W81)</f>
        <v>502166</v>
      </c>
    </row>
    <row r="84" customFormat="false" ht="12.8" hidden="false" customHeight="false" outlineLevel="0" collapsed="false">
      <c r="A84" s="63" t="s">
        <v>72</v>
      </c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4"/>
      <c r="P84" s="63"/>
      <c r="Q84" s="64"/>
      <c r="R84" s="63"/>
      <c r="S84" s="64"/>
      <c r="T84" s="63"/>
      <c r="U84" s="64"/>
      <c r="V84" s="63"/>
      <c r="W84" s="63"/>
    </row>
    <row r="85" customFormat="false" ht="12.8" hidden="false" customHeight="false" outlineLevel="0" collapsed="false">
      <c r="A85" s="7" t="s">
        <v>33</v>
      </c>
      <c r="B85" s="7" t="s">
        <v>34</v>
      </c>
      <c r="C85" s="7" t="s">
        <v>35</v>
      </c>
      <c r="D85" s="7" t="s">
        <v>1</v>
      </c>
      <c r="E85" s="7" t="s">
        <v>2</v>
      </c>
      <c r="F85" s="7" t="s">
        <v>3</v>
      </c>
      <c r="G85" s="7" t="s">
        <v>4</v>
      </c>
      <c r="H85" s="7" t="s">
        <v>5</v>
      </c>
      <c r="I85" s="7" t="s">
        <v>6</v>
      </c>
      <c r="J85" s="7" t="s">
        <v>7</v>
      </c>
      <c r="K85" s="7" t="s">
        <v>8</v>
      </c>
      <c r="L85" s="7" t="s">
        <v>9</v>
      </c>
      <c r="M85" s="7" t="s">
        <v>10</v>
      </c>
      <c r="N85" s="7" t="s">
        <v>11</v>
      </c>
      <c r="O85" s="8" t="s">
        <v>12</v>
      </c>
      <c r="P85" s="7" t="s">
        <v>13</v>
      </c>
      <c r="Q85" s="8" t="s">
        <v>14</v>
      </c>
      <c r="R85" s="7" t="s">
        <v>15</v>
      </c>
      <c r="S85" s="8" t="s">
        <v>16</v>
      </c>
      <c r="T85" s="7" t="s">
        <v>17</v>
      </c>
      <c r="U85" s="8" t="s">
        <v>18</v>
      </c>
      <c r="V85" s="7" t="s">
        <v>19</v>
      </c>
      <c r="W85" s="7" t="s">
        <v>20</v>
      </c>
    </row>
    <row r="86" customFormat="false" ht="12.8" hidden="false" customHeight="false" outlineLevel="0" collapsed="false">
      <c r="A86" s="65" t="s">
        <v>49</v>
      </c>
      <c r="B86" s="10" t="n">
        <v>312001</v>
      </c>
      <c r="C86" s="10" t="s">
        <v>73</v>
      </c>
      <c r="D86" s="11" t="n">
        <f aca="false">373433+57.39+792</f>
        <v>374282.39</v>
      </c>
      <c r="E86" s="66" t="n">
        <v>391633</v>
      </c>
      <c r="F86" s="66" t="n">
        <v>399895</v>
      </c>
      <c r="G86" s="66" t="n">
        <v>405813</v>
      </c>
      <c r="H86" s="67" t="n">
        <v>422516</v>
      </c>
      <c r="I86" s="67"/>
      <c r="J86" s="67"/>
      <c r="K86" s="67"/>
      <c r="L86" s="67"/>
      <c r="M86" s="67" t="n">
        <f aca="false">H86+SUM(I86:L86)</f>
        <v>422516</v>
      </c>
      <c r="N86" s="67" t="n">
        <v>111954</v>
      </c>
      <c r="O86" s="68" t="n">
        <f aca="false">N86/$M86</f>
        <v>0.264969847295724</v>
      </c>
      <c r="P86" s="67" t="n">
        <v>211257</v>
      </c>
      <c r="Q86" s="68" t="n">
        <f aca="false">P86/$M86</f>
        <v>0.499997633225724</v>
      </c>
      <c r="R86" s="67" t="n">
        <v>316887</v>
      </c>
      <c r="S86" s="68" t="n">
        <f aca="false">R86/$M86</f>
        <v>0.75</v>
      </c>
      <c r="T86" s="67" t="n">
        <v>421262</v>
      </c>
      <c r="U86" s="68" t="n">
        <f aca="false">T86/$M86</f>
        <v>0.997032065057891</v>
      </c>
      <c r="V86" s="66" t="n">
        <f aca="false">H86</f>
        <v>422516</v>
      </c>
      <c r="W86" s="66" t="n">
        <f aca="false">V86</f>
        <v>422516</v>
      </c>
    </row>
    <row r="87" customFormat="false" ht="12.8" hidden="false" customHeight="false" outlineLevel="0" collapsed="false">
      <c r="A87" s="65"/>
      <c r="B87" s="10" t="n">
        <v>312001</v>
      </c>
      <c r="C87" s="10" t="s">
        <v>74</v>
      </c>
      <c r="D87" s="11" t="n">
        <v>5045</v>
      </c>
      <c r="E87" s="66" t="n">
        <v>1889</v>
      </c>
      <c r="F87" s="66" t="n">
        <v>0</v>
      </c>
      <c r="G87" s="66" t="n">
        <v>1127</v>
      </c>
      <c r="H87" s="67" t="n">
        <v>1150</v>
      </c>
      <c r="I87" s="67"/>
      <c r="J87" s="67"/>
      <c r="K87" s="67"/>
      <c r="L87" s="67"/>
      <c r="M87" s="67" t="n">
        <f aca="false">H87+SUM(I87:L87)</f>
        <v>1150</v>
      </c>
      <c r="N87" s="67" t="n">
        <v>1300</v>
      </c>
      <c r="O87" s="68" t="n">
        <f aca="false">N87/$M87</f>
        <v>1.1304347826087</v>
      </c>
      <c r="P87" s="67" t="n">
        <v>1300</v>
      </c>
      <c r="Q87" s="68" t="n">
        <f aca="false">P87/$M87</f>
        <v>1.1304347826087</v>
      </c>
      <c r="R87" s="67" t="n">
        <v>1300</v>
      </c>
      <c r="S87" s="68" t="n">
        <f aca="false">R87/$M87</f>
        <v>1.1304347826087</v>
      </c>
      <c r="T87" s="67" t="n">
        <v>1900</v>
      </c>
      <c r="U87" s="68" t="n">
        <f aca="false">T87/$M87</f>
        <v>1.65217391304348</v>
      </c>
      <c r="V87" s="66" t="n">
        <f aca="false">H87</f>
        <v>1150</v>
      </c>
      <c r="W87" s="66" t="n">
        <f aca="false">V87</f>
        <v>1150</v>
      </c>
    </row>
    <row r="88" customFormat="false" ht="12.8" hidden="false" customHeight="false" outlineLevel="0" collapsed="false">
      <c r="A88" s="65"/>
      <c r="B88" s="10" t="n">
        <v>312001</v>
      </c>
      <c r="C88" s="10" t="s">
        <v>75</v>
      </c>
      <c r="D88" s="11" t="n">
        <v>3412.5</v>
      </c>
      <c r="E88" s="66" t="n">
        <v>4346</v>
      </c>
      <c r="F88" s="66" t="n">
        <v>4610</v>
      </c>
      <c r="G88" s="66" t="n">
        <v>4612</v>
      </c>
      <c r="H88" s="67" t="n">
        <v>4800</v>
      </c>
      <c r="I88" s="67"/>
      <c r="J88" s="67"/>
      <c r="K88" s="67"/>
      <c r="L88" s="67"/>
      <c r="M88" s="67" t="n">
        <f aca="false">H88+SUM(I88:L88)</f>
        <v>4800</v>
      </c>
      <c r="N88" s="67" t="n">
        <v>1680</v>
      </c>
      <c r="O88" s="68" t="n">
        <f aca="false">N88/$M88</f>
        <v>0.35</v>
      </c>
      <c r="P88" s="67" t="n">
        <v>3360</v>
      </c>
      <c r="Q88" s="68" t="n">
        <f aca="false">P88/$M88</f>
        <v>0.7</v>
      </c>
      <c r="R88" s="67" t="n">
        <v>5040</v>
      </c>
      <c r="S88" s="68" t="n">
        <f aca="false">R88/$M88</f>
        <v>1.05</v>
      </c>
      <c r="T88" s="67" t="n">
        <v>5040</v>
      </c>
      <c r="U88" s="68" t="n">
        <f aca="false">T88/$M88</f>
        <v>1.05</v>
      </c>
      <c r="V88" s="66" t="n">
        <f aca="false">H88</f>
        <v>4800</v>
      </c>
      <c r="W88" s="66" t="n">
        <f aca="false">V88</f>
        <v>4800</v>
      </c>
    </row>
    <row r="89" customFormat="false" ht="12.8" hidden="false" customHeight="false" outlineLevel="0" collapsed="false">
      <c r="A89" s="65"/>
      <c r="B89" s="10" t="n">
        <v>312001</v>
      </c>
      <c r="C89" s="10" t="s">
        <v>76</v>
      </c>
      <c r="D89" s="11" t="n">
        <v>4992</v>
      </c>
      <c r="E89" s="66" t="n">
        <v>5803</v>
      </c>
      <c r="F89" s="66" t="n">
        <v>5830</v>
      </c>
      <c r="G89" s="66" t="n">
        <v>5913</v>
      </c>
      <c r="H89" s="67" t="n">
        <v>5856</v>
      </c>
      <c r="I89" s="67"/>
      <c r="J89" s="67"/>
      <c r="K89" s="67"/>
      <c r="L89" s="67"/>
      <c r="M89" s="67" t="n">
        <f aca="false">H89+SUM(I89:L89)</f>
        <v>5856</v>
      </c>
      <c r="N89" s="67" t="n">
        <v>1757</v>
      </c>
      <c r="O89" s="68" t="n">
        <f aca="false">N89/$M89</f>
        <v>0.300034153005464</v>
      </c>
      <c r="P89" s="67" t="n">
        <v>3514</v>
      </c>
      <c r="Q89" s="68" t="n">
        <f aca="false">P89/$M89</f>
        <v>0.600068306010929</v>
      </c>
      <c r="R89" s="67" t="n">
        <v>3514</v>
      </c>
      <c r="S89" s="68" t="n">
        <f aca="false">R89/$M89</f>
        <v>0.600068306010929</v>
      </c>
      <c r="T89" s="67" t="n">
        <v>5818</v>
      </c>
      <c r="U89" s="68" t="n">
        <f aca="false">T89/$M89</f>
        <v>0.993510928961749</v>
      </c>
      <c r="V89" s="66" t="n">
        <f aca="false">H89</f>
        <v>5856</v>
      </c>
      <c r="W89" s="66" t="n">
        <f aca="false">V89</f>
        <v>5856</v>
      </c>
    </row>
    <row r="90" customFormat="false" ht="12.8" hidden="false" customHeight="false" outlineLevel="0" collapsed="false">
      <c r="A90" s="65"/>
      <c r="B90" s="10" t="n">
        <v>312001</v>
      </c>
      <c r="C90" s="10" t="s">
        <v>77</v>
      </c>
      <c r="D90" s="11" t="n">
        <v>6089</v>
      </c>
      <c r="E90" s="66" t="n">
        <v>3312</v>
      </c>
      <c r="F90" s="66" t="n">
        <v>3500</v>
      </c>
      <c r="G90" s="66" t="n">
        <v>3115</v>
      </c>
      <c r="H90" s="67" t="n">
        <v>3100</v>
      </c>
      <c r="I90" s="67"/>
      <c r="J90" s="67"/>
      <c r="K90" s="67"/>
      <c r="L90" s="67"/>
      <c r="M90" s="67" t="n">
        <f aca="false">H90+SUM(I90:L90)</f>
        <v>3100</v>
      </c>
      <c r="N90" s="67" t="n">
        <v>957</v>
      </c>
      <c r="O90" s="68" t="n">
        <f aca="false">N90/$M90</f>
        <v>0.308709677419355</v>
      </c>
      <c r="P90" s="67" t="n">
        <v>1581</v>
      </c>
      <c r="Q90" s="68" t="n">
        <f aca="false">P90/$M90</f>
        <v>0.51</v>
      </c>
      <c r="R90" s="67" t="n">
        <v>2061</v>
      </c>
      <c r="S90" s="68" t="n">
        <f aca="false">R90/$M90</f>
        <v>0.664838709677419</v>
      </c>
      <c r="T90" s="67" t="n">
        <v>2372</v>
      </c>
      <c r="U90" s="68" t="n">
        <f aca="false">T90/$M90</f>
        <v>0.765161290322581</v>
      </c>
      <c r="V90" s="66" t="n">
        <f aca="false">H90</f>
        <v>3100</v>
      </c>
      <c r="W90" s="66" t="n">
        <f aca="false">V90</f>
        <v>3100</v>
      </c>
    </row>
    <row r="91" customFormat="false" ht="12.8" hidden="false" customHeight="false" outlineLevel="0" collapsed="false">
      <c r="A91" s="65"/>
      <c r="B91" s="10" t="n">
        <v>312001</v>
      </c>
      <c r="C91" s="10" t="s">
        <v>78</v>
      </c>
      <c r="D91" s="11" t="n">
        <v>1029.2</v>
      </c>
      <c r="E91" s="66" t="n">
        <v>564.4</v>
      </c>
      <c r="F91" s="66" t="n">
        <v>560</v>
      </c>
      <c r="G91" s="66" t="n">
        <v>431.6</v>
      </c>
      <c r="H91" s="67" t="n">
        <v>430</v>
      </c>
      <c r="I91" s="67"/>
      <c r="J91" s="67"/>
      <c r="K91" s="67"/>
      <c r="L91" s="67"/>
      <c r="M91" s="67" t="n">
        <f aca="false">H91+SUM(I91:L91)</f>
        <v>430</v>
      </c>
      <c r="N91" s="67" t="n">
        <v>166</v>
      </c>
      <c r="O91" s="68" t="n">
        <f aca="false">N91/$M91</f>
        <v>0.386046511627907</v>
      </c>
      <c r="P91" s="67" t="n">
        <v>166</v>
      </c>
      <c r="Q91" s="68" t="n">
        <f aca="false">P91/$M91</f>
        <v>0.386046511627907</v>
      </c>
      <c r="R91" s="67" t="n">
        <v>398.4</v>
      </c>
      <c r="S91" s="68" t="n">
        <f aca="false">R91/$M91</f>
        <v>0.926511627906977</v>
      </c>
      <c r="T91" s="67" t="n">
        <v>398.4</v>
      </c>
      <c r="U91" s="68" t="n">
        <f aca="false">T91/$M91</f>
        <v>0.926511627906977</v>
      </c>
      <c r="V91" s="66" t="n">
        <f aca="false">H91</f>
        <v>430</v>
      </c>
      <c r="W91" s="66" t="n">
        <f aca="false">V91</f>
        <v>430</v>
      </c>
    </row>
    <row r="92" customFormat="false" ht="12.8" hidden="false" customHeight="false" outlineLevel="0" collapsed="false">
      <c r="A92" s="65"/>
      <c r="B92" s="10" t="n">
        <v>312001</v>
      </c>
      <c r="C92" s="10" t="s">
        <v>79</v>
      </c>
      <c r="D92" s="11" t="n">
        <v>0</v>
      </c>
      <c r="E92" s="66" t="n">
        <v>11732</v>
      </c>
      <c r="F92" s="66" t="n">
        <v>9750</v>
      </c>
      <c r="G92" s="66" t="n">
        <v>9826</v>
      </c>
      <c r="H92" s="67" t="n">
        <f aca="false">4500+3000+174</f>
        <v>7674</v>
      </c>
      <c r="I92" s="67"/>
      <c r="J92" s="67"/>
      <c r="K92" s="67"/>
      <c r="L92" s="67"/>
      <c r="M92" s="67" t="n">
        <f aca="false">H92+SUM(I92:L92)</f>
        <v>7674</v>
      </c>
      <c r="N92" s="67" t="n">
        <v>7500</v>
      </c>
      <c r="O92" s="68" t="n">
        <f aca="false">N92/$M92</f>
        <v>0.977326035965598</v>
      </c>
      <c r="P92" s="67" t="n">
        <v>7500</v>
      </c>
      <c r="Q92" s="68" t="n">
        <f aca="false">P92/$M92</f>
        <v>0.977326035965598</v>
      </c>
      <c r="R92" s="67" t="n">
        <v>7609</v>
      </c>
      <c r="S92" s="68" t="n">
        <f aca="false">R92/$M92</f>
        <v>0.991529841021631</v>
      </c>
      <c r="T92" s="67" t="n">
        <v>7609</v>
      </c>
      <c r="U92" s="68" t="n">
        <f aca="false">T92/$M92</f>
        <v>0.991529841021631</v>
      </c>
      <c r="V92" s="66" t="n">
        <f aca="false">H92</f>
        <v>7674</v>
      </c>
      <c r="W92" s="66" t="n">
        <f aca="false">V92</f>
        <v>7674</v>
      </c>
    </row>
    <row r="93" customFormat="false" ht="12.8" hidden="false" customHeight="false" outlineLevel="0" collapsed="false">
      <c r="A93" s="65"/>
      <c r="B93" s="10" t="n">
        <v>312001</v>
      </c>
      <c r="C93" s="10" t="s">
        <v>80</v>
      </c>
      <c r="D93" s="11" t="n">
        <v>5045</v>
      </c>
      <c r="E93" s="66" t="n">
        <v>4774</v>
      </c>
      <c r="F93" s="66" t="n">
        <v>4232</v>
      </c>
      <c r="G93" s="66" t="n">
        <v>4296</v>
      </c>
      <c r="H93" s="67" t="n">
        <v>4300</v>
      </c>
      <c r="I93" s="67"/>
      <c r="J93" s="67"/>
      <c r="K93" s="67"/>
      <c r="L93" s="67"/>
      <c r="M93" s="67" t="n">
        <f aca="false">H93+SUM(I93:L93)</f>
        <v>4300</v>
      </c>
      <c r="N93" s="67" t="n">
        <v>1584</v>
      </c>
      <c r="O93" s="68" t="n">
        <f aca="false">N93/$M93</f>
        <v>0.368372093023256</v>
      </c>
      <c r="P93" s="67" t="n">
        <v>3168</v>
      </c>
      <c r="Q93" s="68" t="n">
        <f aca="false">P93/$M93</f>
        <v>0.736744186046512</v>
      </c>
      <c r="R93" s="67" t="n">
        <v>3168</v>
      </c>
      <c r="S93" s="68" t="n">
        <f aca="false">R93/$M93</f>
        <v>0.736744186046512</v>
      </c>
      <c r="T93" s="67" t="n">
        <v>4798</v>
      </c>
      <c r="U93" s="68" t="n">
        <f aca="false">T93/$M93</f>
        <v>1.11581395348837</v>
      </c>
      <c r="V93" s="66" t="n">
        <f aca="false">H93</f>
        <v>4300</v>
      </c>
      <c r="W93" s="66" t="n">
        <f aca="false">V93</f>
        <v>4300</v>
      </c>
    </row>
    <row r="94" customFormat="false" ht="12.8" hidden="false" customHeight="false" outlineLevel="0" collapsed="false">
      <c r="A94" s="65"/>
      <c r="B94" s="10" t="n">
        <v>312001</v>
      </c>
      <c r="C94" s="10" t="s">
        <v>81</v>
      </c>
      <c r="D94" s="11" t="n">
        <v>1350</v>
      </c>
      <c r="E94" s="66" t="n">
        <v>781</v>
      </c>
      <c r="F94" s="66" t="n">
        <v>781</v>
      </c>
      <c r="G94" s="66" t="n">
        <v>889</v>
      </c>
      <c r="H94" s="67" t="n">
        <v>890</v>
      </c>
      <c r="I94" s="67"/>
      <c r="J94" s="67"/>
      <c r="K94" s="67"/>
      <c r="L94" s="67"/>
      <c r="M94" s="67" t="n">
        <f aca="false">H94+SUM(I94:L94)</f>
        <v>890</v>
      </c>
      <c r="N94" s="67" t="n">
        <v>278</v>
      </c>
      <c r="O94" s="68" t="n">
        <f aca="false">N94/$M94</f>
        <v>0.312359550561798</v>
      </c>
      <c r="P94" s="67" t="n">
        <v>556</v>
      </c>
      <c r="Q94" s="68" t="n">
        <f aca="false">P94/$M94</f>
        <v>0.624719101123596</v>
      </c>
      <c r="R94" s="67" t="n">
        <v>556</v>
      </c>
      <c r="S94" s="68" t="n">
        <f aca="false">R94/$M94</f>
        <v>0.624719101123596</v>
      </c>
      <c r="T94" s="67" t="n">
        <v>966</v>
      </c>
      <c r="U94" s="68" t="n">
        <f aca="false">T94/$M94</f>
        <v>1.08539325842697</v>
      </c>
      <c r="V94" s="66" t="n">
        <f aca="false">H94</f>
        <v>890</v>
      </c>
      <c r="W94" s="66" t="n">
        <f aca="false">V94</f>
        <v>890</v>
      </c>
    </row>
    <row r="95" customFormat="false" ht="12.8" hidden="false" customHeight="false" outlineLevel="0" collapsed="false">
      <c r="A95" s="65"/>
      <c r="B95" s="10" t="n">
        <v>312001</v>
      </c>
      <c r="C95" s="10" t="s">
        <v>82</v>
      </c>
      <c r="D95" s="11" t="n">
        <v>1317.12</v>
      </c>
      <c r="E95" s="66" t="n">
        <v>540.96</v>
      </c>
      <c r="F95" s="66" t="n">
        <v>500</v>
      </c>
      <c r="G95" s="66" t="n">
        <v>1058.4</v>
      </c>
      <c r="H95" s="67" t="n">
        <v>1060</v>
      </c>
      <c r="I95" s="67"/>
      <c r="J95" s="67"/>
      <c r="K95" s="67"/>
      <c r="L95" s="67"/>
      <c r="M95" s="67" t="n">
        <f aca="false">H95+SUM(I95:L95)</f>
        <v>1060</v>
      </c>
      <c r="N95" s="67" t="n">
        <v>354.72</v>
      </c>
      <c r="O95" s="68" t="n">
        <f aca="false">N95/$M95</f>
        <v>0.334641509433962</v>
      </c>
      <c r="P95" s="67" t="n">
        <v>709.92</v>
      </c>
      <c r="Q95" s="68" t="n">
        <f aca="false">P95/$M95</f>
        <v>0.669735849056604</v>
      </c>
      <c r="R95" s="67" t="n">
        <v>899.36</v>
      </c>
      <c r="S95" s="68" t="n">
        <f aca="false">R95/$M95</f>
        <v>0.848452830188679</v>
      </c>
      <c r="T95" s="67" t="n">
        <v>1065.12</v>
      </c>
      <c r="U95" s="68" t="n">
        <f aca="false">T95/$M95</f>
        <v>1.00483018867925</v>
      </c>
      <c r="V95" s="66" t="n">
        <f aca="false">H95</f>
        <v>1060</v>
      </c>
      <c r="W95" s="66" t="n">
        <f aca="false">V95</f>
        <v>1060</v>
      </c>
    </row>
    <row r="96" customFormat="false" ht="12.8" hidden="false" customHeight="false" outlineLevel="0" collapsed="false">
      <c r="A96" s="65"/>
      <c r="B96" s="10" t="n">
        <v>312012</v>
      </c>
      <c r="C96" s="10" t="s">
        <v>83</v>
      </c>
      <c r="D96" s="11" t="n">
        <v>2936.01</v>
      </c>
      <c r="E96" s="66" t="n">
        <v>2935.08</v>
      </c>
      <c r="F96" s="66" t="n">
        <v>2935</v>
      </c>
      <c r="G96" s="66" t="n">
        <v>2935.08</v>
      </c>
      <c r="H96" s="67" t="n">
        <v>2935</v>
      </c>
      <c r="I96" s="67"/>
      <c r="J96" s="67" t="n">
        <v>543</v>
      </c>
      <c r="K96" s="67"/>
      <c r="L96" s="67"/>
      <c r="M96" s="67" t="n">
        <f aca="false">H96+SUM(I96:L96)</f>
        <v>3478</v>
      </c>
      <c r="N96" s="67" t="n">
        <v>0</v>
      </c>
      <c r="O96" s="68" t="n">
        <f aca="false">N96/$M96</f>
        <v>0</v>
      </c>
      <c r="P96" s="67" t="n">
        <v>3477.63</v>
      </c>
      <c r="Q96" s="68" t="n">
        <f aca="false">P96/$M96</f>
        <v>0.999893617021277</v>
      </c>
      <c r="R96" s="67" t="n">
        <v>3477.63</v>
      </c>
      <c r="S96" s="68" t="n">
        <f aca="false">R96/$M96</f>
        <v>0.999893617021277</v>
      </c>
      <c r="T96" s="67" t="n">
        <v>3477.63</v>
      </c>
      <c r="U96" s="68" t="n">
        <f aca="false">T96/$M96</f>
        <v>0.999893617021277</v>
      </c>
      <c r="V96" s="66" t="n">
        <f aca="false">H96</f>
        <v>2935</v>
      </c>
      <c r="W96" s="66" t="n">
        <f aca="false">V96</f>
        <v>2935</v>
      </c>
    </row>
    <row r="97" customFormat="false" ht="12.8" hidden="false" customHeight="false" outlineLevel="0" collapsed="false">
      <c r="A97" s="65"/>
      <c r="B97" s="10" t="n">
        <v>312012</v>
      </c>
      <c r="C97" s="10" t="s">
        <v>84</v>
      </c>
      <c r="D97" s="11" t="n">
        <v>136.38</v>
      </c>
      <c r="E97" s="66" t="n">
        <v>136.34</v>
      </c>
      <c r="F97" s="66" t="n">
        <v>136</v>
      </c>
      <c r="G97" s="66" t="n">
        <v>136.34</v>
      </c>
      <c r="H97" s="67" t="n">
        <v>136</v>
      </c>
      <c r="I97" s="67"/>
      <c r="J97" s="67"/>
      <c r="K97" s="67"/>
      <c r="L97" s="67"/>
      <c r="M97" s="67" t="n">
        <f aca="false">H97+SUM(I97:L97)</f>
        <v>136</v>
      </c>
      <c r="N97" s="67" t="n">
        <v>0</v>
      </c>
      <c r="O97" s="68" t="n">
        <f aca="false">N97/$M97</f>
        <v>0</v>
      </c>
      <c r="P97" s="67" t="n">
        <v>135.35</v>
      </c>
      <c r="Q97" s="68" t="n">
        <f aca="false">P97/$M97</f>
        <v>0.995220588235294</v>
      </c>
      <c r="R97" s="67" t="n">
        <v>135.35</v>
      </c>
      <c r="S97" s="68" t="n">
        <f aca="false">R97/$M97</f>
        <v>0.995220588235294</v>
      </c>
      <c r="T97" s="67" t="n">
        <v>135.35</v>
      </c>
      <c r="U97" s="68" t="n">
        <f aca="false">T97/$M97</f>
        <v>0.995220588235294</v>
      </c>
      <c r="V97" s="66" t="n">
        <f aca="false">H97</f>
        <v>136</v>
      </c>
      <c r="W97" s="66" t="n">
        <f aca="false">V97</f>
        <v>136</v>
      </c>
    </row>
    <row r="98" customFormat="false" ht="12.8" hidden="false" customHeight="false" outlineLevel="0" collapsed="false">
      <c r="A98" s="65"/>
      <c r="B98" s="10" t="n">
        <v>312012</v>
      </c>
      <c r="C98" s="10" t="s">
        <v>85</v>
      </c>
      <c r="D98" s="11" t="n">
        <v>295.58</v>
      </c>
      <c r="E98" s="66" t="n">
        <v>295.2</v>
      </c>
      <c r="F98" s="66" t="n">
        <v>295</v>
      </c>
      <c r="G98" s="66" t="n">
        <v>294.93</v>
      </c>
      <c r="H98" s="67" t="n">
        <v>295</v>
      </c>
      <c r="I98" s="67"/>
      <c r="J98" s="67"/>
      <c r="K98" s="67"/>
      <c r="L98" s="67"/>
      <c r="M98" s="67" t="n">
        <f aca="false">H98+SUM(I98:L98)</f>
        <v>295</v>
      </c>
      <c r="N98" s="67" t="n">
        <v>294.12</v>
      </c>
      <c r="O98" s="68" t="n">
        <f aca="false">N98/$M98</f>
        <v>0.997016949152542</v>
      </c>
      <c r="P98" s="67" t="n">
        <v>294.12</v>
      </c>
      <c r="Q98" s="68" t="n">
        <f aca="false">P98/$M98</f>
        <v>0.997016949152542</v>
      </c>
      <c r="R98" s="67" t="n">
        <v>294.12</v>
      </c>
      <c r="S98" s="68" t="n">
        <f aca="false">R98/$M98</f>
        <v>0.997016949152542</v>
      </c>
      <c r="T98" s="67" t="n">
        <v>294.12</v>
      </c>
      <c r="U98" s="68" t="n">
        <f aca="false">T98/$M98</f>
        <v>0.997016949152542</v>
      </c>
      <c r="V98" s="66" t="n">
        <f aca="false">H98</f>
        <v>295</v>
      </c>
      <c r="W98" s="66" t="n">
        <f aca="false">V98</f>
        <v>295</v>
      </c>
    </row>
    <row r="99" customFormat="false" ht="12.8" hidden="false" customHeight="false" outlineLevel="0" collapsed="false">
      <c r="A99" s="65"/>
      <c r="B99" s="10" t="n">
        <v>312012</v>
      </c>
      <c r="C99" s="10" t="s">
        <v>86</v>
      </c>
      <c r="D99" s="11" t="n">
        <v>4000.79</v>
      </c>
      <c r="E99" s="66" t="n">
        <v>4103.17</v>
      </c>
      <c r="F99" s="66" t="n">
        <v>4039</v>
      </c>
      <c r="G99" s="66" t="n">
        <v>4204.14</v>
      </c>
      <c r="H99" s="67" t="n">
        <v>4200</v>
      </c>
      <c r="I99" s="67"/>
      <c r="J99" s="67" t="n">
        <v>88</v>
      </c>
      <c r="K99" s="67"/>
      <c r="L99" s="67"/>
      <c r="M99" s="67" t="n">
        <f aca="false">H99+SUM(I99:L99)</f>
        <v>4288</v>
      </c>
      <c r="N99" s="67" t="n">
        <v>4287.6</v>
      </c>
      <c r="O99" s="68" t="n">
        <f aca="false">N99/$M99</f>
        <v>0.99990671641791</v>
      </c>
      <c r="P99" s="67" t="n">
        <v>4287.6</v>
      </c>
      <c r="Q99" s="68" t="n">
        <f aca="false">P99/$M99</f>
        <v>0.99990671641791</v>
      </c>
      <c r="R99" s="67" t="n">
        <v>4466.45</v>
      </c>
      <c r="S99" s="68" t="n">
        <f aca="false">R99/$M99</f>
        <v>1.0416161380597</v>
      </c>
      <c r="T99" s="67" t="n">
        <v>4466.45</v>
      </c>
      <c r="U99" s="68" t="n">
        <f aca="false">T99/$M99</f>
        <v>1.0416161380597</v>
      </c>
      <c r="V99" s="66" t="n">
        <f aca="false">H99</f>
        <v>4200</v>
      </c>
      <c r="W99" s="66" t="n">
        <f aca="false">V99</f>
        <v>4200</v>
      </c>
    </row>
    <row r="100" customFormat="false" ht="12.8" hidden="false" customHeight="false" outlineLevel="0" collapsed="false">
      <c r="A100" s="65"/>
      <c r="B100" s="10" t="n">
        <v>312012</v>
      </c>
      <c r="C100" s="10" t="s">
        <v>87</v>
      </c>
      <c r="D100" s="11" t="n">
        <v>1041.81</v>
      </c>
      <c r="E100" s="66" t="n">
        <v>1061.68</v>
      </c>
      <c r="F100" s="66" t="n">
        <v>1213</v>
      </c>
      <c r="G100" s="66" t="n">
        <v>1213.08</v>
      </c>
      <c r="H100" s="67" t="n">
        <v>1200</v>
      </c>
      <c r="I100" s="67"/>
      <c r="J100" s="67"/>
      <c r="K100" s="67"/>
      <c r="L100" s="67"/>
      <c r="M100" s="67" t="n">
        <f aca="false">H100+SUM(I100:L100)</f>
        <v>1200</v>
      </c>
      <c r="N100" s="67" t="n">
        <v>1074.29</v>
      </c>
      <c r="O100" s="68" t="n">
        <f aca="false">N100/$M100</f>
        <v>0.895241666666667</v>
      </c>
      <c r="P100" s="67" t="n">
        <v>1074.29</v>
      </c>
      <c r="Q100" s="68" t="n">
        <f aca="false">P100/$M100</f>
        <v>0.895241666666667</v>
      </c>
      <c r="R100" s="67" t="n">
        <v>1074.29</v>
      </c>
      <c r="S100" s="68" t="n">
        <f aca="false">R100/$M100</f>
        <v>0.895241666666667</v>
      </c>
      <c r="T100" s="67" t="n">
        <v>1074.29</v>
      </c>
      <c r="U100" s="68" t="n">
        <f aca="false">T100/$M100</f>
        <v>0.895241666666667</v>
      </c>
      <c r="V100" s="66" t="n">
        <f aca="false">H100</f>
        <v>1200</v>
      </c>
      <c r="W100" s="66" t="n">
        <f aca="false">V100</f>
        <v>1200</v>
      </c>
    </row>
    <row r="101" customFormat="false" ht="12.8" hidden="false" customHeight="false" outlineLevel="0" collapsed="false">
      <c r="A101" s="65"/>
      <c r="B101" s="10" t="n">
        <v>312001</v>
      </c>
      <c r="C101" s="10" t="s">
        <v>88</v>
      </c>
      <c r="D101" s="11" t="n">
        <v>1280</v>
      </c>
      <c r="E101" s="66" t="n">
        <v>1803.52</v>
      </c>
      <c r="F101" s="66" t="n">
        <v>2000</v>
      </c>
      <c r="G101" s="66" t="n">
        <v>1328.8</v>
      </c>
      <c r="H101" s="67" t="n">
        <v>1500</v>
      </c>
      <c r="I101" s="67"/>
      <c r="J101" s="67"/>
      <c r="K101" s="67"/>
      <c r="L101" s="67"/>
      <c r="M101" s="67" t="n">
        <f aca="false">H101+SUM(I101:L101)</f>
        <v>1500</v>
      </c>
      <c r="N101" s="67" t="n">
        <v>0</v>
      </c>
      <c r="O101" s="68" t="n">
        <f aca="false">N101/$M101</f>
        <v>0</v>
      </c>
      <c r="P101" s="67" t="n">
        <v>0</v>
      </c>
      <c r="Q101" s="68" t="n">
        <f aca="false">P101/$M101</f>
        <v>0</v>
      </c>
      <c r="R101" s="67" t="n">
        <v>0</v>
      </c>
      <c r="S101" s="68" t="n">
        <f aca="false">R101/$M101</f>
        <v>0</v>
      </c>
      <c r="T101" s="67" t="n">
        <v>1545.58</v>
      </c>
      <c r="U101" s="68" t="n">
        <f aca="false">T101/$M101</f>
        <v>1.03038666666667</v>
      </c>
      <c r="V101" s="67" t="n">
        <v>3000</v>
      </c>
      <c r="W101" s="67" t="n">
        <v>1500</v>
      </c>
    </row>
    <row r="102" customFormat="false" ht="12.8" hidden="false" customHeight="false" outlineLevel="0" collapsed="false">
      <c r="A102" s="65"/>
      <c r="B102" s="10" t="n">
        <v>312012</v>
      </c>
      <c r="C102" s="10" t="s">
        <v>89</v>
      </c>
      <c r="D102" s="11" t="n">
        <v>241.23</v>
      </c>
      <c r="E102" s="66" t="n">
        <v>210.77</v>
      </c>
      <c r="F102" s="66" t="n">
        <v>210</v>
      </c>
      <c r="G102" s="66" t="n">
        <v>210</v>
      </c>
      <c r="H102" s="67" t="n">
        <v>210</v>
      </c>
      <c r="I102" s="67"/>
      <c r="J102" s="67"/>
      <c r="K102" s="67"/>
      <c r="L102" s="67"/>
      <c r="M102" s="67" t="n">
        <f aca="false">H102+SUM(I102:L102)</f>
        <v>210</v>
      </c>
      <c r="N102" s="67" t="n">
        <v>0</v>
      </c>
      <c r="O102" s="68" t="n">
        <f aca="false">N102/$M102</f>
        <v>0</v>
      </c>
      <c r="P102" s="67" t="n">
        <v>0</v>
      </c>
      <c r="Q102" s="68" t="n">
        <f aca="false">P102/$M102</f>
        <v>0</v>
      </c>
      <c r="R102" s="67" t="n">
        <v>0</v>
      </c>
      <c r="S102" s="68" t="n">
        <f aca="false">R102/$M102</f>
        <v>0</v>
      </c>
      <c r="T102" s="67" t="n">
        <v>231.76</v>
      </c>
      <c r="U102" s="68" t="n">
        <f aca="false">T102/$M102</f>
        <v>1.10361904761905</v>
      </c>
      <c r="V102" s="66" t="n">
        <f aca="false">H102</f>
        <v>210</v>
      </c>
      <c r="W102" s="66" t="n">
        <f aca="false">V102</f>
        <v>210</v>
      </c>
    </row>
    <row r="103" customFormat="false" ht="12.8" hidden="false" customHeight="false" outlineLevel="0" collapsed="false">
      <c r="A103" s="65"/>
      <c r="B103" s="10" t="n">
        <v>312001</v>
      </c>
      <c r="C103" s="10" t="s">
        <v>90</v>
      </c>
      <c r="D103" s="11" t="n">
        <v>38400</v>
      </c>
      <c r="E103" s="66" t="n">
        <v>38400</v>
      </c>
      <c r="F103" s="66" t="n">
        <v>38400</v>
      </c>
      <c r="G103" s="66" t="n">
        <v>38400</v>
      </c>
      <c r="H103" s="67" t="n">
        <v>32000</v>
      </c>
      <c r="I103" s="67"/>
      <c r="J103" s="67"/>
      <c r="K103" s="67"/>
      <c r="L103" s="67"/>
      <c r="M103" s="67" t="n">
        <f aca="false">H103+SUM(I103:L103)</f>
        <v>32000</v>
      </c>
      <c r="N103" s="67" t="n">
        <v>8091</v>
      </c>
      <c r="O103" s="68" t="n">
        <f aca="false">N103/$M103</f>
        <v>0.25284375</v>
      </c>
      <c r="P103" s="67" t="n">
        <v>16182</v>
      </c>
      <c r="Q103" s="68" t="n">
        <f aca="false">P103/$M103</f>
        <v>0.5056875</v>
      </c>
      <c r="R103" s="67" t="n">
        <v>24273</v>
      </c>
      <c r="S103" s="68" t="n">
        <f aca="false">R103/$M103</f>
        <v>0.75853125</v>
      </c>
      <c r="T103" s="67" t="n">
        <v>32364</v>
      </c>
      <c r="U103" s="68" t="n">
        <f aca="false">T103/$M103</f>
        <v>1.011375</v>
      </c>
      <c r="V103" s="66" t="n">
        <f aca="false">H103</f>
        <v>32000</v>
      </c>
      <c r="W103" s="66" t="n">
        <f aca="false">V103</f>
        <v>32000</v>
      </c>
    </row>
    <row r="104" customFormat="false" ht="12.8" hidden="false" customHeight="false" outlineLevel="0" collapsed="false">
      <c r="A104" s="65"/>
      <c r="B104" s="10" t="n">
        <v>312001</v>
      </c>
      <c r="C104" s="10" t="s">
        <v>91</v>
      </c>
      <c r="D104" s="11"/>
      <c r="E104" s="66"/>
      <c r="F104" s="66"/>
      <c r="G104" s="66"/>
      <c r="H104" s="67" t="n">
        <v>0</v>
      </c>
      <c r="I104" s="67"/>
      <c r="J104" s="67"/>
      <c r="K104" s="67"/>
      <c r="L104" s="67"/>
      <c r="M104" s="67" t="n">
        <v>0</v>
      </c>
      <c r="N104" s="67" t="n">
        <v>0</v>
      </c>
      <c r="O104" s="68" t="e">
        <f aca="false">N104/$M104</f>
        <v>#DIV/0!</v>
      </c>
      <c r="P104" s="67" t="n">
        <v>0</v>
      </c>
      <c r="Q104" s="68" t="e">
        <f aca="false">P104/$M104</f>
        <v>#DIV/0!</v>
      </c>
      <c r="R104" s="67" t="n">
        <v>0</v>
      </c>
      <c r="S104" s="68" t="e">
        <f aca="false">R104/$M104</f>
        <v>#DIV/0!</v>
      </c>
      <c r="T104" s="67" t="n">
        <v>1625</v>
      </c>
      <c r="U104" s="68" t="e">
        <f aca="false">T104/$M104</f>
        <v>#DIV/0!</v>
      </c>
      <c r="V104" s="66"/>
      <c r="W104" s="66"/>
    </row>
    <row r="105" customFormat="false" ht="12.8" hidden="false" customHeight="false" outlineLevel="0" collapsed="false">
      <c r="A105" s="65"/>
      <c r="B105" s="10" t="n">
        <v>312001</v>
      </c>
      <c r="C105" s="10" t="s">
        <v>92</v>
      </c>
      <c r="D105" s="11" t="n">
        <v>25239.92</v>
      </c>
      <c r="E105" s="66" t="n">
        <f aca="false">5851+34154+0.35</f>
        <v>40005.35</v>
      </c>
      <c r="F105" s="66" t="n">
        <v>9856</v>
      </c>
      <c r="G105" s="66" t="n">
        <v>12279.12</v>
      </c>
      <c r="H105" s="67" t="n">
        <f aca="false">výdaje!K340</f>
        <v>18486</v>
      </c>
      <c r="I105" s="67" t="n">
        <v>300</v>
      </c>
      <c r="J105" s="67"/>
      <c r="K105" s="67"/>
      <c r="L105" s="67"/>
      <c r="M105" s="67" t="n">
        <f aca="false">H105+SUM(I105:L105)</f>
        <v>18786</v>
      </c>
      <c r="N105" s="67" t="n">
        <v>1712.55</v>
      </c>
      <c r="O105" s="68" t="n">
        <f aca="false">N105/$M105</f>
        <v>0.0911609709358033</v>
      </c>
      <c r="P105" s="67" t="n">
        <v>5355.94</v>
      </c>
      <c r="Q105" s="68" t="n">
        <f aca="false">P105/$M105</f>
        <v>0.28510273608006</v>
      </c>
      <c r="R105" s="67" t="n">
        <v>9373.66</v>
      </c>
      <c r="S105" s="68" t="n">
        <f aca="false">R105/$M105</f>
        <v>0.498970509954221</v>
      </c>
      <c r="T105" s="67" t="n">
        <v>17055.14</v>
      </c>
      <c r="U105" s="68" t="n">
        <f aca="false">T105/$M105</f>
        <v>0.907864367081869</v>
      </c>
      <c r="V105" s="67" t="n">
        <f aca="false">výdaje!Y340</f>
        <v>5614</v>
      </c>
      <c r="W105" s="66" t="n">
        <f aca="false">V105</f>
        <v>5614</v>
      </c>
    </row>
    <row r="106" customFormat="false" ht="12.8" hidden="false" customHeight="false" outlineLevel="0" collapsed="false">
      <c r="A106" s="65"/>
      <c r="B106" s="10" t="n">
        <v>312001</v>
      </c>
      <c r="C106" s="10" t="s">
        <v>93</v>
      </c>
      <c r="D106" s="11" t="n">
        <v>10579.74</v>
      </c>
      <c r="E106" s="66"/>
      <c r="F106" s="66"/>
      <c r="G106" s="66"/>
      <c r="H106" s="67" t="n">
        <v>0</v>
      </c>
      <c r="I106" s="67"/>
      <c r="J106" s="67"/>
      <c r="K106" s="67"/>
      <c r="L106" s="67"/>
      <c r="M106" s="67" t="n">
        <f aca="false">H106+SUM(I106:L106)</f>
        <v>0</v>
      </c>
      <c r="N106" s="67" t="n">
        <v>0</v>
      </c>
      <c r="O106" s="68" t="e">
        <f aca="false">N106/$M106</f>
        <v>#DIV/0!</v>
      </c>
      <c r="P106" s="67" t="n">
        <v>0</v>
      </c>
      <c r="Q106" s="68" t="e">
        <f aca="false">P106/$M106</f>
        <v>#DIV/0!</v>
      </c>
      <c r="R106" s="67" t="n">
        <v>0</v>
      </c>
      <c r="S106" s="68" t="e">
        <f aca="false">R106/$M106</f>
        <v>#DIV/0!</v>
      </c>
      <c r="T106" s="67" t="n">
        <v>0</v>
      </c>
      <c r="U106" s="68" t="e">
        <f aca="false">T106/$M106</f>
        <v>#DIV/0!</v>
      </c>
      <c r="V106" s="66"/>
      <c r="W106" s="66"/>
    </row>
    <row r="107" customFormat="false" ht="12.8" hidden="false" customHeight="false" outlineLevel="0" collapsed="false">
      <c r="A107" s="65"/>
      <c r="B107" s="10" t="n">
        <v>312001</v>
      </c>
      <c r="C107" s="10" t="s">
        <v>94</v>
      </c>
      <c r="D107" s="11"/>
      <c r="E107" s="66"/>
      <c r="F107" s="66"/>
      <c r="G107" s="66"/>
      <c r="H107" s="67" t="n">
        <v>137658</v>
      </c>
      <c r="I107" s="67"/>
      <c r="J107" s="67"/>
      <c r="K107" s="67"/>
      <c r="L107" s="67"/>
      <c r="M107" s="67" t="n">
        <f aca="false">H107+SUM(I107:L107)</f>
        <v>137658</v>
      </c>
      <c r="N107" s="67" t="n">
        <v>0</v>
      </c>
      <c r="O107" s="68" t="n">
        <f aca="false">N107/$M107</f>
        <v>0</v>
      </c>
      <c r="P107" s="67" t="n">
        <v>0</v>
      </c>
      <c r="Q107" s="68" t="n">
        <f aca="false">P107/$M107</f>
        <v>0</v>
      </c>
      <c r="R107" s="67" t="n">
        <v>0</v>
      </c>
      <c r="S107" s="68" t="n">
        <f aca="false">R107/$M107</f>
        <v>0</v>
      </c>
      <c r="T107" s="67" t="n">
        <v>0</v>
      </c>
      <c r="U107" s="68" t="n">
        <f aca="false">T107/$M107</f>
        <v>0</v>
      </c>
      <c r="V107" s="66"/>
      <c r="W107" s="66"/>
    </row>
    <row r="108" customFormat="false" ht="12.8" hidden="false" customHeight="false" outlineLevel="0" collapsed="false">
      <c r="A108" s="65"/>
      <c r="B108" s="10" t="n">
        <v>322001</v>
      </c>
      <c r="C108" s="10" t="s">
        <v>95</v>
      </c>
      <c r="D108" s="11"/>
      <c r="E108" s="66"/>
      <c r="F108" s="66" t="n">
        <v>888000</v>
      </c>
      <c r="G108" s="66" t="n">
        <v>0</v>
      </c>
      <c r="H108" s="67" t="n">
        <v>888000</v>
      </c>
      <c r="I108" s="67"/>
      <c r="J108" s="67"/>
      <c r="K108" s="67"/>
      <c r="L108" s="67"/>
      <c r="M108" s="67" t="n">
        <f aca="false">H108+SUM(I108:L108)</f>
        <v>888000</v>
      </c>
      <c r="N108" s="67" t="n">
        <v>0</v>
      </c>
      <c r="O108" s="68" t="n">
        <f aca="false">N108/$M108</f>
        <v>0</v>
      </c>
      <c r="P108" s="67" t="n">
        <v>0</v>
      </c>
      <c r="Q108" s="68" t="n">
        <f aca="false">P108/$M108</f>
        <v>0</v>
      </c>
      <c r="R108" s="67" t="n">
        <v>0</v>
      </c>
      <c r="S108" s="68" t="n">
        <f aca="false">R108/$M108</f>
        <v>0</v>
      </c>
      <c r="T108" s="67" t="n">
        <v>282834</v>
      </c>
      <c r="U108" s="68" t="n">
        <f aca="false">T108/$M108</f>
        <v>0.318506756756757</v>
      </c>
      <c r="V108" s="66"/>
      <c r="W108" s="66"/>
    </row>
    <row r="109" customFormat="false" ht="12.8" hidden="false" customHeight="false" outlineLevel="0" collapsed="false">
      <c r="A109" s="65"/>
      <c r="B109" s="10" t="n">
        <v>322001</v>
      </c>
      <c r="C109" s="10" t="s">
        <v>96</v>
      </c>
      <c r="D109" s="11"/>
      <c r="E109" s="66"/>
      <c r="F109" s="66" t="n">
        <v>417300</v>
      </c>
      <c r="G109" s="66" t="n">
        <v>0</v>
      </c>
      <c r="H109" s="67" t="n">
        <v>390000</v>
      </c>
      <c r="I109" s="67"/>
      <c r="J109" s="67"/>
      <c r="K109" s="67"/>
      <c r="L109" s="67"/>
      <c r="M109" s="67" t="n">
        <f aca="false">H109+SUM(I109:L109)</f>
        <v>390000</v>
      </c>
      <c r="N109" s="67" t="n">
        <v>0</v>
      </c>
      <c r="O109" s="68" t="n">
        <f aca="false">N109/$M109</f>
        <v>0</v>
      </c>
      <c r="P109" s="67" t="n">
        <v>0</v>
      </c>
      <c r="Q109" s="68" t="n">
        <f aca="false">P109/$M109</f>
        <v>0</v>
      </c>
      <c r="R109" s="67" t="n">
        <v>0</v>
      </c>
      <c r="S109" s="68" t="n">
        <f aca="false">R109/$M109</f>
        <v>0</v>
      </c>
      <c r="T109" s="67" t="n">
        <v>0</v>
      </c>
      <c r="U109" s="68" t="n">
        <f aca="false">T109/$M109</f>
        <v>0</v>
      </c>
      <c r="V109" s="66"/>
      <c r="W109" s="66"/>
    </row>
    <row r="110" customFormat="false" ht="12.8" hidden="false" customHeight="false" outlineLevel="0" collapsed="false">
      <c r="A110" s="65"/>
      <c r="B110" s="10" t="n">
        <v>322001</v>
      </c>
      <c r="C110" s="10" t="s">
        <v>97</v>
      </c>
      <c r="D110" s="11"/>
      <c r="E110" s="66"/>
      <c r="F110" s="66"/>
      <c r="G110" s="66"/>
      <c r="H110" s="67" t="n">
        <v>258000</v>
      </c>
      <c r="I110" s="67"/>
      <c r="J110" s="67"/>
      <c r="K110" s="67"/>
      <c r="L110" s="67"/>
      <c r="M110" s="67" t="n">
        <f aca="false">H110+SUM(I110:L110)</f>
        <v>258000</v>
      </c>
      <c r="N110" s="67" t="n">
        <v>0</v>
      </c>
      <c r="O110" s="68" t="n">
        <f aca="false">N110/$M110</f>
        <v>0</v>
      </c>
      <c r="P110" s="67" t="n">
        <v>0</v>
      </c>
      <c r="Q110" s="68" t="n">
        <f aca="false">P110/$M110</f>
        <v>0</v>
      </c>
      <c r="R110" s="67" t="n">
        <v>0</v>
      </c>
      <c r="S110" s="68" t="n">
        <f aca="false">R110/$M110</f>
        <v>0</v>
      </c>
      <c r="T110" s="67" t="n">
        <v>249669.78</v>
      </c>
      <c r="U110" s="68" t="n">
        <f aca="false">T110/$M110</f>
        <v>0.967712325581395</v>
      </c>
      <c r="V110" s="67"/>
      <c r="W110" s="66"/>
    </row>
    <row r="111" customFormat="false" ht="12.8" hidden="true" customHeight="false" outlineLevel="0" collapsed="false">
      <c r="A111" s="65"/>
      <c r="B111" s="10" t="n">
        <v>322001</v>
      </c>
      <c r="C111" s="10" t="s">
        <v>98</v>
      </c>
      <c r="D111" s="11"/>
      <c r="E111" s="66"/>
      <c r="F111" s="66" t="n">
        <v>200000</v>
      </c>
      <c r="G111" s="66" t="n">
        <v>0</v>
      </c>
      <c r="H111" s="67" t="n">
        <v>0</v>
      </c>
      <c r="I111" s="67"/>
      <c r="J111" s="67"/>
      <c r="K111" s="67"/>
      <c r="L111" s="67"/>
      <c r="M111" s="67" t="n">
        <f aca="false">H111+SUM(I111:L111)</f>
        <v>0</v>
      </c>
      <c r="N111" s="67" t="n">
        <v>0</v>
      </c>
      <c r="O111" s="68" t="e">
        <f aca="false">N111/$M111</f>
        <v>#DIV/0!</v>
      </c>
      <c r="P111" s="67" t="n">
        <v>0</v>
      </c>
      <c r="Q111" s="68" t="e">
        <f aca="false">P111/$M111</f>
        <v>#DIV/0!</v>
      </c>
      <c r="R111" s="67" t="n">
        <v>0</v>
      </c>
      <c r="S111" s="68" t="e">
        <f aca="false">R111/$M111</f>
        <v>#DIV/0!</v>
      </c>
      <c r="T111" s="67" t="n">
        <v>0</v>
      </c>
      <c r="U111" s="68" t="e">
        <f aca="false">T111/$M111</f>
        <v>#DIV/0!</v>
      </c>
      <c r="V111" s="66"/>
      <c r="W111" s="66"/>
    </row>
    <row r="112" customFormat="false" ht="12.8" hidden="false" customHeight="false" outlineLevel="0" collapsed="false">
      <c r="A112" s="65"/>
      <c r="B112" s="10" t="n">
        <v>322001</v>
      </c>
      <c r="C112" s="10" t="s">
        <v>99</v>
      </c>
      <c r="D112" s="11"/>
      <c r="E112" s="66"/>
      <c r="F112" s="66"/>
      <c r="G112" s="66"/>
      <c r="H112" s="67" t="n">
        <v>30000</v>
      </c>
      <c r="I112" s="67"/>
      <c r="J112" s="67"/>
      <c r="K112" s="67"/>
      <c r="L112" s="67"/>
      <c r="M112" s="67" t="n">
        <f aca="false">H112+SUM(I112:L112)</f>
        <v>30000</v>
      </c>
      <c r="N112" s="67" t="n">
        <v>0</v>
      </c>
      <c r="O112" s="68" t="n">
        <f aca="false">N112/$M112</f>
        <v>0</v>
      </c>
      <c r="P112" s="67" t="n">
        <v>30000</v>
      </c>
      <c r="Q112" s="68" t="n">
        <f aca="false">P112/$M112</f>
        <v>1</v>
      </c>
      <c r="R112" s="67" t="n">
        <v>30000</v>
      </c>
      <c r="S112" s="68" t="n">
        <f aca="false">R112/$M112</f>
        <v>1</v>
      </c>
      <c r="T112" s="67" t="n">
        <v>30000</v>
      </c>
      <c r="U112" s="68" t="n">
        <f aca="false">T112/$M112</f>
        <v>1</v>
      </c>
      <c r="V112" s="66"/>
      <c r="W112" s="66"/>
    </row>
    <row r="113" customFormat="false" ht="12.8" hidden="false" customHeight="false" outlineLevel="0" collapsed="false">
      <c r="A113" s="65"/>
      <c r="B113" s="10" t="n">
        <v>322001</v>
      </c>
      <c r="C113" s="10" t="s">
        <v>100</v>
      </c>
      <c r="D113" s="11"/>
      <c r="E113" s="66"/>
      <c r="F113" s="66"/>
      <c r="G113" s="66"/>
      <c r="H113" s="67" t="n">
        <v>10000</v>
      </c>
      <c r="I113" s="67"/>
      <c r="J113" s="67" t="n">
        <v>-10000</v>
      </c>
      <c r="K113" s="67"/>
      <c r="L113" s="67"/>
      <c r="M113" s="67" t="n">
        <f aca="false">H113+SUM(I113:L113)</f>
        <v>0</v>
      </c>
      <c r="N113" s="67" t="n">
        <v>0</v>
      </c>
      <c r="O113" s="68" t="e">
        <f aca="false">N113/$M113</f>
        <v>#DIV/0!</v>
      </c>
      <c r="P113" s="67" t="n">
        <v>0</v>
      </c>
      <c r="Q113" s="68" t="e">
        <f aca="false">P113/$M113</f>
        <v>#DIV/0!</v>
      </c>
      <c r="R113" s="67" t="n">
        <v>0</v>
      </c>
      <c r="S113" s="68" t="e">
        <f aca="false">R113/$M113</f>
        <v>#DIV/0!</v>
      </c>
      <c r="T113" s="67" t="n">
        <v>0</v>
      </c>
      <c r="U113" s="68" t="e">
        <f aca="false">T113/$M113</f>
        <v>#DIV/0!</v>
      </c>
      <c r="V113" s="66"/>
      <c r="W113" s="66"/>
    </row>
    <row r="114" customFormat="false" ht="12.8" hidden="true" customHeight="false" outlineLevel="0" collapsed="false">
      <c r="A114" s="65"/>
      <c r="B114" s="10" t="n">
        <v>322001</v>
      </c>
      <c r="C114" s="10" t="s">
        <v>101</v>
      </c>
      <c r="D114" s="11"/>
      <c r="E114" s="66" t="n">
        <v>50000</v>
      </c>
      <c r="F114" s="66" t="n">
        <v>0</v>
      </c>
      <c r="G114" s="66" t="n">
        <v>113000</v>
      </c>
      <c r="H114" s="66" t="n">
        <v>0</v>
      </c>
      <c r="I114" s="66"/>
      <c r="J114" s="66"/>
      <c r="K114" s="66"/>
      <c r="L114" s="66"/>
      <c r="M114" s="66" t="n">
        <f aca="false">H114+SUM(I114:L114)</f>
        <v>0</v>
      </c>
      <c r="N114" s="66" t="n">
        <v>0</v>
      </c>
      <c r="O114" s="69" t="e">
        <f aca="false">N114/$M114</f>
        <v>#DIV/0!</v>
      </c>
      <c r="P114" s="66" t="n">
        <v>0</v>
      </c>
      <c r="Q114" s="69" t="e">
        <f aca="false">P114/$M114</f>
        <v>#DIV/0!</v>
      </c>
      <c r="R114" s="66" t="n">
        <v>0</v>
      </c>
      <c r="S114" s="69" t="e">
        <f aca="false">R114/$M114</f>
        <v>#DIV/0!</v>
      </c>
      <c r="T114" s="66" t="n">
        <v>0</v>
      </c>
      <c r="U114" s="69" t="e">
        <f aca="false">T114/$M114</f>
        <v>#DIV/0!</v>
      </c>
      <c r="V114" s="66"/>
      <c r="W114" s="66"/>
    </row>
    <row r="115" customFormat="false" ht="12.8" hidden="false" customHeight="false" outlineLevel="0" collapsed="false">
      <c r="A115" s="65"/>
      <c r="B115" s="10" t="n">
        <v>331001</v>
      </c>
      <c r="C115" s="10" t="s">
        <v>102</v>
      </c>
      <c r="D115" s="11"/>
      <c r="E115" s="66"/>
      <c r="F115" s="66"/>
      <c r="G115" s="66"/>
      <c r="H115" s="66" t="n">
        <v>0</v>
      </c>
      <c r="I115" s="66"/>
      <c r="J115" s="66" t="n">
        <v>6430</v>
      </c>
      <c r="K115" s="66"/>
      <c r="L115" s="66"/>
      <c r="M115" s="66" t="n">
        <f aca="false">H115+SUM(I115:L115)</f>
        <v>6430</v>
      </c>
      <c r="N115" s="66" t="n">
        <v>0</v>
      </c>
      <c r="O115" s="69" t="n">
        <f aca="false">N115/$M115</f>
        <v>0</v>
      </c>
      <c r="P115" s="66" t="n">
        <v>0</v>
      </c>
      <c r="Q115" s="69" t="n">
        <f aca="false">P115/$M115</f>
        <v>0</v>
      </c>
      <c r="R115" s="66" t="n">
        <v>5144</v>
      </c>
      <c r="S115" s="69" t="n">
        <f aca="false">R115/$M115</f>
        <v>0.8</v>
      </c>
      <c r="T115" s="66" t="n">
        <v>5144</v>
      </c>
      <c r="U115" s="69" t="n">
        <f aca="false">T115/$M115</f>
        <v>0.8</v>
      </c>
      <c r="V115" s="66"/>
      <c r="W115" s="66"/>
    </row>
    <row r="116" customFormat="false" ht="12.8" hidden="false" customHeight="false" outlineLevel="0" collapsed="false">
      <c r="A116" s="70" t="s">
        <v>103</v>
      </c>
      <c r="B116" s="13" t="n">
        <v>111</v>
      </c>
      <c r="C116" s="13" t="s">
        <v>22</v>
      </c>
      <c r="D116" s="14" t="n">
        <f aca="false">SUM(D86:D115)</f>
        <v>486713.67</v>
      </c>
      <c r="E116" s="14" t="n">
        <f aca="false">SUM(E86:E115)</f>
        <v>564326.47</v>
      </c>
      <c r="F116" s="14" t="n">
        <f aca="false">SUM(F86:F115)</f>
        <v>1994042</v>
      </c>
      <c r="G116" s="14" t="n">
        <f aca="false">SUM(G86:G115)</f>
        <v>611082.49</v>
      </c>
      <c r="H116" s="14" t="n">
        <f aca="false">SUM(H86:H115)</f>
        <v>2226396</v>
      </c>
      <c r="I116" s="14" t="n">
        <f aca="false">SUM(I86:I115)</f>
        <v>300</v>
      </c>
      <c r="J116" s="14" t="n">
        <f aca="false">SUM(J86:J115)</f>
        <v>-2939</v>
      </c>
      <c r="K116" s="14" t="n">
        <f aca="false">SUM(K86:K115)</f>
        <v>0</v>
      </c>
      <c r="L116" s="14" t="n">
        <f aca="false">SUM(L86:L115)</f>
        <v>0</v>
      </c>
      <c r="M116" s="14" t="n">
        <f aca="false">SUM(M86:M115)</f>
        <v>2223757</v>
      </c>
      <c r="N116" s="14" t="n">
        <f aca="false">SUM(N86:N115)</f>
        <v>142990.28</v>
      </c>
      <c r="O116" s="15" t="n">
        <f aca="false">N116/$M116</f>
        <v>0.0643012163649176</v>
      </c>
      <c r="P116" s="14" t="n">
        <f aca="false">SUM(P86:P115)</f>
        <v>293918.85</v>
      </c>
      <c r="Q116" s="15" t="n">
        <f aca="false">P116/$M116</f>
        <v>0.132172197771609</v>
      </c>
      <c r="R116" s="14" t="n">
        <f aca="false">SUM(R86:R115)</f>
        <v>419671.26</v>
      </c>
      <c r="S116" s="15" t="n">
        <f aca="false">R116/$M116</f>
        <v>0.188721726339703</v>
      </c>
      <c r="T116" s="14" t="n">
        <f aca="false">SUM(T86:T115)</f>
        <v>1081145.62</v>
      </c>
      <c r="U116" s="15" t="n">
        <f aca="false">T116/$M116</f>
        <v>0.486179748956383</v>
      </c>
      <c r="V116" s="14" t="n">
        <f aca="false">SUM(V86:V115)</f>
        <v>501366</v>
      </c>
      <c r="W116" s="14" t="n">
        <f aca="false">SUM(W86:W115)</f>
        <v>499866</v>
      </c>
    </row>
    <row r="117" customFormat="false" ht="12.8" hidden="false" customHeight="false" outlineLevel="0" collapsed="false">
      <c r="A117" s="71" t="s">
        <v>49</v>
      </c>
      <c r="B117" s="10" t="n">
        <v>311</v>
      </c>
      <c r="C117" s="10" t="s">
        <v>104</v>
      </c>
      <c r="D117" s="11" t="n">
        <v>1317.12</v>
      </c>
      <c r="E117" s="66" t="n">
        <v>700</v>
      </c>
      <c r="F117" s="66" t="n">
        <v>700</v>
      </c>
      <c r="G117" s="66" t="n">
        <v>1400</v>
      </c>
      <c r="H117" s="67" t="n">
        <v>1400</v>
      </c>
      <c r="I117" s="67"/>
      <c r="J117" s="67"/>
      <c r="K117" s="67"/>
      <c r="L117" s="67"/>
      <c r="M117" s="67" t="n">
        <f aca="false">H117+SUM(I117:L117)</f>
        <v>1400</v>
      </c>
      <c r="N117" s="67" t="n">
        <v>0</v>
      </c>
      <c r="O117" s="68" t="n">
        <f aca="false">N117/$M117</f>
        <v>0</v>
      </c>
      <c r="P117" s="67" t="n">
        <v>1400</v>
      </c>
      <c r="Q117" s="68" t="n">
        <f aca="false">P117/$M117</f>
        <v>1</v>
      </c>
      <c r="R117" s="67" t="n">
        <v>1400</v>
      </c>
      <c r="S117" s="68" t="n">
        <f aca="false">R117/$M117</f>
        <v>1</v>
      </c>
      <c r="T117" s="67" t="n">
        <v>1400</v>
      </c>
      <c r="U117" s="68" t="n">
        <f aca="false">T117/$M117</f>
        <v>1</v>
      </c>
      <c r="V117" s="66" t="n">
        <f aca="false">H117</f>
        <v>1400</v>
      </c>
      <c r="W117" s="66" t="n">
        <f aca="false">V117</f>
        <v>1400</v>
      </c>
    </row>
    <row r="118" customFormat="false" ht="12.8" hidden="false" customHeight="false" outlineLevel="0" collapsed="false">
      <c r="A118" s="70" t="s">
        <v>103</v>
      </c>
      <c r="B118" s="13" t="n">
        <v>71</v>
      </c>
      <c r="C118" s="13" t="s">
        <v>24</v>
      </c>
      <c r="D118" s="14" t="n">
        <f aca="false">SUM(D117:D117)</f>
        <v>1317.12</v>
      </c>
      <c r="E118" s="14" t="n">
        <f aca="false">SUM(E117:E117)</f>
        <v>700</v>
      </c>
      <c r="F118" s="14" t="n">
        <f aca="false">SUM(F117:F117)</f>
        <v>700</v>
      </c>
      <c r="G118" s="14" t="n">
        <f aca="false">SUM(G117:G117)</f>
        <v>1400</v>
      </c>
      <c r="H118" s="14" t="n">
        <f aca="false">SUM(H117:H117)</f>
        <v>1400</v>
      </c>
      <c r="I118" s="14" t="n">
        <f aca="false">SUM(I117:I117)</f>
        <v>0</v>
      </c>
      <c r="J118" s="14" t="n">
        <f aca="false">SUM(J117:J117)</f>
        <v>0</v>
      </c>
      <c r="K118" s="14" t="n">
        <f aca="false">SUM(K117:K117)</f>
        <v>0</v>
      </c>
      <c r="L118" s="14" t="n">
        <f aca="false">SUM(L117:L117)</f>
        <v>0</v>
      </c>
      <c r="M118" s="14" t="n">
        <f aca="false">SUM(M117:M117)</f>
        <v>1400</v>
      </c>
      <c r="N118" s="14" t="n">
        <f aca="false">SUM(N117:N117)</f>
        <v>0</v>
      </c>
      <c r="O118" s="15" t="n">
        <f aca="false">N118/$M118</f>
        <v>0</v>
      </c>
      <c r="P118" s="14" t="n">
        <f aca="false">SUM(P117:P117)</f>
        <v>1400</v>
      </c>
      <c r="Q118" s="15" t="n">
        <f aca="false">P118/$M118</f>
        <v>1</v>
      </c>
      <c r="R118" s="14" t="n">
        <f aca="false">SUM(R117:R117)</f>
        <v>1400</v>
      </c>
      <c r="S118" s="15" t="n">
        <f aca="false">R118/$M118</f>
        <v>1</v>
      </c>
      <c r="T118" s="14" t="n">
        <f aca="false">SUM(T117:T117)</f>
        <v>1400</v>
      </c>
      <c r="U118" s="15" t="n">
        <f aca="false">T118/$M118</f>
        <v>1</v>
      </c>
      <c r="V118" s="14" t="n">
        <f aca="false">SUM(V117:V117)</f>
        <v>1400</v>
      </c>
      <c r="W118" s="14" t="n">
        <f aca="false">SUM(W117:W117)</f>
        <v>1400</v>
      </c>
    </row>
    <row r="119" customFormat="false" ht="12.8" hidden="false" customHeight="false" outlineLevel="0" collapsed="false">
      <c r="A119" s="71" t="s">
        <v>49</v>
      </c>
      <c r="B119" s="10" t="n">
        <v>311</v>
      </c>
      <c r="C119" s="10" t="s">
        <v>104</v>
      </c>
      <c r="D119" s="11" t="n">
        <v>0</v>
      </c>
      <c r="E119" s="66" t="n">
        <v>0</v>
      </c>
      <c r="F119" s="66" t="n">
        <v>0</v>
      </c>
      <c r="G119" s="66" t="n">
        <v>0</v>
      </c>
      <c r="H119" s="67" t="n">
        <v>900</v>
      </c>
      <c r="I119" s="67"/>
      <c r="J119" s="67"/>
      <c r="K119" s="67"/>
      <c r="L119" s="67"/>
      <c r="M119" s="67" t="n">
        <f aca="false">H119+SUM(I119:L119)</f>
        <v>900</v>
      </c>
      <c r="N119" s="67" t="n">
        <v>10.16</v>
      </c>
      <c r="O119" s="68" t="n">
        <f aca="false">N119/$M119</f>
        <v>0.0112888888888889</v>
      </c>
      <c r="P119" s="67" t="n">
        <v>30.49</v>
      </c>
      <c r="Q119" s="68" t="n">
        <f aca="false">P119/$M119</f>
        <v>0.0338777777777778</v>
      </c>
      <c r="R119" s="67" t="n">
        <v>30.49</v>
      </c>
      <c r="S119" s="68" t="n">
        <f aca="false">R119/$M119</f>
        <v>0.0338777777777778</v>
      </c>
      <c r="T119" s="67" t="n">
        <v>652.21</v>
      </c>
      <c r="U119" s="68" t="n">
        <f aca="false">T119/$M119</f>
        <v>0.724677777777778</v>
      </c>
      <c r="V119" s="66" t="n">
        <f aca="false">H119</f>
        <v>900</v>
      </c>
      <c r="W119" s="66" t="n">
        <f aca="false">V119</f>
        <v>900</v>
      </c>
    </row>
    <row r="120" customFormat="false" ht="12.8" hidden="false" customHeight="false" outlineLevel="0" collapsed="false">
      <c r="A120" s="71" t="s">
        <v>49</v>
      </c>
      <c r="B120" s="10" t="n">
        <v>311</v>
      </c>
      <c r="C120" s="10" t="s">
        <v>105</v>
      </c>
      <c r="D120" s="11" t="n">
        <v>0</v>
      </c>
      <c r="E120" s="66" t="n">
        <v>0</v>
      </c>
      <c r="F120" s="66" t="n">
        <v>0</v>
      </c>
      <c r="G120" s="66" t="n">
        <v>0</v>
      </c>
      <c r="H120" s="67" t="n">
        <v>0</v>
      </c>
      <c r="I120" s="67"/>
      <c r="J120" s="67" t="n">
        <v>2760</v>
      </c>
      <c r="K120" s="67"/>
      <c r="L120" s="67"/>
      <c r="M120" s="67" t="n">
        <f aca="false">H120+SUM(I120:L120)</f>
        <v>2760</v>
      </c>
      <c r="N120" s="67" t="n">
        <v>31.94</v>
      </c>
      <c r="O120" s="68" t="n">
        <f aca="false">N120/$M120</f>
        <v>0.0115724637681159</v>
      </c>
      <c r="P120" s="67" t="n">
        <v>3785.83</v>
      </c>
      <c r="Q120" s="68" t="n">
        <f aca="false">P120/$M120</f>
        <v>1.37167753623188</v>
      </c>
      <c r="R120" s="67" t="n">
        <v>3785.83</v>
      </c>
      <c r="S120" s="68" t="n">
        <f aca="false">R120/$M120</f>
        <v>1.37167753623188</v>
      </c>
      <c r="T120" s="67" t="n">
        <v>5883.01</v>
      </c>
      <c r="U120" s="68" t="n">
        <f aca="false">T120/$M120</f>
        <v>2.13152536231884</v>
      </c>
      <c r="V120" s="66" t="n">
        <f aca="false">H120</f>
        <v>0</v>
      </c>
      <c r="W120" s="66" t="n">
        <f aca="false">V120</f>
        <v>0</v>
      </c>
    </row>
    <row r="121" customFormat="false" ht="12.8" hidden="false" customHeight="false" outlineLevel="0" collapsed="false">
      <c r="A121" s="70" t="s">
        <v>103</v>
      </c>
      <c r="B121" s="13" t="n">
        <v>72</v>
      </c>
      <c r="C121" s="13" t="s">
        <v>25</v>
      </c>
      <c r="D121" s="14" t="n">
        <f aca="false">SUM(D119:D119)</f>
        <v>0</v>
      </c>
      <c r="E121" s="14" t="n">
        <f aca="false">SUM(E119:E119)</f>
        <v>0</v>
      </c>
      <c r="F121" s="14" t="n">
        <f aca="false">SUM(F119:F119)</f>
        <v>0</v>
      </c>
      <c r="G121" s="14" t="n">
        <f aca="false">SUM(G119:G119)</f>
        <v>0</v>
      </c>
      <c r="H121" s="14" t="n">
        <f aca="false">SUM(H119:H120)</f>
        <v>900</v>
      </c>
      <c r="I121" s="14" t="n">
        <f aca="false">SUM(I119:I120)</f>
        <v>0</v>
      </c>
      <c r="J121" s="14" t="n">
        <f aca="false">SUM(J119:J120)</f>
        <v>2760</v>
      </c>
      <c r="K121" s="14" t="n">
        <f aca="false">SUM(K119:K120)</f>
        <v>0</v>
      </c>
      <c r="L121" s="14" t="n">
        <f aca="false">SUM(L119:L120)</f>
        <v>0</v>
      </c>
      <c r="M121" s="14" t="n">
        <f aca="false">SUM(M119:M120)</f>
        <v>3660</v>
      </c>
      <c r="N121" s="14" t="n">
        <f aca="false">SUM(N119:N120)</f>
        <v>42.1</v>
      </c>
      <c r="O121" s="15" t="n">
        <f aca="false">N121/$M121</f>
        <v>0.0115027322404372</v>
      </c>
      <c r="P121" s="14" t="n">
        <f aca="false">SUM(P119:P120)</f>
        <v>3816.32</v>
      </c>
      <c r="Q121" s="15" t="n">
        <f aca="false">P121/$M121</f>
        <v>1.04271038251366</v>
      </c>
      <c r="R121" s="14" t="n">
        <f aca="false">SUM(R119:R120)</f>
        <v>3816.32</v>
      </c>
      <c r="S121" s="15" t="n">
        <f aca="false">R121/$M121</f>
        <v>1.04271038251366</v>
      </c>
      <c r="T121" s="14" t="n">
        <f aca="false">SUM(T119:T120)</f>
        <v>6535.22</v>
      </c>
      <c r="U121" s="15" t="n">
        <f aca="false">T121/$M121</f>
        <v>1.78557923497268</v>
      </c>
      <c r="V121" s="14" t="n">
        <f aca="false">SUM(V119:V119)</f>
        <v>900</v>
      </c>
      <c r="W121" s="14" t="n">
        <f aca="false">SUM(W119:W119)</f>
        <v>900</v>
      </c>
    </row>
    <row r="123" customFormat="false" ht="12.8" hidden="false" customHeight="false" outlineLevel="0" collapsed="false">
      <c r="A123" s="18" t="s">
        <v>106</v>
      </c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9"/>
      <c r="P123" s="18"/>
      <c r="Q123" s="19"/>
      <c r="R123" s="18"/>
      <c r="S123" s="19"/>
      <c r="T123" s="18"/>
      <c r="U123" s="19"/>
      <c r="V123" s="18"/>
      <c r="W123" s="18"/>
    </row>
    <row r="124" customFormat="false" ht="12.8" hidden="false" customHeight="false" outlineLevel="0" collapsed="false">
      <c r="A124" s="6"/>
      <c r="B124" s="6"/>
      <c r="C124" s="6"/>
      <c r="D124" s="7" t="s">
        <v>1</v>
      </c>
      <c r="E124" s="7" t="s">
        <v>2</v>
      </c>
      <c r="F124" s="7" t="s">
        <v>3</v>
      </c>
      <c r="G124" s="7" t="s">
        <v>4</v>
      </c>
      <c r="H124" s="7" t="s">
        <v>5</v>
      </c>
      <c r="I124" s="7" t="s">
        <v>6</v>
      </c>
      <c r="J124" s="7" t="s">
        <v>7</v>
      </c>
      <c r="K124" s="7" t="s">
        <v>8</v>
      </c>
      <c r="L124" s="7" t="s">
        <v>9</v>
      </c>
      <c r="M124" s="7" t="s">
        <v>10</v>
      </c>
      <c r="N124" s="7" t="s">
        <v>11</v>
      </c>
      <c r="O124" s="8" t="s">
        <v>12</v>
      </c>
      <c r="P124" s="7" t="s">
        <v>13</v>
      </c>
      <c r="Q124" s="8" t="s">
        <v>14</v>
      </c>
      <c r="R124" s="7" t="s">
        <v>15</v>
      </c>
      <c r="S124" s="8" t="s">
        <v>16</v>
      </c>
      <c r="T124" s="7" t="s">
        <v>17</v>
      </c>
      <c r="U124" s="8" t="s">
        <v>18</v>
      </c>
      <c r="V124" s="7" t="s">
        <v>19</v>
      </c>
      <c r="W124" s="7" t="s">
        <v>20</v>
      </c>
    </row>
    <row r="125" customFormat="false" ht="12.8" hidden="false" customHeight="false" outlineLevel="0" collapsed="false">
      <c r="A125" s="20" t="s">
        <v>21</v>
      </c>
      <c r="B125" s="21" t="n">
        <v>131</v>
      </c>
      <c r="C125" s="21" t="s">
        <v>47</v>
      </c>
      <c r="D125" s="22" t="n">
        <f aca="false">D131</f>
        <v>17330.41</v>
      </c>
      <c r="E125" s="22" t="n">
        <v>3513</v>
      </c>
      <c r="F125" s="22" t="n">
        <f aca="false">F131</f>
        <v>0</v>
      </c>
      <c r="G125" s="22" t="n">
        <f aca="false">G131</f>
        <v>1030.96</v>
      </c>
      <c r="H125" s="22" t="n">
        <f aca="false">H131</f>
        <v>116854</v>
      </c>
      <c r="I125" s="22" t="n">
        <f aca="false">I131</f>
        <v>0</v>
      </c>
      <c r="J125" s="22" t="n">
        <f aca="false">J131</f>
        <v>0</v>
      </c>
      <c r="K125" s="22" t="n">
        <f aca="false">K131</f>
        <v>0</v>
      </c>
      <c r="L125" s="22" t="n">
        <f aca="false">L131</f>
        <v>0</v>
      </c>
      <c r="M125" s="22" t="n">
        <f aca="false">M131</f>
        <v>116854</v>
      </c>
      <c r="N125" s="22" t="n">
        <f aca="false">N131</f>
        <v>0</v>
      </c>
      <c r="O125" s="23" t="n">
        <f aca="false">N125/$M125</f>
        <v>0</v>
      </c>
      <c r="P125" s="22" t="n">
        <f aca="false">P131</f>
        <v>116750.27</v>
      </c>
      <c r="Q125" s="23" t="n">
        <f aca="false">P125/$M125</f>
        <v>0.999112311089051</v>
      </c>
      <c r="R125" s="22" t="n">
        <f aca="false">R131</f>
        <v>116750.27</v>
      </c>
      <c r="S125" s="23" t="n">
        <f aca="false">R125/$M125</f>
        <v>0.999112311089051</v>
      </c>
      <c r="T125" s="22" t="n">
        <f aca="false">T131</f>
        <v>116750.27</v>
      </c>
      <c r="U125" s="23" t="n">
        <f aca="false">T125/$M125</f>
        <v>0.999112311089051</v>
      </c>
      <c r="V125" s="22" t="n">
        <f aca="false">V131</f>
        <v>0</v>
      </c>
      <c r="W125" s="22" t="n">
        <f aca="false">W131</f>
        <v>0</v>
      </c>
    </row>
    <row r="126" customFormat="false" ht="12.8" hidden="false" customHeight="false" outlineLevel="0" collapsed="false">
      <c r="A126" s="20"/>
      <c r="B126" s="21" t="n">
        <v>41</v>
      </c>
      <c r="C126" s="21" t="s">
        <v>23</v>
      </c>
      <c r="D126" s="22" t="n">
        <f aca="false">D132</f>
        <v>12173.51</v>
      </c>
      <c r="E126" s="22" t="n">
        <f aca="false">E132</f>
        <v>11270.57</v>
      </c>
      <c r="F126" s="22" t="n">
        <f aca="false">F133</f>
        <v>147240</v>
      </c>
      <c r="G126" s="22" t="n">
        <f aca="false">G132+G133</f>
        <v>191209</v>
      </c>
      <c r="H126" s="22" t="n">
        <f aca="false">H132+H133</f>
        <v>338753</v>
      </c>
      <c r="I126" s="22" t="n">
        <f aca="false">I132+I133</f>
        <v>0</v>
      </c>
      <c r="J126" s="22" t="n">
        <f aca="false">J132+J133</f>
        <v>0</v>
      </c>
      <c r="K126" s="22" t="n">
        <f aca="false">K132+K133</f>
        <v>0</v>
      </c>
      <c r="L126" s="22" t="n">
        <f aca="false">L132+L133</f>
        <v>0</v>
      </c>
      <c r="M126" s="22" t="n">
        <f aca="false">M132+M133</f>
        <v>338753</v>
      </c>
      <c r="N126" s="22" t="n">
        <f aca="false">N132+N133</f>
        <v>0</v>
      </c>
      <c r="O126" s="23" t="n">
        <f aca="false">N126/$M126</f>
        <v>0</v>
      </c>
      <c r="P126" s="22" t="n">
        <f aca="false">P132+P133</f>
        <v>335003</v>
      </c>
      <c r="Q126" s="23" t="n">
        <f aca="false">P126/$M126</f>
        <v>0.988929987335906</v>
      </c>
      <c r="R126" s="22" t="n">
        <f aca="false">R132+R133</f>
        <v>335003</v>
      </c>
      <c r="S126" s="23" t="n">
        <f aca="false">R126/$M126</f>
        <v>0.988929987335906</v>
      </c>
      <c r="T126" s="22" t="n">
        <f aca="false">T132+T133</f>
        <v>335003</v>
      </c>
      <c r="U126" s="23" t="n">
        <f aca="false">T126/$M126</f>
        <v>0.988929987335906</v>
      </c>
      <c r="V126" s="22" t="n">
        <f aca="false">V132+V133</f>
        <v>0</v>
      </c>
      <c r="W126" s="22" t="n">
        <f aca="false">W132+W133</f>
        <v>0</v>
      </c>
    </row>
    <row r="127" customFormat="false" ht="12.8" hidden="false" customHeight="false" outlineLevel="0" collapsed="false">
      <c r="A127" s="20"/>
      <c r="B127" s="21" t="n">
        <v>52</v>
      </c>
      <c r="C127" s="21" t="s">
        <v>28</v>
      </c>
      <c r="D127" s="22" t="n">
        <v>0</v>
      </c>
      <c r="E127" s="22" t="n">
        <v>0</v>
      </c>
      <c r="F127" s="22" t="n">
        <f aca="false">F135</f>
        <v>60000</v>
      </c>
      <c r="G127" s="22" t="n">
        <f aca="false">G135</f>
        <v>0</v>
      </c>
      <c r="H127" s="22" t="n">
        <f aca="false">H135</f>
        <v>0</v>
      </c>
      <c r="I127" s="22" t="n">
        <f aca="false">I135</f>
        <v>0</v>
      </c>
      <c r="J127" s="22" t="n">
        <f aca="false">J135</f>
        <v>0</v>
      </c>
      <c r="K127" s="22" t="n">
        <f aca="false">K135</f>
        <v>0</v>
      </c>
      <c r="L127" s="22" t="n">
        <f aca="false">L135</f>
        <v>0</v>
      </c>
      <c r="M127" s="22" t="n">
        <f aca="false">M135</f>
        <v>0</v>
      </c>
      <c r="N127" s="22" t="n">
        <f aca="false">N135</f>
        <v>0</v>
      </c>
      <c r="O127" s="23" t="e">
        <f aca="false">N127/$M127</f>
        <v>#DIV/0!</v>
      </c>
      <c r="P127" s="22" t="n">
        <f aca="false">P135</f>
        <v>0</v>
      </c>
      <c r="Q127" s="23" t="e">
        <f aca="false">P127/$M127</f>
        <v>#DIV/0!</v>
      </c>
      <c r="R127" s="22" t="n">
        <f aca="false">R135</f>
        <v>0</v>
      </c>
      <c r="S127" s="23" t="e">
        <f aca="false">R127/$M127</f>
        <v>#DIV/0!</v>
      </c>
      <c r="T127" s="22" t="n">
        <f aca="false">T135</f>
        <v>0</v>
      </c>
      <c r="U127" s="23" t="e">
        <f aca="false">T127/$M127</f>
        <v>#DIV/0!</v>
      </c>
      <c r="V127" s="22" t="n">
        <f aca="false">V135</f>
        <v>0</v>
      </c>
      <c r="W127" s="22" t="n">
        <f aca="false">W135</f>
        <v>0</v>
      </c>
    </row>
    <row r="128" customFormat="false" ht="12.8" hidden="false" customHeight="false" outlineLevel="0" collapsed="false">
      <c r="A128" s="20"/>
      <c r="B128" s="21" t="n">
        <v>71</v>
      </c>
      <c r="C128" s="21" t="s">
        <v>24</v>
      </c>
      <c r="D128" s="22" t="n">
        <f aca="false">D134</f>
        <v>0</v>
      </c>
      <c r="E128" s="22" t="n">
        <f aca="false">E134</f>
        <v>0</v>
      </c>
      <c r="F128" s="22" t="n">
        <f aca="false">F134</f>
        <v>0</v>
      </c>
      <c r="G128" s="22" t="n">
        <f aca="false">G134</f>
        <v>16000</v>
      </c>
      <c r="H128" s="22" t="n">
        <f aca="false">H134</f>
        <v>16000</v>
      </c>
      <c r="I128" s="22" t="n">
        <f aca="false">I134</f>
        <v>0</v>
      </c>
      <c r="J128" s="22" t="n">
        <f aca="false">J134</f>
        <v>59211</v>
      </c>
      <c r="K128" s="22" t="n">
        <f aca="false">K134</f>
        <v>0</v>
      </c>
      <c r="L128" s="22" t="n">
        <f aca="false">L134</f>
        <v>0</v>
      </c>
      <c r="M128" s="22" t="n">
        <f aca="false">M134</f>
        <v>75211</v>
      </c>
      <c r="N128" s="22" t="n">
        <f aca="false">N134</f>
        <v>10000</v>
      </c>
      <c r="O128" s="23" t="n">
        <f aca="false">N128/$M128</f>
        <v>0.132959274574198</v>
      </c>
      <c r="P128" s="22" t="n">
        <f aca="false">P134</f>
        <v>75210.5</v>
      </c>
      <c r="Q128" s="23" t="n">
        <f aca="false">P128/$M128</f>
        <v>0.999993352036271</v>
      </c>
      <c r="R128" s="22" t="n">
        <f aca="false">R134</f>
        <v>75210.5</v>
      </c>
      <c r="S128" s="23" t="n">
        <f aca="false">R128/$M128</f>
        <v>0.999993352036271</v>
      </c>
      <c r="T128" s="22" t="n">
        <f aca="false">T134</f>
        <v>75210.5</v>
      </c>
      <c r="U128" s="23" t="n">
        <f aca="false">T128/$M128</f>
        <v>0.999993352036271</v>
      </c>
      <c r="V128" s="22" t="n">
        <f aca="false">V134</f>
        <v>0</v>
      </c>
      <c r="W128" s="22" t="n">
        <f aca="false">W134</f>
        <v>0</v>
      </c>
    </row>
    <row r="129" customFormat="false" ht="12.8" hidden="false" customHeight="false" outlineLevel="0" collapsed="false">
      <c r="A129" s="16"/>
      <c r="B129" s="17"/>
      <c r="C129" s="24" t="s">
        <v>30</v>
      </c>
      <c r="D129" s="25" t="n">
        <f aca="false">SUM(D125:D128)</f>
        <v>29503.92</v>
      </c>
      <c r="E129" s="25" t="n">
        <f aca="false">SUM(E125:E128)</f>
        <v>14783.57</v>
      </c>
      <c r="F129" s="25" t="n">
        <f aca="false">SUM(F125:F128)</f>
        <v>207240</v>
      </c>
      <c r="G129" s="25" t="n">
        <f aca="false">SUM(G125:G128)</f>
        <v>208239.96</v>
      </c>
      <c r="H129" s="25" t="n">
        <f aca="false">SUM(H125:H128)</f>
        <v>471607</v>
      </c>
      <c r="I129" s="25" t="n">
        <f aca="false">SUM(I125:I128)</f>
        <v>0</v>
      </c>
      <c r="J129" s="25" t="n">
        <f aca="false">SUM(J125:J128)</f>
        <v>59211</v>
      </c>
      <c r="K129" s="25" t="n">
        <f aca="false">SUM(K125:K128)</f>
        <v>0</v>
      </c>
      <c r="L129" s="25" t="n">
        <f aca="false">SUM(L125:L128)</f>
        <v>0</v>
      </c>
      <c r="M129" s="25" t="n">
        <f aca="false">SUM(M125:M128)</f>
        <v>530818</v>
      </c>
      <c r="N129" s="25" t="n">
        <f aca="false">SUM(N125:N128)</f>
        <v>10000</v>
      </c>
      <c r="O129" s="26" t="n">
        <f aca="false">N129/$M129</f>
        <v>0.018838848720277</v>
      </c>
      <c r="P129" s="25" t="n">
        <f aca="false">SUM(P125:P128)</f>
        <v>526963.77</v>
      </c>
      <c r="Q129" s="26" t="n">
        <f aca="false">P129/$M129</f>
        <v>0.992739074409685</v>
      </c>
      <c r="R129" s="25" t="n">
        <f aca="false">SUM(R125:R128)</f>
        <v>526963.77</v>
      </c>
      <c r="S129" s="26" t="n">
        <f aca="false">R129/$M129</f>
        <v>0.992739074409685</v>
      </c>
      <c r="T129" s="25" t="n">
        <f aca="false">SUM(T125:T128)</f>
        <v>526963.77</v>
      </c>
      <c r="U129" s="26" t="n">
        <f aca="false">T129/$M129</f>
        <v>0.992739074409685</v>
      </c>
      <c r="V129" s="25" t="n">
        <f aca="false">SUM(V125:V128)</f>
        <v>0</v>
      </c>
      <c r="W129" s="25" t="n">
        <f aca="false">SUM(W125:W128)</f>
        <v>0</v>
      </c>
    </row>
    <row r="131" customFormat="false" ht="12.8" hidden="false" customHeight="false" outlineLevel="0" collapsed="false">
      <c r="B131" s="39" t="s">
        <v>57</v>
      </c>
      <c r="C131" s="16" t="s">
        <v>107</v>
      </c>
      <c r="D131" s="40" t="n">
        <v>17330.41</v>
      </c>
      <c r="E131" s="40" t="n">
        <v>3513.02</v>
      </c>
      <c r="F131" s="40"/>
      <c r="G131" s="40" t="n">
        <v>1030.96</v>
      </c>
      <c r="H131" s="40" t="n">
        <f aca="false">ROUND(2813.98+103.69+936.29+113000,0)</f>
        <v>116854</v>
      </c>
      <c r="I131" s="40"/>
      <c r="J131" s="40"/>
      <c r="K131" s="40"/>
      <c r="L131" s="40"/>
      <c r="M131" s="40" t="n">
        <f aca="false">H131+SUM(I131:L131)</f>
        <v>116854</v>
      </c>
      <c r="N131" s="40" t="n">
        <v>0</v>
      </c>
      <c r="O131" s="41" t="n">
        <f aca="false">N131/$M131</f>
        <v>0</v>
      </c>
      <c r="P131" s="40" t="n">
        <v>116750.27</v>
      </c>
      <c r="Q131" s="41" t="n">
        <f aca="false">P131/$M131</f>
        <v>0.999112311089051</v>
      </c>
      <c r="R131" s="40" t="n">
        <v>116750.27</v>
      </c>
      <c r="S131" s="41" t="n">
        <f aca="false">R131/$M131</f>
        <v>0.999112311089051</v>
      </c>
      <c r="T131" s="40" t="n">
        <v>116750.27</v>
      </c>
      <c r="U131" s="42" t="n">
        <f aca="false">T131/$M131</f>
        <v>0.999112311089051</v>
      </c>
      <c r="V131" s="43"/>
      <c r="W131" s="44"/>
    </row>
    <row r="132" customFormat="false" ht="12.8" hidden="false" customHeight="false" outlineLevel="0" collapsed="false">
      <c r="B132" s="45"/>
      <c r="C132" s="1" t="s">
        <v>108</v>
      </c>
      <c r="D132" s="47" t="n">
        <v>12173.51</v>
      </c>
      <c r="E132" s="47" t="n">
        <f aca="false">199703.57-188433</f>
        <v>11270.57</v>
      </c>
      <c r="F132" s="47" t="n">
        <v>0</v>
      </c>
      <c r="G132" s="47" t="n">
        <v>58819</v>
      </c>
      <c r="H132" s="47" t="n">
        <f aca="false">ROUND(1456.72+352949.46+347.09,0)-H134-H133</f>
        <v>152312</v>
      </c>
      <c r="I132" s="47"/>
      <c r="J132" s="47"/>
      <c r="K132" s="47"/>
      <c r="L132" s="47"/>
      <c r="M132" s="47" t="n">
        <f aca="false">H132+SUM(I132:L132)</f>
        <v>152312</v>
      </c>
      <c r="N132" s="47" t="n">
        <v>0</v>
      </c>
      <c r="O132" s="2" t="n">
        <f aca="false">N132/$M132</f>
        <v>0</v>
      </c>
      <c r="P132" s="47" t="n">
        <v>148562</v>
      </c>
      <c r="Q132" s="2" t="n">
        <f aca="false">P132/$M132</f>
        <v>0.975379484216608</v>
      </c>
      <c r="R132" s="47" t="n">
        <v>148562</v>
      </c>
      <c r="S132" s="2" t="n">
        <f aca="false">R132/$M132</f>
        <v>0.975379484216608</v>
      </c>
      <c r="T132" s="47" t="n">
        <v>148582.56</v>
      </c>
      <c r="U132" s="48" t="n">
        <f aca="false">T132/$M132</f>
        <v>0.97551447029781</v>
      </c>
      <c r="V132" s="49"/>
      <c r="W132" s="50"/>
    </row>
    <row r="133" customFormat="false" ht="12.8" hidden="false" customHeight="false" outlineLevel="0" collapsed="false">
      <c r="B133" s="45"/>
      <c r="C133" s="46" t="s">
        <v>109</v>
      </c>
      <c r="D133" s="47"/>
      <c r="E133" s="47" t="n">
        <f aca="false">6887.05-6887.05</f>
        <v>0</v>
      </c>
      <c r="F133" s="47" t="n">
        <v>147240</v>
      </c>
      <c r="G133" s="51" t="n">
        <v>132390</v>
      </c>
      <c r="H133" s="47" t="n">
        <f aca="false">ROUND(188432.61+49173.88,0)-G133+81225</f>
        <v>186441</v>
      </c>
      <c r="I133" s="47"/>
      <c r="J133" s="47"/>
      <c r="K133" s="47"/>
      <c r="L133" s="47"/>
      <c r="M133" s="47" t="n">
        <f aca="false">H133+SUM(I133:L133)</f>
        <v>186441</v>
      </c>
      <c r="N133" s="47" t="n">
        <v>0</v>
      </c>
      <c r="O133" s="2" t="n">
        <f aca="false">N133/$M133</f>
        <v>0</v>
      </c>
      <c r="P133" s="47" t="n">
        <v>186441</v>
      </c>
      <c r="Q133" s="2" t="n">
        <f aca="false">P133/$M133</f>
        <v>1</v>
      </c>
      <c r="R133" s="47" t="n">
        <v>186441</v>
      </c>
      <c r="S133" s="2" t="n">
        <f aca="false">R133/$M133</f>
        <v>1</v>
      </c>
      <c r="T133" s="47" t="n">
        <v>186420.44</v>
      </c>
      <c r="U133" s="48" t="n">
        <f aca="false">T133/$M133</f>
        <v>0.999889723826841</v>
      </c>
      <c r="V133" s="49"/>
      <c r="W133" s="50"/>
    </row>
    <row r="134" customFormat="false" ht="12.8" hidden="false" customHeight="false" outlineLevel="0" collapsed="false">
      <c r="B134" s="45"/>
      <c r="C134" s="46" t="s">
        <v>110</v>
      </c>
      <c r="D134" s="47"/>
      <c r="E134" s="47"/>
      <c r="F134" s="47"/>
      <c r="G134" s="51" t="n">
        <v>16000</v>
      </c>
      <c r="H134" s="47" t="n">
        <v>16000</v>
      </c>
      <c r="I134" s="47"/>
      <c r="J134" s="47" t="n">
        <f aca="false">700+58511</f>
        <v>59211</v>
      </c>
      <c r="K134" s="47"/>
      <c r="L134" s="47"/>
      <c r="M134" s="47" t="n">
        <f aca="false">H134+SUM(I134:L134)</f>
        <v>75211</v>
      </c>
      <c r="N134" s="47" t="n">
        <v>10000</v>
      </c>
      <c r="O134" s="2" t="n">
        <f aca="false">N134/$M134</f>
        <v>0.132959274574198</v>
      </c>
      <c r="P134" s="47" t="n">
        <v>75210.5</v>
      </c>
      <c r="Q134" s="2" t="n">
        <f aca="false">P134/$M134</f>
        <v>0.999993352036271</v>
      </c>
      <c r="R134" s="47" t="n">
        <v>75210.5</v>
      </c>
      <c r="S134" s="2" t="n">
        <f aca="false">R134/$M134</f>
        <v>0.999993352036271</v>
      </c>
      <c r="T134" s="47" t="n">
        <v>75210.5</v>
      </c>
      <c r="U134" s="48" t="n">
        <f aca="false">T134/$M134</f>
        <v>0.999993352036271</v>
      </c>
      <c r="V134" s="49"/>
      <c r="W134" s="50"/>
    </row>
    <row r="135" customFormat="false" ht="12.8" hidden="false" customHeight="false" outlineLevel="0" collapsed="false">
      <c r="B135" s="54"/>
      <c r="C135" s="72" t="s">
        <v>111</v>
      </c>
      <c r="D135" s="56"/>
      <c r="E135" s="56"/>
      <c r="F135" s="56" t="n">
        <v>60000</v>
      </c>
      <c r="G135" s="56" t="n">
        <v>0</v>
      </c>
      <c r="H135" s="56" t="n">
        <v>0</v>
      </c>
      <c r="I135" s="56"/>
      <c r="J135" s="56"/>
      <c r="K135" s="56"/>
      <c r="L135" s="56"/>
      <c r="M135" s="56" t="n">
        <f aca="false">H135+SUM(I135:L135)</f>
        <v>0</v>
      </c>
      <c r="N135" s="56" t="n">
        <v>0</v>
      </c>
      <c r="O135" s="57" t="e">
        <f aca="false">N135/$M135</f>
        <v>#DIV/0!</v>
      </c>
      <c r="P135" s="56" t="n">
        <v>0</v>
      </c>
      <c r="Q135" s="57" t="e">
        <f aca="false">P135/$M135</f>
        <v>#DIV/0!</v>
      </c>
      <c r="R135" s="56" t="n">
        <v>0</v>
      </c>
      <c r="S135" s="57" t="e">
        <f aca="false">R135/$M135</f>
        <v>#DIV/0!</v>
      </c>
      <c r="T135" s="56" t="n">
        <v>0</v>
      </c>
      <c r="U135" s="58" t="e">
        <f aca="false">T135/$M135</f>
        <v>#DIV/0!</v>
      </c>
      <c r="V135" s="59"/>
      <c r="W135" s="60"/>
    </row>
    <row r="137" customFormat="false" ht="12.8" hidden="false" customHeight="false" outlineLevel="0" collapsed="false">
      <c r="A137" s="18" t="s">
        <v>112</v>
      </c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9"/>
      <c r="P137" s="18"/>
      <c r="Q137" s="19"/>
      <c r="R137" s="18"/>
      <c r="S137" s="19"/>
      <c r="T137" s="18"/>
      <c r="U137" s="19"/>
      <c r="V137" s="18"/>
      <c r="W137" s="18"/>
    </row>
    <row r="138" customFormat="false" ht="12.8" hidden="false" customHeight="false" outlineLevel="0" collapsed="false">
      <c r="A138" s="6"/>
      <c r="B138" s="6"/>
      <c r="C138" s="6"/>
      <c r="D138" s="7" t="s">
        <v>1</v>
      </c>
      <c r="E138" s="7" t="s">
        <v>2</v>
      </c>
      <c r="F138" s="7" t="s">
        <v>3</v>
      </c>
      <c r="G138" s="7" t="s">
        <v>4</v>
      </c>
      <c r="H138" s="7" t="s">
        <v>5</v>
      </c>
      <c r="I138" s="7" t="s">
        <v>6</v>
      </c>
      <c r="J138" s="7" t="s">
        <v>7</v>
      </c>
      <c r="K138" s="7" t="s">
        <v>8</v>
      </c>
      <c r="L138" s="7" t="s">
        <v>9</v>
      </c>
      <c r="M138" s="7" t="s">
        <v>10</v>
      </c>
      <c r="N138" s="7" t="s">
        <v>11</v>
      </c>
      <c r="O138" s="8" t="s">
        <v>12</v>
      </c>
      <c r="P138" s="7" t="s">
        <v>13</v>
      </c>
      <c r="Q138" s="8" t="s">
        <v>14</v>
      </c>
      <c r="R138" s="7" t="s">
        <v>15</v>
      </c>
      <c r="S138" s="8" t="s">
        <v>16</v>
      </c>
      <c r="T138" s="7" t="s">
        <v>17</v>
      </c>
      <c r="U138" s="8" t="s">
        <v>18</v>
      </c>
      <c r="V138" s="7" t="s">
        <v>19</v>
      </c>
      <c r="W138" s="7" t="s">
        <v>20</v>
      </c>
    </row>
    <row r="139" customFormat="false" ht="12.8" hidden="false" customHeight="false" outlineLevel="0" collapsed="false">
      <c r="D139" s="22" t="n">
        <f aca="false">D21-výdaje!G20</f>
        <v>214163.49</v>
      </c>
      <c r="E139" s="22" t="n">
        <f aca="false">E21-výdaje!H20</f>
        <v>61186.0500000001</v>
      </c>
      <c r="F139" s="22" t="n">
        <f aca="false">F21-výdaje!I20</f>
        <v>0</v>
      </c>
      <c r="G139" s="22" t="n">
        <f aca="false">G21-výdaje!J20</f>
        <v>403186.8</v>
      </c>
      <c r="H139" s="22" t="n">
        <f aca="false">H21-výdaje!K20</f>
        <v>0</v>
      </c>
      <c r="I139" s="22" t="n">
        <f aca="false">I21-výdaje!L20</f>
        <v>0</v>
      </c>
      <c r="J139" s="22" t="n">
        <f aca="false">J21-výdaje!M20</f>
        <v>0</v>
      </c>
      <c r="K139" s="22" t="n">
        <f aca="false">K21-výdaje!N20</f>
        <v>0</v>
      </c>
      <c r="L139" s="22" t="n">
        <f aca="false">L21-výdaje!O20</f>
        <v>0</v>
      </c>
      <c r="M139" s="22" t="n">
        <f aca="false">M21-výdaje!P20</f>
        <v>0</v>
      </c>
      <c r="N139" s="22" t="n">
        <f aca="false">N21-výdaje!Q20</f>
        <v>175145.19</v>
      </c>
      <c r="O139" s="23" t="n">
        <f aca="false">O21-výdaje!AE20</f>
        <v>0.119367672692415</v>
      </c>
      <c r="P139" s="22" t="n">
        <f aca="false">P21-výdaje!S20</f>
        <v>483393.68</v>
      </c>
      <c r="Q139" s="23" t="n">
        <f aca="false">Q21-výdaje!AG20</f>
        <v>0.363129356918732</v>
      </c>
      <c r="R139" s="22" t="n">
        <f aca="false">R21-výdaje!U20</f>
        <v>415953.23</v>
      </c>
      <c r="S139" s="23" t="n">
        <f aca="false">S21-výdaje!AI20</f>
        <v>0.468181100851828</v>
      </c>
      <c r="T139" s="22" t="n">
        <f aca="false">T21-výdaje!W20</f>
        <v>175691.97</v>
      </c>
      <c r="U139" s="23" t="n">
        <f aca="false">U21-výdaje!AK20</f>
        <v>0.717004502524165</v>
      </c>
      <c r="V139" s="22" t="n">
        <f aca="false">V21-výdaje!Y20</f>
        <v>0</v>
      </c>
      <c r="W139" s="22" t="n">
        <f aca="false">W21-výdaje!Z20</f>
        <v>0</v>
      </c>
    </row>
  </sheetData>
  <mergeCells count="8">
    <mergeCell ref="A3:A20"/>
    <mergeCell ref="A30:A38"/>
    <mergeCell ref="A43:A45"/>
    <mergeCell ref="A52:A57"/>
    <mergeCell ref="A59:A60"/>
    <mergeCell ref="A79:A81"/>
    <mergeCell ref="A86:A115"/>
    <mergeCell ref="A125:A128"/>
  </mergeCells>
  <printOptions headings="false" gridLines="false" gridLinesSet="true" horizontalCentered="true" verticalCentered="false"/>
  <pageMargins left="0.236111111111111" right="0.236111111111111" top="0.438888888888889" bottom="0.438888888888889" header="0.3" footer="0.3"/>
  <pageSetup paperSize="9" scale="8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&amp;L&amp;"Arial,Standaard"&amp;10Čerpanie a plnenie rozpočtu 2018&amp;C&amp;"Arial,Standaard"&amp;10Obec Nesluša&amp;R&amp;"Arial,Standaard"&amp;10Stav k 31. 12. 2018</oddHeader>
    <oddFooter>&amp;L&amp;"Arial,Standaard"&amp;10Schválený: UOZ_I-12/2018&amp;R&amp;"Arial,Standaard"&amp;10Posledná úprava: starostka, 18. 12. 2018</oddFooter>
  </headerFooter>
  <rowBreaks count="4" manualBreakCount="4">
    <brk id="22" man="true" max="16383" min="0"/>
    <brk id="40" man="true" max="16383" min="0"/>
    <brk id="76" man="true" max="16383" min="0"/>
    <brk id="122" man="true" max="16383" min="0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B616"/>
  <sheetViews>
    <sheetView showFormulas="false" showGridLines="true" showRowColHeaders="true" showZeros="true" rightToLeft="false" tabSelected="false" showOutlineSymbols="true" defaultGridColor="false" view="normal" topLeftCell="D1" colorId="22" zoomScale="100" zoomScaleNormal="100" zoomScalePageLayoutView="100" workbookViewId="0">
      <selection pane="topLeft" activeCell="D1" activeCellId="0" sqref="D1"/>
    </sheetView>
  </sheetViews>
  <sheetFormatPr defaultRowHeight="12.8" zeroHeight="false" outlineLevelRow="0" outlineLevelCol="0"/>
  <cols>
    <col collapsed="false" customWidth="true" hidden="true" outlineLevel="0" max="1" min="1" style="1" width="2.7"/>
    <col collapsed="false" customWidth="true" hidden="true" outlineLevel="0" max="2" min="2" style="1" width="3.11"/>
    <col collapsed="false" customWidth="true" hidden="true" outlineLevel="0" max="3" min="3" style="1" width="2.97"/>
    <col collapsed="false" customWidth="true" hidden="false" outlineLevel="0" max="4" min="4" style="1" width="11.61"/>
    <col collapsed="false" customWidth="true" hidden="false" outlineLevel="0" max="5" min="5" style="1" width="8.64"/>
    <col collapsed="false" customWidth="true" hidden="false" outlineLevel="0" max="6" min="6" style="1" width="18.09"/>
    <col collapsed="false" customWidth="true" hidden="true" outlineLevel="0" max="10" min="7" style="1" width="11.22"/>
    <col collapsed="false" customWidth="true" hidden="false" outlineLevel="0" max="11" min="11" style="1" width="11.22"/>
    <col collapsed="false" customWidth="true" hidden="true" outlineLevel="0" max="15" min="12" style="1" width="10.97"/>
    <col collapsed="false" customWidth="true" hidden="false" outlineLevel="0" max="17" min="16" style="1" width="10.97"/>
    <col collapsed="false" customWidth="true" hidden="false" outlineLevel="0" max="18" min="18" style="2" width="5.46"/>
    <col collapsed="false" customWidth="true" hidden="false" outlineLevel="0" max="19" min="19" style="1" width="10.97"/>
    <col collapsed="false" customWidth="true" hidden="false" outlineLevel="0" max="20" min="20" style="2" width="5.46"/>
    <col collapsed="false" customWidth="true" hidden="false" outlineLevel="0" max="21" min="21" style="1" width="10.97"/>
    <col collapsed="false" customWidth="true" hidden="false" outlineLevel="0" max="22" min="22" style="2" width="5.46"/>
    <col collapsed="false" customWidth="true" hidden="false" outlineLevel="0" max="23" min="23" style="1" width="10.97"/>
    <col collapsed="false" customWidth="true" hidden="false" outlineLevel="0" max="24" min="24" style="2" width="5.46"/>
    <col collapsed="false" customWidth="true" hidden="true" outlineLevel="0" max="26" min="25" style="1" width="11.22"/>
    <col collapsed="false" customWidth="true" hidden="false" outlineLevel="0" max="1025" min="27" style="1" width="8.64"/>
  </cols>
  <sheetData>
    <row r="1" customFormat="false" ht="12.8" hidden="false" customHeight="false" outlineLevel="0" collapsed="false">
      <c r="A1" s="1" t="s">
        <v>113</v>
      </c>
      <c r="B1" s="1" t="s">
        <v>114</v>
      </c>
      <c r="C1" s="1" t="s">
        <v>115</v>
      </c>
      <c r="D1" s="3" t="s">
        <v>116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4"/>
      <c r="T1" s="5"/>
      <c r="U1" s="4"/>
      <c r="V1" s="5"/>
      <c r="W1" s="4"/>
      <c r="X1" s="5"/>
      <c r="Y1" s="4"/>
      <c r="Z1" s="4"/>
    </row>
    <row r="2" customFormat="false" ht="12.8" hidden="false" customHeight="false" outlineLevel="0" collapsed="false">
      <c r="D2" s="6"/>
      <c r="E2" s="6"/>
      <c r="F2" s="6"/>
      <c r="G2" s="7" t="s">
        <v>1</v>
      </c>
      <c r="H2" s="7" t="s">
        <v>2</v>
      </c>
      <c r="I2" s="7" t="s">
        <v>3</v>
      </c>
      <c r="J2" s="7" t="s">
        <v>4</v>
      </c>
      <c r="K2" s="7" t="s">
        <v>5</v>
      </c>
      <c r="L2" s="7" t="s">
        <v>6</v>
      </c>
      <c r="M2" s="7" t="s">
        <v>7</v>
      </c>
      <c r="N2" s="7" t="s">
        <v>8</v>
      </c>
      <c r="O2" s="7" t="s">
        <v>9</v>
      </c>
      <c r="P2" s="7" t="s">
        <v>10</v>
      </c>
      <c r="Q2" s="7" t="s">
        <v>11</v>
      </c>
      <c r="R2" s="8" t="s">
        <v>12</v>
      </c>
      <c r="S2" s="7" t="s">
        <v>13</v>
      </c>
      <c r="T2" s="8" t="s">
        <v>14</v>
      </c>
      <c r="U2" s="7" t="s">
        <v>15</v>
      </c>
      <c r="V2" s="8" t="s">
        <v>16</v>
      </c>
      <c r="W2" s="7" t="s">
        <v>17</v>
      </c>
      <c r="X2" s="8" t="s">
        <v>18</v>
      </c>
      <c r="Y2" s="7" t="s">
        <v>19</v>
      </c>
      <c r="Z2" s="7" t="s">
        <v>20</v>
      </c>
    </row>
    <row r="3" customFormat="false" ht="12.8" hidden="false" customHeight="true" outlineLevel="0" collapsed="false">
      <c r="D3" s="73" t="s">
        <v>21</v>
      </c>
      <c r="E3" s="10" t="n">
        <v>111</v>
      </c>
      <c r="F3" s="10" t="s">
        <v>22</v>
      </c>
      <c r="G3" s="11" t="n">
        <f aca="false">G24+G152+G266+G437</f>
        <v>488245.51</v>
      </c>
      <c r="H3" s="11" t="n">
        <f aca="false">H24+H152+H266+H437</f>
        <v>513863.27</v>
      </c>
      <c r="I3" s="11" t="n">
        <f aca="false">I24+I152+I266+I437</f>
        <v>498523</v>
      </c>
      <c r="J3" s="11" t="n">
        <f aca="false">J24+J152+J266+J437</f>
        <v>487164.73</v>
      </c>
      <c r="K3" s="11" t="n">
        <f aca="false">K24+K152+K234+K266+K437</f>
        <v>654276</v>
      </c>
      <c r="L3" s="11" t="n">
        <f aca="false">L24+L152+L234+L266+L437</f>
        <v>841</v>
      </c>
      <c r="M3" s="11" t="n">
        <f aca="false">M24+M152+M234+M266+M437</f>
        <v>6678</v>
      </c>
      <c r="N3" s="11" t="n">
        <f aca="false">N24+N152+N234+N266+N437</f>
        <v>0</v>
      </c>
      <c r="O3" s="11" t="n">
        <f aca="false">O24+O152+O234+O266+O437</f>
        <v>2685</v>
      </c>
      <c r="P3" s="11" t="n">
        <f aca="false">P24+P152+P234+P266+P437</f>
        <v>664480</v>
      </c>
      <c r="Q3" s="11" t="n">
        <f aca="false">Q24+Q152+Q234+Q266+Q437</f>
        <v>99891.99</v>
      </c>
      <c r="R3" s="12" t="n">
        <f aca="false">Q3/$P3</f>
        <v>0.150331070912593</v>
      </c>
      <c r="S3" s="11" t="n">
        <f aca="false">S24+S152+S234+S266+S437</f>
        <v>228638.44</v>
      </c>
      <c r="T3" s="12" t="n">
        <f aca="false">S3/$P3</f>
        <v>0.344086262942451</v>
      </c>
      <c r="U3" s="11" t="n">
        <f aca="false">U24+U152+U234+U266+U437</f>
        <v>342150.17</v>
      </c>
      <c r="V3" s="12" t="n">
        <f aca="false">U3/$P3</f>
        <v>0.514914173489044</v>
      </c>
      <c r="W3" s="11" t="n">
        <f aca="false">W24+W152+W234+W266+W437</f>
        <v>520218.89</v>
      </c>
      <c r="X3" s="12" t="n">
        <f aca="false">W3/$P3</f>
        <v>0.782896234649651</v>
      </c>
      <c r="Y3" s="11" t="n">
        <f aca="false">Y24+Y152+Y266+Y437</f>
        <v>504310</v>
      </c>
      <c r="Z3" s="11" t="n">
        <f aca="false">Z24+Z152+Z266+Z437</f>
        <v>497196</v>
      </c>
    </row>
    <row r="4" customFormat="false" ht="12.8" hidden="false" customHeight="false" outlineLevel="0" collapsed="false">
      <c r="D4" s="73"/>
      <c r="E4" s="10" t="n">
        <v>41</v>
      </c>
      <c r="F4" s="10" t="s">
        <v>23</v>
      </c>
      <c r="G4" s="11" t="n">
        <f aca="false">G25+G153+G204+G235+G267+G352+G438+G611</f>
        <v>681453.7</v>
      </c>
      <c r="H4" s="11" t="n">
        <f aca="false">H25+H153+H204+H235+H267+H352+H438+H611</f>
        <v>692101.23</v>
      </c>
      <c r="I4" s="11" t="n">
        <f aca="false">I25+I153+I204+I235+I267+I352+I438+I611</f>
        <v>764932</v>
      </c>
      <c r="J4" s="11" t="n">
        <f aca="false">J25+J153+J204+J235+J267+J352+J438+J611</f>
        <v>734793.98</v>
      </c>
      <c r="K4" s="11" t="n">
        <f aca="false">K25+K153+K204+K235+K267+K352+K438+K611</f>
        <v>763340</v>
      </c>
      <c r="L4" s="11" t="n">
        <f aca="false">L25+L153+L204+L235+L267+L352+L438+L611</f>
        <v>809</v>
      </c>
      <c r="M4" s="11" t="n">
        <f aca="false">M25+M153+M204+M235+M267+M352+M438+M611</f>
        <v>26127</v>
      </c>
      <c r="N4" s="11" t="n">
        <f aca="false">N25+N153+N204+N235+N267+N352+N438+N611</f>
        <v>2420</v>
      </c>
      <c r="O4" s="11" t="n">
        <f aca="false">O25+O153+O204+O235+O267+O352+O438+O611</f>
        <v>18054</v>
      </c>
      <c r="P4" s="11" t="n">
        <f aca="false">P25+P153+P204+P235+P267+P352+P438+P611</f>
        <v>810750</v>
      </c>
      <c r="Q4" s="11" t="n">
        <f aca="false">Q25+Q153+Q204+Q235+Q267+Q352+Q438+Q611</f>
        <v>175756.51</v>
      </c>
      <c r="R4" s="12" t="n">
        <f aca="false">Q4/$P4</f>
        <v>0.216782621029911</v>
      </c>
      <c r="S4" s="11" t="n">
        <f aca="false">S25+S153+S204+S235+S267+S352+S438+S611</f>
        <v>354454.5</v>
      </c>
      <c r="T4" s="12" t="n">
        <f aca="false">S4/$P4</f>
        <v>0.437193339500463</v>
      </c>
      <c r="U4" s="11" t="n">
        <f aca="false">U25+U153+U204+U235+U267+U352+U438+U611</f>
        <v>547549.54</v>
      </c>
      <c r="V4" s="12" t="n">
        <f aca="false">U4/$P4</f>
        <v>0.675361751464693</v>
      </c>
      <c r="W4" s="11" t="n">
        <f aca="false">W25+W153+W204+W235+W267+W352+W438+W611</f>
        <v>788649.82</v>
      </c>
      <c r="X4" s="12" t="n">
        <f aca="false">W4/$P4</f>
        <v>0.972741066913352</v>
      </c>
      <c r="Y4" s="11" t="n">
        <f aca="false">Y25+Y153+Y204+Y235+Y267+Y352+Y438+Y611</f>
        <v>734177</v>
      </c>
      <c r="Z4" s="11" t="n">
        <f aca="false">Z25+Z153+Z204+Z235+Z267+Z352+Z438+Z611</f>
        <v>750999</v>
      </c>
    </row>
    <row r="5" customFormat="false" ht="12.8" hidden="false" customHeight="false" outlineLevel="0" collapsed="false">
      <c r="D5" s="73"/>
      <c r="E5" s="10" t="n">
        <v>71</v>
      </c>
      <c r="F5" s="10" t="s">
        <v>24</v>
      </c>
      <c r="G5" s="11" t="n">
        <f aca="false">G268</f>
        <v>0</v>
      </c>
      <c r="H5" s="11" t="n">
        <f aca="false">H268</f>
        <v>700</v>
      </c>
      <c r="I5" s="11" t="n">
        <f aca="false">I268</f>
        <v>0</v>
      </c>
      <c r="J5" s="11" t="n">
        <f aca="false">J268</f>
        <v>1400</v>
      </c>
      <c r="K5" s="11" t="n">
        <f aca="false">K268</f>
        <v>1400</v>
      </c>
      <c r="L5" s="11" t="n">
        <f aca="false">L268</f>
        <v>0</v>
      </c>
      <c r="M5" s="11" t="n">
        <f aca="false">M268</f>
        <v>0</v>
      </c>
      <c r="N5" s="11" t="n">
        <f aca="false">N268</f>
        <v>0</v>
      </c>
      <c r="O5" s="11" t="n">
        <f aca="false">O268</f>
        <v>0</v>
      </c>
      <c r="P5" s="11" t="n">
        <f aca="false">P268</f>
        <v>1400</v>
      </c>
      <c r="Q5" s="11" t="n">
        <f aca="false">Q268</f>
        <v>0</v>
      </c>
      <c r="R5" s="12" t="n">
        <f aca="false">Q5/$P5</f>
        <v>0</v>
      </c>
      <c r="S5" s="11" t="n">
        <f aca="false">S268</f>
        <v>395</v>
      </c>
      <c r="T5" s="12" t="n">
        <f aca="false">S5/$P5</f>
        <v>0.282142857142857</v>
      </c>
      <c r="U5" s="11" t="n">
        <f aca="false">U268</f>
        <v>1400</v>
      </c>
      <c r="V5" s="12" t="n">
        <f aca="false">U5/$P5</f>
        <v>1</v>
      </c>
      <c r="W5" s="11" t="n">
        <f aca="false">W268</f>
        <v>1400</v>
      </c>
      <c r="X5" s="12" t="n">
        <f aca="false">W5/$P5</f>
        <v>1</v>
      </c>
      <c r="Y5" s="11" t="n">
        <f aca="false">Y268</f>
        <v>1400</v>
      </c>
      <c r="Z5" s="11" t="n">
        <f aca="false">Z268</f>
        <v>1400</v>
      </c>
    </row>
    <row r="6" customFormat="false" ht="12.8" hidden="false" customHeight="false" outlineLevel="0" collapsed="false">
      <c r="D6" s="73"/>
      <c r="E6" s="10" t="n">
        <v>72</v>
      </c>
      <c r="F6" s="10" t="s">
        <v>25</v>
      </c>
      <c r="G6" s="11" t="n">
        <f aca="false">G26+G154+G205+G269+G439</f>
        <v>0</v>
      </c>
      <c r="H6" s="11" t="n">
        <f aca="false">H26+H154+H205+H269+H439</f>
        <v>0</v>
      </c>
      <c r="I6" s="11" t="n">
        <f aca="false">I26+I154+I205+I269+I439</f>
        <v>0</v>
      </c>
      <c r="J6" s="11" t="n">
        <f aca="false">J26+J154+J205+J269+J439</f>
        <v>0</v>
      </c>
      <c r="K6" s="11" t="n">
        <f aca="false">K26+K154+K205+K269+K439</f>
        <v>49270</v>
      </c>
      <c r="L6" s="11" t="n">
        <f aca="false">L26+L154+L205+L269+L439</f>
        <v>0</v>
      </c>
      <c r="M6" s="11" t="n">
        <f aca="false">M26+M154+M205+M269+M439</f>
        <v>4652</v>
      </c>
      <c r="N6" s="11" t="n">
        <f aca="false">N26+N154+N205+N269+N439</f>
        <v>0</v>
      </c>
      <c r="O6" s="11" t="n">
        <f aca="false">O26+O154+O205+O269+O439</f>
        <v>338</v>
      </c>
      <c r="P6" s="11" t="n">
        <f aca="false">P26+P154+P205+P269+P439</f>
        <v>54260</v>
      </c>
      <c r="Q6" s="11" t="n">
        <f aca="false">Q26+Q154+Q205+Q269+Q439</f>
        <v>14297.5</v>
      </c>
      <c r="R6" s="12" t="n">
        <f aca="false">Q6/$P6</f>
        <v>0.263499815702175</v>
      </c>
      <c r="S6" s="11" t="n">
        <f aca="false">S26+S154+S205+S269+S439</f>
        <v>27840.84</v>
      </c>
      <c r="T6" s="12" t="n">
        <f aca="false">S6/$P6</f>
        <v>0.513100626612606</v>
      </c>
      <c r="U6" s="11" t="n">
        <f aca="false">U26+U154+U205+U269+U439</f>
        <v>35089.62</v>
      </c>
      <c r="V6" s="12" t="n">
        <f aca="false">U6/$P6</f>
        <v>0.646694065610026</v>
      </c>
      <c r="W6" s="11" t="n">
        <f aca="false">W26+W154+W205+W269+W439</f>
        <v>57128.66</v>
      </c>
      <c r="X6" s="12" t="n">
        <f aca="false">W6/$P6</f>
        <v>1.0528687799484</v>
      </c>
      <c r="Y6" s="11" t="n">
        <f aca="false">Y26+Y154+Y205+Y269+Y439</f>
        <v>49270</v>
      </c>
      <c r="Z6" s="11" t="n">
        <f aca="false">Z26+Z154+Z205+Z269+Z439</f>
        <v>49090</v>
      </c>
    </row>
    <row r="7" customFormat="false" ht="12.8" hidden="false" customHeight="false" outlineLevel="0" collapsed="false">
      <c r="D7" s="73"/>
      <c r="E7" s="10"/>
      <c r="F7" s="13" t="s">
        <v>117</v>
      </c>
      <c r="G7" s="14" t="n">
        <f aca="false">SUM(G3:G6)</f>
        <v>1169699.21</v>
      </c>
      <c r="H7" s="14" t="n">
        <f aca="false">SUM(H3:H6)</f>
        <v>1206664.5</v>
      </c>
      <c r="I7" s="14" t="n">
        <f aca="false">SUM(I3:I6)</f>
        <v>1263455</v>
      </c>
      <c r="J7" s="14" t="n">
        <f aca="false">SUM(J3:J6)</f>
        <v>1223358.71</v>
      </c>
      <c r="K7" s="14" t="n">
        <f aca="false">SUM(K3:K6)</f>
        <v>1468286</v>
      </c>
      <c r="L7" s="14" t="n">
        <f aca="false">SUM(L3:L6)</f>
        <v>1650</v>
      </c>
      <c r="M7" s="14" t="n">
        <f aca="false">SUM(M3:M6)</f>
        <v>37457</v>
      </c>
      <c r="N7" s="14" t="n">
        <f aca="false">SUM(N3:N6)</f>
        <v>2420</v>
      </c>
      <c r="O7" s="14" t="n">
        <f aca="false">SUM(O3:O6)</f>
        <v>21077</v>
      </c>
      <c r="P7" s="14" t="n">
        <f aca="false">SUM(P3:P6)</f>
        <v>1530890</v>
      </c>
      <c r="Q7" s="14" t="n">
        <f aca="false">SUM(Q3:Q6)</f>
        <v>289946</v>
      </c>
      <c r="R7" s="15" t="n">
        <f aca="false">Q7/$P7</f>
        <v>0.189397017421239</v>
      </c>
      <c r="S7" s="14" t="n">
        <f aca="false">SUM(S3:S6)</f>
        <v>611328.78</v>
      </c>
      <c r="T7" s="15" t="n">
        <f aca="false">S7/$P7</f>
        <v>0.399329004696614</v>
      </c>
      <c r="U7" s="14" t="n">
        <f aca="false">SUM(U3:U6)</f>
        <v>926189.33</v>
      </c>
      <c r="V7" s="15" t="n">
        <f aca="false">U7/$P7</f>
        <v>0.605000574829021</v>
      </c>
      <c r="W7" s="14" t="n">
        <f aca="false">SUM(W3:W6)</f>
        <v>1367397.37</v>
      </c>
      <c r="X7" s="15" t="n">
        <f aca="false">W7/$P7</f>
        <v>0.893204194945424</v>
      </c>
      <c r="Y7" s="14" t="n">
        <f aca="false">SUM(Y3:Y6)</f>
        <v>1289157</v>
      </c>
      <c r="Z7" s="14" t="n">
        <f aca="false">SUM(Z3:Z6)</f>
        <v>1298685</v>
      </c>
    </row>
    <row r="8" customFormat="false" ht="12.8" hidden="false" customHeight="false" outlineLevel="0" collapsed="false">
      <c r="D8" s="73"/>
      <c r="E8" s="10" t="n">
        <v>111</v>
      </c>
      <c r="F8" s="10" t="s">
        <v>22</v>
      </c>
      <c r="G8" s="11" t="n">
        <f aca="false">G490</f>
        <v>10000</v>
      </c>
      <c r="H8" s="11" t="n">
        <f aca="false">H490</f>
        <v>50000</v>
      </c>
      <c r="I8" s="11" t="n">
        <f aca="false">I490</f>
        <v>1505300</v>
      </c>
      <c r="J8" s="11" t="n">
        <f aca="false">J490</f>
        <v>0</v>
      </c>
      <c r="K8" s="11" t="n">
        <f aca="false">K490</f>
        <v>1689000</v>
      </c>
      <c r="L8" s="11" t="n">
        <f aca="false">L490</f>
        <v>0</v>
      </c>
      <c r="M8" s="11" t="n">
        <f aca="false">M490</f>
        <v>-10000</v>
      </c>
      <c r="N8" s="11" t="n">
        <f aca="false">N490</f>
        <v>0</v>
      </c>
      <c r="O8" s="11" t="n">
        <f aca="false">O490</f>
        <v>0</v>
      </c>
      <c r="P8" s="11" t="n">
        <f aca="false">P490</f>
        <v>1679000</v>
      </c>
      <c r="Q8" s="11" t="n">
        <f aca="false">Q490</f>
        <v>0</v>
      </c>
      <c r="R8" s="12" t="n">
        <f aca="false">Q8/$P8</f>
        <v>0</v>
      </c>
      <c r="S8" s="11" t="n">
        <f aca="false">S490</f>
        <v>143000</v>
      </c>
      <c r="T8" s="12" t="n">
        <f aca="false">S8/$P8</f>
        <v>0.0851697438951757</v>
      </c>
      <c r="U8" s="11" t="n">
        <f aca="false">U490</f>
        <v>143000</v>
      </c>
      <c r="V8" s="12" t="n">
        <f aca="false">U8/$P8</f>
        <v>0.0851697438951757</v>
      </c>
      <c r="W8" s="11" t="n">
        <f aca="false">W490</f>
        <v>675504.98</v>
      </c>
      <c r="X8" s="12" t="n">
        <f aca="false">W8/$P8</f>
        <v>0.402325777248362</v>
      </c>
      <c r="Y8" s="11" t="n">
        <f aca="false">Y490</f>
        <v>0</v>
      </c>
      <c r="Z8" s="11" t="n">
        <f aca="false">Z490</f>
        <v>0</v>
      </c>
    </row>
    <row r="9" customFormat="false" ht="12.8" hidden="false" customHeight="false" outlineLevel="0" collapsed="false">
      <c r="D9" s="73"/>
      <c r="E9" s="10" t="n">
        <v>41</v>
      </c>
      <c r="F9" s="10" t="s">
        <v>23</v>
      </c>
      <c r="G9" s="11" t="n">
        <f aca="false">G491</f>
        <v>12262.35</v>
      </c>
      <c r="H9" s="11" t="n">
        <f aca="false">H491</f>
        <v>279817.53</v>
      </c>
      <c r="I9" s="11" t="n">
        <f aca="false">I491</f>
        <v>409903</v>
      </c>
      <c r="J9" s="11" t="n">
        <f aca="false">J491</f>
        <v>275897.18</v>
      </c>
      <c r="K9" s="11" t="n">
        <f aca="false">K491</f>
        <v>687000</v>
      </c>
      <c r="L9" s="11" t="n">
        <f aca="false">L491</f>
        <v>-1350</v>
      </c>
      <c r="M9" s="11" t="n">
        <f aca="false">M491</f>
        <v>-18620</v>
      </c>
      <c r="N9" s="11" t="n">
        <f aca="false">N491</f>
        <v>1395</v>
      </c>
      <c r="O9" s="11" t="n">
        <f aca="false">O491</f>
        <v>-7073</v>
      </c>
      <c r="P9" s="11" t="n">
        <f aca="false">P491</f>
        <v>661352</v>
      </c>
      <c r="Q9" s="11" t="n">
        <f aca="false">Q491</f>
        <v>2987.72</v>
      </c>
      <c r="R9" s="12" t="n">
        <f aca="false">Q9/$P9</f>
        <v>0.0045175942614523</v>
      </c>
      <c r="S9" s="11" t="n">
        <f aca="false">S491</f>
        <v>131339.98</v>
      </c>
      <c r="T9" s="12" t="n">
        <f aca="false">S9/$P9</f>
        <v>0.1985931546287</v>
      </c>
      <c r="U9" s="11" t="n">
        <f aca="false">U491</f>
        <v>298501.65</v>
      </c>
      <c r="V9" s="12" t="n">
        <f aca="false">U9/$P9</f>
        <v>0.45135064232058</v>
      </c>
      <c r="W9" s="11" t="n">
        <f aca="false">W491</f>
        <v>541019.75</v>
      </c>
      <c r="X9" s="12" t="n">
        <f aca="false">W9/$P9</f>
        <v>0.818051128597177</v>
      </c>
      <c r="Y9" s="11" t="n">
        <f aca="false">Y491</f>
        <v>368492</v>
      </c>
      <c r="Z9" s="11" t="n">
        <f aca="false">Z491</f>
        <v>357464</v>
      </c>
    </row>
    <row r="10" customFormat="false" ht="12.8" hidden="false" customHeight="false" outlineLevel="0" collapsed="false">
      <c r="D10" s="73"/>
      <c r="E10" s="10" t="n">
        <v>52</v>
      </c>
      <c r="F10" s="10" t="s">
        <v>28</v>
      </c>
      <c r="G10" s="11" t="n">
        <f aca="false">G492</f>
        <v>0</v>
      </c>
      <c r="H10" s="11" t="n">
        <f aca="false">H492</f>
        <v>0</v>
      </c>
      <c r="I10" s="11" t="n">
        <f aca="false">I492</f>
        <v>60000</v>
      </c>
      <c r="J10" s="11" t="n">
        <f aca="false">J492</f>
        <v>0</v>
      </c>
      <c r="K10" s="11" t="n">
        <f aca="false">K492</f>
        <v>0</v>
      </c>
      <c r="L10" s="11" t="n">
        <f aca="false">L492</f>
        <v>0</v>
      </c>
      <c r="M10" s="11" t="n">
        <f aca="false">M492</f>
        <v>0</v>
      </c>
      <c r="N10" s="11" t="n">
        <f aca="false">N492</f>
        <v>0</v>
      </c>
      <c r="O10" s="11" t="n">
        <f aca="false">O492</f>
        <v>0</v>
      </c>
      <c r="P10" s="11" t="n">
        <f aca="false">P492</f>
        <v>0</v>
      </c>
      <c r="Q10" s="11" t="n">
        <f aca="false">Q492</f>
        <v>0</v>
      </c>
      <c r="R10" s="12" t="e">
        <f aca="false">Q10/$P10</f>
        <v>#DIV/0!</v>
      </c>
      <c r="S10" s="11" t="n">
        <f aca="false">S492</f>
        <v>0</v>
      </c>
      <c r="T10" s="12" t="e">
        <f aca="false">S10/$P10</f>
        <v>#DIV/0!</v>
      </c>
      <c r="U10" s="11" t="n">
        <f aca="false">U492</f>
        <v>0</v>
      </c>
      <c r="V10" s="12" t="e">
        <f aca="false">U10/$P10</f>
        <v>#DIV/0!</v>
      </c>
      <c r="W10" s="11" t="n">
        <f aca="false">W492</f>
        <v>0</v>
      </c>
      <c r="X10" s="12" t="e">
        <f aca="false">W10/$P10</f>
        <v>#DIV/0!</v>
      </c>
      <c r="Y10" s="11" t="n">
        <f aca="false">Y492</f>
        <v>0</v>
      </c>
      <c r="Z10" s="11" t="n">
        <f aca="false">Z492</f>
        <v>0</v>
      </c>
    </row>
    <row r="11" customFormat="false" ht="12.8" hidden="false" customHeight="false" outlineLevel="0" collapsed="false">
      <c r="D11" s="73"/>
      <c r="E11" s="10"/>
      <c r="F11" s="13" t="s">
        <v>118</v>
      </c>
      <c r="G11" s="14" t="n">
        <f aca="false">SUM(G8:G10)</f>
        <v>22262.35</v>
      </c>
      <c r="H11" s="14" t="n">
        <f aca="false">SUM(H8:H10)</f>
        <v>329817.53</v>
      </c>
      <c r="I11" s="14" t="n">
        <f aca="false">SUM(I8:I10)</f>
        <v>1975203</v>
      </c>
      <c r="J11" s="14" t="n">
        <f aca="false">SUM(J8:J10)</f>
        <v>275897.18</v>
      </c>
      <c r="K11" s="14" t="n">
        <f aca="false">SUM(K8:K10)</f>
        <v>2376000</v>
      </c>
      <c r="L11" s="14" t="n">
        <f aca="false">SUM(L8:L10)</f>
        <v>-1350</v>
      </c>
      <c r="M11" s="14" t="n">
        <f aca="false">SUM(M8:M10)</f>
        <v>-28620</v>
      </c>
      <c r="N11" s="14" t="n">
        <f aca="false">SUM(N8:N10)</f>
        <v>1395</v>
      </c>
      <c r="O11" s="14" t="n">
        <f aca="false">SUM(O8:O10)</f>
        <v>-7073</v>
      </c>
      <c r="P11" s="14" t="n">
        <f aca="false">SUM(P8:P10)</f>
        <v>2340352</v>
      </c>
      <c r="Q11" s="14" t="n">
        <f aca="false">SUM(Q8:Q10)</f>
        <v>2987.72</v>
      </c>
      <c r="R11" s="15" t="n">
        <f aca="false">Q11/$P11</f>
        <v>0.00127661138153577</v>
      </c>
      <c r="S11" s="14" t="n">
        <f aca="false">SUM(S8:S10)</f>
        <v>274339.98</v>
      </c>
      <c r="T11" s="15" t="n">
        <f aca="false">S11/$P11</f>
        <v>0.117221674346423</v>
      </c>
      <c r="U11" s="14" t="n">
        <f aca="false">SUM(U8:U10)</f>
        <v>441501.65</v>
      </c>
      <c r="V11" s="15" t="n">
        <f aca="false">U11/$P11</f>
        <v>0.188647541053653</v>
      </c>
      <c r="W11" s="14" t="n">
        <f aca="false">SUM(W8:W10)</f>
        <v>1216524.73</v>
      </c>
      <c r="X11" s="15" t="n">
        <f aca="false">W11/$P11</f>
        <v>0.519804170483756</v>
      </c>
      <c r="Y11" s="14" t="n">
        <f aca="false">SUM(Y8:Y10)</f>
        <v>368492</v>
      </c>
      <c r="Z11" s="14" t="n">
        <f aca="false">SUM(Z8:Z10)</f>
        <v>357464</v>
      </c>
    </row>
    <row r="12" customFormat="false" ht="12.8" hidden="false" customHeight="false" outlineLevel="0" collapsed="false">
      <c r="D12" s="73"/>
      <c r="E12" s="10" t="n">
        <v>41</v>
      </c>
      <c r="F12" s="10" t="s">
        <v>23</v>
      </c>
      <c r="G12" s="11" t="n">
        <f aca="false">G612</f>
        <v>12054.31</v>
      </c>
      <c r="H12" s="11" t="n">
        <f aca="false">H612</f>
        <v>4218.93</v>
      </c>
      <c r="I12" s="11" t="n">
        <f aca="false">I612</f>
        <v>20000</v>
      </c>
      <c r="J12" s="11" t="n">
        <f aca="false">J612</f>
        <v>0</v>
      </c>
      <c r="K12" s="11" t="n">
        <f aca="false">K612</f>
        <v>0</v>
      </c>
      <c r="L12" s="11" t="n">
        <f aca="false">L612</f>
        <v>0</v>
      </c>
      <c r="M12" s="11" t="n">
        <f aca="false">M612</f>
        <v>0</v>
      </c>
      <c r="N12" s="11" t="n">
        <f aca="false">N612</f>
        <v>0</v>
      </c>
      <c r="O12" s="11" t="n">
        <f aca="false">O612</f>
        <v>0</v>
      </c>
      <c r="P12" s="11" t="n">
        <f aca="false">P612</f>
        <v>0</v>
      </c>
      <c r="Q12" s="11" t="n">
        <f aca="false">Q612</f>
        <v>0</v>
      </c>
      <c r="R12" s="12" t="e">
        <f aca="false">Q12/$P12</f>
        <v>#DIV/0!</v>
      </c>
      <c r="S12" s="11" t="n">
        <f aca="false">S612</f>
        <v>0</v>
      </c>
      <c r="T12" s="12" t="e">
        <f aca="false">S12/$P12</f>
        <v>#DIV/0!</v>
      </c>
      <c r="U12" s="11" t="n">
        <f aca="false">U612</f>
        <v>0</v>
      </c>
      <c r="V12" s="12" t="e">
        <f aca="false">U12/$P12</f>
        <v>#DIV/0!</v>
      </c>
      <c r="W12" s="11" t="n">
        <f aca="false">W612</f>
        <v>0</v>
      </c>
      <c r="X12" s="12" t="e">
        <f aca="false">W12/$P12</f>
        <v>#DIV/0!</v>
      </c>
      <c r="Y12" s="11" t="n">
        <f aca="false">Y612</f>
        <v>0</v>
      </c>
      <c r="Z12" s="11" t="n">
        <f aca="false">Z612</f>
        <v>0</v>
      </c>
    </row>
    <row r="13" customFormat="false" ht="12.8" hidden="false" customHeight="false" outlineLevel="0" collapsed="false">
      <c r="D13" s="73"/>
      <c r="E13" s="10" t="n">
        <v>71</v>
      </c>
      <c r="F13" s="10" t="s">
        <v>24</v>
      </c>
      <c r="G13" s="11" t="n">
        <f aca="false">G606</f>
        <v>0</v>
      </c>
      <c r="H13" s="11" t="n">
        <f aca="false">H606</f>
        <v>0</v>
      </c>
      <c r="I13" s="11" t="n">
        <f aca="false">I606</f>
        <v>0</v>
      </c>
      <c r="J13" s="11" t="n">
        <f aca="false">J606</f>
        <v>0</v>
      </c>
      <c r="K13" s="11" t="n">
        <f aca="false">K606</f>
        <v>16000</v>
      </c>
      <c r="L13" s="11" t="n">
        <f aca="false">L606</f>
        <v>0</v>
      </c>
      <c r="M13" s="11" t="n">
        <f aca="false">M606</f>
        <v>59211</v>
      </c>
      <c r="N13" s="11" t="n">
        <f aca="false">N606</f>
        <v>0</v>
      </c>
      <c r="O13" s="11" t="n">
        <f aca="false">O606</f>
        <v>0</v>
      </c>
      <c r="P13" s="11" t="n">
        <f aca="false">P606</f>
        <v>75211</v>
      </c>
      <c r="Q13" s="11" t="n">
        <f aca="false">Q606</f>
        <v>3000</v>
      </c>
      <c r="R13" s="12" t="n">
        <f aca="false">Q13/$P13</f>
        <v>0.0398877823722594</v>
      </c>
      <c r="S13" s="11" t="n">
        <f aca="false">S606</f>
        <v>64010.5</v>
      </c>
      <c r="T13" s="12" t="n">
        <f aca="false">S13/$P13</f>
        <v>0.85107896451317</v>
      </c>
      <c r="U13" s="11" t="n">
        <f aca="false">U606</f>
        <v>64010.5</v>
      </c>
      <c r="V13" s="12" t="n">
        <f aca="false">U13/$P13</f>
        <v>0.85107896451317</v>
      </c>
      <c r="W13" s="11" t="n">
        <f aca="false">W606</f>
        <v>70010.5</v>
      </c>
      <c r="X13" s="12" t="n">
        <f aca="false">W13/$P13</f>
        <v>0.930854529257688</v>
      </c>
      <c r="Y13" s="11" t="n">
        <f aca="false">Y606</f>
        <v>0</v>
      </c>
      <c r="Z13" s="11" t="n">
        <f aca="false">Z606</f>
        <v>0</v>
      </c>
    </row>
    <row r="14" customFormat="false" ht="12.8" hidden="false" customHeight="false" outlineLevel="0" collapsed="false">
      <c r="D14" s="73"/>
      <c r="E14" s="10"/>
      <c r="F14" s="13" t="s">
        <v>29</v>
      </c>
      <c r="G14" s="14" t="n">
        <f aca="false">SUM(G12:G13)</f>
        <v>12054.31</v>
      </c>
      <c r="H14" s="14" t="n">
        <f aca="false">SUM(H12:H13)</f>
        <v>4218.93</v>
      </c>
      <c r="I14" s="14" t="n">
        <f aca="false">SUM(I12:I13)</f>
        <v>20000</v>
      </c>
      <c r="J14" s="14" t="n">
        <f aca="false">SUM(J12:J13)</f>
        <v>0</v>
      </c>
      <c r="K14" s="14" t="n">
        <f aca="false">SUM(K12:K13)</f>
        <v>16000</v>
      </c>
      <c r="L14" s="14" t="n">
        <f aca="false">SUM(L12:L13)</f>
        <v>0</v>
      </c>
      <c r="M14" s="14" t="n">
        <f aca="false">SUM(M12:M13)</f>
        <v>59211</v>
      </c>
      <c r="N14" s="14" t="n">
        <f aca="false">SUM(N12:N13)</f>
        <v>0</v>
      </c>
      <c r="O14" s="14" t="n">
        <f aca="false">SUM(O12:O13)</f>
        <v>0</v>
      </c>
      <c r="P14" s="14" t="n">
        <f aca="false">SUM(P12:P13)</f>
        <v>75211</v>
      </c>
      <c r="Q14" s="14" t="n">
        <f aca="false">SUM(Q12:Q13)</f>
        <v>3000</v>
      </c>
      <c r="R14" s="15" t="n">
        <f aca="false">Q14/$P14</f>
        <v>0.0398877823722594</v>
      </c>
      <c r="S14" s="14" t="n">
        <f aca="false">SUM(S12:S13)</f>
        <v>64010.5</v>
      </c>
      <c r="T14" s="15" t="n">
        <f aca="false">S14/$P14</f>
        <v>0.85107896451317</v>
      </c>
      <c r="U14" s="14" t="n">
        <f aca="false">SUM(U12:U13)</f>
        <v>64010.5</v>
      </c>
      <c r="V14" s="15" t="n">
        <f aca="false">U14/$P14</f>
        <v>0.85107896451317</v>
      </c>
      <c r="W14" s="14" t="n">
        <f aca="false">SUM(W12:W13)</f>
        <v>70010.5</v>
      </c>
      <c r="X14" s="15" t="n">
        <f aca="false">W14/$P14</f>
        <v>0.930854529257688</v>
      </c>
      <c r="Y14" s="14" t="n">
        <f aca="false">SUM(Y12:Y13)</f>
        <v>0</v>
      </c>
      <c r="Z14" s="14" t="n">
        <f aca="false">SUM(Z12:Z13)</f>
        <v>0</v>
      </c>
    </row>
    <row r="15" customFormat="false" ht="12.8" hidden="false" customHeight="false" outlineLevel="0" collapsed="false">
      <c r="D15" s="73"/>
      <c r="E15" s="10" t="n">
        <v>111</v>
      </c>
      <c r="F15" s="10" t="s">
        <v>22</v>
      </c>
      <c r="G15" s="11" t="n">
        <f aca="false">G3+G8</f>
        <v>498245.51</v>
      </c>
      <c r="H15" s="11" t="n">
        <f aca="false">H3+H8</f>
        <v>563863.27</v>
      </c>
      <c r="I15" s="11" t="n">
        <f aca="false">I3+I8</f>
        <v>2003823</v>
      </c>
      <c r="J15" s="11" t="n">
        <f aca="false">J3+J8</f>
        <v>487164.73</v>
      </c>
      <c r="K15" s="11" t="n">
        <f aca="false">K3+K8</f>
        <v>2343276</v>
      </c>
      <c r="L15" s="11" t="n">
        <f aca="false">L3+L8</f>
        <v>841</v>
      </c>
      <c r="M15" s="11" t="n">
        <f aca="false">M3+M8</f>
        <v>-3322</v>
      </c>
      <c r="N15" s="11" t="n">
        <f aca="false">N3+N8</f>
        <v>0</v>
      </c>
      <c r="O15" s="11" t="n">
        <f aca="false">O3+O8</f>
        <v>2685</v>
      </c>
      <c r="P15" s="11" t="n">
        <f aca="false">P3+P8</f>
        <v>2343480</v>
      </c>
      <c r="Q15" s="11" t="n">
        <f aca="false">Q3+Q8</f>
        <v>99891.99</v>
      </c>
      <c r="R15" s="12" t="n">
        <f aca="false">Q15/$P15</f>
        <v>0.0426254928567771</v>
      </c>
      <c r="S15" s="11" t="n">
        <f aca="false">S3+S8</f>
        <v>371638.44</v>
      </c>
      <c r="T15" s="12" t="n">
        <f aca="false">S15/$P15</f>
        <v>0.158584003277178</v>
      </c>
      <c r="U15" s="11" t="n">
        <f aca="false">U3+U8</f>
        <v>485150.17</v>
      </c>
      <c r="V15" s="12" t="n">
        <f aca="false">U15/$P15</f>
        <v>0.20702125471521</v>
      </c>
      <c r="W15" s="11" t="n">
        <f aca="false">W3+W8</f>
        <v>1195723.87</v>
      </c>
      <c r="X15" s="12" t="n">
        <f aca="false">W15/$P15</f>
        <v>0.510234296857665</v>
      </c>
      <c r="Y15" s="11" t="n">
        <f aca="false">Y3+Y8</f>
        <v>504310</v>
      </c>
      <c r="Z15" s="11" t="n">
        <f aca="false">Z3+Z8</f>
        <v>497196</v>
      </c>
    </row>
    <row r="16" customFormat="false" ht="12.8" hidden="false" customHeight="false" outlineLevel="0" collapsed="false">
      <c r="D16" s="73"/>
      <c r="E16" s="10" t="n">
        <v>41</v>
      </c>
      <c r="F16" s="10" t="s">
        <v>23</v>
      </c>
      <c r="G16" s="11" t="n">
        <f aca="false">G4+G9+G12</f>
        <v>705770.36</v>
      </c>
      <c r="H16" s="11" t="n">
        <f aca="false">H4+H9+H12</f>
        <v>976137.69</v>
      </c>
      <c r="I16" s="11" t="n">
        <f aca="false">I4+I9+I12</f>
        <v>1194835</v>
      </c>
      <c r="J16" s="11" t="n">
        <f aca="false">J4+J9+J12</f>
        <v>1010691.16</v>
      </c>
      <c r="K16" s="11" t="n">
        <f aca="false">K4+K9+K12</f>
        <v>1450340</v>
      </c>
      <c r="L16" s="11" t="n">
        <f aca="false">L4+L9+L12</f>
        <v>-541</v>
      </c>
      <c r="M16" s="11" t="n">
        <f aca="false">M4+M9+M12</f>
        <v>7507</v>
      </c>
      <c r="N16" s="11" t="n">
        <f aca="false">N4+N9+N12</f>
        <v>3815</v>
      </c>
      <c r="O16" s="11" t="n">
        <f aca="false">O4+O9+O12</f>
        <v>10981</v>
      </c>
      <c r="P16" s="11" t="n">
        <f aca="false">P4+P9+P12</f>
        <v>1472102</v>
      </c>
      <c r="Q16" s="11" t="n">
        <f aca="false">Q4+Q9+Q12</f>
        <v>178744.23</v>
      </c>
      <c r="R16" s="12" t="n">
        <f aca="false">Q16/$P16</f>
        <v>0.1214210903864</v>
      </c>
      <c r="S16" s="11" t="n">
        <f aca="false">S4+S9+S12</f>
        <v>485794.48</v>
      </c>
      <c r="T16" s="12" t="n">
        <f aca="false">S16/$P16</f>
        <v>0.330000557026619</v>
      </c>
      <c r="U16" s="11" t="n">
        <f aca="false">U4+U9+U12</f>
        <v>846051.19</v>
      </c>
      <c r="V16" s="12" t="n">
        <f aca="false">U16/$P16</f>
        <v>0.574723212114378</v>
      </c>
      <c r="W16" s="11" t="n">
        <f aca="false">W4+W9+W12</f>
        <v>1329669.57</v>
      </c>
      <c r="X16" s="12" t="n">
        <f aca="false">W16/$P16</f>
        <v>0.903245542768096</v>
      </c>
      <c r="Y16" s="11" t="n">
        <f aca="false">Y4+Y9+Y12</f>
        <v>1102669</v>
      </c>
      <c r="Z16" s="11" t="n">
        <f aca="false">Z4+Z9+Z12</f>
        <v>1108463</v>
      </c>
    </row>
    <row r="17" customFormat="false" ht="12.8" hidden="false" customHeight="false" outlineLevel="0" collapsed="false">
      <c r="D17" s="73"/>
      <c r="E17" s="10" t="n">
        <v>52</v>
      </c>
      <c r="F17" s="10" t="s">
        <v>28</v>
      </c>
      <c r="G17" s="11" t="n">
        <f aca="false">G10</f>
        <v>0</v>
      </c>
      <c r="H17" s="11" t="n">
        <f aca="false">H10</f>
        <v>0</v>
      </c>
      <c r="I17" s="11" t="n">
        <f aca="false">I10</f>
        <v>60000</v>
      </c>
      <c r="J17" s="11" t="n">
        <f aca="false">J10</f>
        <v>0</v>
      </c>
      <c r="K17" s="11" t="n">
        <f aca="false">K10</f>
        <v>0</v>
      </c>
      <c r="L17" s="11" t="n">
        <f aca="false">L10</f>
        <v>0</v>
      </c>
      <c r="M17" s="11" t="n">
        <f aca="false">M10</f>
        <v>0</v>
      </c>
      <c r="N17" s="11" t="n">
        <f aca="false">N10</f>
        <v>0</v>
      </c>
      <c r="O17" s="11" t="n">
        <f aca="false">O10</f>
        <v>0</v>
      </c>
      <c r="P17" s="11" t="n">
        <f aca="false">P10</f>
        <v>0</v>
      </c>
      <c r="Q17" s="11" t="n">
        <f aca="false">Q10</f>
        <v>0</v>
      </c>
      <c r="R17" s="12" t="e">
        <f aca="false">Q17/$P17</f>
        <v>#DIV/0!</v>
      </c>
      <c r="S17" s="11" t="n">
        <f aca="false">S10</f>
        <v>0</v>
      </c>
      <c r="T17" s="12" t="e">
        <f aca="false">S17/$P17</f>
        <v>#DIV/0!</v>
      </c>
      <c r="U17" s="11" t="n">
        <f aca="false">U10</f>
        <v>0</v>
      </c>
      <c r="V17" s="12" t="e">
        <f aca="false">U17/$P17</f>
        <v>#DIV/0!</v>
      </c>
      <c r="W17" s="11" t="n">
        <f aca="false">W10</f>
        <v>0</v>
      </c>
      <c r="X17" s="12" t="e">
        <f aca="false">W17/$P17</f>
        <v>#DIV/0!</v>
      </c>
      <c r="Y17" s="11" t="n">
        <f aca="false">Y10</f>
        <v>0</v>
      </c>
      <c r="Z17" s="11" t="n">
        <f aca="false">Z10</f>
        <v>0</v>
      </c>
    </row>
    <row r="18" customFormat="false" ht="12.8" hidden="false" customHeight="false" outlineLevel="0" collapsed="false">
      <c r="D18" s="73"/>
      <c r="E18" s="10" t="n">
        <v>71</v>
      </c>
      <c r="F18" s="10" t="s">
        <v>24</v>
      </c>
      <c r="G18" s="11" t="n">
        <f aca="false">G5+G13</f>
        <v>0</v>
      </c>
      <c r="H18" s="11" t="n">
        <f aca="false">H5+H13</f>
        <v>700</v>
      </c>
      <c r="I18" s="11" t="n">
        <f aca="false">I5+I13</f>
        <v>0</v>
      </c>
      <c r="J18" s="11" t="n">
        <f aca="false">J5+J13</f>
        <v>1400</v>
      </c>
      <c r="K18" s="11" t="n">
        <f aca="false">K5+K13</f>
        <v>17400</v>
      </c>
      <c r="L18" s="11" t="n">
        <f aca="false">L5+L13</f>
        <v>0</v>
      </c>
      <c r="M18" s="11" t="n">
        <f aca="false">M5+M13</f>
        <v>59211</v>
      </c>
      <c r="N18" s="11" t="n">
        <f aca="false">N5+N13</f>
        <v>0</v>
      </c>
      <c r="O18" s="11" t="n">
        <f aca="false">O5+O13</f>
        <v>0</v>
      </c>
      <c r="P18" s="11" t="n">
        <f aca="false">P5+P13</f>
        <v>76611</v>
      </c>
      <c r="Q18" s="11" t="n">
        <f aca="false">Q5+Q13</f>
        <v>3000</v>
      </c>
      <c r="R18" s="12" t="n">
        <f aca="false">Q18/$P18</f>
        <v>0.0391588675255512</v>
      </c>
      <c r="S18" s="11" t="n">
        <f aca="false">S5+S13</f>
        <v>64405.5</v>
      </c>
      <c r="T18" s="12" t="n">
        <f aca="false">S18/$P18</f>
        <v>0.840682147472295</v>
      </c>
      <c r="U18" s="11" t="n">
        <f aca="false">U5+U13</f>
        <v>65410.5</v>
      </c>
      <c r="V18" s="12" t="n">
        <f aca="false">U18/$P18</f>
        <v>0.853800368093355</v>
      </c>
      <c r="W18" s="11" t="n">
        <f aca="false">W5+W13</f>
        <v>71410.5</v>
      </c>
      <c r="X18" s="12" t="n">
        <f aca="false">W18/$P18</f>
        <v>0.932118103144457</v>
      </c>
      <c r="Y18" s="11" t="n">
        <f aca="false">Y5+Y13</f>
        <v>1400</v>
      </c>
      <c r="Z18" s="11" t="n">
        <f aca="false">Z5+Z13</f>
        <v>1400</v>
      </c>
    </row>
    <row r="19" customFormat="false" ht="12.8" hidden="false" customHeight="false" outlineLevel="0" collapsed="false">
      <c r="D19" s="73"/>
      <c r="E19" s="10" t="n">
        <v>72</v>
      </c>
      <c r="F19" s="10" t="s">
        <v>25</v>
      </c>
      <c r="G19" s="11" t="n">
        <f aca="false">G6</f>
        <v>0</v>
      </c>
      <c r="H19" s="11" t="n">
        <f aca="false">H6</f>
        <v>0</v>
      </c>
      <c r="I19" s="11" t="n">
        <f aca="false">I6</f>
        <v>0</v>
      </c>
      <c r="J19" s="11" t="n">
        <f aca="false">J6</f>
        <v>0</v>
      </c>
      <c r="K19" s="11" t="n">
        <f aca="false">K6</f>
        <v>49270</v>
      </c>
      <c r="L19" s="11" t="n">
        <f aca="false">L6</f>
        <v>0</v>
      </c>
      <c r="M19" s="11" t="n">
        <f aca="false">M6</f>
        <v>4652</v>
      </c>
      <c r="N19" s="11" t="n">
        <f aca="false">N6</f>
        <v>0</v>
      </c>
      <c r="O19" s="11" t="n">
        <f aca="false">O6</f>
        <v>338</v>
      </c>
      <c r="P19" s="11" t="n">
        <f aca="false">P6</f>
        <v>54260</v>
      </c>
      <c r="Q19" s="11" t="n">
        <f aca="false">Q6</f>
        <v>14297.5</v>
      </c>
      <c r="R19" s="12" t="n">
        <f aca="false">Q19/$P19</f>
        <v>0.263499815702175</v>
      </c>
      <c r="S19" s="11" t="n">
        <f aca="false">S6</f>
        <v>27840.84</v>
      </c>
      <c r="T19" s="12" t="n">
        <f aca="false">S19/$P19</f>
        <v>0.513100626612606</v>
      </c>
      <c r="U19" s="11" t="n">
        <f aca="false">U6</f>
        <v>35089.62</v>
      </c>
      <c r="V19" s="12" t="n">
        <f aca="false">U19/$P19</f>
        <v>0.646694065610026</v>
      </c>
      <c r="W19" s="11" t="n">
        <f aca="false">W6</f>
        <v>57128.66</v>
      </c>
      <c r="X19" s="12" t="n">
        <f aca="false">W19/$P19</f>
        <v>1.0528687799484</v>
      </c>
      <c r="Y19" s="11" t="n">
        <f aca="false">Y6</f>
        <v>49270</v>
      </c>
      <c r="Z19" s="11" t="n">
        <f aca="false">Z6</f>
        <v>49090</v>
      </c>
    </row>
    <row r="20" customFormat="false" ht="12.8" hidden="false" customHeight="false" outlineLevel="0" collapsed="false">
      <c r="D20" s="16"/>
      <c r="E20" s="17"/>
      <c r="F20" s="13" t="s">
        <v>119</v>
      </c>
      <c r="G20" s="14" t="n">
        <f aca="false">SUM(G15:G19)</f>
        <v>1204015.87</v>
      </c>
      <c r="H20" s="14" t="n">
        <f aca="false">SUM(H15:H19)</f>
        <v>1540700.96</v>
      </c>
      <c r="I20" s="14" t="n">
        <f aca="false">SUM(I15:I19)</f>
        <v>3258658</v>
      </c>
      <c r="J20" s="14" t="n">
        <f aca="false">SUM(J15:J19)</f>
        <v>1499255.89</v>
      </c>
      <c r="K20" s="14" t="n">
        <f aca="false">SUM(K15:K19)</f>
        <v>3860286</v>
      </c>
      <c r="L20" s="14" t="n">
        <f aca="false">SUM(L15:L19)</f>
        <v>300</v>
      </c>
      <c r="M20" s="14" t="n">
        <f aca="false">SUM(M15:M19)</f>
        <v>68048</v>
      </c>
      <c r="N20" s="14" t="n">
        <f aca="false">SUM(N15:N19)</f>
        <v>3815</v>
      </c>
      <c r="O20" s="14" t="n">
        <f aca="false">SUM(O15:O19)</f>
        <v>14004</v>
      </c>
      <c r="P20" s="14" t="n">
        <f aca="false">SUM(P15:P19)</f>
        <v>3946453</v>
      </c>
      <c r="Q20" s="14" t="n">
        <f aca="false">SUM(Q15:Q19)</f>
        <v>295933.72</v>
      </c>
      <c r="R20" s="15" t="n">
        <f aca="false">Q20/$P20</f>
        <v>0.0749872657801829</v>
      </c>
      <c r="S20" s="14" t="n">
        <f aca="false">SUM(S15:S19)</f>
        <v>949679.26</v>
      </c>
      <c r="T20" s="15" t="n">
        <f aca="false">S20/$P20</f>
        <v>0.240641218836256</v>
      </c>
      <c r="U20" s="14" t="n">
        <f aca="false">SUM(U15:U19)</f>
        <v>1431701.48</v>
      </c>
      <c r="V20" s="15" t="n">
        <f aca="false">U20/$P20</f>
        <v>0.36278183979386</v>
      </c>
      <c r="W20" s="14" t="n">
        <f aca="false">SUM(W15:W19)</f>
        <v>2653932.6</v>
      </c>
      <c r="X20" s="15" t="n">
        <f aca="false">W20/$P20</f>
        <v>0.672485545881327</v>
      </c>
      <c r="Y20" s="14" t="n">
        <f aca="false">SUM(Y15:Y19)</f>
        <v>1657649</v>
      </c>
      <c r="Z20" s="14" t="n">
        <f aca="false">SUM(Z15:Z19)</f>
        <v>1656149</v>
      </c>
    </row>
    <row r="22" customFormat="false" ht="12.8" hidden="false" customHeight="false" outlineLevel="0" collapsed="false">
      <c r="D22" s="18" t="s">
        <v>120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customFormat="false" ht="12.8" hidden="false" customHeight="false" outlineLevel="0" collapsed="false">
      <c r="D23" s="6"/>
      <c r="E23" s="6"/>
      <c r="F23" s="6"/>
      <c r="G23" s="7" t="s">
        <v>1</v>
      </c>
      <c r="H23" s="7" t="s">
        <v>2</v>
      </c>
      <c r="I23" s="7" t="s">
        <v>3</v>
      </c>
      <c r="J23" s="7" t="s">
        <v>4</v>
      </c>
      <c r="K23" s="7" t="s">
        <v>5</v>
      </c>
      <c r="L23" s="7" t="s">
        <v>6</v>
      </c>
      <c r="M23" s="7" t="s">
        <v>7</v>
      </c>
      <c r="N23" s="7" t="s">
        <v>8</v>
      </c>
      <c r="O23" s="7" t="s">
        <v>9</v>
      </c>
      <c r="P23" s="7" t="s">
        <v>10</v>
      </c>
      <c r="Q23" s="7" t="s">
        <v>11</v>
      </c>
      <c r="R23" s="8" t="s">
        <v>12</v>
      </c>
      <c r="S23" s="7" t="s">
        <v>13</v>
      </c>
      <c r="T23" s="8" t="s">
        <v>14</v>
      </c>
      <c r="U23" s="7" t="s">
        <v>15</v>
      </c>
      <c r="V23" s="8" t="s">
        <v>16</v>
      </c>
      <c r="W23" s="7" t="s">
        <v>17</v>
      </c>
      <c r="X23" s="8" t="s">
        <v>18</v>
      </c>
      <c r="Y23" s="7" t="s">
        <v>19</v>
      </c>
      <c r="Z23" s="7" t="s">
        <v>20</v>
      </c>
    </row>
    <row r="24" customFormat="false" ht="12.8" hidden="false" customHeight="false" outlineLevel="0" collapsed="false">
      <c r="A24" s="1" t="n">
        <v>1</v>
      </c>
      <c r="D24" s="74" t="s">
        <v>21</v>
      </c>
      <c r="E24" s="21" t="n">
        <v>111</v>
      </c>
      <c r="F24" s="21" t="s">
        <v>47</v>
      </c>
      <c r="G24" s="22" t="n">
        <f aca="false">G31+G75+G124+G148</f>
        <v>9258.61</v>
      </c>
      <c r="H24" s="22" t="n">
        <f aca="false">H31+H75+H124+H148</f>
        <v>10335.49</v>
      </c>
      <c r="I24" s="22" t="n">
        <f aca="false">I31+I75+I124+I148</f>
        <v>10618</v>
      </c>
      <c r="J24" s="22" t="n">
        <f aca="false">J31+J75+J124+J148</f>
        <v>10112.37</v>
      </c>
      <c r="K24" s="22" t="n">
        <f aca="false">K31+K75+K124+K148</f>
        <v>10266</v>
      </c>
      <c r="L24" s="22" t="n">
        <f aca="false">L31+L75+L124+L148</f>
        <v>300</v>
      </c>
      <c r="M24" s="22" t="n">
        <f aca="false">M31+M75+M124+M148</f>
        <v>631</v>
      </c>
      <c r="N24" s="22" t="n">
        <f aca="false">N31+N75+N124+N148</f>
        <v>0</v>
      </c>
      <c r="O24" s="22" t="n">
        <f aca="false">O31+O75+O124+O148</f>
        <v>97</v>
      </c>
      <c r="P24" s="22" t="n">
        <f aca="false">P31+P75+P124+P148</f>
        <v>11294</v>
      </c>
      <c r="Q24" s="22" t="n">
        <f aca="false">Q31+Q75+Q124+Q148</f>
        <v>1056.12</v>
      </c>
      <c r="R24" s="23" t="n">
        <f aca="false">Q24/$P24</f>
        <v>0.0935115990791571</v>
      </c>
      <c r="S24" s="22" t="n">
        <f aca="false">S31+S75+S124+S148</f>
        <v>6055.39</v>
      </c>
      <c r="T24" s="23" t="n">
        <f aca="false">S24/$P24</f>
        <v>0.536159907915707</v>
      </c>
      <c r="U24" s="22" t="n">
        <f aca="false">U31+U75+U124+U148</f>
        <v>7339.26</v>
      </c>
      <c r="V24" s="23" t="n">
        <f aca="false">U24/$P24</f>
        <v>0.649837081636267</v>
      </c>
      <c r="W24" s="22" t="n">
        <f aca="false">W31+W75+W124+W148</f>
        <v>11224.28</v>
      </c>
      <c r="X24" s="23" t="n">
        <f aca="false">W24/$P24</f>
        <v>0.993826810695945</v>
      </c>
      <c r="Y24" s="22" t="n">
        <f aca="false">Y31+Y75+Y124+Y148</f>
        <v>11766</v>
      </c>
      <c r="Z24" s="22" t="n">
        <f aca="false">Z31+Z75+Z124+Z148</f>
        <v>10266</v>
      </c>
    </row>
    <row r="25" customFormat="false" ht="12.8" hidden="false" customHeight="false" outlineLevel="0" collapsed="false">
      <c r="A25" s="1" t="n">
        <v>1</v>
      </c>
      <c r="D25" s="74"/>
      <c r="E25" s="21" t="n">
        <v>41</v>
      </c>
      <c r="F25" s="21" t="s">
        <v>23</v>
      </c>
      <c r="G25" s="22" t="n">
        <f aca="false">G32+G128+G137</f>
        <v>215078.16</v>
      </c>
      <c r="H25" s="22" t="n">
        <f aca="false">H32+H128+H137</f>
        <v>206016.96</v>
      </c>
      <c r="I25" s="22" t="n">
        <f aca="false">I32+I128+I137</f>
        <v>234504</v>
      </c>
      <c r="J25" s="22" t="n">
        <f aca="false">J32+J128+J137</f>
        <v>223431.35</v>
      </c>
      <c r="K25" s="22" t="n">
        <f aca="false">K32+K128+K137</f>
        <v>223697</v>
      </c>
      <c r="L25" s="22" t="n">
        <f aca="false">L32+L128+L137</f>
        <v>0</v>
      </c>
      <c r="M25" s="22" t="n">
        <f aca="false">M32+M128+M137</f>
        <v>27619</v>
      </c>
      <c r="N25" s="22" t="n">
        <f aca="false">N32+N128+N137</f>
        <v>2995</v>
      </c>
      <c r="O25" s="22" t="n">
        <f aca="false">O32+O128+O137</f>
        <v>7138</v>
      </c>
      <c r="P25" s="22" t="n">
        <f aca="false">P32+P128+P137</f>
        <v>261449</v>
      </c>
      <c r="Q25" s="22" t="n">
        <f aca="false">Q32+Q128+Q137</f>
        <v>58560.92</v>
      </c>
      <c r="R25" s="23" t="n">
        <f aca="false">Q25/$P25</f>
        <v>0.223986016393255</v>
      </c>
      <c r="S25" s="22" t="n">
        <f aca="false">S32+S128+S137</f>
        <v>114279.26</v>
      </c>
      <c r="T25" s="23" t="n">
        <f aca="false">S25/$P25</f>
        <v>0.437099625548386</v>
      </c>
      <c r="U25" s="22" t="n">
        <f aca="false">U32+U128+U137</f>
        <v>190223.29</v>
      </c>
      <c r="V25" s="23" t="n">
        <f aca="false">U25/$P25</f>
        <v>0.727573216956271</v>
      </c>
      <c r="W25" s="22" t="n">
        <f aca="false">W32+W128+W137</f>
        <v>259697.01</v>
      </c>
      <c r="X25" s="23" t="n">
        <f aca="false">W25/$P25</f>
        <v>0.993298922543211</v>
      </c>
      <c r="Y25" s="22" t="n">
        <f aca="false">Y32+Y128+Y137</f>
        <v>223639</v>
      </c>
      <c r="Z25" s="22" t="n">
        <f aca="false">Z32+Z128+Z137</f>
        <v>228959</v>
      </c>
    </row>
    <row r="26" customFormat="false" ht="12.8" hidden="false" customHeight="false" outlineLevel="0" collapsed="false">
      <c r="D26" s="74"/>
      <c r="E26" s="21" t="n">
        <v>72</v>
      </c>
      <c r="F26" s="21" t="s">
        <v>25</v>
      </c>
      <c r="G26" s="22" t="n">
        <f aca="false">G33</f>
        <v>0</v>
      </c>
      <c r="H26" s="22" t="n">
        <f aca="false">H33</f>
        <v>0</v>
      </c>
      <c r="I26" s="22" t="n">
        <f aca="false">I33</f>
        <v>0</v>
      </c>
      <c r="J26" s="22" t="n">
        <f aca="false">J33</f>
        <v>0</v>
      </c>
      <c r="K26" s="22" t="n">
        <f aca="false">K33</f>
        <v>825</v>
      </c>
      <c r="L26" s="22" t="n">
        <f aca="false">L33</f>
        <v>0</v>
      </c>
      <c r="M26" s="22" t="n">
        <f aca="false">M33</f>
        <v>0</v>
      </c>
      <c r="N26" s="22" t="n">
        <f aca="false">N33</f>
        <v>0</v>
      </c>
      <c r="O26" s="22" t="n">
        <f aca="false">O33</f>
        <v>77</v>
      </c>
      <c r="P26" s="22" t="n">
        <f aca="false">P33</f>
        <v>902</v>
      </c>
      <c r="Q26" s="22" t="n">
        <f aca="false">Q33</f>
        <v>0</v>
      </c>
      <c r="R26" s="23" t="n">
        <f aca="false">Q26/$P26</f>
        <v>0</v>
      </c>
      <c r="S26" s="22" t="n">
        <f aca="false">S33</f>
        <v>0</v>
      </c>
      <c r="T26" s="23" t="n">
        <f aca="false">S26/$P26</f>
        <v>0</v>
      </c>
      <c r="U26" s="22" t="n">
        <f aca="false">U33</f>
        <v>0</v>
      </c>
      <c r="V26" s="23" t="n">
        <f aca="false">U26/$P26</f>
        <v>0</v>
      </c>
      <c r="W26" s="22" t="n">
        <f aca="false">W33</f>
        <v>893</v>
      </c>
      <c r="X26" s="23" t="n">
        <f aca="false">W26/$P26</f>
        <v>0.990022172949002</v>
      </c>
      <c r="Y26" s="22" t="n">
        <f aca="false">Y33</f>
        <v>825</v>
      </c>
      <c r="Z26" s="22" t="n">
        <f aca="false">Z33</f>
        <v>825</v>
      </c>
    </row>
    <row r="27" customFormat="false" ht="12.8" hidden="false" customHeight="false" outlineLevel="0" collapsed="false">
      <c r="A27" s="1" t="n">
        <v>1</v>
      </c>
      <c r="D27" s="16"/>
      <c r="E27" s="17"/>
      <c r="F27" s="24" t="s">
        <v>119</v>
      </c>
      <c r="G27" s="25" t="n">
        <f aca="false">SUM(G24:G26)</f>
        <v>224336.77</v>
      </c>
      <c r="H27" s="25" t="n">
        <f aca="false">SUM(H24:H26)</f>
        <v>216352.45</v>
      </c>
      <c r="I27" s="25" t="n">
        <f aca="false">SUM(I24:I26)</f>
        <v>245122</v>
      </c>
      <c r="J27" s="25" t="n">
        <f aca="false">SUM(J24:J26)</f>
        <v>233543.72</v>
      </c>
      <c r="K27" s="25" t="n">
        <f aca="false">SUM(K24:K26)</f>
        <v>234788</v>
      </c>
      <c r="L27" s="25" t="n">
        <f aca="false">SUM(L24:L26)</f>
        <v>300</v>
      </c>
      <c r="M27" s="25" t="n">
        <f aca="false">SUM(M24:M26)</f>
        <v>28250</v>
      </c>
      <c r="N27" s="25" t="n">
        <f aca="false">SUM(N24:N26)</f>
        <v>2995</v>
      </c>
      <c r="O27" s="25" t="n">
        <f aca="false">SUM(O24:O26)</f>
        <v>7312</v>
      </c>
      <c r="P27" s="25" t="n">
        <f aca="false">SUM(P24:P26)</f>
        <v>273645</v>
      </c>
      <c r="Q27" s="25" t="n">
        <f aca="false">SUM(Q24:Q26)</f>
        <v>59617.04</v>
      </c>
      <c r="R27" s="26" t="n">
        <f aca="false">Q27/$P27</f>
        <v>0.217862705329898</v>
      </c>
      <c r="S27" s="25" t="n">
        <f aca="false">SUM(S24:S26)</f>
        <v>120334.65</v>
      </c>
      <c r="T27" s="26" t="n">
        <f aca="false">S27/$P27</f>
        <v>0.439747300334375</v>
      </c>
      <c r="U27" s="25" t="n">
        <f aca="false">SUM(U24:U26)</f>
        <v>197562.55</v>
      </c>
      <c r="V27" s="26" t="n">
        <f aca="false">U27/$P27</f>
        <v>0.721966599060827</v>
      </c>
      <c r="W27" s="25" t="n">
        <f aca="false">SUM(W24:W26)</f>
        <v>271814.29</v>
      </c>
      <c r="X27" s="26" t="n">
        <f aca="false">W27/$P27</f>
        <v>0.993309908823476</v>
      </c>
      <c r="Y27" s="25" t="n">
        <f aca="false">SUM(Y24:Y26)</f>
        <v>236230</v>
      </c>
      <c r="Z27" s="25" t="n">
        <f aca="false">SUM(Z24:Z26)</f>
        <v>240050</v>
      </c>
    </row>
    <row r="29" customFormat="false" ht="12.8" hidden="false" customHeight="false" outlineLevel="0" collapsed="false">
      <c r="D29" s="27" t="s">
        <v>121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customFormat="false" ht="12.8" hidden="false" customHeight="false" outlineLevel="0" collapsed="false">
      <c r="D30" s="7"/>
      <c r="E30" s="7"/>
      <c r="F30" s="7"/>
      <c r="G30" s="7" t="s">
        <v>1</v>
      </c>
      <c r="H30" s="7" t="s">
        <v>2</v>
      </c>
      <c r="I30" s="7" t="s">
        <v>3</v>
      </c>
      <c r="J30" s="7" t="s">
        <v>4</v>
      </c>
      <c r="K30" s="7" t="s">
        <v>5</v>
      </c>
      <c r="L30" s="7" t="s">
        <v>6</v>
      </c>
      <c r="M30" s="7" t="s">
        <v>7</v>
      </c>
      <c r="N30" s="7" t="s">
        <v>8</v>
      </c>
      <c r="O30" s="7" t="s">
        <v>9</v>
      </c>
      <c r="P30" s="7" t="s">
        <v>10</v>
      </c>
      <c r="Q30" s="7" t="s">
        <v>11</v>
      </c>
      <c r="R30" s="8" t="s">
        <v>12</v>
      </c>
      <c r="S30" s="7" t="s">
        <v>13</v>
      </c>
      <c r="T30" s="8" t="s">
        <v>14</v>
      </c>
      <c r="U30" s="7" t="s">
        <v>15</v>
      </c>
      <c r="V30" s="8" t="s">
        <v>16</v>
      </c>
      <c r="W30" s="7" t="s">
        <v>17</v>
      </c>
      <c r="X30" s="8" t="s">
        <v>18</v>
      </c>
      <c r="Y30" s="7" t="s">
        <v>19</v>
      </c>
      <c r="Z30" s="7" t="s">
        <v>20</v>
      </c>
    </row>
    <row r="31" customFormat="false" ht="12.8" hidden="false" customHeight="false" outlineLevel="0" collapsed="false">
      <c r="A31" s="1" t="n">
        <v>1</v>
      </c>
      <c r="B31" s="1" t="n">
        <v>1</v>
      </c>
      <c r="D31" s="29" t="s">
        <v>21</v>
      </c>
      <c r="E31" s="10" t="n">
        <v>111</v>
      </c>
      <c r="F31" s="10" t="s">
        <v>47</v>
      </c>
      <c r="G31" s="11" t="n">
        <f aca="false">G52+G111</f>
        <v>5042.6</v>
      </c>
      <c r="H31" s="11" t="n">
        <f aca="false">H52+H111</f>
        <v>5164.85</v>
      </c>
      <c r="I31" s="11" t="n">
        <f aca="false">I52+I111</f>
        <v>5252</v>
      </c>
      <c r="J31" s="11" t="n">
        <f aca="false">J52+J111</f>
        <v>5848.49</v>
      </c>
      <c r="K31" s="11" t="n">
        <f aca="false">K52+K111</f>
        <v>5831</v>
      </c>
      <c r="L31" s="11" t="n">
        <f aca="false">L52+L111</f>
        <v>0</v>
      </c>
      <c r="M31" s="11" t="n">
        <f aca="false">M52+M111</f>
        <v>88</v>
      </c>
      <c r="N31" s="11" t="n">
        <f aca="false">N52+N111</f>
        <v>0</v>
      </c>
      <c r="O31" s="11" t="n">
        <f aca="false">O52+O111</f>
        <v>-84</v>
      </c>
      <c r="P31" s="11" t="n">
        <f aca="false">P52+P111</f>
        <v>5835</v>
      </c>
      <c r="Q31" s="11" t="n">
        <f aca="false">Q52+Q111</f>
        <v>1006.12</v>
      </c>
      <c r="R31" s="12" t="n">
        <f aca="false">Q31/$P31</f>
        <v>0.172428449014567</v>
      </c>
      <c r="S31" s="11" t="n">
        <f aca="false">S52+S111</f>
        <v>2387.88</v>
      </c>
      <c r="T31" s="12" t="n">
        <f aca="false">S31/$P31</f>
        <v>0.409233933161954</v>
      </c>
      <c r="U31" s="11" t="n">
        <f aca="false">U52+U111</f>
        <v>3582.05</v>
      </c>
      <c r="V31" s="12" t="n">
        <f aca="false">U31/$P31</f>
        <v>0.613890317052271</v>
      </c>
      <c r="W31" s="11" t="n">
        <f aca="false">W52+W111</f>
        <v>5834.86</v>
      </c>
      <c r="X31" s="12" t="n">
        <f aca="false">W31/$P31</f>
        <v>0.999976006855184</v>
      </c>
      <c r="Y31" s="11" t="n">
        <f aca="false">Y52+Y111</f>
        <v>5831</v>
      </c>
      <c r="Z31" s="11" t="n">
        <f aca="false">Z52+Z111</f>
        <v>5831</v>
      </c>
    </row>
    <row r="32" customFormat="false" ht="12.8" hidden="false" customHeight="false" outlineLevel="0" collapsed="false">
      <c r="D32" s="29"/>
      <c r="E32" s="10" t="n">
        <v>41</v>
      </c>
      <c r="F32" s="10" t="s">
        <v>23</v>
      </c>
      <c r="G32" s="11" t="n">
        <f aca="false">G42+G57+G67+G78+G92+G104+G116</f>
        <v>202158.88</v>
      </c>
      <c r="H32" s="11" t="n">
        <f aca="false">H42+H57+H67+H78+H92+H104+H116</f>
        <v>185918.53</v>
      </c>
      <c r="I32" s="11" t="n">
        <f aca="false">I42+I57+I67+I78+I92+I104+I116</f>
        <v>214277</v>
      </c>
      <c r="J32" s="11" t="n">
        <f aca="false">J42+J57+J67+J78+J92+J104+J116</f>
        <v>208855.4</v>
      </c>
      <c r="K32" s="11" t="n">
        <f aca="false">K42+K57+K67+K78+K92+K104+K116</f>
        <v>203528</v>
      </c>
      <c r="L32" s="11" t="n">
        <f aca="false">L42+L57+L67+L78+L92+L104+L116</f>
        <v>0</v>
      </c>
      <c r="M32" s="11" t="n">
        <f aca="false">M42+M57+M67+M78+M92+M104+M116</f>
        <v>24672</v>
      </c>
      <c r="N32" s="11" t="n">
        <f aca="false">N42+N57+N67+N78+N92+N104+N116</f>
        <v>4240</v>
      </c>
      <c r="O32" s="11" t="n">
        <f aca="false">O42+O57+O67+O78+O92+O104+O116</f>
        <v>6618</v>
      </c>
      <c r="P32" s="11" t="n">
        <f aca="false">P42+P57+P67+P78+P92+P104+P116</f>
        <v>239058</v>
      </c>
      <c r="Q32" s="11" t="n">
        <f aca="false">Q42+Q57+Q67+Q78+Q92+Q104+Q116</f>
        <v>55273.91</v>
      </c>
      <c r="R32" s="12" t="n">
        <f aca="false">Q32/$P32</f>
        <v>0.231215479088757</v>
      </c>
      <c r="S32" s="11" t="n">
        <f aca="false">S42+S57+S67+S78+S92+S104+S116</f>
        <v>106486.58</v>
      </c>
      <c r="T32" s="12" t="n">
        <f aca="false">S32/$P32</f>
        <v>0.445442444929682</v>
      </c>
      <c r="U32" s="11" t="n">
        <f aca="false">U42+U57+U67+U78+U92+U104+U116</f>
        <v>179168.94</v>
      </c>
      <c r="V32" s="12" t="n">
        <f aca="false">U32/$P32</f>
        <v>0.749478954897974</v>
      </c>
      <c r="W32" s="11" t="n">
        <f aca="false">W42+W57+W67+W78+W92+W104+W116</f>
        <v>237304.43</v>
      </c>
      <c r="X32" s="12" t="n">
        <f aca="false">W32/$P32</f>
        <v>0.992664667151904</v>
      </c>
      <c r="Y32" s="11" t="n">
        <f aca="false">Y42+Y57+Y67+Y78+Y92+Y104+Y116</f>
        <v>203470</v>
      </c>
      <c r="Z32" s="11" t="n">
        <f aca="false">Z42+Z57+Z67+Z78+Z92+Z104+Z116</f>
        <v>208790</v>
      </c>
    </row>
    <row r="33" customFormat="false" ht="12.8" hidden="false" customHeight="false" outlineLevel="0" collapsed="false">
      <c r="A33" s="1" t="n">
        <v>1</v>
      </c>
      <c r="B33" s="1" t="n">
        <v>1</v>
      </c>
      <c r="D33" s="29"/>
      <c r="E33" s="10" t="n">
        <v>72</v>
      </c>
      <c r="F33" s="10" t="s">
        <v>25</v>
      </c>
      <c r="G33" s="11" t="n">
        <f aca="false">G44+G59+G69+G94+G118</f>
        <v>0</v>
      </c>
      <c r="H33" s="11" t="n">
        <f aca="false">H44+H59+H69+H94+H118</f>
        <v>0</v>
      </c>
      <c r="I33" s="11" t="n">
        <f aca="false">I44+I59+I69+I94+I118</f>
        <v>0</v>
      </c>
      <c r="J33" s="11" t="n">
        <f aca="false">J44+J59+J69+J94+J118</f>
        <v>0</v>
      </c>
      <c r="K33" s="11" t="n">
        <f aca="false">K44+K59+K69+K94+K118</f>
        <v>825</v>
      </c>
      <c r="L33" s="11" t="n">
        <f aca="false">L44+L59+L69+L94+L118</f>
        <v>0</v>
      </c>
      <c r="M33" s="11" t="n">
        <f aca="false">M44+M59+M69+M94+M118</f>
        <v>0</v>
      </c>
      <c r="N33" s="11" t="n">
        <f aca="false">N44+N59+N69+N94+N118</f>
        <v>0</v>
      </c>
      <c r="O33" s="11" t="n">
        <f aca="false">O44+O59+O69+O94+O118</f>
        <v>77</v>
      </c>
      <c r="P33" s="11" t="n">
        <f aca="false">P44+P59+P69+P94+P118</f>
        <v>902</v>
      </c>
      <c r="Q33" s="11" t="n">
        <f aca="false">Q44+Q59+Q69+Q94+Q118</f>
        <v>0</v>
      </c>
      <c r="R33" s="12" t="n">
        <f aca="false">Q33/$P33</f>
        <v>0</v>
      </c>
      <c r="S33" s="11" t="n">
        <f aca="false">S44+S59+S69+S94+S118</f>
        <v>0</v>
      </c>
      <c r="T33" s="12" t="n">
        <f aca="false">S33/$P33</f>
        <v>0</v>
      </c>
      <c r="U33" s="11" t="n">
        <f aca="false">U44+U59+U69+U94+U118</f>
        <v>0</v>
      </c>
      <c r="V33" s="12" t="n">
        <f aca="false">U33/$P33</f>
        <v>0</v>
      </c>
      <c r="W33" s="11" t="n">
        <f aca="false">W44+W59+W69+W94+W118</f>
        <v>893</v>
      </c>
      <c r="X33" s="12" t="n">
        <f aca="false">W33/$P33</f>
        <v>0.990022172949002</v>
      </c>
      <c r="Y33" s="11" t="n">
        <f aca="false">Y44+Y59+Y69+Y94+Y118</f>
        <v>825</v>
      </c>
      <c r="Z33" s="11" t="n">
        <f aca="false">Z44+Z59+Z69+Z94+Z118</f>
        <v>825</v>
      </c>
    </row>
    <row r="34" customFormat="false" ht="12.8" hidden="false" customHeight="false" outlineLevel="0" collapsed="false">
      <c r="A34" s="1" t="n">
        <v>1</v>
      </c>
      <c r="B34" s="1" t="n">
        <v>1</v>
      </c>
      <c r="D34" s="16"/>
      <c r="E34" s="17"/>
      <c r="F34" s="13" t="s">
        <v>119</v>
      </c>
      <c r="G34" s="14" t="n">
        <f aca="false">SUM(G31:G33)</f>
        <v>207201.48</v>
      </c>
      <c r="H34" s="14" t="n">
        <f aca="false">SUM(H31:H33)</f>
        <v>191083.38</v>
      </c>
      <c r="I34" s="14" t="n">
        <f aca="false">SUM(I31:I33)</f>
        <v>219529</v>
      </c>
      <c r="J34" s="14" t="n">
        <f aca="false">SUM(J31:J33)</f>
        <v>214703.89</v>
      </c>
      <c r="K34" s="14" t="n">
        <f aca="false">SUM(K31:K33)</f>
        <v>210184</v>
      </c>
      <c r="L34" s="14" t="n">
        <f aca="false">SUM(L31:L33)</f>
        <v>0</v>
      </c>
      <c r="M34" s="14" t="n">
        <f aca="false">SUM(M31:M33)</f>
        <v>24760</v>
      </c>
      <c r="N34" s="14" t="n">
        <f aca="false">SUM(N31:N33)</f>
        <v>4240</v>
      </c>
      <c r="O34" s="14" t="n">
        <f aca="false">SUM(O31:O33)</f>
        <v>6611</v>
      </c>
      <c r="P34" s="14" t="n">
        <f aca="false">SUM(P31:P33)</f>
        <v>245795</v>
      </c>
      <c r="Q34" s="14" t="n">
        <f aca="false">SUM(Q31:Q33)</f>
        <v>56280.03</v>
      </c>
      <c r="R34" s="15" t="n">
        <f aca="false">Q34/$P34</f>
        <v>0.228971419272158</v>
      </c>
      <c r="S34" s="14" t="n">
        <f aca="false">SUM(S31:S33)</f>
        <v>108874.46</v>
      </c>
      <c r="T34" s="15" t="n">
        <f aca="false">S34/$P34</f>
        <v>0.442948229215403</v>
      </c>
      <c r="U34" s="14" t="n">
        <f aca="false">SUM(U31:U33)</f>
        <v>182750.99</v>
      </c>
      <c r="V34" s="15" t="n">
        <f aca="false">U34/$P34</f>
        <v>0.743509794747655</v>
      </c>
      <c r="W34" s="14" t="n">
        <f aca="false">SUM(W31:W33)</f>
        <v>244032.29</v>
      </c>
      <c r="X34" s="15" t="n">
        <f aca="false">W34/$P34</f>
        <v>0.992828535975101</v>
      </c>
      <c r="Y34" s="14" t="n">
        <f aca="false">SUM(Y31:Y33)</f>
        <v>210126</v>
      </c>
      <c r="Z34" s="14" t="n">
        <f aca="false">SUM(Z31:Z33)</f>
        <v>215446</v>
      </c>
    </row>
    <row r="36" customFormat="false" ht="12.8" hidden="false" customHeight="false" outlineLevel="0" collapsed="false">
      <c r="D36" s="63" t="s">
        <v>122</v>
      </c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</row>
    <row r="37" customFormat="false" ht="12.8" hidden="false" customHeight="false" outlineLevel="0" collapsed="false">
      <c r="D37" s="7" t="s">
        <v>33</v>
      </c>
      <c r="E37" s="7" t="s">
        <v>34</v>
      </c>
      <c r="F37" s="7" t="s">
        <v>35</v>
      </c>
      <c r="G37" s="7" t="s">
        <v>1</v>
      </c>
      <c r="H37" s="7" t="s">
        <v>2</v>
      </c>
      <c r="I37" s="7" t="s">
        <v>3</v>
      </c>
      <c r="J37" s="7" t="s">
        <v>4</v>
      </c>
      <c r="K37" s="7" t="s">
        <v>5</v>
      </c>
      <c r="L37" s="7" t="s">
        <v>6</v>
      </c>
      <c r="M37" s="7" t="s">
        <v>7</v>
      </c>
      <c r="N37" s="7" t="s">
        <v>8</v>
      </c>
      <c r="O37" s="7" t="s">
        <v>9</v>
      </c>
      <c r="P37" s="7" t="s">
        <v>10</v>
      </c>
      <c r="Q37" s="7" t="s">
        <v>11</v>
      </c>
      <c r="R37" s="8" t="s">
        <v>12</v>
      </c>
      <c r="S37" s="7" t="s">
        <v>13</v>
      </c>
      <c r="T37" s="8" t="s">
        <v>14</v>
      </c>
      <c r="U37" s="7" t="s">
        <v>15</v>
      </c>
      <c r="V37" s="8" t="s">
        <v>16</v>
      </c>
      <c r="W37" s="7" t="s">
        <v>17</v>
      </c>
      <c r="X37" s="8" t="s">
        <v>18</v>
      </c>
      <c r="Y37" s="7" t="s">
        <v>19</v>
      </c>
      <c r="Z37" s="7" t="s">
        <v>20</v>
      </c>
    </row>
    <row r="38" customFormat="false" ht="12.8" hidden="false" customHeight="false" outlineLevel="0" collapsed="false">
      <c r="A38" s="1" t="n">
        <v>1</v>
      </c>
      <c r="B38" s="1" t="n">
        <v>1</v>
      </c>
      <c r="C38" s="1" t="n">
        <v>1</v>
      </c>
      <c r="D38" s="36" t="s">
        <v>123</v>
      </c>
      <c r="E38" s="10" t="n">
        <v>610</v>
      </c>
      <c r="F38" s="10" t="s">
        <v>124</v>
      </c>
      <c r="G38" s="11" t="n">
        <v>28444.91</v>
      </c>
      <c r="H38" s="11" t="n">
        <v>28464.29</v>
      </c>
      <c r="I38" s="11" t="n">
        <v>28430</v>
      </c>
      <c r="J38" s="11" t="n">
        <v>28450</v>
      </c>
      <c r="K38" s="11" t="n">
        <v>28450</v>
      </c>
      <c r="L38" s="11"/>
      <c r="M38" s="11"/>
      <c r="N38" s="11" t="n">
        <v>-19</v>
      </c>
      <c r="O38" s="11" t="n">
        <v>-200</v>
      </c>
      <c r="P38" s="11" t="n">
        <f aca="false">K38+SUM(L38:O38)</f>
        <v>28231</v>
      </c>
      <c r="Q38" s="11" t="n">
        <v>7113</v>
      </c>
      <c r="R38" s="12" t="n">
        <f aca="false">Q38/$P38</f>
        <v>0.25195706847083</v>
      </c>
      <c r="S38" s="11" t="n">
        <v>14226</v>
      </c>
      <c r="T38" s="12" t="n">
        <f aca="false">S38/$P38</f>
        <v>0.50391413694166</v>
      </c>
      <c r="U38" s="11" t="n">
        <v>21339</v>
      </c>
      <c r="V38" s="12" t="n">
        <f aca="false">U38/$P38</f>
        <v>0.75587120541249</v>
      </c>
      <c r="W38" s="11" t="n">
        <v>28230.47</v>
      </c>
      <c r="X38" s="12" t="n">
        <f aca="false">W38/$P38</f>
        <v>0.999981226311501</v>
      </c>
      <c r="Y38" s="11" t="n">
        <f aca="false">K38</f>
        <v>28450</v>
      </c>
      <c r="Z38" s="11" t="n">
        <f aca="false">Y38</f>
        <v>28450</v>
      </c>
    </row>
    <row r="39" customFormat="false" ht="12.8" hidden="false" customHeight="false" outlineLevel="0" collapsed="false">
      <c r="A39" s="1" t="n">
        <v>1</v>
      </c>
      <c r="B39" s="1" t="n">
        <v>1</v>
      </c>
      <c r="C39" s="1" t="n">
        <v>1</v>
      </c>
      <c r="D39" s="36"/>
      <c r="E39" s="10" t="n">
        <v>620</v>
      </c>
      <c r="F39" s="10" t="s">
        <v>125</v>
      </c>
      <c r="G39" s="11" t="n">
        <v>12391.13</v>
      </c>
      <c r="H39" s="11" t="n">
        <v>12861.72</v>
      </c>
      <c r="I39" s="11" t="n">
        <v>12816</v>
      </c>
      <c r="J39" s="11" t="n">
        <v>11988.79</v>
      </c>
      <c r="K39" s="11" t="n">
        <v>11988</v>
      </c>
      <c r="L39" s="11"/>
      <c r="M39" s="11"/>
      <c r="N39" s="11"/>
      <c r="O39" s="11" t="n">
        <v>-70</v>
      </c>
      <c r="P39" s="11" t="n">
        <f aca="false">K39+SUM(L39:O39)</f>
        <v>11918</v>
      </c>
      <c r="Q39" s="11" t="n">
        <v>4099.52</v>
      </c>
      <c r="R39" s="12" t="n">
        <f aca="false">Q39/$P39</f>
        <v>0.343977177378755</v>
      </c>
      <c r="S39" s="11" t="n">
        <v>6732.95</v>
      </c>
      <c r="T39" s="12" t="n">
        <f aca="false">S39/$P39</f>
        <v>0.564939587179057</v>
      </c>
      <c r="U39" s="11" t="n">
        <v>9366.38</v>
      </c>
      <c r="V39" s="12" t="n">
        <f aca="false">U39/$P39</f>
        <v>0.785901996979359</v>
      </c>
      <c r="W39" s="11" t="n">
        <v>11924.68</v>
      </c>
      <c r="X39" s="12" t="n">
        <f aca="false">W39/$P39</f>
        <v>1.00056049672764</v>
      </c>
      <c r="Y39" s="11" t="n">
        <f aca="false">K39</f>
        <v>11988</v>
      </c>
      <c r="Z39" s="11" t="n">
        <f aca="false">Y39</f>
        <v>11988</v>
      </c>
    </row>
    <row r="40" customFormat="false" ht="12.8" hidden="false" customHeight="false" outlineLevel="0" collapsed="false">
      <c r="A40" s="1" t="n">
        <v>1</v>
      </c>
      <c r="B40" s="1" t="n">
        <v>1</v>
      </c>
      <c r="C40" s="1" t="n">
        <v>1</v>
      </c>
      <c r="D40" s="36"/>
      <c r="E40" s="10" t="n">
        <v>630</v>
      </c>
      <c r="F40" s="10" t="s">
        <v>126</v>
      </c>
      <c r="G40" s="11" t="n">
        <v>5767.31</v>
      </c>
      <c r="H40" s="11" t="n">
        <v>9574.24</v>
      </c>
      <c r="I40" s="11" t="n">
        <v>10554</v>
      </c>
      <c r="J40" s="11" t="n">
        <v>8555.7</v>
      </c>
      <c r="K40" s="37" t="n">
        <v>8942</v>
      </c>
      <c r="L40" s="11"/>
      <c r="M40" s="11"/>
      <c r="N40" s="11"/>
      <c r="O40" s="11" t="n">
        <v>228</v>
      </c>
      <c r="P40" s="11" t="n">
        <f aca="false">K40+SUM(L40:O40)</f>
        <v>9170</v>
      </c>
      <c r="Q40" s="11" t="n">
        <v>5609.56</v>
      </c>
      <c r="R40" s="12" t="n">
        <f aca="false">Q40/$P40</f>
        <v>0.611729552889858</v>
      </c>
      <c r="S40" s="11" t="n">
        <v>7068.48</v>
      </c>
      <c r="T40" s="12" t="n">
        <f aca="false">S40/$P40</f>
        <v>0.770826608505998</v>
      </c>
      <c r="U40" s="11" t="n">
        <v>7944.58</v>
      </c>
      <c r="V40" s="12" t="n">
        <f aca="false">U40/$P40</f>
        <v>0.86636641221374</v>
      </c>
      <c r="W40" s="11" t="n">
        <v>9167.96</v>
      </c>
      <c r="X40" s="12" t="n">
        <f aca="false">W40/$P40</f>
        <v>0.999777535441658</v>
      </c>
      <c r="Y40" s="11" t="n">
        <f aca="false">K40</f>
        <v>8942</v>
      </c>
      <c r="Z40" s="11" t="n">
        <f aca="false">Y40</f>
        <v>8942</v>
      </c>
    </row>
    <row r="41" customFormat="false" ht="12.8" hidden="false" customHeight="false" outlineLevel="0" collapsed="false">
      <c r="A41" s="1" t="n">
        <v>1</v>
      </c>
      <c r="B41" s="1" t="n">
        <v>1</v>
      </c>
      <c r="C41" s="1" t="n">
        <v>1</v>
      </c>
      <c r="D41" s="36"/>
      <c r="E41" s="10" t="n">
        <v>640</v>
      </c>
      <c r="F41" s="10" t="s">
        <v>127</v>
      </c>
      <c r="G41" s="11" t="n">
        <v>6792.35</v>
      </c>
      <c r="H41" s="11" t="n">
        <v>0</v>
      </c>
      <c r="I41" s="11" t="n">
        <v>0</v>
      </c>
      <c r="J41" s="11" t="n">
        <v>0</v>
      </c>
      <c r="K41" s="11" t="n">
        <v>0</v>
      </c>
      <c r="L41" s="11"/>
      <c r="M41" s="11"/>
      <c r="N41" s="11" t="n">
        <v>19</v>
      </c>
      <c r="O41" s="11"/>
      <c r="P41" s="11" t="n">
        <f aca="false">K41+SUM(L41:O41)</f>
        <v>19</v>
      </c>
      <c r="Q41" s="11" t="n">
        <v>0</v>
      </c>
      <c r="R41" s="12" t="n">
        <f aca="false">Q41/$P41</f>
        <v>0</v>
      </c>
      <c r="S41" s="11" t="n">
        <v>0</v>
      </c>
      <c r="T41" s="12" t="n">
        <f aca="false">S41/$P41</f>
        <v>0</v>
      </c>
      <c r="U41" s="11" t="n">
        <v>0</v>
      </c>
      <c r="V41" s="12" t="n">
        <f aca="false">U41/$P41</f>
        <v>0</v>
      </c>
      <c r="W41" s="11" t="n">
        <v>19.26</v>
      </c>
      <c r="X41" s="12" t="n">
        <f aca="false">W41/$P41</f>
        <v>1.01368421052632</v>
      </c>
      <c r="Y41" s="11" t="n">
        <f aca="false">K41</f>
        <v>0</v>
      </c>
      <c r="Z41" s="11" t="n">
        <f aca="false">Y41</f>
        <v>0</v>
      </c>
    </row>
    <row r="42" customFormat="false" ht="12.8" hidden="false" customHeight="false" outlineLevel="0" collapsed="false">
      <c r="A42" s="1" t="n">
        <v>1</v>
      </c>
      <c r="B42" s="1" t="n">
        <v>1</v>
      </c>
      <c r="C42" s="1" t="n">
        <v>1</v>
      </c>
      <c r="D42" s="75" t="s">
        <v>21</v>
      </c>
      <c r="E42" s="32" t="n">
        <v>41</v>
      </c>
      <c r="F42" s="32" t="s">
        <v>23</v>
      </c>
      <c r="G42" s="33" t="n">
        <f aca="false">SUM(G38:G41)</f>
        <v>53395.7</v>
      </c>
      <c r="H42" s="33" t="n">
        <f aca="false">SUM(H38:H41)</f>
        <v>50900.25</v>
      </c>
      <c r="I42" s="33" t="n">
        <f aca="false">SUM(I38:I41)</f>
        <v>51800</v>
      </c>
      <c r="J42" s="33" t="n">
        <f aca="false">SUM(J38:J41)</f>
        <v>48994.49</v>
      </c>
      <c r="K42" s="33" t="n">
        <f aca="false">SUM(K38:K41)</f>
        <v>49380</v>
      </c>
      <c r="L42" s="33" t="n">
        <f aca="false">SUM(L38:L41)</f>
        <v>0</v>
      </c>
      <c r="M42" s="33" t="n">
        <f aca="false">SUM(M38:M41)</f>
        <v>0</v>
      </c>
      <c r="N42" s="33" t="n">
        <f aca="false">SUM(N38:N41)</f>
        <v>0</v>
      </c>
      <c r="O42" s="33" t="n">
        <f aca="false">SUM(O38:O41)</f>
        <v>-42</v>
      </c>
      <c r="P42" s="33" t="n">
        <f aca="false">SUM(P38:P41)</f>
        <v>49338</v>
      </c>
      <c r="Q42" s="33" t="n">
        <f aca="false">SUM(Q38:Q41)</f>
        <v>16822.08</v>
      </c>
      <c r="R42" s="34" t="n">
        <f aca="false">Q42/$P42</f>
        <v>0.34095585552718</v>
      </c>
      <c r="S42" s="33" t="n">
        <f aca="false">SUM(S38:S41)</f>
        <v>28027.43</v>
      </c>
      <c r="T42" s="34" t="n">
        <f aca="false">S42/$P42</f>
        <v>0.568069844744416</v>
      </c>
      <c r="U42" s="33" t="n">
        <f aca="false">SUM(U38:U41)</f>
        <v>38649.96</v>
      </c>
      <c r="V42" s="34" t="n">
        <f aca="false">U42/$P42</f>
        <v>0.783371032469901</v>
      </c>
      <c r="W42" s="33" t="n">
        <f aca="false">SUM(W38:W41)</f>
        <v>49342.37</v>
      </c>
      <c r="X42" s="34" t="n">
        <f aca="false">W42/$P42</f>
        <v>1.00008857270258</v>
      </c>
      <c r="Y42" s="33" t="n">
        <f aca="false">SUM(Y38:Y41)</f>
        <v>49380</v>
      </c>
      <c r="Z42" s="33" t="n">
        <f aca="false">SUM(Z38:Z41)</f>
        <v>49380</v>
      </c>
    </row>
    <row r="43" customFormat="false" ht="12.8" hidden="false" customHeight="false" outlineLevel="0" collapsed="false">
      <c r="D43" s="10" t="s">
        <v>123</v>
      </c>
      <c r="E43" s="10" t="n">
        <v>640</v>
      </c>
      <c r="F43" s="10" t="s">
        <v>127</v>
      </c>
      <c r="G43" s="11" t="n">
        <v>0</v>
      </c>
      <c r="H43" s="11" t="n">
        <v>0</v>
      </c>
      <c r="I43" s="11" t="n">
        <v>0</v>
      </c>
      <c r="J43" s="11" t="n">
        <v>0</v>
      </c>
      <c r="K43" s="11" t="n">
        <v>0</v>
      </c>
      <c r="L43" s="11"/>
      <c r="M43" s="11"/>
      <c r="N43" s="11"/>
      <c r="O43" s="11" t="n">
        <v>125</v>
      </c>
      <c r="P43" s="11" t="n">
        <f aca="false">K43+SUM(L43:O43)</f>
        <v>125</v>
      </c>
      <c r="Q43" s="11" t="n">
        <v>0</v>
      </c>
      <c r="R43" s="12" t="n">
        <f aca="false">Q43/$P43</f>
        <v>0</v>
      </c>
      <c r="S43" s="11" t="n">
        <v>0</v>
      </c>
      <c r="T43" s="12" t="n">
        <f aca="false">S43/$P43</f>
        <v>0</v>
      </c>
      <c r="U43" s="11" t="n">
        <v>0</v>
      </c>
      <c r="V43" s="12" t="n">
        <f aca="false">U43/$P43</f>
        <v>0</v>
      </c>
      <c r="W43" s="11" t="n">
        <v>124.62</v>
      </c>
      <c r="X43" s="12" t="n">
        <f aca="false">W43/$P43</f>
        <v>0.99696</v>
      </c>
      <c r="Y43" s="11" t="n">
        <v>0</v>
      </c>
      <c r="Z43" s="11" t="n">
        <f aca="false">Y43</f>
        <v>0</v>
      </c>
    </row>
    <row r="44" customFormat="false" ht="12.8" hidden="false" customHeight="false" outlineLevel="0" collapsed="false">
      <c r="D44" s="75" t="s">
        <v>21</v>
      </c>
      <c r="E44" s="76" t="n">
        <v>72</v>
      </c>
      <c r="F44" s="32" t="s">
        <v>25</v>
      </c>
      <c r="G44" s="33" t="n">
        <f aca="false">SUM(G43)</f>
        <v>0</v>
      </c>
      <c r="H44" s="33" t="n">
        <f aca="false">SUM(H43)</f>
        <v>0</v>
      </c>
      <c r="I44" s="33" t="n">
        <f aca="false">SUM(I43)</f>
        <v>0</v>
      </c>
      <c r="J44" s="33" t="n">
        <f aca="false">SUM(J43)</f>
        <v>0</v>
      </c>
      <c r="K44" s="33" t="n">
        <f aca="false">SUM(K43)</f>
        <v>0</v>
      </c>
      <c r="L44" s="33" t="n">
        <f aca="false">SUM(L43)</f>
        <v>0</v>
      </c>
      <c r="M44" s="33" t="n">
        <f aca="false">SUM(M43)</f>
        <v>0</v>
      </c>
      <c r="N44" s="33" t="n">
        <f aca="false">SUM(N43)</f>
        <v>0</v>
      </c>
      <c r="O44" s="33" t="n">
        <f aca="false">SUM(O43)</f>
        <v>125</v>
      </c>
      <c r="P44" s="33" t="n">
        <f aca="false">SUM(P43)</f>
        <v>125</v>
      </c>
      <c r="Q44" s="33" t="n">
        <f aca="false">SUM(Q43)</f>
        <v>0</v>
      </c>
      <c r="R44" s="34" t="n">
        <f aca="false">Q44/$P44</f>
        <v>0</v>
      </c>
      <c r="S44" s="33" t="n">
        <f aca="false">SUM(S43)</f>
        <v>0</v>
      </c>
      <c r="T44" s="34" t="n">
        <f aca="false">S44/$P44</f>
        <v>0</v>
      </c>
      <c r="U44" s="33" t="n">
        <f aca="false">SUM(U43)</f>
        <v>0</v>
      </c>
      <c r="V44" s="34" t="n">
        <f aca="false">U44/$P44</f>
        <v>0</v>
      </c>
      <c r="W44" s="33" t="n">
        <f aca="false">SUM(W43)</f>
        <v>124.62</v>
      </c>
      <c r="X44" s="34" t="n">
        <f aca="false">W44/$P44</f>
        <v>0.99696</v>
      </c>
      <c r="Y44" s="33" t="n">
        <f aca="false">SUM(Y43)</f>
        <v>0</v>
      </c>
      <c r="Z44" s="33" t="n">
        <f aca="false">SUM(Z43)</f>
        <v>0</v>
      </c>
    </row>
    <row r="45" customFormat="false" ht="12.8" hidden="false" customHeight="false" outlineLevel="0" collapsed="false">
      <c r="D45" s="77"/>
      <c r="E45" s="78"/>
      <c r="F45" s="13" t="s">
        <v>119</v>
      </c>
      <c r="G45" s="14" t="n">
        <f aca="false">G42+G44</f>
        <v>53395.7</v>
      </c>
      <c r="H45" s="14" t="n">
        <f aca="false">H42+H44</f>
        <v>50900.25</v>
      </c>
      <c r="I45" s="14" t="n">
        <f aca="false">I42+I44</f>
        <v>51800</v>
      </c>
      <c r="J45" s="14" t="n">
        <f aca="false">J42+J44</f>
        <v>48994.49</v>
      </c>
      <c r="K45" s="14" t="n">
        <f aca="false">K42+K44</f>
        <v>49380</v>
      </c>
      <c r="L45" s="14" t="n">
        <f aca="false">L42+L44</f>
        <v>0</v>
      </c>
      <c r="M45" s="14" t="n">
        <f aca="false">M42+M44</f>
        <v>0</v>
      </c>
      <c r="N45" s="14" t="n">
        <f aca="false">N42+N44</f>
        <v>0</v>
      </c>
      <c r="O45" s="14" t="n">
        <f aca="false">O42+O44</f>
        <v>83</v>
      </c>
      <c r="P45" s="14" t="n">
        <f aca="false">P42+P44</f>
        <v>49463</v>
      </c>
      <c r="Q45" s="14" t="n">
        <f aca="false">Q42+Q44</f>
        <v>16822.08</v>
      </c>
      <c r="R45" s="15" t="n">
        <f aca="false">Q45/$P45</f>
        <v>0.340094211835109</v>
      </c>
      <c r="S45" s="14" t="n">
        <f aca="false">S42+S44</f>
        <v>28027.43</v>
      </c>
      <c r="T45" s="15" t="n">
        <f aca="false">S45/$P45</f>
        <v>0.56663425186503</v>
      </c>
      <c r="U45" s="14" t="n">
        <f aca="false">U42+U44</f>
        <v>38649.96</v>
      </c>
      <c r="V45" s="15" t="n">
        <f aca="false">U45/$P45</f>
        <v>0.781391343024078</v>
      </c>
      <c r="W45" s="14" t="n">
        <f aca="false">W42+W44</f>
        <v>49466.99</v>
      </c>
      <c r="X45" s="15" t="n">
        <f aca="false">W45/$P45</f>
        <v>1.00008066635667</v>
      </c>
      <c r="Y45" s="14" t="n">
        <f aca="false">Y42+Y44</f>
        <v>49380</v>
      </c>
      <c r="Z45" s="14" t="n">
        <f aca="false">Z42+Z44</f>
        <v>49380</v>
      </c>
    </row>
    <row r="46" customFormat="false" ht="12.8" hidden="true" customHeight="false" outlineLevel="0" collapsed="false">
      <c r="D46" s="79"/>
      <c r="E46" s="30"/>
      <c r="F46" s="3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1"/>
      <c r="S46" s="80"/>
      <c r="T46" s="81"/>
      <c r="U46" s="80"/>
      <c r="V46" s="81"/>
      <c r="W46" s="80"/>
      <c r="X46" s="81"/>
      <c r="Y46" s="80"/>
      <c r="Z46" s="80"/>
    </row>
    <row r="47" customFormat="false" ht="12.8" hidden="true" customHeight="false" outlineLevel="0" collapsed="false">
      <c r="D47" s="79"/>
      <c r="E47" s="82" t="s">
        <v>57</v>
      </c>
      <c r="F47" s="83" t="s">
        <v>128</v>
      </c>
      <c r="G47" s="84" t="n">
        <v>6777</v>
      </c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5"/>
      <c r="S47" s="84"/>
      <c r="T47" s="85"/>
      <c r="U47" s="84"/>
      <c r="V47" s="85"/>
      <c r="W47" s="84"/>
      <c r="X47" s="85"/>
      <c r="Y47" s="84"/>
      <c r="Z47" s="86"/>
    </row>
    <row r="48" customFormat="false" ht="12.8" hidden="false" customHeight="false" outlineLevel="0" collapsed="false">
      <c r="D48" s="79"/>
      <c r="E48" s="30"/>
      <c r="F48" s="3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1"/>
      <c r="S48" s="80"/>
      <c r="T48" s="81"/>
      <c r="U48" s="80"/>
      <c r="V48" s="81"/>
      <c r="W48" s="80"/>
      <c r="X48" s="81"/>
      <c r="Y48" s="80"/>
      <c r="Z48" s="80"/>
    </row>
    <row r="49" customFormat="false" ht="12.8" hidden="false" customHeight="false" outlineLevel="0" collapsed="false">
      <c r="D49" s="63" t="s">
        <v>129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</row>
    <row r="50" customFormat="false" ht="12.8" hidden="false" customHeight="false" outlineLevel="0" collapsed="false">
      <c r="D50" s="7" t="s">
        <v>33</v>
      </c>
      <c r="E50" s="7" t="s">
        <v>34</v>
      </c>
      <c r="F50" s="7" t="s">
        <v>35</v>
      </c>
      <c r="G50" s="7" t="s">
        <v>1</v>
      </c>
      <c r="H50" s="7" t="s">
        <v>2</v>
      </c>
      <c r="I50" s="7" t="s">
        <v>3</v>
      </c>
      <c r="J50" s="7" t="s">
        <v>4</v>
      </c>
      <c r="K50" s="7" t="s">
        <v>5</v>
      </c>
      <c r="L50" s="7" t="s">
        <v>6</v>
      </c>
      <c r="M50" s="7" t="s">
        <v>7</v>
      </c>
      <c r="N50" s="7" t="s">
        <v>8</v>
      </c>
      <c r="O50" s="7" t="s">
        <v>9</v>
      </c>
      <c r="P50" s="7" t="s">
        <v>10</v>
      </c>
      <c r="Q50" s="7" t="s">
        <v>11</v>
      </c>
      <c r="R50" s="8" t="s">
        <v>12</v>
      </c>
      <c r="S50" s="7" t="s">
        <v>13</v>
      </c>
      <c r="T50" s="8" t="s">
        <v>14</v>
      </c>
      <c r="U50" s="7" t="s">
        <v>15</v>
      </c>
      <c r="V50" s="8" t="s">
        <v>16</v>
      </c>
      <c r="W50" s="7" t="s">
        <v>17</v>
      </c>
      <c r="X50" s="8" t="s">
        <v>18</v>
      </c>
      <c r="Y50" s="7" t="s">
        <v>19</v>
      </c>
      <c r="Z50" s="7" t="s">
        <v>20</v>
      </c>
    </row>
    <row r="51" customFormat="false" ht="12.8" hidden="false" customHeight="false" outlineLevel="0" collapsed="false">
      <c r="D51" s="10" t="s">
        <v>123</v>
      </c>
      <c r="E51" s="10" t="n">
        <v>610</v>
      </c>
      <c r="F51" s="10" t="s">
        <v>124</v>
      </c>
      <c r="G51" s="11" t="n">
        <v>0</v>
      </c>
      <c r="H51" s="11" t="n">
        <v>0</v>
      </c>
      <c r="I51" s="11" t="n">
        <v>0</v>
      </c>
      <c r="J51" s="11" t="n">
        <v>431.27</v>
      </c>
      <c r="K51" s="11" t="n">
        <v>431</v>
      </c>
      <c r="L51" s="11"/>
      <c r="M51" s="11"/>
      <c r="N51" s="11"/>
      <c r="O51" s="11" t="n">
        <v>-137</v>
      </c>
      <c r="P51" s="11" t="n">
        <f aca="false">K51+SUM(L51:O51)</f>
        <v>294</v>
      </c>
      <c r="Q51" s="11" t="n">
        <v>0</v>
      </c>
      <c r="R51" s="12" t="n">
        <f aca="false">Q51/$P51</f>
        <v>0</v>
      </c>
      <c r="S51" s="11" t="n">
        <v>0</v>
      </c>
      <c r="T51" s="12" t="n">
        <f aca="false">S51/$P51</f>
        <v>0</v>
      </c>
      <c r="U51" s="11" t="n">
        <v>0</v>
      </c>
      <c r="V51" s="12" t="n">
        <f aca="false">U51/$P51</f>
        <v>0</v>
      </c>
      <c r="W51" s="11" t="n">
        <v>294.12</v>
      </c>
      <c r="X51" s="12" t="n">
        <f aca="false">W51/$P51</f>
        <v>1.00040816326531</v>
      </c>
      <c r="Y51" s="11" t="n">
        <f aca="false">K51</f>
        <v>431</v>
      </c>
      <c r="Z51" s="11" t="n">
        <f aca="false">Y51</f>
        <v>431</v>
      </c>
    </row>
    <row r="52" customFormat="false" ht="12.8" hidden="false" customHeight="false" outlineLevel="0" collapsed="false">
      <c r="D52" s="75" t="s">
        <v>21</v>
      </c>
      <c r="E52" s="32" t="n">
        <v>111</v>
      </c>
      <c r="F52" s="32" t="s">
        <v>130</v>
      </c>
      <c r="G52" s="33" t="n">
        <f aca="false">SUM(G51)</f>
        <v>0</v>
      </c>
      <c r="H52" s="33" t="n">
        <f aca="false">SUM(H51)</f>
        <v>0</v>
      </c>
      <c r="I52" s="33" t="n">
        <f aca="false">SUM(I51)</f>
        <v>0</v>
      </c>
      <c r="J52" s="33" t="n">
        <f aca="false">SUM(J51)</f>
        <v>431.27</v>
      </c>
      <c r="K52" s="33" t="n">
        <f aca="false">SUM(K51)</f>
        <v>431</v>
      </c>
      <c r="L52" s="33" t="n">
        <f aca="false">SUM(L51)</f>
        <v>0</v>
      </c>
      <c r="M52" s="33" t="n">
        <f aca="false">SUM(M51)</f>
        <v>0</v>
      </c>
      <c r="N52" s="33" t="n">
        <f aca="false">SUM(N51)</f>
        <v>0</v>
      </c>
      <c r="O52" s="33" t="n">
        <f aca="false">SUM(O51)</f>
        <v>-137</v>
      </c>
      <c r="P52" s="33" t="n">
        <f aca="false">SUM(P51)</f>
        <v>294</v>
      </c>
      <c r="Q52" s="33" t="n">
        <f aca="false">SUM(Q51)</f>
        <v>0</v>
      </c>
      <c r="R52" s="34" t="n">
        <f aca="false">Q52/$P52</f>
        <v>0</v>
      </c>
      <c r="S52" s="33" t="n">
        <f aca="false">SUM(S51)</f>
        <v>0</v>
      </c>
      <c r="T52" s="34" t="n">
        <f aca="false">S52/$P52</f>
        <v>0</v>
      </c>
      <c r="U52" s="33" t="n">
        <f aca="false">SUM(U51)</f>
        <v>0</v>
      </c>
      <c r="V52" s="34" t="n">
        <f aca="false">U52/$P52</f>
        <v>0</v>
      </c>
      <c r="W52" s="33" t="n">
        <f aca="false">SUM(W51)</f>
        <v>294.12</v>
      </c>
      <c r="X52" s="34" t="n">
        <f aca="false">W52/$P52</f>
        <v>1.00040816326531</v>
      </c>
      <c r="Y52" s="33" t="n">
        <f aca="false">SUM(Y51)</f>
        <v>431</v>
      </c>
      <c r="Z52" s="33" t="n">
        <f aca="false">SUM(Z51)</f>
        <v>431</v>
      </c>
    </row>
    <row r="53" customFormat="false" ht="12.8" hidden="false" customHeight="false" outlineLevel="0" collapsed="false">
      <c r="A53" s="1" t="n">
        <v>1</v>
      </c>
      <c r="B53" s="1" t="n">
        <v>1</v>
      </c>
      <c r="C53" s="1" t="n">
        <v>2</v>
      </c>
      <c r="D53" s="36" t="s">
        <v>123</v>
      </c>
      <c r="E53" s="10" t="n">
        <v>610</v>
      </c>
      <c r="F53" s="10" t="s">
        <v>124</v>
      </c>
      <c r="G53" s="11" t="n">
        <v>48214.27</v>
      </c>
      <c r="H53" s="11" t="n">
        <v>39593.61</v>
      </c>
      <c r="I53" s="11" t="n">
        <v>44910</v>
      </c>
      <c r="J53" s="11" t="n">
        <v>46054.6</v>
      </c>
      <c r="K53" s="37" t="n">
        <v>50685</v>
      </c>
      <c r="L53" s="11"/>
      <c r="M53" s="11"/>
      <c r="N53" s="11"/>
      <c r="O53" s="11" t="n">
        <f aca="false">2000+206</f>
        <v>2206</v>
      </c>
      <c r="P53" s="11" t="n">
        <f aca="false">K53+SUM(L53:O53)</f>
        <v>52891</v>
      </c>
      <c r="Q53" s="11" t="n">
        <v>11874.23</v>
      </c>
      <c r="R53" s="12" t="n">
        <f aca="false">Q53/$P53</f>
        <v>0.224503790815072</v>
      </c>
      <c r="S53" s="11" t="n">
        <v>24530.43</v>
      </c>
      <c r="T53" s="12" t="n">
        <f aca="false">S53/$P53</f>
        <v>0.463792138549092</v>
      </c>
      <c r="U53" s="11" t="n">
        <v>37399.43</v>
      </c>
      <c r="V53" s="12" t="n">
        <f aca="false">U53/$P53</f>
        <v>0.707103855098221</v>
      </c>
      <c r="W53" s="11" t="n">
        <v>52890.33</v>
      </c>
      <c r="X53" s="12" t="n">
        <f aca="false">W53/$P53</f>
        <v>0.999987332438411</v>
      </c>
      <c r="Y53" s="11" t="n">
        <v>53079</v>
      </c>
      <c r="Z53" s="11" t="n">
        <v>55593</v>
      </c>
    </row>
    <row r="54" customFormat="false" ht="12.8" hidden="false" customHeight="false" outlineLevel="0" collapsed="false">
      <c r="A54" s="1" t="n">
        <v>1</v>
      </c>
      <c r="B54" s="1" t="n">
        <v>1</v>
      </c>
      <c r="C54" s="1" t="n">
        <v>2</v>
      </c>
      <c r="D54" s="36"/>
      <c r="E54" s="10" t="n">
        <v>620</v>
      </c>
      <c r="F54" s="10" t="s">
        <v>125</v>
      </c>
      <c r="G54" s="11" t="n">
        <v>17328.6</v>
      </c>
      <c r="H54" s="11" t="n">
        <v>16359.24</v>
      </c>
      <c r="I54" s="11" t="n">
        <v>16843</v>
      </c>
      <c r="J54" s="11" t="n">
        <v>17312.18</v>
      </c>
      <c r="K54" s="11" t="n">
        <v>18729</v>
      </c>
      <c r="L54" s="11"/>
      <c r="M54" s="11"/>
      <c r="N54" s="11"/>
      <c r="O54" s="11" t="n">
        <f aca="false">136+804</f>
        <v>940</v>
      </c>
      <c r="P54" s="11" t="n">
        <f aca="false">K54+SUM(L54:O54)</f>
        <v>19669</v>
      </c>
      <c r="Q54" s="11" t="n">
        <v>4361.46</v>
      </c>
      <c r="R54" s="12" t="n">
        <f aca="false">Q54/$P54</f>
        <v>0.221742844069348</v>
      </c>
      <c r="S54" s="11" t="n">
        <v>9010.32</v>
      </c>
      <c r="T54" s="12" t="n">
        <f aca="false">S54/$P54</f>
        <v>0.458097513854288</v>
      </c>
      <c r="U54" s="11" t="n">
        <v>13738.28</v>
      </c>
      <c r="V54" s="12" t="n">
        <f aca="false">U54/$P54</f>
        <v>0.698473740403681</v>
      </c>
      <c r="W54" s="11" t="n">
        <v>19533.81</v>
      </c>
      <c r="X54" s="12" t="n">
        <f aca="false">W54/$P54</f>
        <v>0.993126747674005</v>
      </c>
      <c r="Y54" s="11" t="n">
        <v>19613</v>
      </c>
      <c r="Z54" s="11" t="n">
        <v>20543</v>
      </c>
    </row>
    <row r="55" customFormat="false" ht="12.8" hidden="false" customHeight="false" outlineLevel="0" collapsed="false">
      <c r="A55" s="1" t="n">
        <v>1</v>
      </c>
      <c r="B55" s="1" t="n">
        <v>1</v>
      </c>
      <c r="C55" s="1" t="n">
        <v>2</v>
      </c>
      <c r="D55" s="36"/>
      <c r="E55" s="10" t="n">
        <v>630</v>
      </c>
      <c r="F55" s="10" t="s">
        <v>126</v>
      </c>
      <c r="G55" s="11" t="n">
        <v>5447.21</v>
      </c>
      <c r="H55" s="11" t="n">
        <v>9911.81</v>
      </c>
      <c r="I55" s="11" t="n">
        <v>3283</v>
      </c>
      <c r="J55" s="11" t="n">
        <v>4771.82</v>
      </c>
      <c r="K55" s="11" t="n">
        <v>4093</v>
      </c>
      <c r="L55" s="11"/>
      <c r="M55" s="11"/>
      <c r="N55" s="11" t="n">
        <v>152</v>
      </c>
      <c r="O55" s="11"/>
      <c r="P55" s="11" t="n">
        <f aca="false">K55+SUM(L55:O55)</f>
        <v>4245</v>
      </c>
      <c r="Q55" s="11" t="n">
        <v>1060.64</v>
      </c>
      <c r="R55" s="12" t="n">
        <f aca="false">Q55/$P55</f>
        <v>0.249856301531213</v>
      </c>
      <c r="S55" s="11" t="n">
        <v>2318.27</v>
      </c>
      <c r="T55" s="12" t="n">
        <f aca="false">S55/$P55</f>
        <v>0.546117785630153</v>
      </c>
      <c r="U55" s="11" t="n">
        <v>3360.44</v>
      </c>
      <c r="V55" s="12" t="n">
        <f aca="false">U55/$P55</f>
        <v>0.79162308598351</v>
      </c>
      <c r="W55" s="11" t="n">
        <v>4381.31</v>
      </c>
      <c r="X55" s="12" t="n">
        <f aca="false">W55/$P55</f>
        <v>1.03211071849234</v>
      </c>
      <c r="Y55" s="11" t="n">
        <v>4093</v>
      </c>
      <c r="Z55" s="11" t="n">
        <v>4105</v>
      </c>
    </row>
    <row r="56" customFormat="false" ht="12.8" hidden="false" customHeight="false" outlineLevel="0" collapsed="false">
      <c r="A56" s="1" t="n">
        <v>1</v>
      </c>
      <c r="B56" s="1" t="n">
        <v>1</v>
      </c>
      <c r="C56" s="1" t="n">
        <v>2</v>
      </c>
      <c r="D56" s="36"/>
      <c r="E56" s="10" t="n">
        <v>640</v>
      </c>
      <c r="F56" s="10" t="s">
        <v>127</v>
      </c>
      <c r="G56" s="11" t="n">
        <v>767.93</v>
      </c>
      <c r="H56" s="11" t="n">
        <v>1755</v>
      </c>
      <c r="I56" s="11" t="n">
        <v>0</v>
      </c>
      <c r="J56" s="11" t="n">
        <v>228.94</v>
      </c>
      <c r="K56" s="11" t="n">
        <v>0</v>
      </c>
      <c r="L56" s="11"/>
      <c r="M56" s="11"/>
      <c r="N56" s="11"/>
      <c r="O56" s="11"/>
      <c r="P56" s="11" t="n">
        <f aca="false">K56+SUM(L56:O56)</f>
        <v>0</v>
      </c>
      <c r="Q56" s="11" t="n">
        <v>0</v>
      </c>
      <c r="R56" s="12" t="e">
        <f aca="false">Q56/$P56</f>
        <v>#DIV/0!</v>
      </c>
      <c r="S56" s="11" t="n">
        <v>0</v>
      </c>
      <c r="T56" s="12" t="e">
        <f aca="false">S56/$P56</f>
        <v>#DIV/0!</v>
      </c>
      <c r="U56" s="11" t="n">
        <v>0</v>
      </c>
      <c r="V56" s="12" t="e">
        <f aca="false">U56/$P56</f>
        <v>#DIV/0!</v>
      </c>
      <c r="W56" s="11" t="n">
        <v>0</v>
      </c>
      <c r="X56" s="12" t="e">
        <f aca="false">W56/$P56</f>
        <v>#DIV/0!</v>
      </c>
      <c r="Y56" s="11" t="n">
        <v>0</v>
      </c>
      <c r="Z56" s="11" t="n">
        <v>0</v>
      </c>
    </row>
    <row r="57" customFormat="false" ht="12.8" hidden="false" customHeight="false" outlineLevel="0" collapsed="false">
      <c r="D57" s="75" t="s">
        <v>21</v>
      </c>
      <c r="E57" s="32" t="n">
        <v>41</v>
      </c>
      <c r="F57" s="32" t="s">
        <v>23</v>
      </c>
      <c r="G57" s="33" t="n">
        <f aca="false">SUM(G53:G56)</f>
        <v>71758.01</v>
      </c>
      <c r="H57" s="33" t="n">
        <f aca="false">SUM(H53:H56)</f>
        <v>67619.66</v>
      </c>
      <c r="I57" s="33" t="n">
        <f aca="false">SUM(I53:I56)</f>
        <v>65036</v>
      </c>
      <c r="J57" s="33" t="n">
        <f aca="false">SUM(J53:J56)</f>
        <v>68367.54</v>
      </c>
      <c r="K57" s="33" t="n">
        <f aca="false">SUM(K53:K56)</f>
        <v>73507</v>
      </c>
      <c r="L57" s="33" t="n">
        <f aca="false">SUM(L53:L56)</f>
        <v>0</v>
      </c>
      <c r="M57" s="33" t="n">
        <f aca="false">SUM(M53:M56)</f>
        <v>0</v>
      </c>
      <c r="N57" s="33" t="n">
        <f aca="false">SUM(N53:N56)</f>
        <v>152</v>
      </c>
      <c r="O57" s="33" t="n">
        <f aca="false">SUM(O53:O56)</f>
        <v>3146</v>
      </c>
      <c r="P57" s="33" t="n">
        <f aca="false">SUM(P53:P56)</f>
        <v>76805</v>
      </c>
      <c r="Q57" s="33" t="n">
        <f aca="false">SUM(Q53:Q56)</f>
        <v>17296.33</v>
      </c>
      <c r="R57" s="34" t="n">
        <f aca="false">Q57/$P57</f>
        <v>0.225197968882234</v>
      </c>
      <c r="S57" s="33" t="n">
        <f aca="false">SUM(S53:S56)</f>
        <v>35859.02</v>
      </c>
      <c r="T57" s="34" t="n">
        <f aca="false">S57/$P57</f>
        <v>0.466883926827681</v>
      </c>
      <c r="U57" s="33" t="n">
        <f aca="false">SUM(U53:U56)</f>
        <v>54498.15</v>
      </c>
      <c r="V57" s="34" t="n">
        <f aca="false">U57/$P57</f>
        <v>0.709565132478354</v>
      </c>
      <c r="W57" s="33" t="n">
        <f aca="false">SUM(W53:W56)</f>
        <v>76805.45</v>
      </c>
      <c r="X57" s="34" t="n">
        <f aca="false">W57/$P57</f>
        <v>1.00000585899356</v>
      </c>
      <c r="Y57" s="33" t="n">
        <f aca="false">SUM(Y53:Y56)</f>
        <v>76785</v>
      </c>
      <c r="Z57" s="33" t="n">
        <f aca="false">SUM(Z53:Z56)</f>
        <v>80241</v>
      </c>
    </row>
    <row r="58" customFormat="false" ht="12.8" hidden="false" customHeight="false" outlineLevel="0" collapsed="false">
      <c r="D58" s="10" t="s">
        <v>123</v>
      </c>
      <c r="E58" s="10" t="n">
        <v>640</v>
      </c>
      <c r="F58" s="10" t="s">
        <v>127</v>
      </c>
      <c r="G58" s="11" t="n">
        <v>0</v>
      </c>
      <c r="H58" s="11" t="n">
        <v>0</v>
      </c>
      <c r="I58" s="11" t="n">
        <v>0</v>
      </c>
      <c r="J58" s="11" t="n">
        <v>0</v>
      </c>
      <c r="K58" s="11" t="n">
        <v>700</v>
      </c>
      <c r="L58" s="11"/>
      <c r="M58" s="11"/>
      <c r="N58" s="11"/>
      <c r="O58" s="11" t="n">
        <v>-241</v>
      </c>
      <c r="P58" s="11" t="n">
        <f aca="false">K58+SUM(L58:O58)</f>
        <v>459</v>
      </c>
      <c r="Q58" s="11" t="n">
        <v>0</v>
      </c>
      <c r="R58" s="12" t="n">
        <f aca="false">Q58/$P58</f>
        <v>0</v>
      </c>
      <c r="S58" s="11" t="n">
        <v>0</v>
      </c>
      <c r="T58" s="12" t="n">
        <f aca="false">S58/$P58</f>
        <v>0</v>
      </c>
      <c r="U58" s="11" t="n">
        <v>0</v>
      </c>
      <c r="V58" s="12" t="n">
        <f aca="false">U58/$P58</f>
        <v>0</v>
      </c>
      <c r="W58" s="11" t="n">
        <v>459.1</v>
      </c>
      <c r="X58" s="12" t="n">
        <f aca="false">W58/$P58</f>
        <v>1.00021786492375</v>
      </c>
      <c r="Y58" s="11" t="n">
        <f aca="false">K58</f>
        <v>700</v>
      </c>
      <c r="Z58" s="11" t="n">
        <f aca="false">Y58</f>
        <v>700</v>
      </c>
    </row>
    <row r="59" customFormat="false" ht="12.8" hidden="false" customHeight="false" outlineLevel="0" collapsed="false">
      <c r="D59" s="75" t="s">
        <v>21</v>
      </c>
      <c r="E59" s="76" t="n">
        <v>72</v>
      </c>
      <c r="F59" s="32" t="s">
        <v>25</v>
      </c>
      <c r="G59" s="33" t="n">
        <f aca="false">SUM(G58)</f>
        <v>0</v>
      </c>
      <c r="H59" s="33" t="n">
        <f aca="false">SUM(H58)</f>
        <v>0</v>
      </c>
      <c r="I59" s="33" t="n">
        <f aca="false">SUM(I58)</f>
        <v>0</v>
      </c>
      <c r="J59" s="33" t="n">
        <f aca="false">SUM(J58)</f>
        <v>0</v>
      </c>
      <c r="K59" s="33" t="n">
        <f aca="false">SUM(K58)</f>
        <v>700</v>
      </c>
      <c r="L59" s="33" t="n">
        <f aca="false">SUM(L58)</f>
        <v>0</v>
      </c>
      <c r="M59" s="33" t="n">
        <f aca="false">SUM(M58)</f>
        <v>0</v>
      </c>
      <c r="N59" s="33" t="n">
        <f aca="false">SUM(N58)</f>
        <v>0</v>
      </c>
      <c r="O59" s="33" t="n">
        <f aca="false">SUM(O58)</f>
        <v>-241</v>
      </c>
      <c r="P59" s="33" t="n">
        <f aca="false">SUM(P58)</f>
        <v>459</v>
      </c>
      <c r="Q59" s="33" t="n">
        <f aca="false">SUM(Q58)</f>
        <v>0</v>
      </c>
      <c r="R59" s="34" t="n">
        <f aca="false">Q59/$P59</f>
        <v>0</v>
      </c>
      <c r="S59" s="33" t="n">
        <f aca="false">SUM(S58)</f>
        <v>0</v>
      </c>
      <c r="T59" s="34" t="n">
        <f aca="false">S59/$P59</f>
        <v>0</v>
      </c>
      <c r="U59" s="33" t="n">
        <f aca="false">SUM(U58)</f>
        <v>0</v>
      </c>
      <c r="V59" s="34" t="n">
        <f aca="false">U59/$P59</f>
        <v>0</v>
      </c>
      <c r="W59" s="33" t="n">
        <f aca="false">SUM(W58)</f>
        <v>459.1</v>
      </c>
      <c r="X59" s="34" t="n">
        <f aca="false">W59/$P59</f>
        <v>1.00021786492375</v>
      </c>
      <c r="Y59" s="33" t="n">
        <f aca="false">SUM(Y58)</f>
        <v>700</v>
      </c>
      <c r="Z59" s="33" t="n">
        <f aca="false">SUM(Z58)</f>
        <v>700</v>
      </c>
    </row>
    <row r="60" customFormat="false" ht="12.8" hidden="false" customHeight="false" outlineLevel="0" collapsed="false">
      <c r="A60" s="1" t="n">
        <v>1</v>
      </c>
      <c r="B60" s="1" t="n">
        <v>1</v>
      </c>
      <c r="C60" s="1" t="n">
        <v>2</v>
      </c>
      <c r="D60" s="77"/>
      <c r="E60" s="78"/>
      <c r="F60" s="13" t="s">
        <v>119</v>
      </c>
      <c r="G60" s="14" t="n">
        <f aca="false">G52+G57+G59</f>
        <v>71758.01</v>
      </c>
      <c r="H60" s="14" t="n">
        <f aca="false">H52+H57+H59</f>
        <v>67619.66</v>
      </c>
      <c r="I60" s="14" t="n">
        <f aca="false">I52+I57+I59</f>
        <v>65036</v>
      </c>
      <c r="J60" s="14" t="n">
        <f aca="false">J52+J57+J59</f>
        <v>68798.81</v>
      </c>
      <c r="K60" s="14" t="n">
        <f aca="false">K52+K57+K59</f>
        <v>74638</v>
      </c>
      <c r="L60" s="14" t="n">
        <f aca="false">L52+L57+L59</f>
        <v>0</v>
      </c>
      <c r="M60" s="14" t="n">
        <f aca="false">M52+M57+M59</f>
        <v>0</v>
      </c>
      <c r="N60" s="14" t="n">
        <f aca="false">N52+N57+N59</f>
        <v>152</v>
      </c>
      <c r="O60" s="14" t="n">
        <f aca="false">O52+O57+O59</f>
        <v>2768</v>
      </c>
      <c r="P60" s="14" t="n">
        <f aca="false">P52+P57+P59</f>
        <v>77558</v>
      </c>
      <c r="Q60" s="14" t="n">
        <f aca="false">Q52+Q57+Q59</f>
        <v>17296.33</v>
      </c>
      <c r="R60" s="15" t="n">
        <f aca="false">Q60/$P60</f>
        <v>0.223011552644473</v>
      </c>
      <c r="S60" s="14" t="n">
        <f aca="false">S52+S57+S59</f>
        <v>35859.02</v>
      </c>
      <c r="T60" s="15" t="n">
        <f aca="false">S60/$P60</f>
        <v>0.462351014724464</v>
      </c>
      <c r="U60" s="14" t="n">
        <f aca="false">U52+U57+U59</f>
        <v>54498.15</v>
      </c>
      <c r="V60" s="15" t="n">
        <f aca="false">U60/$P60</f>
        <v>0.702676061786018</v>
      </c>
      <c r="W60" s="14" t="n">
        <f aca="false">W52+W57+W59</f>
        <v>77558.67</v>
      </c>
      <c r="X60" s="15" t="n">
        <f aca="false">W60/$P60</f>
        <v>1.0000086386962</v>
      </c>
      <c r="Y60" s="14" t="n">
        <f aca="false">Y52+Y57+Y59</f>
        <v>77916</v>
      </c>
      <c r="Z60" s="14" t="n">
        <f aca="false">Z52+Z57+Z59</f>
        <v>81372</v>
      </c>
    </row>
    <row r="61" customFormat="false" ht="12.8" hidden="false" customHeight="false" outlineLevel="0" collapsed="false">
      <c r="D61" s="79"/>
      <c r="E61" s="30"/>
      <c r="F61" s="3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1"/>
      <c r="S61" s="80"/>
      <c r="T61" s="81"/>
      <c r="U61" s="80"/>
      <c r="V61" s="81"/>
      <c r="W61" s="80"/>
      <c r="X61" s="81"/>
      <c r="Y61" s="80"/>
      <c r="Z61" s="80"/>
    </row>
    <row r="62" customFormat="false" ht="12.8" hidden="false" customHeight="false" outlineLevel="0" collapsed="false">
      <c r="D62" s="63" t="s">
        <v>131</v>
      </c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</row>
    <row r="63" customFormat="false" ht="12.8" hidden="false" customHeight="false" outlineLevel="0" collapsed="false">
      <c r="D63" s="7" t="s">
        <v>33</v>
      </c>
      <c r="E63" s="7" t="s">
        <v>34</v>
      </c>
      <c r="F63" s="7" t="s">
        <v>35</v>
      </c>
      <c r="G63" s="7" t="s">
        <v>1</v>
      </c>
      <c r="H63" s="7" t="s">
        <v>2</v>
      </c>
      <c r="I63" s="7" t="s">
        <v>3</v>
      </c>
      <c r="J63" s="7" t="s">
        <v>4</v>
      </c>
      <c r="K63" s="7" t="s">
        <v>5</v>
      </c>
      <c r="L63" s="7" t="s">
        <v>6</v>
      </c>
      <c r="M63" s="7" t="s">
        <v>7</v>
      </c>
      <c r="N63" s="7" t="s">
        <v>8</v>
      </c>
      <c r="O63" s="7" t="s">
        <v>9</v>
      </c>
      <c r="P63" s="7" t="s">
        <v>10</v>
      </c>
      <c r="Q63" s="7" t="s">
        <v>11</v>
      </c>
      <c r="R63" s="8" t="s">
        <v>12</v>
      </c>
      <c r="S63" s="7" t="s">
        <v>13</v>
      </c>
      <c r="T63" s="8" t="s">
        <v>14</v>
      </c>
      <c r="U63" s="7" t="s">
        <v>15</v>
      </c>
      <c r="V63" s="8" t="s">
        <v>16</v>
      </c>
      <c r="W63" s="7" t="s">
        <v>17</v>
      </c>
      <c r="X63" s="8" t="s">
        <v>18</v>
      </c>
      <c r="Y63" s="7" t="s">
        <v>19</v>
      </c>
      <c r="Z63" s="7" t="s">
        <v>20</v>
      </c>
    </row>
    <row r="64" customFormat="false" ht="12.8" hidden="false" customHeight="false" outlineLevel="0" collapsed="false">
      <c r="A64" s="1" t="n">
        <v>1</v>
      </c>
      <c r="B64" s="1" t="n">
        <v>1</v>
      </c>
      <c r="C64" s="1" t="n">
        <v>3</v>
      </c>
      <c r="D64" s="36" t="s">
        <v>132</v>
      </c>
      <c r="E64" s="10" t="n">
        <v>610</v>
      </c>
      <c r="F64" s="10" t="s">
        <v>124</v>
      </c>
      <c r="G64" s="11" t="n">
        <v>8310.74</v>
      </c>
      <c r="H64" s="11" t="n">
        <v>3556</v>
      </c>
      <c r="I64" s="11" t="n">
        <v>3646</v>
      </c>
      <c r="J64" s="11" t="n">
        <v>3674</v>
      </c>
      <c r="K64" s="11" t="n">
        <v>3796</v>
      </c>
      <c r="L64" s="11"/>
      <c r="M64" s="11"/>
      <c r="N64" s="11"/>
      <c r="O64" s="11" t="n">
        <v>42</v>
      </c>
      <c r="P64" s="11" t="n">
        <f aca="false">K64+SUM(L64:O64)</f>
        <v>3838</v>
      </c>
      <c r="Q64" s="11" t="n">
        <v>921</v>
      </c>
      <c r="R64" s="12" t="n">
        <f aca="false">Q64/$P64</f>
        <v>0.239968733715477</v>
      </c>
      <c r="S64" s="11" t="n">
        <v>1912</v>
      </c>
      <c r="T64" s="12" t="n">
        <f aca="false">S64/$P64</f>
        <v>0.498176133402814</v>
      </c>
      <c r="U64" s="11" t="n">
        <v>2875</v>
      </c>
      <c r="V64" s="12" t="n">
        <f aca="false">U64/$P64</f>
        <v>0.749088066701407</v>
      </c>
      <c r="W64" s="11" t="n">
        <v>3838</v>
      </c>
      <c r="X64" s="12" t="n">
        <f aca="false">W64/$P64</f>
        <v>1</v>
      </c>
      <c r="Y64" s="11" t="n">
        <f aca="false">ROUND(K64*K64/H64,0)</f>
        <v>4052</v>
      </c>
      <c r="Z64" s="11" t="n">
        <f aca="false">ROUND(Y64*Y64/K64,0)</f>
        <v>4325</v>
      </c>
    </row>
    <row r="65" customFormat="false" ht="12.8" hidden="false" customHeight="false" outlineLevel="0" collapsed="false">
      <c r="A65" s="1" t="n">
        <v>1</v>
      </c>
      <c r="B65" s="1" t="n">
        <v>1</v>
      </c>
      <c r="C65" s="1" t="n">
        <v>3</v>
      </c>
      <c r="D65" s="36"/>
      <c r="E65" s="10" t="n">
        <v>620</v>
      </c>
      <c r="F65" s="10" t="s">
        <v>125</v>
      </c>
      <c r="G65" s="11" t="n">
        <v>2917.24</v>
      </c>
      <c r="H65" s="11" t="n">
        <v>1242.47</v>
      </c>
      <c r="I65" s="11" t="n">
        <v>1272</v>
      </c>
      <c r="J65" s="11" t="n">
        <v>1283.83</v>
      </c>
      <c r="K65" s="11" t="n">
        <v>1323</v>
      </c>
      <c r="L65" s="11"/>
      <c r="M65" s="11"/>
      <c r="N65" s="11"/>
      <c r="O65" s="11" t="n">
        <v>18</v>
      </c>
      <c r="P65" s="11" t="n">
        <f aca="false">K65+SUM(L65:O65)</f>
        <v>1341</v>
      </c>
      <c r="Q65" s="11" t="n">
        <v>321.84</v>
      </c>
      <c r="R65" s="12" t="n">
        <f aca="false">Q65/$P65</f>
        <v>0.24</v>
      </c>
      <c r="S65" s="11" t="n">
        <v>668.14</v>
      </c>
      <c r="T65" s="12" t="n">
        <f aca="false">S65/$P65</f>
        <v>0.498240119313945</v>
      </c>
      <c r="U65" s="11" t="n">
        <v>1004.65</v>
      </c>
      <c r="V65" s="12" t="n">
        <f aca="false">U65/$P65</f>
        <v>0.749179716629381</v>
      </c>
      <c r="W65" s="11" t="n">
        <v>1341.16</v>
      </c>
      <c r="X65" s="12" t="n">
        <f aca="false">W65/$P65</f>
        <v>1.00011931394482</v>
      </c>
      <c r="Y65" s="11" t="n">
        <f aca="false">ROUND(K65*K65/H65,0)</f>
        <v>1409</v>
      </c>
      <c r="Z65" s="11" t="n">
        <f aca="false">ROUND(Y65*Y65/K65,0)</f>
        <v>1501</v>
      </c>
    </row>
    <row r="66" customFormat="false" ht="12.8" hidden="false" customHeight="false" outlineLevel="0" collapsed="false">
      <c r="A66" s="1" t="n">
        <v>1</v>
      </c>
      <c r="B66" s="1" t="n">
        <v>1</v>
      </c>
      <c r="C66" s="1" t="n">
        <v>3</v>
      </c>
      <c r="D66" s="36"/>
      <c r="E66" s="10" t="n">
        <v>630</v>
      </c>
      <c r="F66" s="10" t="s">
        <v>126</v>
      </c>
      <c r="G66" s="11" t="n">
        <v>1220.34</v>
      </c>
      <c r="H66" s="11" t="n">
        <v>3523.71</v>
      </c>
      <c r="I66" s="11" t="n">
        <v>1526</v>
      </c>
      <c r="J66" s="11" t="n">
        <v>1512.96</v>
      </c>
      <c r="K66" s="11" t="n">
        <v>1513</v>
      </c>
      <c r="L66" s="11"/>
      <c r="M66" s="11"/>
      <c r="N66" s="11"/>
      <c r="O66" s="11" t="n">
        <v>-12</v>
      </c>
      <c r="P66" s="11" t="n">
        <f aca="false">K66+SUM(L66:O66)</f>
        <v>1501</v>
      </c>
      <c r="Q66" s="11" t="n">
        <v>38.37</v>
      </c>
      <c r="R66" s="12" t="n">
        <f aca="false">Q66/$P66</f>
        <v>0.0255629580279813</v>
      </c>
      <c r="S66" s="11" t="n">
        <v>80.07</v>
      </c>
      <c r="T66" s="12" t="n">
        <f aca="false">S66/$P66</f>
        <v>0.053344437041972</v>
      </c>
      <c r="U66" s="11" t="n">
        <v>1445.26</v>
      </c>
      <c r="V66" s="12" t="n">
        <f aca="false">U66/$P66</f>
        <v>0.962864756828781</v>
      </c>
      <c r="W66" s="11" t="n">
        <v>1500.52</v>
      </c>
      <c r="X66" s="12" t="n">
        <f aca="false">W66/$P66</f>
        <v>0.999680213191206</v>
      </c>
      <c r="Y66" s="11" t="n">
        <f aca="false">K66</f>
        <v>1513</v>
      </c>
      <c r="Z66" s="11" t="n">
        <f aca="false">Y66</f>
        <v>1513</v>
      </c>
    </row>
    <row r="67" customFormat="false" ht="12.8" hidden="false" customHeight="false" outlineLevel="0" collapsed="false">
      <c r="A67" s="1" t="n">
        <v>1</v>
      </c>
      <c r="B67" s="1" t="n">
        <v>1</v>
      </c>
      <c r="C67" s="1" t="n">
        <v>3</v>
      </c>
      <c r="D67" s="75" t="s">
        <v>21</v>
      </c>
      <c r="E67" s="32" t="n">
        <v>41</v>
      </c>
      <c r="F67" s="32" t="s">
        <v>23</v>
      </c>
      <c r="G67" s="33" t="n">
        <f aca="false">SUM(G64:G66)</f>
        <v>12448.32</v>
      </c>
      <c r="H67" s="33" t="n">
        <f aca="false">SUM(H64:H66)</f>
        <v>8322.18</v>
      </c>
      <c r="I67" s="33" t="n">
        <f aca="false">SUM(I64:I66)</f>
        <v>6444</v>
      </c>
      <c r="J67" s="33" t="n">
        <f aca="false">SUM(J64:J66)</f>
        <v>6470.79</v>
      </c>
      <c r="K67" s="33" t="n">
        <f aca="false">SUM(K64:K66)</f>
        <v>6632</v>
      </c>
      <c r="L67" s="33" t="n">
        <f aca="false">SUM(L64:L66)</f>
        <v>0</v>
      </c>
      <c r="M67" s="33" t="n">
        <f aca="false">SUM(M64:M66)</f>
        <v>0</v>
      </c>
      <c r="N67" s="33" t="n">
        <f aca="false">SUM(N64:N66)</f>
        <v>0</v>
      </c>
      <c r="O67" s="33" t="n">
        <f aca="false">SUM(O64:O66)</f>
        <v>48</v>
      </c>
      <c r="P67" s="33" t="n">
        <f aca="false">SUM(P64:P66)</f>
        <v>6680</v>
      </c>
      <c r="Q67" s="33" t="n">
        <f aca="false">SUM(Q64:Q66)</f>
        <v>1281.21</v>
      </c>
      <c r="R67" s="34" t="n">
        <f aca="false">Q67/$P67</f>
        <v>0.191797904191617</v>
      </c>
      <c r="S67" s="33" t="n">
        <f aca="false">SUM(S64:S66)</f>
        <v>2660.21</v>
      </c>
      <c r="T67" s="34" t="n">
        <f aca="false">S67/$P67</f>
        <v>0.39823502994012</v>
      </c>
      <c r="U67" s="33" t="n">
        <f aca="false">SUM(U64:U66)</f>
        <v>5324.91</v>
      </c>
      <c r="V67" s="34" t="n">
        <f aca="false">U67/$P67</f>
        <v>0.797142215568862</v>
      </c>
      <c r="W67" s="33" t="n">
        <f aca="false">SUM(W64:W66)</f>
        <v>6679.68</v>
      </c>
      <c r="X67" s="34" t="n">
        <f aca="false">W67/$P67</f>
        <v>0.999952095808383</v>
      </c>
      <c r="Y67" s="33" t="n">
        <f aca="false">SUM(Y64:Y66)</f>
        <v>6974</v>
      </c>
      <c r="Z67" s="33" t="n">
        <f aca="false">SUM(Z64:Z66)</f>
        <v>7339</v>
      </c>
    </row>
    <row r="68" customFormat="false" ht="12.8" hidden="false" customHeight="false" outlineLevel="0" collapsed="false">
      <c r="D68" s="71" t="s">
        <v>132</v>
      </c>
      <c r="E68" s="10" t="n">
        <v>640</v>
      </c>
      <c r="F68" s="10" t="s">
        <v>127</v>
      </c>
      <c r="G68" s="11" t="n">
        <v>0</v>
      </c>
      <c r="H68" s="11" t="n">
        <v>0</v>
      </c>
      <c r="I68" s="11" t="n">
        <v>0</v>
      </c>
      <c r="J68" s="11" t="n">
        <v>0</v>
      </c>
      <c r="K68" s="11" t="n">
        <v>25</v>
      </c>
      <c r="L68" s="11"/>
      <c r="M68" s="11"/>
      <c r="N68" s="11"/>
      <c r="O68" s="11" t="n">
        <v>-4</v>
      </c>
      <c r="P68" s="11" t="n">
        <f aca="false">K68+SUM(L68:O68)</f>
        <v>21</v>
      </c>
      <c r="Q68" s="11" t="n">
        <v>0</v>
      </c>
      <c r="R68" s="12" t="n">
        <f aca="false">Q68/$P68</f>
        <v>0</v>
      </c>
      <c r="S68" s="11" t="n">
        <v>0</v>
      </c>
      <c r="T68" s="12" t="n">
        <f aca="false">S68/$P68</f>
        <v>0</v>
      </c>
      <c r="U68" s="11" t="n">
        <v>0</v>
      </c>
      <c r="V68" s="12" t="n">
        <f aca="false">U68/$P68</f>
        <v>0</v>
      </c>
      <c r="W68" s="11" t="n">
        <v>21.25</v>
      </c>
      <c r="X68" s="12" t="n">
        <f aca="false">W68/$P68</f>
        <v>1.01190476190476</v>
      </c>
      <c r="Y68" s="11" t="n">
        <f aca="false">K68</f>
        <v>25</v>
      </c>
      <c r="Z68" s="11" t="n">
        <f aca="false">Y68</f>
        <v>25</v>
      </c>
    </row>
    <row r="69" customFormat="false" ht="12.8" hidden="false" customHeight="false" outlineLevel="0" collapsed="false">
      <c r="D69" s="75" t="s">
        <v>21</v>
      </c>
      <c r="E69" s="32" t="n">
        <v>72</v>
      </c>
      <c r="F69" s="32" t="s">
        <v>25</v>
      </c>
      <c r="G69" s="33" t="n">
        <f aca="false">SUM(G68:G68)</f>
        <v>0</v>
      </c>
      <c r="H69" s="33" t="n">
        <f aca="false">SUM(H68:H68)</f>
        <v>0</v>
      </c>
      <c r="I69" s="33" t="n">
        <f aca="false">SUM(I68:I68)</f>
        <v>0</v>
      </c>
      <c r="J69" s="33" t="n">
        <f aca="false">SUM(J68:J68)</f>
        <v>0</v>
      </c>
      <c r="K69" s="33" t="n">
        <f aca="false">SUM(K68:K68)</f>
        <v>25</v>
      </c>
      <c r="L69" s="33" t="n">
        <f aca="false">SUM(L68:L68)</f>
        <v>0</v>
      </c>
      <c r="M69" s="33" t="n">
        <f aca="false">SUM(M68:M68)</f>
        <v>0</v>
      </c>
      <c r="N69" s="33" t="n">
        <f aca="false">SUM(N68:N68)</f>
        <v>0</v>
      </c>
      <c r="O69" s="33" t="n">
        <f aca="false">SUM(O68:O68)</f>
        <v>-4</v>
      </c>
      <c r="P69" s="33" t="n">
        <f aca="false">SUM(P68:P68)</f>
        <v>21</v>
      </c>
      <c r="Q69" s="33" t="n">
        <f aca="false">SUM(Q68:Q68)</f>
        <v>0</v>
      </c>
      <c r="R69" s="34" t="n">
        <f aca="false">Q69/$P69</f>
        <v>0</v>
      </c>
      <c r="S69" s="33" t="n">
        <f aca="false">SUM(S68:S68)</f>
        <v>0</v>
      </c>
      <c r="T69" s="34" t="n">
        <f aca="false">S69/$P69</f>
        <v>0</v>
      </c>
      <c r="U69" s="33" t="n">
        <f aca="false">SUM(U68:U68)</f>
        <v>0</v>
      </c>
      <c r="V69" s="34" t="n">
        <f aca="false">U69/$P69</f>
        <v>0</v>
      </c>
      <c r="W69" s="33" t="n">
        <f aca="false">SUM(W68:W68)</f>
        <v>21.25</v>
      </c>
      <c r="X69" s="34" t="n">
        <f aca="false">W69/$P69</f>
        <v>1.01190476190476</v>
      </c>
      <c r="Y69" s="33" t="n">
        <f aca="false">SUM(Y68:Y68)</f>
        <v>25</v>
      </c>
      <c r="Z69" s="33" t="n">
        <f aca="false">SUM(Z68:Z68)</f>
        <v>25</v>
      </c>
    </row>
    <row r="70" customFormat="false" ht="12.8" hidden="false" customHeight="false" outlineLevel="0" collapsed="false">
      <c r="D70" s="77"/>
      <c r="E70" s="78"/>
      <c r="F70" s="13" t="s">
        <v>119</v>
      </c>
      <c r="G70" s="14" t="n">
        <f aca="false">G67+G69</f>
        <v>12448.32</v>
      </c>
      <c r="H70" s="14" t="n">
        <f aca="false">H67+H69</f>
        <v>8322.18</v>
      </c>
      <c r="I70" s="14" t="n">
        <f aca="false">I67+I69</f>
        <v>6444</v>
      </c>
      <c r="J70" s="14" t="n">
        <f aca="false">J67+J69</f>
        <v>6470.79</v>
      </c>
      <c r="K70" s="14" t="n">
        <f aca="false">K67+K69</f>
        <v>6657</v>
      </c>
      <c r="L70" s="14" t="n">
        <f aca="false">L67+L69</f>
        <v>0</v>
      </c>
      <c r="M70" s="14" t="n">
        <f aca="false">M67+M69</f>
        <v>0</v>
      </c>
      <c r="N70" s="14" t="n">
        <f aca="false">N67+N69</f>
        <v>0</v>
      </c>
      <c r="O70" s="14" t="n">
        <f aca="false">O67+O69</f>
        <v>44</v>
      </c>
      <c r="P70" s="14" t="n">
        <f aca="false">P67+P69</f>
        <v>6701</v>
      </c>
      <c r="Q70" s="14" t="n">
        <f aca="false">Q67+Q69</f>
        <v>1281.21</v>
      </c>
      <c r="R70" s="15" t="n">
        <f aca="false">Q70/$P70</f>
        <v>0.191196836293091</v>
      </c>
      <c r="S70" s="14" t="n">
        <f aca="false">S67+S69</f>
        <v>2660.21</v>
      </c>
      <c r="T70" s="15" t="n">
        <f aca="false">S70/$P70</f>
        <v>0.396987016863155</v>
      </c>
      <c r="U70" s="14" t="n">
        <f aca="false">U67+U69</f>
        <v>5324.91</v>
      </c>
      <c r="V70" s="15" t="n">
        <f aca="false">U70/$P70</f>
        <v>0.794644082972691</v>
      </c>
      <c r="W70" s="14" t="n">
        <f aca="false">W67+W69</f>
        <v>6700.93</v>
      </c>
      <c r="X70" s="15" t="n">
        <f aca="false">W70/$P70</f>
        <v>0.999989553797941</v>
      </c>
      <c r="Y70" s="14" t="n">
        <f aca="false">Y67+Y69</f>
        <v>6999</v>
      </c>
      <c r="Z70" s="14" t="n">
        <f aca="false">Z67+Z69</f>
        <v>7364</v>
      </c>
    </row>
    <row r="71" customFormat="false" ht="12.8" hidden="false" customHeight="false" outlineLevel="0" collapsed="false">
      <c r="D71" s="79"/>
      <c r="E71" s="30"/>
      <c r="F71" s="3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1"/>
      <c r="S71" s="80"/>
      <c r="T71" s="81"/>
      <c r="U71" s="80"/>
      <c r="V71" s="81"/>
      <c r="W71" s="80"/>
      <c r="X71" s="81"/>
      <c r="Y71" s="80"/>
      <c r="Z71" s="80"/>
    </row>
    <row r="72" customFormat="false" ht="12.8" hidden="false" customHeight="false" outlineLevel="0" collapsed="false">
      <c r="D72" s="63" t="s">
        <v>133</v>
      </c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</row>
    <row r="73" customFormat="false" ht="12.8" hidden="false" customHeight="false" outlineLevel="0" collapsed="false">
      <c r="D73" s="7" t="s">
        <v>33</v>
      </c>
      <c r="E73" s="7" t="s">
        <v>34</v>
      </c>
      <c r="F73" s="7" t="s">
        <v>35</v>
      </c>
      <c r="G73" s="7" t="s">
        <v>1</v>
      </c>
      <c r="H73" s="7" t="s">
        <v>2</v>
      </c>
      <c r="I73" s="7" t="s">
        <v>3</v>
      </c>
      <c r="J73" s="7" t="s">
        <v>4</v>
      </c>
      <c r="K73" s="7" t="s">
        <v>5</v>
      </c>
      <c r="L73" s="7" t="s">
        <v>6</v>
      </c>
      <c r="M73" s="7" t="s">
        <v>7</v>
      </c>
      <c r="N73" s="7" t="s">
        <v>8</v>
      </c>
      <c r="O73" s="7" t="s">
        <v>9</v>
      </c>
      <c r="P73" s="7" t="s">
        <v>10</v>
      </c>
      <c r="Q73" s="7" t="s">
        <v>11</v>
      </c>
      <c r="R73" s="8" t="s">
        <v>12</v>
      </c>
      <c r="S73" s="7" t="s">
        <v>13</v>
      </c>
      <c r="T73" s="8" t="s">
        <v>14</v>
      </c>
      <c r="U73" s="7" t="s">
        <v>15</v>
      </c>
      <c r="V73" s="8" t="s">
        <v>16</v>
      </c>
      <c r="W73" s="7" t="s">
        <v>17</v>
      </c>
      <c r="X73" s="8" t="s">
        <v>18</v>
      </c>
      <c r="Y73" s="7" t="s">
        <v>19</v>
      </c>
      <c r="Z73" s="7" t="s">
        <v>20</v>
      </c>
    </row>
    <row r="74" customFormat="false" ht="12.8" hidden="false" customHeight="false" outlineLevel="0" collapsed="false">
      <c r="D74" s="10" t="s">
        <v>123</v>
      </c>
      <c r="E74" s="10" t="n">
        <v>630</v>
      </c>
      <c r="F74" s="10" t="s">
        <v>126</v>
      </c>
      <c r="G74" s="11" t="n">
        <v>0</v>
      </c>
      <c r="H74" s="11" t="n">
        <v>0</v>
      </c>
      <c r="I74" s="11" t="n">
        <v>0</v>
      </c>
      <c r="J74" s="11" t="n">
        <v>0</v>
      </c>
      <c r="K74" s="11" t="n">
        <v>0</v>
      </c>
      <c r="L74" s="11" t="n">
        <v>300</v>
      </c>
      <c r="M74" s="11"/>
      <c r="N74" s="11"/>
      <c r="O74" s="11"/>
      <c r="P74" s="11" t="n">
        <f aca="false">K74+SUM(L74:O74)</f>
        <v>300</v>
      </c>
      <c r="Q74" s="11" t="n">
        <v>50</v>
      </c>
      <c r="R74" s="12" t="n">
        <f aca="false">Q74/$P74</f>
        <v>0.166666666666667</v>
      </c>
      <c r="S74" s="11" t="n">
        <v>189.88</v>
      </c>
      <c r="T74" s="12" t="n">
        <f aca="false">S74/$P74</f>
        <v>0.632933333333333</v>
      </c>
      <c r="U74" s="11" t="n">
        <v>230.86</v>
      </c>
      <c r="V74" s="12" t="n">
        <f aca="false">U74/$P74</f>
        <v>0.769533333333333</v>
      </c>
      <c r="W74" s="11" t="n">
        <v>230.86</v>
      </c>
      <c r="X74" s="12" t="n">
        <f aca="false">W74/$P74</f>
        <v>0.769533333333333</v>
      </c>
      <c r="Y74" s="11" t="n">
        <f aca="false">K74</f>
        <v>0</v>
      </c>
      <c r="Z74" s="11" t="n">
        <f aca="false">Y74</f>
        <v>0</v>
      </c>
    </row>
    <row r="75" customFormat="false" ht="12.8" hidden="false" customHeight="false" outlineLevel="0" collapsed="false">
      <c r="D75" s="75" t="s">
        <v>21</v>
      </c>
      <c r="E75" s="76" t="s">
        <v>134</v>
      </c>
      <c r="F75" s="32" t="s">
        <v>130</v>
      </c>
      <c r="G75" s="33" t="n">
        <f aca="false">SUM(G74)</f>
        <v>0</v>
      </c>
      <c r="H75" s="33" t="n">
        <f aca="false">SUM(H74)</f>
        <v>0</v>
      </c>
      <c r="I75" s="33" t="n">
        <f aca="false">SUM(I74)</f>
        <v>0</v>
      </c>
      <c r="J75" s="33" t="n">
        <f aca="false">SUM(J74)</f>
        <v>0</v>
      </c>
      <c r="K75" s="33" t="n">
        <f aca="false">SUM(K74)</f>
        <v>0</v>
      </c>
      <c r="L75" s="33" t="n">
        <f aca="false">SUM(L74)</f>
        <v>300</v>
      </c>
      <c r="M75" s="33" t="n">
        <f aca="false">SUM(M74)</f>
        <v>0</v>
      </c>
      <c r="N75" s="33" t="n">
        <f aca="false">SUM(N74)</f>
        <v>0</v>
      </c>
      <c r="O75" s="33" t="n">
        <f aca="false">SUM(O74)</f>
        <v>0</v>
      </c>
      <c r="P75" s="33" t="n">
        <f aca="false">SUM(P74)</f>
        <v>300</v>
      </c>
      <c r="Q75" s="33" t="n">
        <f aca="false">SUM(Q74)</f>
        <v>50</v>
      </c>
      <c r="R75" s="34" t="n">
        <f aca="false">Q75/$P75</f>
        <v>0.166666666666667</v>
      </c>
      <c r="S75" s="33" t="n">
        <f aca="false">SUM(S74)</f>
        <v>189.88</v>
      </c>
      <c r="T75" s="34" t="n">
        <f aca="false">S75/$P75</f>
        <v>0.632933333333333</v>
      </c>
      <c r="U75" s="33" t="n">
        <f aca="false">SUM(U74)</f>
        <v>230.86</v>
      </c>
      <c r="V75" s="34" t="n">
        <f aca="false">U75/$P75</f>
        <v>0.769533333333333</v>
      </c>
      <c r="W75" s="33" t="n">
        <f aca="false">SUM(W74)</f>
        <v>230.86</v>
      </c>
      <c r="X75" s="34" t="n">
        <f aca="false">W75/$P75</f>
        <v>0.769533333333333</v>
      </c>
      <c r="Y75" s="33" t="n">
        <f aca="false">SUM(Y74)</f>
        <v>0</v>
      </c>
      <c r="Z75" s="33" t="n">
        <f aca="false">SUM(Z74)</f>
        <v>0</v>
      </c>
    </row>
    <row r="76" customFormat="false" ht="12.8" hidden="false" customHeight="false" outlineLevel="0" collapsed="false">
      <c r="A76" s="1" t="n">
        <v>1</v>
      </c>
      <c r="B76" s="1" t="n">
        <v>1</v>
      </c>
      <c r="C76" s="1" t="n">
        <v>4</v>
      </c>
      <c r="D76" s="87" t="s">
        <v>123</v>
      </c>
      <c r="E76" s="10" t="n">
        <v>630</v>
      </c>
      <c r="F76" s="10" t="s">
        <v>126</v>
      </c>
      <c r="G76" s="11" t="n">
        <v>11444.65</v>
      </c>
      <c r="H76" s="11" t="n">
        <v>11905.01</v>
      </c>
      <c r="I76" s="11" t="n">
        <v>37020</v>
      </c>
      <c r="J76" s="11" t="n">
        <v>26035.41</v>
      </c>
      <c r="K76" s="11" t="n">
        <v>15007</v>
      </c>
      <c r="L76" s="11"/>
      <c r="M76" s="11" t="n">
        <v>25000</v>
      </c>
      <c r="N76" s="11" t="n">
        <v>1000</v>
      </c>
      <c r="O76" s="11"/>
      <c r="P76" s="11" t="n">
        <f aca="false">K76+SUM(L76:O76)</f>
        <v>41007</v>
      </c>
      <c r="Q76" s="11" t="n">
        <v>4983.4</v>
      </c>
      <c r="R76" s="12" t="n">
        <f aca="false">Q76/$P76</f>
        <v>0.121525593191406</v>
      </c>
      <c r="S76" s="11" t="n">
        <v>8458.99</v>
      </c>
      <c r="T76" s="12" t="n">
        <f aca="false">S76/$P76</f>
        <v>0.206281610456751</v>
      </c>
      <c r="U76" s="11" t="n">
        <v>36468.58</v>
      </c>
      <c r="V76" s="12" t="n">
        <f aca="false">U76/$P76</f>
        <v>0.889325724876241</v>
      </c>
      <c r="W76" s="11" t="n">
        <v>40547.19</v>
      </c>
      <c r="X76" s="12" t="n">
        <f aca="false">W76/$P76</f>
        <v>0.988787036359646</v>
      </c>
      <c r="Y76" s="11" t="n">
        <v>13007</v>
      </c>
      <c r="Z76" s="11" t="n">
        <f aca="false">Y76</f>
        <v>13007</v>
      </c>
    </row>
    <row r="77" customFormat="false" ht="12.8" hidden="false" customHeight="false" outlineLevel="0" collapsed="false">
      <c r="A77" s="1" t="n">
        <v>1</v>
      </c>
      <c r="B77" s="1" t="n">
        <v>1</v>
      </c>
      <c r="C77" s="1" t="n">
        <v>4</v>
      </c>
      <c r="D77" s="87" t="s">
        <v>132</v>
      </c>
      <c r="E77" s="10" t="n">
        <v>630</v>
      </c>
      <c r="F77" s="10" t="s">
        <v>135</v>
      </c>
      <c r="G77" s="11" t="n">
        <v>248.86</v>
      </c>
      <c r="H77" s="11" t="n">
        <v>430.98</v>
      </c>
      <c r="I77" s="11" t="n">
        <v>300</v>
      </c>
      <c r="J77" s="11" t="n">
        <v>486.39</v>
      </c>
      <c r="K77" s="11" t="n">
        <v>500</v>
      </c>
      <c r="L77" s="11"/>
      <c r="M77" s="11"/>
      <c r="N77" s="11"/>
      <c r="O77" s="11"/>
      <c r="P77" s="11" t="n">
        <f aca="false">K77+SUM(L77:O77)</f>
        <v>500</v>
      </c>
      <c r="Q77" s="11" t="n">
        <v>106.58</v>
      </c>
      <c r="R77" s="12" t="n">
        <f aca="false">Q77/$P77</f>
        <v>0.21316</v>
      </c>
      <c r="S77" s="11" t="n">
        <v>222.05</v>
      </c>
      <c r="T77" s="12" t="n">
        <f aca="false">S77/$P77</f>
        <v>0.4441</v>
      </c>
      <c r="U77" s="11" t="n">
        <v>322.5</v>
      </c>
      <c r="V77" s="12" t="n">
        <f aca="false">U77/$P77</f>
        <v>0.645</v>
      </c>
      <c r="W77" s="11" t="n">
        <v>500.17</v>
      </c>
      <c r="X77" s="12" t="n">
        <f aca="false">W77/$P77</f>
        <v>1.00034</v>
      </c>
      <c r="Y77" s="11" t="n">
        <f aca="false">K77</f>
        <v>500</v>
      </c>
      <c r="Z77" s="11" t="n">
        <f aca="false">Y77</f>
        <v>500</v>
      </c>
    </row>
    <row r="78" customFormat="false" ht="12.8" hidden="false" customHeight="false" outlineLevel="0" collapsed="false">
      <c r="D78" s="75" t="s">
        <v>21</v>
      </c>
      <c r="E78" s="32" t="n">
        <v>41</v>
      </c>
      <c r="F78" s="32" t="s">
        <v>23</v>
      </c>
      <c r="G78" s="33" t="n">
        <f aca="false">SUM(G76:G77)</f>
        <v>11693.51</v>
      </c>
      <c r="H78" s="33" t="n">
        <f aca="false">SUM(H76:H77)</f>
        <v>12335.99</v>
      </c>
      <c r="I78" s="33" t="n">
        <f aca="false">SUM(I76:I77)</f>
        <v>37320</v>
      </c>
      <c r="J78" s="33" t="n">
        <f aca="false">SUM(J76:J77)</f>
        <v>26521.8</v>
      </c>
      <c r="K78" s="33" t="n">
        <f aca="false">SUM(K76:K77)</f>
        <v>15507</v>
      </c>
      <c r="L78" s="33" t="n">
        <f aca="false">SUM(L76:L77)</f>
        <v>0</v>
      </c>
      <c r="M78" s="33" t="n">
        <f aca="false">SUM(M76:M77)</f>
        <v>25000</v>
      </c>
      <c r="N78" s="33" t="n">
        <f aca="false">SUM(N76:N77)</f>
        <v>1000</v>
      </c>
      <c r="O78" s="33" t="n">
        <f aca="false">SUM(O76:O77)</f>
        <v>0</v>
      </c>
      <c r="P78" s="33" t="n">
        <f aca="false">SUM(P76:P77)</f>
        <v>41507</v>
      </c>
      <c r="Q78" s="33" t="n">
        <f aca="false">SUM(Q76:Q77)</f>
        <v>5089.98</v>
      </c>
      <c r="R78" s="34" t="n">
        <f aca="false">Q78/$P78</f>
        <v>0.122629435998747</v>
      </c>
      <c r="S78" s="33" t="n">
        <f aca="false">SUM(S76:S77)</f>
        <v>8681.04</v>
      </c>
      <c r="T78" s="34" t="n">
        <f aca="false">S78/$P78</f>
        <v>0.209146409039439</v>
      </c>
      <c r="U78" s="33" t="n">
        <f aca="false">SUM(U76:U77)</f>
        <v>36791.08</v>
      </c>
      <c r="V78" s="34" t="n">
        <f aca="false">U78/$P78</f>
        <v>0.886382537885176</v>
      </c>
      <c r="W78" s="33" t="n">
        <f aca="false">SUM(W76:W77)</f>
        <v>41047.36</v>
      </c>
      <c r="X78" s="34" t="n">
        <f aca="false">W78/$P78</f>
        <v>0.988926205218397</v>
      </c>
      <c r="Y78" s="33" t="n">
        <f aca="false">SUM(Y76:Y77)</f>
        <v>13507</v>
      </c>
      <c r="Z78" s="33" t="n">
        <f aca="false">SUM(Z76:Z77)</f>
        <v>13507</v>
      </c>
    </row>
    <row r="79" customFormat="false" ht="12.8" hidden="false" customHeight="false" outlineLevel="0" collapsed="false">
      <c r="A79" s="1" t="n">
        <v>1</v>
      </c>
      <c r="B79" s="1" t="n">
        <v>1</v>
      </c>
      <c r="C79" s="1" t="n">
        <v>4</v>
      </c>
      <c r="D79" s="77"/>
      <c r="E79" s="78"/>
      <c r="F79" s="13" t="s">
        <v>119</v>
      </c>
      <c r="G79" s="14" t="n">
        <f aca="false">G75+G78</f>
        <v>11693.51</v>
      </c>
      <c r="H79" s="14" t="n">
        <f aca="false">H75+H78</f>
        <v>12335.99</v>
      </c>
      <c r="I79" s="14" t="n">
        <f aca="false">I75+I78</f>
        <v>37320</v>
      </c>
      <c r="J79" s="14" t="n">
        <f aca="false">J75+J78</f>
        <v>26521.8</v>
      </c>
      <c r="K79" s="14" t="n">
        <f aca="false">K75+K78</f>
        <v>15507</v>
      </c>
      <c r="L79" s="14" t="n">
        <f aca="false">L75+L78</f>
        <v>300</v>
      </c>
      <c r="M79" s="14" t="n">
        <f aca="false">M75+M78</f>
        <v>25000</v>
      </c>
      <c r="N79" s="14" t="n">
        <f aca="false">N75+N78</f>
        <v>1000</v>
      </c>
      <c r="O79" s="14" t="n">
        <f aca="false">O75+O78</f>
        <v>0</v>
      </c>
      <c r="P79" s="14" t="n">
        <f aca="false">P75+P78</f>
        <v>41807</v>
      </c>
      <c r="Q79" s="14" t="n">
        <f aca="false">Q75+Q78</f>
        <v>5139.98</v>
      </c>
      <c r="R79" s="15" t="n">
        <f aca="false">Q79/$P79</f>
        <v>0.122945439758892</v>
      </c>
      <c r="S79" s="14" t="n">
        <f aca="false">S75+S78</f>
        <v>8870.92</v>
      </c>
      <c r="T79" s="15" t="n">
        <f aca="false">S79/$P79</f>
        <v>0.212187432726577</v>
      </c>
      <c r="U79" s="14" t="n">
        <f aca="false">U75+U78</f>
        <v>37021.94</v>
      </c>
      <c r="V79" s="15" t="n">
        <f aca="false">U79/$P79</f>
        <v>0.885544047647523</v>
      </c>
      <c r="W79" s="14" t="n">
        <f aca="false">W75+W78</f>
        <v>41278.22</v>
      </c>
      <c r="X79" s="15" t="n">
        <f aca="false">W79/$P79</f>
        <v>0.987351878871959</v>
      </c>
      <c r="Y79" s="14" t="n">
        <f aca="false">Y75+Y78</f>
        <v>13507</v>
      </c>
      <c r="Z79" s="14" t="n">
        <f aca="false">Z75+Z78</f>
        <v>13507</v>
      </c>
    </row>
    <row r="80" customFormat="false" ht="12.8" hidden="false" customHeight="false" outlineLevel="0" collapsed="false">
      <c r="D80" s="79"/>
      <c r="E80" s="30"/>
      <c r="F80" s="3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1"/>
      <c r="S80" s="80"/>
      <c r="T80" s="81"/>
      <c r="U80" s="80"/>
      <c r="V80" s="81"/>
      <c r="W80" s="80"/>
      <c r="X80" s="81"/>
      <c r="Y80" s="80"/>
      <c r="Z80" s="80"/>
    </row>
    <row r="81" customFormat="false" ht="12.8" hidden="false" customHeight="false" outlineLevel="0" collapsed="false">
      <c r="D81" s="79"/>
      <c r="E81" s="39" t="s">
        <v>57</v>
      </c>
      <c r="F81" s="16" t="s">
        <v>136</v>
      </c>
      <c r="G81" s="40" t="n">
        <v>2674.89</v>
      </c>
      <c r="H81" s="40" t="n">
        <v>2328.19</v>
      </c>
      <c r="I81" s="40" t="n">
        <v>5000</v>
      </c>
      <c r="J81" s="40" t="n">
        <v>2489.95</v>
      </c>
      <c r="K81" s="40" t="n">
        <v>2500</v>
      </c>
      <c r="L81" s="40"/>
      <c r="M81" s="40" t="n">
        <v>25050</v>
      </c>
      <c r="N81" s="40"/>
      <c r="O81" s="40"/>
      <c r="P81" s="40" t="n">
        <f aca="false">K81+SUM(L81:O81)</f>
        <v>27550</v>
      </c>
      <c r="Q81" s="40" t="n">
        <v>1640.41</v>
      </c>
      <c r="R81" s="41" t="n">
        <f aca="false">Q81/$P81</f>
        <v>0.0595430127041742</v>
      </c>
      <c r="S81" s="40" t="n">
        <v>2398.61</v>
      </c>
      <c r="T81" s="41" t="n">
        <f aca="false">S81/$P81</f>
        <v>0.0870638838475499</v>
      </c>
      <c r="U81" s="40" t="n">
        <v>26932.22</v>
      </c>
      <c r="V81" s="41" t="n">
        <f aca="false">U81/$P81</f>
        <v>0.977576043557169</v>
      </c>
      <c r="W81" s="40" t="n">
        <v>27373.37</v>
      </c>
      <c r="X81" s="42" t="n">
        <f aca="false">W81/$P81</f>
        <v>0.993588747731397</v>
      </c>
      <c r="Y81" s="40" t="n">
        <f aca="false">K81</f>
        <v>2500</v>
      </c>
      <c r="Z81" s="44" t="n">
        <f aca="false">Y81</f>
        <v>2500</v>
      </c>
    </row>
    <row r="82" customFormat="false" ht="12.8" hidden="false" customHeight="false" outlineLevel="0" collapsed="false">
      <c r="D82" s="79"/>
      <c r="E82" s="45"/>
      <c r="F82" s="1" t="s">
        <v>137</v>
      </c>
      <c r="G82" s="47" t="n">
        <v>1563.13</v>
      </c>
      <c r="H82" s="47" t="n">
        <v>1400</v>
      </c>
      <c r="I82" s="47" t="n">
        <v>1400</v>
      </c>
      <c r="J82" s="47" t="n">
        <v>1630</v>
      </c>
      <c r="K82" s="47" t="n">
        <v>1400</v>
      </c>
      <c r="L82" s="47"/>
      <c r="M82" s="47"/>
      <c r="N82" s="47"/>
      <c r="O82" s="47"/>
      <c r="P82" s="47" t="n">
        <f aca="false">K82+SUM(L82:O82)</f>
        <v>1400</v>
      </c>
      <c r="Q82" s="47" t="n">
        <v>350</v>
      </c>
      <c r="R82" s="2" t="n">
        <f aca="false">Q82/$P82</f>
        <v>0.25</v>
      </c>
      <c r="S82" s="47" t="n">
        <v>700</v>
      </c>
      <c r="T82" s="2" t="n">
        <f aca="false">S82/$P82</f>
        <v>0.5</v>
      </c>
      <c r="U82" s="47" t="n">
        <v>1050</v>
      </c>
      <c r="V82" s="2" t="n">
        <f aca="false">U82/$P82</f>
        <v>0.75</v>
      </c>
      <c r="W82" s="47" t="n">
        <v>1400</v>
      </c>
      <c r="X82" s="48" t="n">
        <f aca="false">W82/$P82</f>
        <v>1</v>
      </c>
      <c r="Y82" s="47" t="n">
        <f aca="false">I82</f>
        <v>1400</v>
      </c>
      <c r="Z82" s="50" t="n">
        <f aca="false">Y82</f>
        <v>1400</v>
      </c>
    </row>
    <row r="83" customFormat="false" ht="12.8" hidden="false" customHeight="false" outlineLevel="0" collapsed="false">
      <c r="D83" s="79"/>
      <c r="E83" s="45"/>
      <c r="F83" s="88" t="s">
        <v>138</v>
      </c>
      <c r="G83" s="89"/>
      <c r="H83" s="89" t="n">
        <v>0</v>
      </c>
      <c r="I83" s="89" t="n">
        <v>3500</v>
      </c>
      <c r="J83" s="89" t="n">
        <v>2396.9</v>
      </c>
      <c r="K83" s="89" t="n">
        <v>1900</v>
      </c>
      <c r="L83" s="89"/>
      <c r="M83" s="89"/>
      <c r="N83" s="89"/>
      <c r="O83" s="89"/>
      <c r="P83" s="89" t="n">
        <f aca="false">K83+SUM(L83:O83)</f>
        <v>1900</v>
      </c>
      <c r="Q83" s="89" t="n">
        <v>475.2</v>
      </c>
      <c r="R83" s="90" t="n">
        <f aca="false">Q83/$P83</f>
        <v>0.250105263157895</v>
      </c>
      <c r="S83" s="89" t="n">
        <v>950.4</v>
      </c>
      <c r="T83" s="90" t="n">
        <f aca="false">S83/$P83</f>
        <v>0.500210526315789</v>
      </c>
      <c r="U83" s="89" t="n">
        <v>1425.6</v>
      </c>
      <c r="V83" s="90" t="n">
        <f aca="false">U83/$P83</f>
        <v>0.750315789473684</v>
      </c>
      <c r="W83" s="89" t="n">
        <v>1900.8</v>
      </c>
      <c r="X83" s="48" t="n">
        <f aca="false">W83/$P83</f>
        <v>1.00042105263158</v>
      </c>
      <c r="Y83" s="89" t="n">
        <f aca="false">K83</f>
        <v>1900</v>
      </c>
      <c r="Z83" s="50" t="n">
        <f aca="false">Y83</f>
        <v>1900</v>
      </c>
    </row>
    <row r="84" customFormat="false" ht="12.8" hidden="false" customHeight="false" outlineLevel="0" collapsed="false">
      <c r="D84" s="79"/>
      <c r="E84" s="54"/>
      <c r="F84" s="72" t="s">
        <v>139</v>
      </c>
      <c r="G84" s="56"/>
      <c r="H84" s="56"/>
      <c r="I84" s="56" t="n">
        <v>20000</v>
      </c>
      <c r="J84" s="56" t="n">
        <v>12281.22</v>
      </c>
      <c r="K84" s="91" t="n">
        <v>2000</v>
      </c>
      <c r="L84" s="56"/>
      <c r="M84" s="56"/>
      <c r="N84" s="56" t="n">
        <v>-52</v>
      </c>
      <c r="O84" s="56" t="n">
        <v>657</v>
      </c>
      <c r="P84" s="56" t="n">
        <f aca="false">K84+SUM(L84:O84)</f>
        <v>2605</v>
      </c>
      <c r="Q84" s="56" t="n">
        <v>1465.54</v>
      </c>
      <c r="R84" s="57" t="n">
        <f aca="false">Q84/$P84</f>
        <v>0.562587332053743</v>
      </c>
      <c r="S84" s="56" t="n">
        <v>1543.94</v>
      </c>
      <c r="T84" s="57" t="n">
        <f aca="false">S84/$P84</f>
        <v>0.59268330134357</v>
      </c>
      <c r="U84" s="56" t="n">
        <v>1543.94</v>
      </c>
      <c r="V84" s="57" t="n">
        <f aca="false">U84/$P84</f>
        <v>0.59268330134357</v>
      </c>
      <c r="W84" s="56" t="n">
        <v>2604.53</v>
      </c>
      <c r="X84" s="58" t="n">
        <f aca="false">W84/$P84</f>
        <v>0.999819577735125</v>
      </c>
      <c r="Y84" s="56"/>
      <c r="Z84" s="60"/>
    </row>
    <row r="85" customFormat="false" ht="12.8" hidden="false" customHeight="false" outlineLevel="0" collapsed="false">
      <c r="D85" s="79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S85" s="47"/>
      <c r="U85" s="47"/>
      <c r="W85" s="47"/>
      <c r="Y85" s="47"/>
      <c r="Z85" s="47"/>
    </row>
    <row r="86" customFormat="false" ht="12.8" hidden="false" customHeight="false" outlineLevel="0" collapsed="false">
      <c r="D86" s="63" t="s">
        <v>140</v>
      </c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</row>
    <row r="87" customFormat="false" ht="12.8" hidden="false" customHeight="false" outlineLevel="0" collapsed="false">
      <c r="D87" s="7" t="s">
        <v>33</v>
      </c>
      <c r="E87" s="7" t="s">
        <v>34</v>
      </c>
      <c r="F87" s="7" t="s">
        <v>35</v>
      </c>
      <c r="G87" s="7" t="s">
        <v>1</v>
      </c>
      <c r="H87" s="7" t="s">
        <v>2</v>
      </c>
      <c r="I87" s="7" t="s">
        <v>3</v>
      </c>
      <c r="J87" s="7" t="s">
        <v>4</v>
      </c>
      <c r="K87" s="7" t="s">
        <v>5</v>
      </c>
      <c r="L87" s="7" t="s">
        <v>6</v>
      </c>
      <c r="M87" s="7" t="s">
        <v>7</v>
      </c>
      <c r="N87" s="7" t="s">
        <v>8</v>
      </c>
      <c r="O87" s="7" t="s">
        <v>9</v>
      </c>
      <c r="P87" s="7" t="s">
        <v>10</v>
      </c>
      <c r="Q87" s="7" t="s">
        <v>11</v>
      </c>
      <c r="R87" s="8" t="s">
        <v>12</v>
      </c>
      <c r="S87" s="7" t="s">
        <v>13</v>
      </c>
      <c r="T87" s="8" t="s">
        <v>14</v>
      </c>
      <c r="U87" s="7" t="s">
        <v>15</v>
      </c>
      <c r="V87" s="8" t="s">
        <v>16</v>
      </c>
      <c r="W87" s="7" t="s">
        <v>17</v>
      </c>
      <c r="X87" s="8" t="s">
        <v>18</v>
      </c>
      <c r="Y87" s="7" t="s">
        <v>19</v>
      </c>
      <c r="Z87" s="7" t="s">
        <v>20</v>
      </c>
    </row>
    <row r="88" customFormat="false" ht="12.8" hidden="false" customHeight="false" outlineLevel="0" collapsed="false">
      <c r="A88" s="1" t="n">
        <v>1</v>
      </c>
      <c r="B88" s="1" t="n">
        <v>1</v>
      </c>
      <c r="C88" s="1" t="n">
        <v>5</v>
      </c>
      <c r="D88" s="87" t="s">
        <v>132</v>
      </c>
      <c r="E88" s="10" t="n">
        <v>610</v>
      </c>
      <c r="F88" s="10" t="s">
        <v>124</v>
      </c>
      <c r="G88" s="11" t="n">
        <v>10928.43</v>
      </c>
      <c r="H88" s="11" t="n">
        <v>6672.36</v>
      </c>
      <c r="I88" s="11" t="n">
        <v>15759</v>
      </c>
      <c r="J88" s="11" t="n">
        <v>11110.92</v>
      </c>
      <c r="K88" s="11" t="n">
        <v>12424</v>
      </c>
      <c r="L88" s="11"/>
      <c r="M88" s="11"/>
      <c r="N88" s="11" t="n">
        <v>1722</v>
      </c>
      <c r="O88" s="11" t="n">
        <f aca="false">2000+620</f>
        <v>2620</v>
      </c>
      <c r="P88" s="11" t="n">
        <f aca="false">K88+SUM(L88:O88)</f>
        <v>16766</v>
      </c>
      <c r="Q88" s="11" t="n">
        <v>5274.71</v>
      </c>
      <c r="R88" s="12" t="n">
        <f aca="false">Q88/$P88</f>
        <v>0.31460753906716</v>
      </c>
      <c r="S88" s="11" t="n">
        <v>8354.93</v>
      </c>
      <c r="T88" s="12" t="n">
        <f aca="false">S88/$P88</f>
        <v>0.498325778360969</v>
      </c>
      <c r="U88" s="11" t="n">
        <v>12314.93</v>
      </c>
      <c r="V88" s="12" t="n">
        <f aca="false">U88/$P88</f>
        <v>0.734518072289157</v>
      </c>
      <c r="W88" s="11" t="n">
        <v>16766.26</v>
      </c>
      <c r="X88" s="12" t="n">
        <f aca="false">W88/$P88</f>
        <v>1.00001550757485</v>
      </c>
      <c r="Y88" s="11" t="n">
        <v>12996</v>
      </c>
      <c r="Z88" s="11" t="n">
        <v>13596</v>
      </c>
    </row>
    <row r="89" customFormat="false" ht="12.8" hidden="false" customHeight="false" outlineLevel="0" collapsed="false">
      <c r="A89" s="1" t="n">
        <v>1</v>
      </c>
      <c r="B89" s="1" t="n">
        <v>1</v>
      </c>
      <c r="C89" s="1" t="n">
        <v>5</v>
      </c>
      <c r="D89" s="87" t="s">
        <v>141</v>
      </c>
      <c r="E89" s="10" t="n">
        <v>620</v>
      </c>
      <c r="F89" s="10" t="s">
        <v>125</v>
      </c>
      <c r="G89" s="11" t="n">
        <v>4371.55</v>
      </c>
      <c r="H89" s="11" t="n">
        <v>2591.4</v>
      </c>
      <c r="I89" s="11" t="n">
        <v>6149</v>
      </c>
      <c r="J89" s="11" t="n">
        <v>4590.25</v>
      </c>
      <c r="K89" s="11" t="n">
        <v>5891</v>
      </c>
      <c r="L89" s="11"/>
      <c r="M89" s="11"/>
      <c r="N89" s="11" t="n">
        <v>56</v>
      </c>
      <c r="O89" s="11" t="n">
        <v>458</v>
      </c>
      <c r="P89" s="11" t="n">
        <f aca="false">K89+SUM(L89:O89)</f>
        <v>6405</v>
      </c>
      <c r="Q89" s="11" t="n">
        <v>1613.85</v>
      </c>
      <c r="R89" s="12" t="n">
        <f aca="false">Q89/$P89</f>
        <v>0.251967213114754</v>
      </c>
      <c r="S89" s="11" t="n">
        <v>3216.79</v>
      </c>
      <c r="T89" s="12" t="n">
        <f aca="false">S89/$P89</f>
        <v>0.502231069476971</v>
      </c>
      <c r="U89" s="11" t="n">
        <v>4473.88</v>
      </c>
      <c r="V89" s="12" t="n">
        <f aca="false">U89/$P89</f>
        <v>0.698498048399688</v>
      </c>
      <c r="W89" s="11" t="n">
        <v>6232.09</v>
      </c>
      <c r="X89" s="12" t="n">
        <f aca="false">W89/$P89</f>
        <v>0.973003903200624</v>
      </c>
      <c r="Y89" s="11" t="n">
        <v>6104</v>
      </c>
      <c r="Z89" s="11" t="n">
        <v>6326</v>
      </c>
    </row>
    <row r="90" customFormat="false" ht="12.8" hidden="false" customHeight="false" outlineLevel="0" collapsed="false">
      <c r="A90" s="1" t="n">
        <v>1</v>
      </c>
      <c r="B90" s="1" t="n">
        <v>1</v>
      </c>
      <c r="C90" s="1" t="n">
        <v>5</v>
      </c>
      <c r="D90" s="87" t="s">
        <v>142</v>
      </c>
      <c r="E90" s="10" t="n">
        <v>630</v>
      </c>
      <c r="F90" s="10" t="s">
        <v>126</v>
      </c>
      <c r="G90" s="11" t="n">
        <v>30313.57</v>
      </c>
      <c r="H90" s="11" t="n">
        <v>26003.76</v>
      </c>
      <c r="I90" s="11" t="n">
        <v>21813</v>
      </c>
      <c r="J90" s="11" t="n">
        <v>28241.26</v>
      </c>
      <c r="K90" s="11" t="n">
        <v>26496</v>
      </c>
      <c r="L90" s="11"/>
      <c r="M90" s="11" t="n">
        <v>881</v>
      </c>
      <c r="N90" s="11" t="n">
        <v>1310</v>
      </c>
      <c r="O90" s="11" t="n">
        <v>1987</v>
      </c>
      <c r="P90" s="11" t="n">
        <f aca="false">K90+SUM(L90:O90)</f>
        <v>30674</v>
      </c>
      <c r="Q90" s="11" t="n">
        <v>5951.84</v>
      </c>
      <c r="R90" s="12" t="n">
        <f aca="false">Q90/$P90</f>
        <v>0.194035339375367</v>
      </c>
      <c r="S90" s="11" t="n">
        <v>14947.43</v>
      </c>
      <c r="T90" s="12" t="n">
        <f aca="false">S90/$P90</f>
        <v>0.487299667470822</v>
      </c>
      <c r="U90" s="11" t="n">
        <v>20054.64</v>
      </c>
      <c r="V90" s="12" t="n">
        <f aca="false">U90/$P90</f>
        <v>0.653799308860924</v>
      </c>
      <c r="W90" s="11" t="n">
        <v>30675.07</v>
      </c>
      <c r="X90" s="12" t="n">
        <f aca="false">W90/$P90</f>
        <v>1.00003488296277</v>
      </c>
      <c r="Y90" s="11" t="n">
        <v>26400</v>
      </c>
      <c r="Z90" s="11" t="n">
        <v>26406</v>
      </c>
    </row>
    <row r="91" customFormat="false" ht="12.8" hidden="false" customHeight="false" outlineLevel="0" collapsed="false">
      <c r="A91" s="1" t="n">
        <v>1</v>
      </c>
      <c r="B91" s="1" t="n">
        <v>1</v>
      </c>
      <c r="C91" s="1" t="n">
        <v>5</v>
      </c>
      <c r="D91" s="87" t="s">
        <v>143</v>
      </c>
      <c r="E91" s="10" t="n">
        <v>640</v>
      </c>
      <c r="F91" s="10" t="s">
        <v>127</v>
      </c>
      <c r="G91" s="11" t="n">
        <v>0</v>
      </c>
      <c r="H91" s="11" t="n">
        <v>218.53</v>
      </c>
      <c r="I91" s="11" t="n">
        <v>0</v>
      </c>
      <c r="J91" s="11" t="n">
        <v>4426.68</v>
      </c>
      <c r="K91" s="11" t="n">
        <v>0</v>
      </c>
      <c r="L91" s="11"/>
      <c r="M91" s="11"/>
      <c r="N91" s="11"/>
      <c r="O91" s="11"/>
      <c r="P91" s="11" t="n">
        <f aca="false">K91+SUM(L91:O91)</f>
        <v>0</v>
      </c>
      <c r="Q91" s="11" t="n">
        <v>0</v>
      </c>
      <c r="R91" s="12" t="e">
        <f aca="false">Q91/$P91</f>
        <v>#DIV/0!</v>
      </c>
      <c r="S91" s="11" t="n">
        <v>0</v>
      </c>
      <c r="T91" s="12" t="e">
        <f aca="false">S91/$P91</f>
        <v>#DIV/0!</v>
      </c>
      <c r="U91" s="11" t="n">
        <v>0</v>
      </c>
      <c r="V91" s="12" t="e">
        <f aca="false">U91/$P91</f>
        <v>#DIV/0!</v>
      </c>
      <c r="W91" s="11" t="n">
        <v>0</v>
      </c>
      <c r="X91" s="12" t="e">
        <f aca="false">W91/$P91</f>
        <v>#DIV/0!</v>
      </c>
      <c r="Y91" s="11" t="n">
        <f aca="false">K91</f>
        <v>0</v>
      </c>
      <c r="Z91" s="11" t="n">
        <f aca="false">Y91</f>
        <v>0</v>
      </c>
    </row>
    <row r="92" customFormat="false" ht="12.8" hidden="false" customHeight="false" outlineLevel="0" collapsed="false">
      <c r="A92" s="1" t="n">
        <v>1</v>
      </c>
      <c r="B92" s="1" t="n">
        <v>1</v>
      </c>
      <c r="C92" s="1" t="n">
        <v>5</v>
      </c>
      <c r="D92" s="75" t="s">
        <v>21</v>
      </c>
      <c r="E92" s="32" t="n">
        <v>41</v>
      </c>
      <c r="F92" s="32" t="s">
        <v>23</v>
      </c>
      <c r="G92" s="33" t="n">
        <f aca="false">SUM(G88:G91)</f>
        <v>45613.55</v>
      </c>
      <c r="H92" s="33" t="n">
        <f aca="false">SUM(H88:H91)</f>
        <v>35486.05</v>
      </c>
      <c r="I92" s="33" t="n">
        <f aca="false">SUM(I88:I91)</f>
        <v>43721</v>
      </c>
      <c r="J92" s="33" t="n">
        <f aca="false">SUM(J88:J91)</f>
        <v>48369.11</v>
      </c>
      <c r="K92" s="33" t="n">
        <f aca="false">SUM(K88:K91)</f>
        <v>44811</v>
      </c>
      <c r="L92" s="33" t="n">
        <f aca="false">SUM(L88:L91)</f>
        <v>0</v>
      </c>
      <c r="M92" s="33" t="n">
        <f aca="false">SUM(M88:M91)</f>
        <v>881</v>
      </c>
      <c r="N92" s="33" t="n">
        <f aca="false">SUM(N88:N91)</f>
        <v>3088</v>
      </c>
      <c r="O92" s="33" t="n">
        <f aca="false">SUM(O88:O91)</f>
        <v>5065</v>
      </c>
      <c r="P92" s="33" t="n">
        <f aca="false">SUM(P88:P91)</f>
        <v>53845</v>
      </c>
      <c r="Q92" s="33" t="n">
        <f aca="false">SUM(Q88:Q91)</f>
        <v>12840.4</v>
      </c>
      <c r="R92" s="34" t="n">
        <f aca="false">Q92/$P92</f>
        <v>0.238469681493175</v>
      </c>
      <c r="S92" s="33" t="n">
        <f aca="false">SUM(S88:S91)</f>
        <v>26519.15</v>
      </c>
      <c r="T92" s="34" t="n">
        <f aca="false">S92/$P92</f>
        <v>0.492509053765438</v>
      </c>
      <c r="U92" s="33" t="n">
        <f aca="false">SUM(U88:U91)</f>
        <v>36843.45</v>
      </c>
      <c r="V92" s="34" t="n">
        <f aca="false">U92/$P92</f>
        <v>0.684250162503482</v>
      </c>
      <c r="W92" s="33" t="n">
        <f aca="false">SUM(W88:W91)</f>
        <v>53673.42</v>
      </c>
      <c r="X92" s="34" t="n">
        <f aca="false">W92/$P92</f>
        <v>0.996813446002414</v>
      </c>
      <c r="Y92" s="33" t="n">
        <f aca="false">SUM(Y88:Y91)</f>
        <v>45500</v>
      </c>
      <c r="Z92" s="33" t="n">
        <f aca="false">SUM(Z88:Z91)</f>
        <v>46328</v>
      </c>
    </row>
    <row r="93" customFormat="false" ht="12.8" hidden="false" customHeight="false" outlineLevel="0" collapsed="false">
      <c r="D93" s="10" t="s">
        <v>123</v>
      </c>
      <c r="E93" s="10" t="n">
        <v>640</v>
      </c>
      <c r="F93" s="10" t="s">
        <v>127</v>
      </c>
      <c r="G93" s="11" t="n">
        <v>0</v>
      </c>
      <c r="H93" s="11" t="n">
        <v>0</v>
      </c>
      <c r="I93" s="11" t="n">
        <v>0</v>
      </c>
      <c r="J93" s="11" t="n">
        <v>0</v>
      </c>
      <c r="K93" s="11" t="n">
        <v>0</v>
      </c>
      <c r="L93" s="11"/>
      <c r="M93" s="11"/>
      <c r="N93" s="11"/>
      <c r="O93" s="11" t="n">
        <v>197</v>
      </c>
      <c r="P93" s="11" t="n">
        <f aca="false">K93+SUM(L93:O93)</f>
        <v>197</v>
      </c>
      <c r="Q93" s="11" t="n">
        <v>0</v>
      </c>
      <c r="R93" s="12" t="n">
        <f aca="false">Q93/$P93</f>
        <v>0</v>
      </c>
      <c r="S93" s="11" t="n">
        <v>0</v>
      </c>
      <c r="T93" s="12" t="n">
        <f aca="false">S93/$P93</f>
        <v>0</v>
      </c>
      <c r="U93" s="11" t="n">
        <v>0</v>
      </c>
      <c r="V93" s="12" t="n">
        <f aca="false">U93/$P93</f>
        <v>0</v>
      </c>
      <c r="W93" s="11" t="n">
        <v>196.97</v>
      </c>
      <c r="X93" s="12" t="n">
        <f aca="false">W93/$P93</f>
        <v>0.999847715736041</v>
      </c>
      <c r="Y93" s="11" t="n">
        <v>0</v>
      </c>
      <c r="Z93" s="11" t="n">
        <f aca="false">Y93</f>
        <v>0</v>
      </c>
    </row>
    <row r="94" customFormat="false" ht="12.8" hidden="false" customHeight="false" outlineLevel="0" collapsed="false">
      <c r="D94" s="75" t="s">
        <v>21</v>
      </c>
      <c r="E94" s="76" t="n">
        <v>72</v>
      </c>
      <c r="F94" s="32" t="s">
        <v>25</v>
      </c>
      <c r="G94" s="33" t="n">
        <f aca="false">SUM(G93)</f>
        <v>0</v>
      </c>
      <c r="H94" s="33" t="n">
        <f aca="false">SUM(H93)</f>
        <v>0</v>
      </c>
      <c r="I94" s="33" t="n">
        <f aca="false">SUM(I93)</f>
        <v>0</v>
      </c>
      <c r="J94" s="33" t="n">
        <f aca="false">SUM(J93)</f>
        <v>0</v>
      </c>
      <c r="K94" s="33" t="n">
        <f aca="false">SUM(K93)</f>
        <v>0</v>
      </c>
      <c r="L94" s="33" t="n">
        <f aca="false">SUM(L93)</f>
        <v>0</v>
      </c>
      <c r="M94" s="33" t="n">
        <f aca="false">SUM(M93)</f>
        <v>0</v>
      </c>
      <c r="N94" s="33" t="n">
        <f aca="false">SUM(N93)</f>
        <v>0</v>
      </c>
      <c r="O94" s="33" t="n">
        <f aca="false">SUM(O93)</f>
        <v>197</v>
      </c>
      <c r="P94" s="33" t="n">
        <f aca="false">SUM(P93)</f>
        <v>197</v>
      </c>
      <c r="Q94" s="33" t="n">
        <f aca="false">SUM(Q93)</f>
        <v>0</v>
      </c>
      <c r="R94" s="34" t="n">
        <f aca="false">Q94/$P94</f>
        <v>0</v>
      </c>
      <c r="S94" s="33" t="n">
        <f aca="false">SUM(S93)</f>
        <v>0</v>
      </c>
      <c r="T94" s="34" t="n">
        <f aca="false">S94/$P94</f>
        <v>0</v>
      </c>
      <c r="U94" s="33" t="n">
        <f aca="false">SUM(U93)</f>
        <v>0</v>
      </c>
      <c r="V94" s="34" t="n">
        <f aca="false">U94/$P94</f>
        <v>0</v>
      </c>
      <c r="W94" s="33" t="n">
        <f aca="false">SUM(W93)</f>
        <v>196.97</v>
      </c>
      <c r="X94" s="34" t="n">
        <f aca="false">W94/$P94</f>
        <v>0.999847715736041</v>
      </c>
      <c r="Y94" s="33" t="n">
        <f aca="false">SUM(Y93)</f>
        <v>0</v>
      </c>
      <c r="Z94" s="33" t="n">
        <f aca="false">SUM(Z93)</f>
        <v>0</v>
      </c>
    </row>
    <row r="95" customFormat="false" ht="12.8" hidden="false" customHeight="false" outlineLevel="0" collapsed="false">
      <c r="D95" s="77"/>
      <c r="E95" s="78"/>
      <c r="F95" s="13" t="s">
        <v>119</v>
      </c>
      <c r="G95" s="14" t="n">
        <f aca="false">G92+G94</f>
        <v>45613.55</v>
      </c>
      <c r="H95" s="14" t="n">
        <f aca="false">H92+H94</f>
        <v>35486.05</v>
      </c>
      <c r="I95" s="14" t="n">
        <f aca="false">I92+I94</f>
        <v>43721</v>
      </c>
      <c r="J95" s="14" t="n">
        <f aca="false">J92+J94</f>
        <v>48369.11</v>
      </c>
      <c r="K95" s="14" t="n">
        <f aca="false">K92+K94</f>
        <v>44811</v>
      </c>
      <c r="L95" s="14" t="n">
        <f aca="false">L92+L94</f>
        <v>0</v>
      </c>
      <c r="M95" s="14" t="n">
        <f aca="false">M92+M94</f>
        <v>881</v>
      </c>
      <c r="N95" s="14" t="n">
        <f aca="false">N92+N94</f>
        <v>3088</v>
      </c>
      <c r="O95" s="14" t="n">
        <f aca="false">O92+O94</f>
        <v>5262</v>
      </c>
      <c r="P95" s="14" t="n">
        <f aca="false">P92+P94</f>
        <v>54042</v>
      </c>
      <c r="Q95" s="14" t="n">
        <f aca="false">Q92+Q94</f>
        <v>12840.4</v>
      </c>
      <c r="R95" s="15" t="n">
        <f aca="false">Q95/$P95</f>
        <v>0.23760038488583</v>
      </c>
      <c r="S95" s="14" t="n">
        <f aca="false">S92+S94</f>
        <v>26519.15</v>
      </c>
      <c r="T95" s="15" t="n">
        <f aca="false">S95/$P95</f>
        <v>0.490713704156027</v>
      </c>
      <c r="U95" s="14" t="n">
        <f aca="false">U92+U94</f>
        <v>36843.45</v>
      </c>
      <c r="V95" s="15" t="n">
        <f aca="false">U95/$P95</f>
        <v>0.681755856556012</v>
      </c>
      <c r="W95" s="14" t="n">
        <f aca="false">W92+W94</f>
        <v>53870.39</v>
      </c>
      <c r="X95" s="15" t="n">
        <f aca="false">W95/$P95</f>
        <v>0.996824506865031</v>
      </c>
      <c r="Y95" s="14" t="n">
        <f aca="false">Y92+Y94</f>
        <v>45500</v>
      </c>
      <c r="Z95" s="14" t="n">
        <f aca="false">Z92+Z94</f>
        <v>46328</v>
      </c>
    </row>
    <row r="96" customFormat="false" ht="12.8" hidden="false" customHeight="false" outlineLevel="0" collapsed="false">
      <c r="D96" s="79"/>
      <c r="E96" s="30"/>
      <c r="F96" s="3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1"/>
      <c r="S96" s="80"/>
      <c r="T96" s="81"/>
      <c r="U96" s="80"/>
      <c r="V96" s="81"/>
      <c r="W96" s="80"/>
      <c r="X96" s="81"/>
      <c r="Y96" s="80"/>
      <c r="Z96" s="80"/>
    </row>
    <row r="97" customFormat="false" ht="12.8" hidden="false" customHeight="false" outlineLevel="0" collapsed="false">
      <c r="D97" s="79"/>
      <c r="E97" s="39" t="s">
        <v>57</v>
      </c>
      <c r="F97" s="16" t="s">
        <v>144</v>
      </c>
      <c r="G97" s="40" t="n">
        <v>1815</v>
      </c>
      <c r="H97" s="40" t="n">
        <v>1606</v>
      </c>
      <c r="I97" s="40" t="n">
        <v>1287</v>
      </c>
      <c r="J97" s="40" t="n">
        <v>1287</v>
      </c>
      <c r="K97" s="40" t="n">
        <v>1300</v>
      </c>
      <c r="L97" s="40"/>
      <c r="M97" s="40" t="n">
        <v>405</v>
      </c>
      <c r="N97" s="40"/>
      <c r="O97" s="40"/>
      <c r="P97" s="40" t="n">
        <f aca="false">K97+SUM(L97:O97)</f>
        <v>1705</v>
      </c>
      <c r="Q97" s="40" t="n">
        <v>310</v>
      </c>
      <c r="R97" s="41" t="n">
        <f aca="false">Q97/$P97</f>
        <v>0.181818181818182</v>
      </c>
      <c r="S97" s="40" t="n">
        <v>775</v>
      </c>
      <c r="T97" s="41" t="n">
        <f aca="false">S97/$P97</f>
        <v>0.454545454545455</v>
      </c>
      <c r="U97" s="40" t="n">
        <v>1240</v>
      </c>
      <c r="V97" s="41" t="n">
        <f aca="false">U97/$P97</f>
        <v>0.727272727272727</v>
      </c>
      <c r="W97" s="40" t="n">
        <v>1705</v>
      </c>
      <c r="X97" s="42" t="n">
        <f aca="false">W97/$P97</f>
        <v>1</v>
      </c>
      <c r="Y97" s="40" t="n">
        <f aca="false">K97</f>
        <v>1300</v>
      </c>
      <c r="Z97" s="44" t="n">
        <f aca="false">Y97</f>
        <v>1300</v>
      </c>
    </row>
    <row r="98" customFormat="false" ht="12.8" hidden="false" customHeight="false" outlineLevel="0" collapsed="false">
      <c r="D98" s="79"/>
      <c r="E98" s="45"/>
      <c r="F98" s="1" t="s">
        <v>145</v>
      </c>
      <c r="G98" s="47" t="n">
        <v>9000</v>
      </c>
      <c r="H98" s="47" t="n">
        <v>7128</v>
      </c>
      <c r="I98" s="47" t="n">
        <v>3773</v>
      </c>
      <c r="J98" s="47" t="n">
        <v>3132.35</v>
      </c>
      <c r="K98" s="47" t="n">
        <v>3100</v>
      </c>
      <c r="L98" s="47"/>
      <c r="M98" s="47" t="n">
        <v>476</v>
      </c>
      <c r="N98" s="47"/>
      <c r="O98" s="47"/>
      <c r="P98" s="47" t="n">
        <f aca="false">K98+SUM(L98:O98)</f>
        <v>3576</v>
      </c>
      <c r="Q98" s="47" t="n">
        <v>894</v>
      </c>
      <c r="R98" s="2" t="n">
        <f aca="false">Q98/$P98</f>
        <v>0.25</v>
      </c>
      <c r="S98" s="47" t="n">
        <v>1788</v>
      </c>
      <c r="T98" s="2" t="n">
        <f aca="false">S98/$P98</f>
        <v>0.5</v>
      </c>
      <c r="U98" s="47" t="n">
        <v>2682</v>
      </c>
      <c r="V98" s="2" t="n">
        <f aca="false">U98/$P98</f>
        <v>0.75</v>
      </c>
      <c r="W98" s="47" t="n">
        <v>3576</v>
      </c>
      <c r="X98" s="48" t="n">
        <f aca="false">W98/$P98</f>
        <v>1</v>
      </c>
      <c r="Y98" s="47" t="n">
        <f aca="false">K98</f>
        <v>3100</v>
      </c>
      <c r="Z98" s="50" t="n">
        <f aca="false">Y98</f>
        <v>3100</v>
      </c>
    </row>
    <row r="99" customFormat="false" ht="12.8" hidden="false" customHeight="false" outlineLevel="0" collapsed="false">
      <c r="D99" s="79"/>
      <c r="E99" s="54"/>
      <c r="F99" s="72" t="s">
        <v>146</v>
      </c>
      <c r="G99" s="56" t="n">
        <v>6116.13</v>
      </c>
      <c r="H99" s="56" t="n">
        <v>4050.55</v>
      </c>
      <c r="I99" s="56" t="n">
        <v>3675</v>
      </c>
      <c r="J99" s="56" t="n">
        <v>5504.47</v>
      </c>
      <c r="K99" s="56" t="n">
        <v>6150</v>
      </c>
      <c r="L99" s="56"/>
      <c r="M99" s="56"/>
      <c r="N99" s="56" t="n">
        <v>2000</v>
      </c>
      <c r="O99" s="56" t="n">
        <v>379</v>
      </c>
      <c r="P99" s="56" t="n">
        <f aca="false">K99+SUM(L99:O99)</f>
        <v>8529</v>
      </c>
      <c r="Q99" s="56" t="n">
        <v>1052.99</v>
      </c>
      <c r="R99" s="57" t="n">
        <f aca="false">Q99/$P99</f>
        <v>0.123459960136007</v>
      </c>
      <c r="S99" s="56" t="n">
        <v>4131.41</v>
      </c>
      <c r="T99" s="57" t="n">
        <f aca="false">S99/$P99</f>
        <v>0.484395591511314</v>
      </c>
      <c r="U99" s="56" t="n">
        <v>6239.37</v>
      </c>
      <c r="V99" s="57" t="n">
        <f aca="false">U99/$P99</f>
        <v>0.731547660921562</v>
      </c>
      <c r="W99" s="56" t="n">
        <v>8528.31</v>
      </c>
      <c r="X99" s="58" t="n">
        <f aca="false">W99/$P99</f>
        <v>0.999919099542736</v>
      </c>
      <c r="Y99" s="56" t="n">
        <f aca="false">K99</f>
        <v>6150</v>
      </c>
      <c r="Z99" s="60" t="n">
        <f aca="false">Y99</f>
        <v>6150</v>
      </c>
    </row>
    <row r="100" customFormat="false" ht="12.8" hidden="false" customHeight="false" outlineLevel="0" collapsed="false">
      <c r="D100" s="79"/>
      <c r="E100" s="30"/>
      <c r="F100" s="3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1"/>
      <c r="S100" s="80"/>
      <c r="T100" s="81"/>
      <c r="U100" s="80"/>
      <c r="V100" s="81"/>
      <c r="W100" s="80"/>
      <c r="X100" s="81"/>
      <c r="Y100" s="80"/>
      <c r="Z100" s="80"/>
    </row>
    <row r="101" customFormat="false" ht="12.8" hidden="false" customHeight="false" outlineLevel="0" collapsed="false">
      <c r="D101" s="63" t="s">
        <v>147</v>
      </c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</row>
    <row r="102" customFormat="false" ht="12.8" hidden="false" customHeight="false" outlineLevel="0" collapsed="false">
      <c r="D102" s="7" t="s">
        <v>33</v>
      </c>
      <c r="E102" s="7" t="s">
        <v>34</v>
      </c>
      <c r="F102" s="7" t="s">
        <v>35</v>
      </c>
      <c r="G102" s="7" t="s">
        <v>1</v>
      </c>
      <c r="H102" s="7" t="s">
        <v>2</v>
      </c>
      <c r="I102" s="7" t="s">
        <v>3</v>
      </c>
      <c r="J102" s="7" t="s">
        <v>4</v>
      </c>
      <c r="K102" s="7" t="s">
        <v>5</v>
      </c>
      <c r="L102" s="7" t="s">
        <v>6</v>
      </c>
      <c r="M102" s="7" t="s">
        <v>7</v>
      </c>
      <c r="N102" s="7" t="s">
        <v>8</v>
      </c>
      <c r="O102" s="7" t="s">
        <v>9</v>
      </c>
      <c r="P102" s="7" t="s">
        <v>10</v>
      </c>
      <c r="Q102" s="7" t="s">
        <v>11</v>
      </c>
      <c r="R102" s="8" t="s">
        <v>12</v>
      </c>
      <c r="S102" s="7" t="s">
        <v>13</v>
      </c>
      <c r="T102" s="8" t="s">
        <v>14</v>
      </c>
      <c r="U102" s="7" t="s">
        <v>15</v>
      </c>
      <c r="V102" s="8" t="s">
        <v>16</v>
      </c>
      <c r="W102" s="7" t="s">
        <v>17</v>
      </c>
      <c r="X102" s="8" t="s">
        <v>18</v>
      </c>
      <c r="Y102" s="7" t="s">
        <v>19</v>
      </c>
      <c r="Z102" s="7" t="s">
        <v>20</v>
      </c>
    </row>
    <row r="103" customFormat="false" ht="12.8" hidden="false" customHeight="false" outlineLevel="0" collapsed="false">
      <c r="A103" s="1" t="n">
        <v>1</v>
      </c>
      <c r="B103" s="1" t="n">
        <v>1</v>
      </c>
      <c r="C103" s="1" t="n">
        <v>6</v>
      </c>
      <c r="D103" s="36" t="s">
        <v>148</v>
      </c>
      <c r="E103" s="10" t="n">
        <v>630</v>
      </c>
      <c r="F103" s="10" t="s">
        <v>126</v>
      </c>
      <c r="G103" s="11" t="n">
        <v>1157.9</v>
      </c>
      <c r="H103" s="11" t="n">
        <v>3239</v>
      </c>
      <c r="I103" s="11" t="n">
        <v>850</v>
      </c>
      <c r="J103" s="11" t="n">
        <v>1721.96</v>
      </c>
      <c r="K103" s="11" t="n">
        <v>4050</v>
      </c>
      <c r="L103" s="11"/>
      <c r="M103" s="11" t="n">
        <v>-1209</v>
      </c>
      <c r="N103" s="11"/>
      <c r="O103" s="11" t="n">
        <v>-1599</v>
      </c>
      <c r="P103" s="11" t="n">
        <f aca="false">K103+SUM(L103:O103)</f>
        <v>1242</v>
      </c>
      <c r="Q103" s="11" t="n">
        <v>631.83</v>
      </c>
      <c r="R103" s="12" t="n">
        <f aca="false">Q103/$P103</f>
        <v>0.508719806763285</v>
      </c>
      <c r="S103" s="11" t="n">
        <v>943.83</v>
      </c>
      <c r="T103" s="12" t="n">
        <f aca="false">S103/$P103</f>
        <v>0.759927536231884</v>
      </c>
      <c r="U103" s="11" t="n">
        <v>1192.83</v>
      </c>
      <c r="V103" s="12" t="n">
        <f aca="false">U103/$P103</f>
        <v>0.960410628019324</v>
      </c>
      <c r="W103" s="11" t="n">
        <v>1242.83</v>
      </c>
      <c r="X103" s="12" t="n">
        <f aca="false">W103/$P103</f>
        <v>1.00066827697262</v>
      </c>
      <c r="Y103" s="11" t="n">
        <v>1050</v>
      </c>
      <c r="Z103" s="11" t="n">
        <f aca="false">Y103</f>
        <v>1050</v>
      </c>
    </row>
    <row r="104" customFormat="false" ht="12.8" hidden="false" customHeight="false" outlineLevel="0" collapsed="false">
      <c r="A104" s="1" t="n">
        <v>1</v>
      </c>
      <c r="B104" s="1" t="n">
        <v>1</v>
      </c>
      <c r="C104" s="1" t="n">
        <v>6</v>
      </c>
      <c r="D104" s="70" t="s">
        <v>21</v>
      </c>
      <c r="E104" s="13" t="n">
        <v>41</v>
      </c>
      <c r="F104" s="13" t="s">
        <v>23</v>
      </c>
      <c r="G104" s="14" t="n">
        <f aca="false">SUM(G103:G103)</f>
        <v>1157.9</v>
      </c>
      <c r="H104" s="14" t="n">
        <f aca="false">SUM(H103:H103)</f>
        <v>3239</v>
      </c>
      <c r="I104" s="14" t="n">
        <f aca="false">SUM(I103:I103)</f>
        <v>850</v>
      </c>
      <c r="J104" s="14" t="n">
        <f aca="false">SUM(J103:J103)</f>
        <v>1721.96</v>
      </c>
      <c r="K104" s="14" t="n">
        <f aca="false">SUM(K103:K103)</f>
        <v>4050</v>
      </c>
      <c r="L104" s="14" t="n">
        <f aca="false">SUM(L103:L103)</f>
        <v>0</v>
      </c>
      <c r="M104" s="14" t="n">
        <f aca="false">SUM(M103:M103)</f>
        <v>-1209</v>
      </c>
      <c r="N104" s="14" t="n">
        <f aca="false">SUM(N103:N103)</f>
        <v>0</v>
      </c>
      <c r="O104" s="14" t="n">
        <f aca="false">SUM(O103:O103)</f>
        <v>-1599</v>
      </c>
      <c r="P104" s="14" t="n">
        <f aca="false">SUM(P103:P103)</f>
        <v>1242</v>
      </c>
      <c r="Q104" s="14" t="n">
        <f aca="false">SUM(Q103:Q103)</f>
        <v>631.83</v>
      </c>
      <c r="R104" s="15" t="n">
        <f aca="false">Q104/$P104</f>
        <v>0.508719806763285</v>
      </c>
      <c r="S104" s="14" t="n">
        <f aca="false">SUM(S103:S103)</f>
        <v>943.83</v>
      </c>
      <c r="T104" s="15" t="n">
        <f aca="false">S104/$P104</f>
        <v>0.759927536231884</v>
      </c>
      <c r="U104" s="14" t="n">
        <f aca="false">SUM(U103:U103)</f>
        <v>1192.83</v>
      </c>
      <c r="V104" s="15" t="n">
        <f aca="false">U104/$P104</f>
        <v>0.960410628019324</v>
      </c>
      <c r="W104" s="14" t="n">
        <f aca="false">SUM(W103:W103)</f>
        <v>1242.83</v>
      </c>
      <c r="X104" s="15" t="n">
        <f aca="false">W104/$P104</f>
        <v>1.00066827697262</v>
      </c>
      <c r="Y104" s="14" t="n">
        <f aca="false">SUM(Y103:Y103)</f>
        <v>1050</v>
      </c>
      <c r="Z104" s="14" t="n">
        <f aca="false">SUM(Z103:Z103)</f>
        <v>1050</v>
      </c>
    </row>
    <row r="105" customFormat="false" ht="12.8" hidden="false" customHeight="false" outlineLevel="0" collapsed="false">
      <c r="D105" s="79"/>
      <c r="E105" s="30"/>
      <c r="F105" s="3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1"/>
      <c r="S105" s="80"/>
      <c r="T105" s="81"/>
      <c r="U105" s="80"/>
      <c r="V105" s="81"/>
      <c r="W105" s="80"/>
      <c r="X105" s="81"/>
      <c r="Y105" s="80"/>
      <c r="Z105" s="80"/>
    </row>
    <row r="106" customFormat="false" ht="12.8" hidden="false" customHeight="false" outlineLevel="0" collapsed="false">
      <c r="D106" s="63" t="s">
        <v>149</v>
      </c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</row>
    <row r="107" customFormat="false" ht="12.8" hidden="false" customHeight="false" outlineLevel="0" collapsed="false">
      <c r="D107" s="7" t="s">
        <v>33</v>
      </c>
      <c r="E107" s="7" t="s">
        <v>34</v>
      </c>
      <c r="F107" s="7" t="s">
        <v>35</v>
      </c>
      <c r="G107" s="7" t="s">
        <v>1</v>
      </c>
      <c r="H107" s="7" t="s">
        <v>2</v>
      </c>
      <c r="I107" s="7" t="s">
        <v>3</v>
      </c>
      <c r="J107" s="7" t="s">
        <v>4</v>
      </c>
      <c r="K107" s="7" t="s">
        <v>5</v>
      </c>
      <c r="L107" s="7" t="s">
        <v>6</v>
      </c>
      <c r="M107" s="7" t="s">
        <v>7</v>
      </c>
      <c r="N107" s="7" t="s">
        <v>8</v>
      </c>
      <c r="O107" s="7" t="s">
        <v>9</v>
      </c>
      <c r="P107" s="7" t="s">
        <v>10</v>
      </c>
      <c r="Q107" s="7" t="s">
        <v>11</v>
      </c>
      <c r="R107" s="8" t="s">
        <v>12</v>
      </c>
      <c r="S107" s="7" t="s">
        <v>13</v>
      </c>
      <c r="T107" s="8" t="s">
        <v>14</v>
      </c>
      <c r="U107" s="7" t="s">
        <v>15</v>
      </c>
      <c r="V107" s="8" t="s">
        <v>16</v>
      </c>
      <c r="W107" s="7" t="s">
        <v>17</v>
      </c>
      <c r="X107" s="8" t="s">
        <v>18</v>
      </c>
      <c r="Y107" s="7" t="s">
        <v>19</v>
      </c>
      <c r="Z107" s="7" t="s">
        <v>20</v>
      </c>
    </row>
    <row r="108" customFormat="false" ht="12.8" hidden="false" customHeight="false" outlineLevel="0" collapsed="false">
      <c r="A108" s="1" t="n">
        <v>1</v>
      </c>
      <c r="B108" s="1" t="n">
        <v>1</v>
      </c>
      <c r="C108" s="1" t="n">
        <v>7</v>
      </c>
      <c r="D108" s="36" t="s">
        <v>150</v>
      </c>
      <c r="E108" s="10" t="n">
        <v>610</v>
      </c>
      <c r="F108" s="10" t="s">
        <v>124</v>
      </c>
      <c r="G108" s="11" t="n">
        <v>2931.84</v>
      </c>
      <c r="H108" s="11" t="n">
        <v>3243.5</v>
      </c>
      <c r="I108" s="11" t="n">
        <v>3244</v>
      </c>
      <c r="J108" s="11" t="n">
        <v>3445.84</v>
      </c>
      <c r="K108" s="11" t="n">
        <v>3460</v>
      </c>
      <c r="L108" s="11"/>
      <c r="M108" s="11"/>
      <c r="N108" s="11"/>
      <c r="O108" s="11" t="n">
        <v>-220</v>
      </c>
      <c r="P108" s="11" t="n">
        <f aca="false">K108+SUM(L108:O108)</f>
        <v>3240</v>
      </c>
      <c r="Q108" s="11" t="n">
        <v>617.72</v>
      </c>
      <c r="R108" s="12" t="n">
        <f aca="false">Q108/$P108</f>
        <v>0.190654320987654</v>
      </c>
      <c r="S108" s="11" t="n">
        <v>1463.17</v>
      </c>
      <c r="T108" s="12" t="n">
        <f aca="false">S108/$P108</f>
        <v>0.451595679012346</v>
      </c>
      <c r="U108" s="11" t="n">
        <v>2323.84</v>
      </c>
      <c r="V108" s="12" t="n">
        <f aca="false">U108/$P108</f>
        <v>0.717234567901235</v>
      </c>
      <c r="W108" s="11" t="n">
        <v>3240.37</v>
      </c>
      <c r="X108" s="12" t="n">
        <f aca="false">W108/$P108</f>
        <v>1.00011419753086</v>
      </c>
      <c r="Y108" s="11" t="n">
        <f aca="false">K108</f>
        <v>3460</v>
      </c>
      <c r="Z108" s="11" t="n">
        <f aca="false">Y108</f>
        <v>3460</v>
      </c>
    </row>
    <row r="109" customFormat="false" ht="12.8" hidden="false" customHeight="false" outlineLevel="0" collapsed="false">
      <c r="A109" s="1" t="n">
        <v>1</v>
      </c>
      <c r="B109" s="1" t="n">
        <v>1</v>
      </c>
      <c r="C109" s="1" t="n">
        <v>7</v>
      </c>
      <c r="D109" s="36"/>
      <c r="E109" s="10" t="n">
        <v>620</v>
      </c>
      <c r="F109" s="10" t="s">
        <v>125</v>
      </c>
      <c r="G109" s="11" t="n">
        <v>1024.67</v>
      </c>
      <c r="H109" s="11" t="n">
        <v>1173.39</v>
      </c>
      <c r="I109" s="11" t="n">
        <v>1174</v>
      </c>
      <c r="J109" s="11" t="n">
        <v>1219.78</v>
      </c>
      <c r="K109" s="11" t="n">
        <v>1209</v>
      </c>
      <c r="L109" s="11"/>
      <c r="M109" s="11"/>
      <c r="N109" s="11"/>
      <c r="O109" s="11" t="n">
        <v>-32</v>
      </c>
      <c r="P109" s="11" t="n">
        <f aca="false">K109+SUM(L109:O109)</f>
        <v>1177</v>
      </c>
      <c r="Q109" s="11" t="n">
        <v>232.5</v>
      </c>
      <c r="R109" s="12" t="n">
        <f aca="false">Q109/$P109</f>
        <v>0.197536108751062</v>
      </c>
      <c r="S109" s="11" t="n">
        <v>529.64</v>
      </c>
      <c r="T109" s="12" t="n">
        <f aca="false">S109/$P109</f>
        <v>0.44999150382328</v>
      </c>
      <c r="U109" s="11" t="n">
        <v>832.14</v>
      </c>
      <c r="V109" s="12" t="n">
        <f aca="false">U109/$P109</f>
        <v>0.707000849617672</v>
      </c>
      <c r="W109" s="11" t="n">
        <v>1177.05</v>
      </c>
      <c r="X109" s="12" t="n">
        <f aca="false">W109/$P109</f>
        <v>1.0000424808836</v>
      </c>
      <c r="Y109" s="11" t="n">
        <f aca="false">K109</f>
        <v>1209</v>
      </c>
      <c r="Z109" s="11" t="n">
        <f aca="false">Y109</f>
        <v>1209</v>
      </c>
    </row>
    <row r="110" customFormat="false" ht="12.8" hidden="false" customHeight="false" outlineLevel="0" collapsed="false">
      <c r="A110" s="1" t="n">
        <v>1</v>
      </c>
      <c r="B110" s="1" t="n">
        <v>1</v>
      </c>
      <c r="C110" s="1" t="n">
        <v>7</v>
      </c>
      <c r="D110" s="36"/>
      <c r="E110" s="10" t="n">
        <v>630</v>
      </c>
      <c r="F110" s="10" t="s">
        <v>126</v>
      </c>
      <c r="G110" s="11" t="n">
        <v>1086.09</v>
      </c>
      <c r="H110" s="11" t="n">
        <v>747.96</v>
      </c>
      <c r="I110" s="11" t="n">
        <v>834</v>
      </c>
      <c r="J110" s="11" t="n">
        <v>751.6</v>
      </c>
      <c r="K110" s="11" t="n">
        <v>731</v>
      </c>
      <c r="L110" s="11"/>
      <c r="M110" s="11" t="n">
        <v>88</v>
      </c>
      <c r="N110" s="11"/>
      <c r="O110" s="11" t="n">
        <v>305</v>
      </c>
      <c r="P110" s="11" t="n">
        <f aca="false">K110+SUM(L110:O110)</f>
        <v>1124</v>
      </c>
      <c r="Q110" s="11" t="n">
        <v>155.9</v>
      </c>
      <c r="R110" s="12" t="n">
        <f aca="false">Q110/$P110</f>
        <v>0.138701067615658</v>
      </c>
      <c r="S110" s="11" t="n">
        <v>395.07</v>
      </c>
      <c r="T110" s="12" t="n">
        <f aca="false">S110/$P110</f>
        <v>0.351485765124555</v>
      </c>
      <c r="U110" s="11" t="n">
        <v>426.07</v>
      </c>
      <c r="V110" s="12" t="n">
        <f aca="false">U110/$P110</f>
        <v>0.379065836298932</v>
      </c>
      <c r="W110" s="11" t="n">
        <v>1123.32</v>
      </c>
      <c r="X110" s="12" t="n">
        <f aca="false">W110/$P110</f>
        <v>0.999395017793594</v>
      </c>
      <c r="Y110" s="11" t="n">
        <f aca="false">K110</f>
        <v>731</v>
      </c>
      <c r="Z110" s="11" t="n">
        <f aca="false">Y110</f>
        <v>731</v>
      </c>
    </row>
    <row r="111" customFormat="false" ht="12.8" hidden="false" customHeight="false" outlineLevel="0" collapsed="false">
      <c r="A111" s="1" t="n">
        <v>1</v>
      </c>
      <c r="B111" s="1" t="n">
        <v>1</v>
      </c>
      <c r="C111" s="1" t="n">
        <v>7</v>
      </c>
      <c r="D111" s="75" t="s">
        <v>21</v>
      </c>
      <c r="E111" s="32" t="n">
        <v>111</v>
      </c>
      <c r="F111" s="32" t="s">
        <v>130</v>
      </c>
      <c r="G111" s="33" t="n">
        <f aca="false">SUM(G108:G110)</f>
        <v>5042.6</v>
      </c>
      <c r="H111" s="33" t="n">
        <f aca="false">SUM(H108:H110)</f>
        <v>5164.85</v>
      </c>
      <c r="I111" s="33" t="n">
        <f aca="false">SUM(I108:I110)</f>
        <v>5252</v>
      </c>
      <c r="J111" s="33" t="n">
        <f aca="false">SUM(J108:J110)</f>
        <v>5417.22</v>
      </c>
      <c r="K111" s="92" t="n">
        <f aca="false">SUM(K108:K110)</f>
        <v>5400</v>
      </c>
      <c r="L111" s="92" t="n">
        <f aca="false">SUM(L108:L110)</f>
        <v>0</v>
      </c>
      <c r="M111" s="92" t="n">
        <f aca="false">SUM(M108:M110)</f>
        <v>88</v>
      </c>
      <c r="N111" s="92" t="n">
        <f aca="false">SUM(N108:N110)</f>
        <v>0</v>
      </c>
      <c r="O111" s="92" t="n">
        <f aca="false">SUM(O108:O110)</f>
        <v>53</v>
      </c>
      <c r="P111" s="92" t="n">
        <f aca="false">SUM(P108:P110)</f>
        <v>5541</v>
      </c>
      <c r="Q111" s="92" t="n">
        <f aca="false">SUM(Q108:Q110)</f>
        <v>1006.12</v>
      </c>
      <c r="R111" s="93" t="n">
        <f aca="false">Q111/$P111</f>
        <v>0.181577332611442</v>
      </c>
      <c r="S111" s="92" t="n">
        <f aca="false">SUM(S108:S110)</f>
        <v>2387.88</v>
      </c>
      <c r="T111" s="93" t="n">
        <f aca="false">S111/$P111</f>
        <v>0.430947482403898</v>
      </c>
      <c r="U111" s="92" t="n">
        <f aca="false">SUM(U108:U110)</f>
        <v>3582.05</v>
      </c>
      <c r="V111" s="93" t="n">
        <f aca="false">U111/$P111</f>
        <v>0.64646273235878</v>
      </c>
      <c r="W111" s="92" t="n">
        <f aca="false">SUM(W108:W110)</f>
        <v>5540.74</v>
      </c>
      <c r="X111" s="93" t="n">
        <f aca="false">W111/$P111</f>
        <v>0.999953077061902</v>
      </c>
      <c r="Y111" s="33" t="n">
        <f aca="false">SUM(Y108:Y110)</f>
        <v>5400</v>
      </c>
      <c r="Z111" s="33" t="n">
        <f aca="false">SUM(Z108:Z110)</f>
        <v>5400</v>
      </c>
    </row>
    <row r="112" customFormat="false" ht="12.8" hidden="false" customHeight="false" outlineLevel="0" collapsed="false">
      <c r="A112" s="1" t="n">
        <v>1</v>
      </c>
      <c r="B112" s="1" t="n">
        <v>1</v>
      </c>
      <c r="C112" s="1" t="n">
        <v>7</v>
      </c>
      <c r="D112" s="36" t="s">
        <v>150</v>
      </c>
      <c r="E112" s="10" t="n">
        <v>610</v>
      </c>
      <c r="F112" s="10" t="s">
        <v>124</v>
      </c>
      <c r="G112" s="11" t="n">
        <v>3638.86</v>
      </c>
      <c r="H112" s="11" t="n">
        <v>5211.74</v>
      </c>
      <c r="I112" s="11" t="n">
        <v>6131</v>
      </c>
      <c r="J112" s="11" t="n">
        <v>5069.7</v>
      </c>
      <c r="K112" s="11" t="n">
        <v>5984</v>
      </c>
      <c r="L112" s="11" t="n">
        <v>-231</v>
      </c>
      <c r="M112" s="11"/>
      <c r="N112" s="11"/>
      <c r="O112" s="11" t="n">
        <f aca="false">-116-147</f>
        <v>-263</v>
      </c>
      <c r="P112" s="11" t="n">
        <f aca="false">K112+SUM(L112:O112)</f>
        <v>5490</v>
      </c>
      <c r="Q112" s="11" t="n">
        <v>390.92</v>
      </c>
      <c r="R112" s="12" t="n">
        <f aca="false">Q112/$P112</f>
        <v>0.0712058287795993</v>
      </c>
      <c r="S112" s="11" t="n">
        <v>2151.97</v>
      </c>
      <c r="T112" s="12" t="n">
        <f aca="false">S112/$P112</f>
        <v>0.391979963570127</v>
      </c>
      <c r="U112" s="11" t="n">
        <v>3497.8</v>
      </c>
      <c r="V112" s="12" t="n">
        <f aca="false">U112/$P112</f>
        <v>0.63712204007286</v>
      </c>
      <c r="W112" s="11" t="n">
        <v>5046.47</v>
      </c>
      <c r="X112" s="12" t="n">
        <f aca="false">W112/$P112</f>
        <v>0.919211293260474</v>
      </c>
      <c r="Y112" s="11" t="n">
        <v>6443</v>
      </c>
      <c r="Z112" s="11" t="n">
        <v>6926</v>
      </c>
    </row>
    <row r="113" customFormat="false" ht="12.8" hidden="false" customHeight="false" outlineLevel="0" collapsed="false">
      <c r="A113" s="1" t="n">
        <v>1</v>
      </c>
      <c r="B113" s="1" t="n">
        <v>1</v>
      </c>
      <c r="C113" s="1" t="n">
        <v>7</v>
      </c>
      <c r="D113" s="36"/>
      <c r="E113" s="10" t="n">
        <v>620</v>
      </c>
      <c r="F113" s="10" t="s">
        <v>125</v>
      </c>
      <c r="G113" s="11" t="n">
        <v>1510.32</v>
      </c>
      <c r="H113" s="11" t="n">
        <v>1982.47</v>
      </c>
      <c r="I113" s="11" t="n">
        <v>2145</v>
      </c>
      <c r="J113" s="11" t="n">
        <v>1943.42</v>
      </c>
      <c r="K113" s="11" t="n">
        <v>2260</v>
      </c>
      <c r="L113" s="11"/>
      <c r="M113" s="11"/>
      <c r="N113" s="11" t="n">
        <v>40</v>
      </c>
      <c r="O113" s="11" t="n">
        <v>31</v>
      </c>
      <c r="P113" s="11" t="n">
        <f aca="false">K113+SUM(L113:O113)</f>
        <v>2331</v>
      </c>
      <c r="Q113" s="11" t="n">
        <v>327.87</v>
      </c>
      <c r="R113" s="12" t="n">
        <f aca="false">Q113/$P113</f>
        <v>0.140656370656371</v>
      </c>
      <c r="S113" s="11" t="n">
        <v>850.36</v>
      </c>
      <c r="T113" s="12" t="n">
        <f aca="false">S113/$P113</f>
        <v>0.364804804804805</v>
      </c>
      <c r="U113" s="11" t="n">
        <v>1367.49</v>
      </c>
      <c r="V113" s="12" t="n">
        <f aca="false">U113/$P113</f>
        <v>0.586653796653797</v>
      </c>
      <c r="W113" s="11" t="n">
        <v>2012.04</v>
      </c>
      <c r="X113" s="12" t="n">
        <f aca="false">W113/$P113</f>
        <v>0.863166023166023</v>
      </c>
      <c r="Y113" s="11" t="n">
        <v>2429</v>
      </c>
      <c r="Z113" s="11" t="n">
        <v>2609</v>
      </c>
    </row>
    <row r="114" customFormat="false" ht="12.8" hidden="false" customHeight="false" outlineLevel="0" collapsed="false">
      <c r="A114" s="1" t="n">
        <v>1</v>
      </c>
      <c r="B114" s="1" t="n">
        <v>1</v>
      </c>
      <c r="C114" s="1" t="n">
        <v>7</v>
      </c>
      <c r="D114" s="36"/>
      <c r="E114" s="10" t="n">
        <v>630</v>
      </c>
      <c r="F114" s="10" t="s">
        <v>126</v>
      </c>
      <c r="G114" s="11" t="n">
        <v>709.62</v>
      </c>
      <c r="H114" s="11" t="n">
        <v>821.19</v>
      </c>
      <c r="I114" s="11" t="n">
        <v>830</v>
      </c>
      <c r="J114" s="11" t="n">
        <v>1289.24</v>
      </c>
      <c r="K114" s="11" t="n">
        <v>1397</v>
      </c>
      <c r="L114" s="11"/>
      <c r="M114" s="11"/>
      <c r="N114" s="11" t="n">
        <v>-40</v>
      </c>
      <c r="O114" s="11" t="n">
        <v>116</v>
      </c>
      <c r="P114" s="11" t="n">
        <f aca="false">K114+SUM(L114:O114)</f>
        <v>1473</v>
      </c>
      <c r="Q114" s="11" t="n">
        <v>361.93</v>
      </c>
      <c r="R114" s="12" t="n">
        <f aca="false">Q114/$P114</f>
        <v>0.2457094365241</v>
      </c>
      <c r="S114" s="11" t="n">
        <v>562.21</v>
      </c>
      <c r="T114" s="12" t="n">
        <f aca="false">S114/$P114</f>
        <v>0.381676849966056</v>
      </c>
      <c r="U114" s="11" t="n">
        <v>771.91</v>
      </c>
      <c r="V114" s="12" t="n">
        <f aca="false">U114/$P114</f>
        <v>0.524039375424304</v>
      </c>
      <c r="W114" s="11" t="n">
        <v>1107.77</v>
      </c>
      <c r="X114" s="12" t="n">
        <f aca="false">W114/$P114</f>
        <v>0.752050237610319</v>
      </c>
      <c r="Y114" s="11" t="n">
        <v>1402</v>
      </c>
      <c r="Z114" s="11" t="n">
        <v>1410</v>
      </c>
    </row>
    <row r="115" customFormat="false" ht="12.8" hidden="false" customHeight="false" outlineLevel="0" collapsed="false">
      <c r="A115" s="1" t="n">
        <v>1</v>
      </c>
      <c r="B115" s="1" t="n">
        <v>1</v>
      </c>
      <c r="C115" s="1" t="n">
        <v>7</v>
      </c>
      <c r="D115" s="36"/>
      <c r="E115" s="10" t="n">
        <v>640</v>
      </c>
      <c r="F115" s="10" t="s">
        <v>127</v>
      </c>
      <c r="G115" s="11" t="n">
        <v>233.09</v>
      </c>
      <c r="H115" s="11" t="n">
        <v>0</v>
      </c>
      <c r="I115" s="11" t="n">
        <v>0</v>
      </c>
      <c r="J115" s="11" t="n">
        <v>107.35</v>
      </c>
      <c r="K115" s="11" t="n">
        <v>0</v>
      </c>
      <c r="L115" s="11" t="n">
        <v>231</v>
      </c>
      <c r="M115" s="11"/>
      <c r="N115" s="11"/>
      <c r="O115" s="11" t="n">
        <v>116</v>
      </c>
      <c r="P115" s="11" t="n">
        <f aca="false">K115+SUM(L115:O115)</f>
        <v>347</v>
      </c>
      <c r="Q115" s="11" t="n">
        <v>231.36</v>
      </c>
      <c r="R115" s="12" t="n">
        <f aca="false">Q115/$P115</f>
        <v>0.666743515850144</v>
      </c>
      <c r="S115" s="11" t="n">
        <v>231.36</v>
      </c>
      <c r="T115" s="12" t="n">
        <f aca="false">S115/$P115</f>
        <v>0.666743515850144</v>
      </c>
      <c r="U115" s="11" t="n">
        <v>231.36</v>
      </c>
      <c r="V115" s="12" t="n">
        <f aca="false">U115/$P115</f>
        <v>0.666743515850144</v>
      </c>
      <c r="W115" s="11" t="n">
        <v>347.04</v>
      </c>
      <c r="X115" s="12" t="n">
        <f aca="false">W115/$P115</f>
        <v>1.00011527377522</v>
      </c>
      <c r="Y115" s="11" t="n">
        <v>0</v>
      </c>
      <c r="Z115" s="11" t="n">
        <v>0</v>
      </c>
    </row>
    <row r="116" customFormat="false" ht="12.8" hidden="false" customHeight="false" outlineLevel="0" collapsed="false">
      <c r="A116" s="1" t="n">
        <v>1</v>
      </c>
      <c r="B116" s="1" t="n">
        <v>1</v>
      </c>
      <c r="C116" s="1" t="n">
        <v>7</v>
      </c>
      <c r="D116" s="75" t="s">
        <v>21</v>
      </c>
      <c r="E116" s="32" t="n">
        <v>41</v>
      </c>
      <c r="F116" s="32" t="s">
        <v>23</v>
      </c>
      <c r="G116" s="33" t="n">
        <f aca="false">SUM(G112:G115)</f>
        <v>6091.89</v>
      </c>
      <c r="H116" s="33" t="n">
        <f aca="false">SUM(H112:H115)</f>
        <v>8015.4</v>
      </c>
      <c r="I116" s="33" t="n">
        <f aca="false">SUM(I112:I115)</f>
        <v>9106</v>
      </c>
      <c r="J116" s="33" t="n">
        <f aca="false">SUM(J112:J115)</f>
        <v>8409.71</v>
      </c>
      <c r="K116" s="33" t="n">
        <f aca="false">SUM(K112:K115)</f>
        <v>9641</v>
      </c>
      <c r="L116" s="33" t="n">
        <f aca="false">SUM(L112:L115)</f>
        <v>0</v>
      </c>
      <c r="M116" s="33" t="n">
        <f aca="false">SUM(M112:M115)</f>
        <v>0</v>
      </c>
      <c r="N116" s="33" t="n">
        <f aca="false">SUM(N112:N115)</f>
        <v>0</v>
      </c>
      <c r="O116" s="33" t="n">
        <f aca="false">SUM(O112:O115)</f>
        <v>0</v>
      </c>
      <c r="P116" s="33" t="n">
        <f aca="false">SUM(P112:P115)</f>
        <v>9641</v>
      </c>
      <c r="Q116" s="33" t="n">
        <f aca="false">SUM(Q112:Q115)</f>
        <v>1312.08</v>
      </c>
      <c r="R116" s="34" t="n">
        <f aca="false">Q116/$P116</f>
        <v>0.136093766206825</v>
      </c>
      <c r="S116" s="33" t="n">
        <f aca="false">SUM(S112:S115)</f>
        <v>3795.9</v>
      </c>
      <c r="T116" s="34" t="n">
        <f aca="false">S116/$P116</f>
        <v>0.393724717352972</v>
      </c>
      <c r="U116" s="33" t="n">
        <f aca="false">SUM(U112:U115)</f>
        <v>5868.56</v>
      </c>
      <c r="V116" s="34" t="n">
        <f aca="false">U116/$P116</f>
        <v>0.608708640182554</v>
      </c>
      <c r="W116" s="33" t="n">
        <f aca="false">SUM(W112:W115)</f>
        <v>8513.32</v>
      </c>
      <c r="X116" s="34" t="n">
        <f aca="false">W116/$P116</f>
        <v>0.883032880406597</v>
      </c>
      <c r="Y116" s="33" t="n">
        <f aca="false">SUM(Y112:Y115)</f>
        <v>10274</v>
      </c>
      <c r="Z116" s="33" t="n">
        <f aca="false">SUM(Z112:Z115)</f>
        <v>10945</v>
      </c>
    </row>
    <row r="117" customFormat="false" ht="12.8" hidden="false" customHeight="false" outlineLevel="0" collapsed="false">
      <c r="D117" s="71" t="s">
        <v>150</v>
      </c>
      <c r="E117" s="10" t="n">
        <v>640</v>
      </c>
      <c r="F117" s="10" t="s">
        <v>127</v>
      </c>
      <c r="G117" s="11" t="n">
        <v>0</v>
      </c>
      <c r="H117" s="11" t="n">
        <v>0</v>
      </c>
      <c r="I117" s="11" t="n">
        <v>0</v>
      </c>
      <c r="J117" s="11" t="n">
        <v>0</v>
      </c>
      <c r="K117" s="11" t="n">
        <v>100</v>
      </c>
      <c r="L117" s="11"/>
      <c r="M117" s="11"/>
      <c r="N117" s="11"/>
      <c r="O117" s="11"/>
      <c r="P117" s="11" t="n">
        <f aca="false">K117+SUM(L117:O117)</f>
        <v>100</v>
      </c>
      <c r="Q117" s="11" t="n">
        <v>0</v>
      </c>
      <c r="R117" s="12" t="n">
        <f aca="false">Q117/$P117</f>
        <v>0</v>
      </c>
      <c r="S117" s="11" t="n">
        <v>0</v>
      </c>
      <c r="T117" s="12" t="n">
        <f aca="false">S117/$P117</f>
        <v>0</v>
      </c>
      <c r="U117" s="11" t="n">
        <v>0</v>
      </c>
      <c r="V117" s="12" t="n">
        <f aca="false">U117/$P117</f>
        <v>0</v>
      </c>
      <c r="W117" s="11" t="n">
        <v>91.06</v>
      </c>
      <c r="X117" s="12" t="n">
        <f aca="false">W117/$P117</f>
        <v>0.9106</v>
      </c>
      <c r="Y117" s="11" t="n">
        <f aca="false">K117</f>
        <v>100</v>
      </c>
      <c r="Z117" s="11" t="n">
        <f aca="false">Y117</f>
        <v>100</v>
      </c>
    </row>
    <row r="118" customFormat="false" ht="12.8" hidden="false" customHeight="false" outlineLevel="0" collapsed="false">
      <c r="D118" s="75" t="s">
        <v>21</v>
      </c>
      <c r="E118" s="32" t="n">
        <v>72</v>
      </c>
      <c r="F118" s="32" t="s">
        <v>25</v>
      </c>
      <c r="G118" s="33" t="n">
        <f aca="false">SUM(G117:G117)</f>
        <v>0</v>
      </c>
      <c r="H118" s="33" t="n">
        <f aca="false">SUM(H117:H117)</f>
        <v>0</v>
      </c>
      <c r="I118" s="33" t="n">
        <f aca="false">SUM(I117:I117)</f>
        <v>0</v>
      </c>
      <c r="J118" s="33" t="n">
        <f aca="false">SUM(J117:J117)</f>
        <v>0</v>
      </c>
      <c r="K118" s="33" t="n">
        <f aca="false">SUM(K117:K117)</f>
        <v>100</v>
      </c>
      <c r="L118" s="33" t="n">
        <f aca="false">SUM(L117:L117)</f>
        <v>0</v>
      </c>
      <c r="M118" s="33" t="n">
        <f aca="false">SUM(M117:M117)</f>
        <v>0</v>
      </c>
      <c r="N118" s="33" t="n">
        <f aca="false">SUM(N117:N117)</f>
        <v>0</v>
      </c>
      <c r="O118" s="33" t="n">
        <f aca="false">SUM(O117:O117)</f>
        <v>0</v>
      </c>
      <c r="P118" s="33" t="n">
        <f aca="false">SUM(P117:P117)</f>
        <v>100</v>
      </c>
      <c r="Q118" s="33" t="n">
        <f aca="false">SUM(Q117:Q117)</f>
        <v>0</v>
      </c>
      <c r="R118" s="34" t="n">
        <f aca="false">Q118/$P118</f>
        <v>0</v>
      </c>
      <c r="S118" s="33" t="n">
        <f aca="false">SUM(S117:S117)</f>
        <v>0</v>
      </c>
      <c r="T118" s="34" t="n">
        <f aca="false">S118/$P118</f>
        <v>0</v>
      </c>
      <c r="U118" s="33" t="n">
        <f aca="false">SUM(U117:U117)</f>
        <v>0</v>
      </c>
      <c r="V118" s="34" t="n">
        <f aca="false">U118/$P118</f>
        <v>0</v>
      </c>
      <c r="W118" s="33" t="n">
        <f aca="false">SUM(W117:W117)</f>
        <v>91.06</v>
      </c>
      <c r="X118" s="34" t="n">
        <f aca="false">W118/$P118</f>
        <v>0.9106</v>
      </c>
      <c r="Y118" s="33" t="n">
        <f aca="false">SUM(Y117:Y117)</f>
        <v>100</v>
      </c>
      <c r="Z118" s="33" t="n">
        <f aca="false">SUM(Z117:Z117)</f>
        <v>100</v>
      </c>
    </row>
    <row r="119" customFormat="false" ht="12.8" hidden="false" customHeight="false" outlineLevel="0" collapsed="false">
      <c r="A119" s="1" t="n">
        <v>1</v>
      </c>
      <c r="B119" s="1" t="n">
        <v>1</v>
      </c>
      <c r="C119" s="1" t="n">
        <v>7</v>
      </c>
      <c r="D119" s="16"/>
      <c r="E119" s="17"/>
      <c r="F119" s="13" t="s">
        <v>119</v>
      </c>
      <c r="G119" s="14" t="n">
        <f aca="false">G111+G116+G118</f>
        <v>11134.49</v>
      </c>
      <c r="H119" s="14" t="n">
        <f aca="false">H111+H116+H118</f>
        <v>13180.25</v>
      </c>
      <c r="I119" s="14" t="n">
        <f aca="false">I111+I116+I118</f>
        <v>14358</v>
      </c>
      <c r="J119" s="14" t="n">
        <f aca="false">J111+J116+J118</f>
        <v>13826.93</v>
      </c>
      <c r="K119" s="14" t="n">
        <f aca="false">K111+K116+K118</f>
        <v>15141</v>
      </c>
      <c r="L119" s="14" t="n">
        <f aca="false">L111+L116+L118</f>
        <v>0</v>
      </c>
      <c r="M119" s="14" t="n">
        <f aca="false">M111+M116+M118</f>
        <v>88</v>
      </c>
      <c r="N119" s="14" t="n">
        <f aca="false">N111+N116+N118</f>
        <v>0</v>
      </c>
      <c r="O119" s="14" t="n">
        <f aca="false">O111+O116+O118</f>
        <v>53</v>
      </c>
      <c r="P119" s="14" t="n">
        <f aca="false">P111+P116+P118</f>
        <v>15282</v>
      </c>
      <c r="Q119" s="14" t="n">
        <f aca="false">Q111+Q116+Q118</f>
        <v>2318.2</v>
      </c>
      <c r="R119" s="15" t="n">
        <f aca="false">Q119/$P119</f>
        <v>0.151694804344981</v>
      </c>
      <c r="S119" s="14" t="n">
        <f aca="false">S111+S116+S118</f>
        <v>6183.78</v>
      </c>
      <c r="T119" s="15" t="n">
        <f aca="false">S119/$P119</f>
        <v>0.404644680015705</v>
      </c>
      <c r="U119" s="14" t="n">
        <f aca="false">U111+U116+U118</f>
        <v>9450.61</v>
      </c>
      <c r="V119" s="15" t="n">
        <f aca="false">U119/$P119</f>
        <v>0.618414474545217</v>
      </c>
      <c r="W119" s="14" t="n">
        <f aca="false">W111+W116+W118</f>
        <v>14145.12</v>
      </c>
      <c r="X119" s="15" t="n">
        <f aca="false">W119/$P119</f>
        <v>0.925606595995289</v>
      </c>
      <c r="Y119" s="14" t="n">
        <f aca="false">Y111+Y116+Y118</f>
        <v>15774</v>
      </c>
      <c r="Z119" s="14" t="n">
        <f aca="false">Z111+Z116+Z118</f>
        <v>16445</v>
      </c>
    </row>
    <row r="121" customFormat="false" ht="12.8" hidden="false" customHeight="false" outlineLevel="0" collapsed="false">
      <c r="D121" s="27" t="s">
        <v>151</v>
      </c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</row>
    <row r="122" customFormat="false" ht="12.8" hidden="false" customHeight="false" outlineLevel="0" collapsed="false">
      <c r="D122" s="7" t="s">
        <v>33</v>
      </c>
      <c r="E122" s="7" t="s">
        <v>34</v>
      </c>
      <c r="F122" s="7" t="s">
        <v>35</v>
      </c>
      <c r="G122" s="7" t="s">
        <v>1</v>
      </c>
      <c r="H122" s="7" t="s">
        <v>2</v>
      </c>
      <c r="I122" s="7" t="s">
        <v>3</v>
      </c>
      <c r="J122" s="7" t="s">
        <v>4</v>
      </c>
      <c r="K122" s="7" t="s">
        <v>5</v>
      </c>
      <c r="L122" s="7" t="s">
        <v>6</v>
      </c>
      <c r="M122" s="7" t="s">
        <v>7</v>
      </c>
      <c r="N122" s="7" t="s">
        <v>8</v>
      </c>
      <c r="O122" s="7" t="s">
        <v>9</v>
      </c>
      <c r="P122" s="7" t="s">
        <v>10</v>
      </c>
      <c r="Q122" s="7" t="s">
        <v>11</v>
      </c>
      <c r="R122" s="8" t="s">
        <v>12</v>
      </c>
      <c r="S122" s="7" t="s">
        <v>13</v>
      </c>
      <c r="T122" s="8" t="s">
        <v>14</v>
      </c>
      <c r="U122" s="7" t="s">
        <v>15</v>
      </c>
      <c r="V122" s="8" t="s">
        <v>16</v>
      </c>
      <c r="W122" s="7" t="s">
        <v>17</v>
      </c>
      <c r="X122" s="8" t="s">
        <v>18</v>
      </c>
      <c r="Y122" s="7" t="s">
        <v>19</v>
      </c>
      <c r="Z122" s="7" t="s">
        <v>20</v>
      </c>
    </row>
    <row r="123" customFormat="false" ht="12.8" hidden="false" customHeight="false" outlineLevel="0" collapsed="false">
      <c r="A123" s="1" t="n">
        <v>1</v>
      </c>
      <c r="B123" s="1" t="n">
        <v>2</v>
      </c>
      <c r="D123" s="10" t="s">
        <v>123</v>
      </c>
      <c r="E123" s="10" t="n">
        <v>640</v>
      </c>
      <c r="F123" s="10" t="s">
        <v>83</v>
      </c>
      <c r="G123" s="11" t="n">
        <v>2936.01</v>
      </c>
      <c r="H123" s="11" t="n">
        <v>3366.62</v>
      </c>
      <c r="I123" s="11" t="n">
        <v>3366</v>
      </c>
      <c r="J123" s="11" t="n">
        <v>2935.08</v>
      </c>
      <c r="K123" s="11" t="n">
        <f aca="false">príjmy!H96</f>
        <v>2935</v>
      </c>
      <c r="L123" s="11"/>
      <c r="M123" s="11" t="n">
        <v>543</v>
      </c>
      <c r="N123" s="11"/>
      <c r="O123" s="11" t="n">
        <v>135</v>
      </c>
      <c r="P123" s="11" t="n">
        <f aca="false">K123+SUM(L123:O123)</f>
        <v>3613</v>
      </c>
      <c r="Q123" s="11" t="n">
        <v>0</v>
      </c>
      <c r="R123" s="12" t="n">
        <f aca="false">Q123/$P123</f>
        <v>0</v>
      </c>
      <c r="S123" s="11" t="n">
        <v>3477.63</v>
      </c>
      <c r="T123" s="12" t="n">
        <f aca="false">S123/$P123</f>
        <v>0.962532521450318</v>
      </c>
      <c r="U123" s="11" t="n">
        <v>3477.63</v>
      </c>
      <c r="V123" s="12" t="n">
        <f aca="false">U123/$P123</f>
        <v>0.962532521450318</v>
      </c>
      <c r="W123" s="11" t="n">
        <v>3612.98</v>
      </c>
      <c r="X123" s="12" t="n">
        <f aca="false">W123/$P123</f>
        <v>0.999994464433988</v>
      </c>
      <c r="Y123" s="11" t="n">
        <f aca="false">K123</f>
        <v>2935</v>
      </c>
      <c r="Z123" s="11" t="n">
        <f aca="false">Y123</f>
        <v>2935</v>
      </c>
    </row>
    <row r="124" customFormat="false" ht="12.8" hidden="false" customHeight="false" outlineLevel="0" collapsed="false">
      <c r="A124" s="1" t="n">
        <v>1</v>
      </c>
      <c r="B124" s="1" t="n">
        <v>2</v>
      </c>
      <c r="D124" s="75" t="s">
        <v>21</v>
      </c>
      <c r="E124" s="32" t="n">
        <v>111</v>
      </c>
      <c r="F124" s="32" t="s">
        <v>130</v>
      </c>
      <c r="G124" s="33" t="n">
        <f aca="false">SUM(G123)</f>
        <v>2936.01</v>
      </c>
      <c r="H124" s="33" t="n">
        <f aca="false">SUM(H123)</f>
        <v>3366.62</v>
      </c>
      <c r="I124" s="33" t="n">
        <f aca="false">SUM(I123)</f>
        <v>3366</v>
      </c>
      <c r="J124" s="33" t="n">
        <f aca="false">SUM(J123)</f>
        <v>2935.08</v>
      </c>
      <c r="K124" s="33" t="n">
        <f aca="false">SUM(K123)</f>
        <v>2935</v>
      </c>
      <c r="L124" s="33" t="n">
        <f aca="false">SUM(L123)</f>
        <v>0</v>
      </c>
      <c r="M124" s="33" t="n">
        <f aca="false">SUM(M123)</f>
        <v>543</v>
      </c>
      <c r="N124" s="33" t="n">
        <f aca="false">SUM(N123)</f>
        <v>0</v>
      </c>
      <c r="O124" s="33" t="n">
        <f aca="false">SUM(O123)</f>
        <v>135</v>
      </c>
      <c r="P124" s="33" t="n">
        <f aca="false">SUM(P123)</f>
        <v>3613</v>
      </c>
      <c r="Q124" s="33" t="n">
        <f aca="false">SUM(Q123)</f>
        <v>0</v>
      </c>
      <c r="R124" s="34" t="n">
        <f aca="false">Q124/$P124</f>
        <v>0</v>
      </c>
      <c r="S124" s="33" t="n">
        <f aca="false">SUM(S123)</f>
        <v>3477.63</v>
      </c>
      <c r="T124" s="34" t="n">
        <f aca="false">S124/$P124</f>
        <v>0.962532521450318</v>
      </c>
      <c r="U124" s="33" t="n">
        <f aca="false">SUM(U123)</f>
        <v>3477.63</v>
      </c>
      <c r="V124" s="34" t="n">
        <f aca="false">U124/$P124</f>
        <v>0.962532521450318</v>
      </c>
      <c r="W124" s="33" t="n">
        <f aca="false">SUM(W123)</f>
        <v>3612.98</v>
      </c>
      <c r="X124" s="34" t="n">
        <f aca="false">W124/$P124</f>
        <v>0.999994464433988</v>
      </c>
      <c r="Y124" s="33" t="n">
        <f aca="false">SUM(Y123)</f>
        <v>2935</v>
      </c>
      <c r="Z124" s="33" t="n">
        <f aca="false">SUM(Z123)</f>
        <v>2935</v>
      </c>
    </row>
    <row r="125" customFormat="false" ht="12.8" hidden="false" customHeight="false" outlineLevel="0" collapsed="false">
      <c r="A125" s="1" t="n">
        <v>1</v>
      </c>
      <c r="B125" s="1" t="n">
        <v>2</v>
      </c>
      <c r="D125" s="29" t="s">
        <v>152</v>
      </c>
      <c r="E125" s="10" t="n">
        <v>640</v>
      </c>
      <c r="F125" s="10" t="s">
        <v>153</v>
      </c>
      <c r="G125" s="11" t="n">
        <v>447</v>
      </c>
      <c r="H125" s="11" t="n">
        <v>94.56</v>
      </c>
      <c r="I125" s="11" t="n">
        <v>0</v>
      </c>
      <c r="J125" s="11" t="n">
        <v>0</v>
      </c>
      <c r="K125" s="11" t="n">
        <v>0</v>
      </c>
      <c r="L125" s="11"/>
      <c r="M125" s="11"/>
      <c r="N125" s="11"/>
      <c r="O125" s="11"/>
      <c r="P125" s="11" t="n">
        <f aca="false">K125+SUM(L125:O125)</f>
        <v>0</v>
      </c>
      <c r="Q125" s="11" t="n">
        <v>0</v>
      </c>
      <c r="R125" s="12" t="e">
        <f aca="false">Q125/$P125</f>
        <v>#DIV/0!</v>
      </c>
      <c r="S125" s="11" t="n">
        <v>0</v>
      </c>
      <c r="T125" s="12" t="e">
        <f aca="false">S125/$P125</f>
        <v>#DIV/0!</v>
      </c>
      <c r="U125" s="11" t="n">
        <v>0</v>
      </c>
      <c r="V125" s="12" t="e">
        <f aca="false">U125/$P125</f>
        <v>#DIV/0!</v>
      </c>
      <c r="W125" s="11" t="n">
        <v>0</v>
      </c>
      <c r="X125" s="12" t="e">
        <f aca="false">W125/$P125</f>
        <v>#DIV/0!</v>
      </c>
      <c r="Y125" s="11" t="n">
        <v>0</v>
      </c>
      <c r="Z125" s="11" t="n">
        <v>0</v>
      </c>
    </row>
    <row r="126" customFormat="false" ht="12.8" hidden="false" customHeight="false" outlineLevel="0" collapsed="false">
      <c r="A126" s="1" t="n">
        <v>1</v>
      </c>
      <c r="B126" s="1" t="n">
        <v>2</v>
      </c>
      <c r="D126" s="29" t="s">
        <v>152</v>
      </c>
      <c r="E126" s="10" t="n">
        <v>640</v>
      </c>
      <c r="F126" s="10" t="s">
        <v>154</v>
      </c>
      <c r="G126" s="11" t="n">
        <v>376.16</v>
      </c>
      <c r="H126" s="11" t="n">
        <v>406.14</v>
      </c>
      <c r="I126" s="11" t="n">
        <v>406</v>
      </c>
      <c r="J126" s="11" t="n">
        <v>367</v>
      </c>
      <c r="K126" s="11" t="n">
        <v>406</v>
      </c>
      <c r="L126" s="11"/>
      <c r="M126" s="11"/>
      <c r="N126" s="11" t="n">
        <v>-195</v>
      </c>
      <c r="O126" s="11"/>
      <c r="P126" s="11" t="n">
        <f aca="false">K126+SUM(L126:O126)</f>
        <v>211</v>
      </c>
      <c r="Q126" s="11" t="n">
        <v>105.71</v>
      </c>
      <c r="R126" s="12" t="n">
        <f aca="false">Q126/$P126</f>
        <v>0.500995260663507</v>
      </c>
      <c r="S126" s="11" t="n">
        <v>105.71</v>
      </c>
      <c r="T126" s="12" t="n">
        <f aca="false">S126/$P126</f>
        <v>0.500995260663507</v>
      </c>
      <c r="U126" s="11" t="n">
        <v>211.42</v>
      </c>
      <c r="V126" s="12" t="n">
        <f aca="false">U126/$P126</f>
        <v>1.00199052132701</v>
      </c>
      <c r="W126" s="11" t="n">
        <v>211.42</v>
      </c>
      <c r="X126" s="12" t="n">
        <f aca="false">W126/$P126</f>
        <v>1.00199052132701</v>
      </c>
      <c r="Y126" s="11" t="n">
        <f aca="false">K126</f>
        <v>406</v>
      </c>
      <c r="Z126" s="11" t="n">
        <f aca="false">Y126</f>
        <v>406</v>
      </c>
    </row>
    <row r="127" customFormat="false" ht="12.8" hidden="false" customHeight="false" outlineLevel="0" collapsed="false">
      <c r="A127" s="1" t="n">
        <v>1</v>
      </c>
      <c r="B127" s="1" t="n">
        <v>2</v>
      </c>
      <c r="D127" s="10" t="s">
        <v>123</v>
      </c>
      <c r="E127" s="10" t="n">
        <v>640</v>
      </c>
      <c r="F127" s="10" t="s">
        <v>83</v>
      </c>
      <c r="G127" s="11" t="n">
        <v>6981.99</v>
      </c>
      <c r="H127" s="11" t="n">
        <v>7642.98</v>
      </c>
      <c r="I127" s="11" t="n">
        <v>7643</v>
      </c>
      <c r="J127" s="11" t="n">
        <v>5868.38</v>
      </c>
      <c r="K127" s="11" t="n">
        <v>7643</v>
      </c>
      <c r="L127" s="11"/>
      <c r="M127" s="11"/>
      <c r="N127" s="11" t="n">
        <v>-1050</v>
      </c>
      <c r="O127" s="11" t="n">
        <v>-135</v>
      </c>
      <c r="P127" s="11" t="n">
        <f aca="false">K127+SUM(L127:O127)</f>
        <v>6458</v>
      </c>
      <c r="Q127" s="11" t="n">
        <v>2499.93</v>
      </c>
      <c r="R127" s="12" t="n">
        <f aca="false">Q127/$P127</f>
        <v>0.387105915144007</v>
      </c>
      <c r="S127" s="11" t="n">
        <v>1787.41</v>
      </c>
      <c r="T127" s="12" t="n">
        <f aca="false">S127/$P127</f>
        <v>0.27677454320223</v>
      </c>
      <c r="U127" s="11" t="n">
        <v>4190.37</v>
      </c>
      <c r="V127" s="12" t="n">
        <f aca="false">U127/$P127</f>
        <v>0.648864973676061</v>
      </c>
      <c r="W127" s="11" t="n">
        <v>6457.97</v>
      </c>
      <c r="X127" s="12" t="n">
        <f aca="false">W127/$P127</f>
        <v>0.999995354598947</v>
      </c>
      <c r="Y127" s="11" t="n">
        <f aca="false">K127</f>
        <v>7643</v>
      </c>
      <c r="Z127" s="11" t="n">
        <f aca="false">Y127</f>
        <v>7643</v>
      </c>
    </row>
    <row r="128" customFormat="false" ht="12.8" hidden="false" customHeight="false" outlineLevel="0" collapsed="false">
      <c r="A128" s="1" t="n">
        <v>1</v>
      </c>
      <c r="B128" s="1" t="n">
        <v>2</v>
      </c>
      <c r="D128" s="75" t="s">
        <v>21</v>
      </c>
      <c r="E128" s="32" t="n">
        <v>41</v>
      </c>
      <c r="F128" s="32" t="s">
        <v>23</v>
      </c>
      <c r="G128" s="33" t="n">
        <f aca="false">SUM(G125:G127)</f>
        <v>7805.15</v>
      </c>
      <c r="H128" s="33" t="n">
        <f aca="false">SUM(H125:H127)</f>
        <v>8143.68</v>
      </c>
      <c r="I128" s="33" t="n">
        <f aca="false">SUM(I125:I127)</f>
        <v>8049</v>
      </c>
      <c r="J128" s="33" t="n">
        <f aca="false">SUM(J125:J127)</f>
        <v>6235.38</v>
      </c>
      <c r="K128" s="33" t="n">
        <f aca="false">SUM(K125:K127)</f>
        <v>8049</v>
      </c>
      <c r="L128" s="33" t="n">
        <f aca="false">SUM(L125:L127)</f>
        <v>0</v>
      </c>
      <c r="M128" s="33" t="n">
        <f aca="false">SUM(M125:M127)</f>
        <v>0</v>
      </c>
      <c r="N128" s="33" t="n">
        <f aca="false">SUM(N125:N127)</f>
        <v>-1245</v>
      </c>
      <c r="O128" s="33" t="n">
        <f aca="false">SUM(O125:O127)</f>
        <v>-135</v>
      </c>
      <c r="P128" s="33" t="n">
        <f aca="false">SUM(P125:P127)</f>
        <v>6669</v>
      </c>
      <c r="Q128" s="33" t="n">
        <f aca="false">SUM(Q125:Q127)</f>
        <v>2605.64</v>
      </c>
      <c r="R128" s="34" t="n">
        <f aca="false">Q128/$P128</f>
        <v>0.390709251761883</v>
      </c>
      <c r="S128" s="33" t="n">
        <f aca="false">SUM(S125:S127)</f>
        <v>1893.12</v>
      </c>
      <c r="T128" s="34" t="n">
        <f aca="false">S128/$P128</f>
        <v>0.283868645973909</v>
      </c>
      <c r="U128" s="33" t="n">
        <f aca="false">SUM(U125:U127)</f>
        <v>4401.79</v>
      </c>
      <c r="V128" s="34" t="n">
        <f aca="false">U128/$P128</f>
        <v>0.660037486879592</v>
      </c>
      <c r="W128" s="33" t="n">
        <f aca="false">SUM(W125:W127)</f>
        <v>6669.39</v>
      </c>
      <c r="X128" s="34" t="n">
        <f aca="false">W128/$P128</f>
        <v>1.00005847953216</v>
      </c>
      <c r="Y128" s="33" t="n">
        <f aca="false">SUM(Y125:Y127)</f>
        <v>8049</v>
      </c>
      <c r="Z128" s="33" t="n">
        <f aca="false">SUM(Z125:Z127)</f>
        <v>8049</v>
      </c>
    </row>
    <row r="129" customFormat="false" ht="12.8" hidden="false" customHeight="false" outlineLevel="0" collapsed="false">
      <c r="A129" s="1" t="n">
        <v>1</v>
      </c>
      <c r="B129" s="1" t="n">
        <v>2</v>
      </c>
      <c r="D129" s="16"/>
      <c r="E129" s="17"/>
      <c r="F129" s="13" t="s">
        <v>119</v>
      </c>
      <c r="G129" s="14" t="n">
        <f aca="false">G124+G128</f>
        <v>10741.16</v>
      </c>
      <c r="H129" s="14" t="n">
        <f aca="false">H124+H128</f>
        <v>11510.3</v>
      </c>
      <c r="I129" s="14" t="n">
        <f aca="false">I124+I128</f>
        <v>11415</v>
      </c>
      <c r="J129" s="14" t="n">
        <f aca="false">J124+J128</f>
        <v>9170.46</v>
      </c>
      <c r="K129" s="14" t="n">
        <f aca="false">K124+K128</f>
        <v>10984</v>
      </c>
      <c r="L129" s="14" t="n">
        <f aca="false">L124+L128</f>
        <v>0</v>
      </c>
      <c r="M129" s="14" t="n">
        <f aca="false">M124+M128</f>
        <v>543</v>
      </c>
      <c r="N129" s="14" t="n">
        <f aca="false">N124+N128</f>
        <v>-1245</v>
      </c>
      <c r="O129" s="14" t="n">
        <f aca="false">O124+O128</f>
        <v>0</v>
      </c>
      <c r="P129" s="14" t="n">
        <f aca="false">P124+P128</f>
        <v>10282</v>
      </c>
      <c r="Q129" s="14" t="n">
        <f aca="false">Q124+Q128</f>
        <v>2605.64</v>
      </c>
      <c r="R129" s="15" t="n">
        <f aca="false">Q129/$P129</f>
        <v>0.253417623030539</v>
      </c>
      <c r="S129" s="14" t="n">
        <f aca="false">S124+S128</f>
        <v>5370.75</v>
      </c>
      <c r="T129" s="15" t="n">
        <f aca="false">S129/$P129</f>
        <v>0.522344874538028</v>
      </c>
      <c r="U129" s="14" t="n">
        <f aca="false">U124+U128</f>
        <v>7879.42</v>
      </c>
      <c r="V129" s="15" t="n">
        <f aca="false">U129/$P129</f>
        <v>0.766331453024703</v>
      </c>
      <c r="W129" s="14" t="n">
        <f aca="false">W124+W128</f>
        <v>10282.37</v>
      </c>
      <c r="X129" s="15" t="n">
        <f aca="false">W129/$P129</f>
        <v>1.00003598521688</v>
      </c>
      <c r="Y129" s="14" t="n">
        <f aca="false">Y124+Y128</f>
        <v>10984</v>
      </c>
      <c r="Z129" s="14" t="n">
        <f aca="false">Z124+Z128</f>
        <v>10984</v>
      </c>
    </row>
    <row r="131" customFormat="false" ht="12.8" hidden="false" customHeight="false" outlineLevel="0" collapsed="false">
      <c r="D131" s="27" t="s">
        <v>155</v>
      </c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</row>
    <row r="132" customFormat="false" ht="12.8" hidden="false" customHeight="false" outlineLevel="0" collapsed="false">
      <c r="D132" s="7" t="s">
        <v>33</v>
      </c>
      <c r="E132" s="7" t="s">
        <v>34</v>
      </c>
      <c r="F132" s="7" t="s">
        <v>35</v>
      </c>
      <c r="G132" s="7" t="s">
        <v>1</v>
      </c>
      <c r="H132" s="7" t="s">
        <v>2</v>
      </c>
      <c r="I132" s="7" t="s">
        <v>3</v>
      </c>
      <c r="J132" s="7" t="s">
        <v>4</v>
      </c>
      <c r="K132" s="7" t="s">
        <v>5</v>
      </c>
      <c r="L132" s="7" t="s">
        <v>6</v>
      </c>
      <c r="M132" s="7" t="s">
        <v>7</v>
      </c>
      <c r="N132" s="7" t="s">
        <v>8</v>
      </c>
      <c r="O132" s="7" t="s">
        <v>9</v>
      </c>
      <c r="P132" s="7" t="s">
        <v>10</v>
      </c>
      <c r="Q132" s="7" t="s">
        <v>11</v>
      </c>
      <c r="R132" s="8" t="s">
        <v>12</v>
      </c>
      <c r="S132" s="7" t="s">
        <v>13</v>
      </c>
      <c r="T132" s="8" t="s">
        <v>14</v>
      </c>
      <c r="U132" s="7" t="s">
        <v>15</v>
      </c>
      <c r="V132" s="8" t="s">
        <v>16</v>
      </c>
      <c r="W132" s="7" t="s">
        <v>17</v>
      </c>
      <c r="X132" s="8" t="s">
        <v>18</v>
      </c>
      <c r="Y132" s="7" t="s">
        <v>19</v>
      </c>
      <c r="Z132" s="7" t="s">
        <v>20</v>
      </c>
    </row>
    <row r="133" customFormat="false" ht="12.8" hidden="false" customHeight="false" outlineLevel="0" collapsed="false">
      <c r="A133" s="1" t="n">
        <v>1</v>
      </c>
      <c r="B133" s="1" t="n">
        <v>3</v>
      </c>
      <c r="D133" s="10" t="s">
        <v>156</v>
      </c>
      <c r="E133" s="10" t="n">
        <v>630</v>
      </c>
      <c r="F133" s="10" t="s">
        <v>157</v>
      </c>
      <c r="G133" s="11" t="n">
        <v>1783.4</v>
      </c>
      <c r="H133" s="11" t="n">
        <v>3176.66</v>
      </c>
      <c r="I133" s="11" t="n">
        <v>2600</v>
      </c>
      <c r="J133" s="11" t="n">
        <v>2441.6</v>
      </c>
      <c r="K133" s="11" t="n">
        <v>4700</v>
      </c>
      <c r="L133" s="11"/>
      <c r="M133" s="11" t="n">
        <v>2242</v>
      </c>
      <c r="N133" s="11"/>
      <c r="O133" s="11" t="n">
        <f aca="false">2000+1593</f>
        <v>3593</v>
      </c>
      <c r="P133" s="11" t="n">
        <f aca="false">K133+SUM(L133:O133)</f>
        <v>10535</v>
      </c>
      <c r="Q133" s="11" t="n">
        <v>0</v>
      </c>
      <c r="R133" s="12" t="n">
        <f aca="false">Q133/$P133</f>
        <v>0</v>
      </c>
      <c r="S133" s="11" t="n">
        <v>3539.99</v>
      </c>
      <c r="T133" s="12" t="n">
        <f aca="false">S133/$P133</f>
        <v>0.336021831988609</v>
      </c>
      <c r="U133" s="11" t="n">
        <v>3539.99</v>
      </c>
      <c r="V133" s="12" t="n">
        <f aca="false">U133/$P133</f>
        <v>0.336021831988609</v>
      </c>
      <c r="W133" s="11" t="n">
        <v>10535.39</v>
      </c>
      <c r="X133" s="12" t="n">
        <f aca="false">W133/$P133</f>
        <v>1.00003701945895</v>
      </c>
      <c r="Y133" s="11" t="n">
        <f aca="false">K133</f>
        <v>4700</v>
      </c>
      <c r="Z133" s="11" t="n">
        <f aca="false">Y133</f>
        <v>4700</v>
      </c>
    </row>
    <row r="134" customFormat="false" ht="12.8" hidden="false" customHeight="false" outlineLevel="0" collapsed="false">
      <c r="A134" s="1" t="n">
        <v>1</v>
      </c>
      <c r="B134" s="1" t="n">
        <v>3</v>
      </c>
      <c r="D134" s="71" t="s">
        <v>158</v>
      </c>
      <c r="E134" s="10" t="n">
        <v>630</v>
      </c>
      <c r="F134" s="10" t="s">
        <v>159</v>
      </c>
      <c r="G134" s="11" t="n">
        <v>198</v>
      </c>
      <c r="H134" s="11" t="n">
        <v>187</v>
      </c>
      <c r="I134" s="11" t="n">
        <v>190</v>
      </c>
      <c r="J134" s="11" t="n">
        <v>187</v>
      </c>
      <c r="K134" s="11" t="n">
        <v>190</v>
      </c>
      <c r="L134" s="11"/>
      <c r="M134" s="11" t="n">
        <v>272</v>
      </c>
      <c r="N134" s="11"/>
      <c r="O134" s="11"/>
      <c r="P134" s="11" t="n">
        <f aca="false">K134+SUM(L134:O134)</f>
        <v>462</v>
      </c>
      <c r="Q134" s="11" t="n">
        <v>84</v>
      </c>
      <c r="R134" s="12" t="n">
        <f aca="false">Q134/$P134</f>
        <v>0.181818181818182</v>
      </c>
      <c r="S134" s="11" t="n">
        <v>210</v>
      </c>
      <c r="T134" s="12" t="n">
        <f aca="false">S134/$P134</f>
        <v>0.454545454545455</v>
      </c>
      <c r="U134" s="11" t="n">
        <v>336</v>
      </c>
      <c r="V134" s="12" t="n">
        <f aca="false">U134/$P134</f>
        <v>0.727272727272727</v>
      </c>
      <c r="W134" s="11" t="n">
        <v>462</v>
      </c>
      <c r="X134" s="12" t="n">
        <f aca="false">W134/$P134</f>
        <v>1</v>
      </c>
      <c r="Y134" s="11" t="n">
        <f aca="false">K134</f>
        <v>190</v>
      </c>
      <c r="Z134" s="11" t="n">
        <f aca="false">Y134</f>
        <v>190</v>
      </c>
    </row>
    <row r="135" customFormat="false" ht="12.8" hidden="false" customHeight="false" outlineLevel="0" collapsed="false">
      <c r="A135" s="1" t="n">
        <v>1</v>
      </c>
      <c r="B135" s="1" t="n">
        <v>3</v>
      </c>
      <c r="D135" s="87" t="s">
        <v>123</v>
      </c>
      <c r="E135" s="10" t="n">
        <v>620</v>
      </c>
      <c r="F135" s="10" t="s">
        <v>125</v>
      </c>
      <c r="G135" s="11" t="n">
        <v>0</v>
      </c>
      <c r="H135" s="11" t="n">
        <v>414.92</v>
      </c>
      <c r="I135" s="11" t="n">
        <v>420</v>
      </c>
      <c r="J135" s="11" t="n">
        <v>37.72</v>
      </c>
      <c r="K135" s="11" t="n">
        <v>0</v>
      </c>
      <c r="L135" s="11"/>
      <c r="M135" s="11" t="n">
        <v>41</v>
      </c>
      <c r="N135" s="11"/>
      <c r="O135" s="11"/>
      <c r="P135" s="11" t="n">
        <f aca="false">K135+SUM(L135:O135)</f>
        <v>41</v>
      </c>
      <c r="Q135" s="11" t="n">
        <v>0</v>
      </c>
      <c r="R135" s="12" t="n">
        <f aca="false">Q135/$P135</f>
        <v>0</v>
      </c>
      <c r="S135" s="11" t="n">
        <v>40.65</v>
      </c>
      <c r="T135" s="12" t="n">
        <f aca="false">S135/$P135</f>
        <v>0.991463414634146</v>
      </c>
      <c r="U135" s="11" t="n">
        <v>40.65</v>
      </c>
      <c r="V135" s="12" t="n">
        <f aca="false">U135/$P135</f>
        <v>0.991463414634146</v>
      </c>
      <c r="W135" s="11" t="n">
        <v>40.65</v>
      </c>
      <c r="X135" s="12" t="n">
        <f aca="false">W135/$P135</f>
        <v>0.991463414634146</v>
      </c>
      <c r="Y135" s="11" t="n">
        <v>0</v>
      </c>
      <c r="Z135" s="11" t="n">
        <v>0</v>
      </c>
    </row>
    <row r="136" customFormat="false" ht="12.8" hidden="false" customHeight="false" outlineLevel="0" collapsed="false">
      <c r="A136" s="1" t="n">
        <v>1</v>
      </c>
      <c r="B136" s="1" t="n">
        <v>3</v>
      </c>
      <c r="D136" s="87" t="s">
        <v>123</v>
      </c>
      <c r="E136" s="10" t="n">
        <v>630</v>
      </c>
      <c r="F136" s="10" t="s">
        <v>126</v>
      </c>
      <c r="G136" s="11" t="n">
        <v>3132.73</v>
      </c>
      <c r="H136" s="11" t="n">
        <v>8176.17</v>
      </c>
      <c r="I136" s="11" t="n">
        <v>8968</v>
      </c>
      <c r="J136" s="11" t="n">
        <v>5674.25</v>
      </c>
      <c r="K136" s="11" t="n">
        <v>7230</v>
      </c>
      <c r="L136" s="11"/>
      <c r="M136" s="11" t="n">
        <v>392</v>
      </c>
      <c r="N136" s="11"/>
      <c r="O136" s="11" t="n">
        <f aca="false">-2000-938</f>
        <v>-2938</v>
      </c>
      <c r="P136" s="11" t="n">
        <f aca="false">K136+SUM(L136:O136)</f>
        <v>4684</v>
      </c>
      <c r="Q136" s="11" t="n">
        <v>597.37</v>
      </c>
      <c r="R136" s="12" t="n">
        <f aca="false">Q136/$P136</f>
        <v>0.127534158838599</v>
      </c>
      <c r="S136" s="11" t="n">
        <v>2108.92</v>
      </c>
      <c r="T136" s="12" t="n">
        <f aca="false">S136/$P136</f>
        <v>0.450239111870196</v>
      </c>
      <c r="U136" s="11" t="n">
        <v>2735.92</v>
      </c>
      <c r="V136" s="12" t="n">
        <f aca="false">U136/$P136</f>
        <v>0.584099060631938</v>
      </c>
      <c r="W136" s="11" t="n">
        <v>4685.15</v>
      </c>
      <c r="X136" s="12" t="n">
        <f aca="false">W136/$P136</f>
        <v>1.00024551665243</v>
      </c>
      <c r="Y136" s="11" t="n">
        <f aca="false">K136</f>
        <v>7230</v>
      </c>
      <c r="Z136" s="11" t="n">
        <f aca="false">Y136</f>
        <v>7230</v>
      </c>
    </row>
    <row r="137" customFormat="false" ht="12.8" hidden="false" customHeight="false" outlineLevel="0" collapsed="false">
      <c r="A137" s="1" t="n">
        <v>1</v>
      </c>
      <c r="B137" s="1" t="n">
        <v>3</v>
      </c>
      <c r="D137" s="70" t="s">
        <v>21</v>
      </c>
      <c r="E137" s="13" t="n">
        <v>41</v>
      </c>
      <c r="F137" s="13" t="s">
        <v>23</v>
      </c>
      <c r="G137" s="14" t="n">
        <f aca="false">SUM(G133:G136)</f>
        <v>5114.13</v>
      </c>
      <c r="H137" s="14" t="n">
        <f aca="false">SUM(H133:H136)</f>
        <v>11954.75</v>
      </c>
      <c r="I137" s="14" t="n">
        <f aca="false">SUM(I133:I136)</f>
        <v>12178</v>
      </c>
      <c r="J137" s="14" t="n">
        <f aca="false">SUM(J133:J136)</f>
        <v>8340.57</v>
      </c>
      <c r="K137" s="14" t="n">
        <f aca="false">SUM(K133:K136)</f>
        <v>12120</v>
      </c>
      <c r="L137" s="14" t="n">
        <f aca="false">SUM(L133:L136)</f>
        <v>0</v>
      </c>
      <c r="M137" s="14" t="n">
        <f aca="false">SUM(M133:M136)</f>
        <v>2947</v>
      </c>
      <c r="N137" s="14" t="n">
        <f aca="false">SUM(N133:N136)</f>
        <v>0</v>
      </c>
      <c r="O137" s="14" t="n">
        <f aca="false">SUM(O133:O136)</f>
        <v>655</v>
      </c>
      <c r="P137" s="14" t="n">
        <f aca="false">SUM(P133:P136)</f>
        <v>15722</v>
      </c>
      <c r="Q137" s="14" t="n">
        <f aca="false">SUM(Q133:Q136)</f>
        <v>681.37</v>
      </c>
      <c r="R137" s="15" t="n">
        <f aca="false">Q137/$P137</f>
        <v>0.0433386337616079</v>
      </c>
      <c r="S137" s="14" t="n">
        <f aca="false">SUM(S133:S136)</f>
        <v>5899.56</v>
      </c>
      <c r="T137" s="15" t="n">
        <f aca="false">S137/$P137</f>
        <v>0.375242335580715</v>
      </c>
      <c r="U137" s="14" t="n">
        <f aca="false">SUM(U133:U136)</f>
        <v>6652.56</v>
      </c>
      <c r="V137" s="15" t="n">
        <f aca="false">U137/$P137</f>
        <v>0.423137005470042</v>
      </c>
      <c r="W137" s="14" t="n">
        <f aca="false">SUM(W133:W136)</f>
        <v>15723.19</v>
      </c>
      <c r="X137" s="15" t="n">
        <f aca="false">W137/$P137</f>
        <v>1.00007569011576</v>
      </c>
      <c r="Y137" s="14" t="n">
        <f aca="false">SUM(Y133:Y136)</f>
        <v>12120</v>
      </c>
      <c r="Z137" s="14" t="n">
        <f aca="false">SUM(Z133:Z136)</f>
        <v>12120</v>
      </c>
    </row>
    <row r="139" customFormat="false" ht="12.8" hidden="false" customHeight="false" outlineLevel="0" collapsed="false">
      <c r="E139" s="39" t="s">
        <v>57</v>
      </c>
      <c r="F139" s="16" t="s">
        <v>144</v>
      </c>
      <c r="G139" s="40" t="n">
        <v>820.3</v>
      </c>
      <c r="H139" s="40" t="n">
        <f aca="false">616.74+187</f>
        <v>803.74</v>
      </c>
      <c r="I139" s="40" t="n">
        <v>770</v>
      </c>
      <c r="J139" s="40" t="n">
        <v>583</v>
      </c>
      <c r="K139" s="40" t="n">
        <v>774</v>
      </c>
      <c r="L139" s="40"/>
      <c r="M139" s="40" t="n">
        <v>348</v>
      </c>
      <c r="N139" s="40"/>
      <c r="O139" s="40"/>
      <c r="P139" s="40" t="n">
        <f aca="false">K139+SUM(L139:O139)</f>
        <v>1122</v>
      </c>
      <c r="Q139" s="40" t="n">
        <v>204</v>
      </c>
      <c r="R139" s="41" t="n">
        <f aca="false">Q139/$P139</f>
        <v>0.181818181818182</v>
      </c>
      <c r="S139" s="40" t="n">
        <v>510</v>
      </c>
      <c r="T139" s="41" t="n">
        <f aca="false">S139/$P139</f>
        <v>0.454545454545455</v>
      </c>
      <c r="U139" s="40" t="n">
        <v>816</v>
      </c>
      <c r="V139" s="41" t="n">
        <f aca="false">U139/$P139</f>
        <v>0.727272727272727</v>
      </c>
      <c r="W139" s="40" t="n">
        <v>1122</v>
      </c>
      <c r="X139" s="42" t="n">
        <f aca="false">W139/$P139</f>
        <v>1</v>
      </c>
      <c r="Y139" s="40" t="n">
        <f aca="false">K139</f>
        <v>774</v>
      </c>
      <c r="Z139" s="44" t="n">
        <f aca="false">Y139</f>
        <v>774</v>
      </c>
    </row>
    <row r="140" customFormat="false" ht="12.8" hidden="false" customHeight="false" outlineLevel="0" collapsed="false">
      <c r="E140" s="45"/>
      <c r="F140" s="1" t="s">
        <v>145</v>
      </c>
      <c r="G140" s="47" t="n">
        <v>2004</v>
      </c>
      <c r="H140" s="47" t="n">
        <v>1692</v>
      </c>
      <c r="I140" s="47" t="n">
        <v>1298</v>
      </c>
      <c r="J140" s="47" t="n">
        <v>1144</v>
      </c>
      <c r="K140" s="47" t="n">
        <v>1144</v>
      </c>
      <c r="L140" s="47"/>
      <c r="M140" s="47" t="n">
        <v>116</v>
      </c>
      <c r="N140" s="47"/>
      <c r="O140" s="47"/>
      <c r="P140" s="47" t="n">
        <f aca="false">K140+SUM(L140:O140)</f>
        <v>1260</v>
      </c>
      <c r="Q140" s="47" t="n">
        <v>315</v>
      </c>
      <c r="R140" s="2" t="n">
        <f aca="false">Q140/$P140</f>
        <v>0.25</v>
      </c>
      <c r="S140" s="47" t="n">
        <v>630</v>
      </c>
      <c r="T140" s="2" t="n">
        <f aca="false">S140/$P140</f>
        <v>0.5</v>
      </c>
      <c r="U140" s="47" t="n">
        <v>945</v>
      </c>
      <c r="V140" s="2" t="n">
        <f aca="false">U140/$P140</f>
        <v>0.75</v>
      </c>
      <c r="W140" s="47" t="n">
        <v>1260</v>
      </c>
      <c r="X140" s="48" t="n">
        <f aca="false">W140/$P140</f>
        <v>1</v>
      </c>
      <c r="Y140" s="47" t="n">
        <f aca="false">K140</f>
        <v>1144</v>
      </c>
      <c r="Z140" s="50" t="n">
        <f aca="false">Y140</f>
        <v>1144</v>
      </c>
    </row>
    <row r="141" customFormat="false" ht="12.8" hidden="false" customHeight="false" outlineLevel="0" collapsed="false">
      <c r="E141" s="45"/>
      <c r="F141" s="46" t="s">
        <v>160</v>
      </c>
      <c r="G141" s="47" t="n">
        <v>1293.4</v>
      </c>
      <c r="H141" s="47" t="n">
        <v>1863</v>
      </c>
      <c r="I141" s="47" t="n">
        <v>1800</v>
      </c>
      <c r="J141" s="47" t="n">
        <v>0</v>
      </c>
      <c r="K141" s="47" t="n">
        <v>4100</v>
      </c>
      <c r="L141" s="47"/>
      <c r="M141" s="47" t="n">
        <v>2242</v>
      </c>
      <c r="N141" s="47"/>
      <c r="O141" s="47" t="n">
        <f aca="false">242+2000+1593</f>
        <v>3835</v>
      </c>
      <c r="P141" s="47" t="n">
        <f aca="false">K141+SUM(L141:O141)</f>
        <v>10177</v>
      </c>
      <c r="Q141" s="47" t="n">
        <v>0</v>
      </c>
      <c r="R141" s="2" t="n">
        <f aca="false">Q141/$P141</f>
        <v>0</v>
      </c>
      <c r="S141" s="47" t="n">
        <v>3539.99</v>
      </c>
      <c r="T141" s="2" t="n">
        <f aca="false">S141/$P141</f>
        <v>0.347842193180702</v>
      </c>
      <c r="U141" s="47" t="n">
        <v>3539.99</v>
      </c>
      <c r="V141" s="2" t="n">
        <f aca="false">U141/$P141</f>
        <v>0.347842193180702</v>
      </c>
      <c r="W141" s="47" t="n">
        <v>9977.39</v>
      </c>
      <c r="X141" s="48" t="n">
        <f aca="false">W141/$P141</f>
        <v>0.980386164881596</v>
      </c>
      <c r="Y141" s="47" t="n">
        <f aca="false">K141</f>
        <v>4100</v>
      </c>
      <c r="Z141" s="50" t="n">
        <f aca="false">Y141</f>
        <v>4100</v>
      </c>
    </row>
    <row r="142" customFormat="false" ht="12.8" hidden="false" customHeight="false" outlineLevel="0" collapsed="false">
      <c r="E142" s="54"/>
      <c r="F142" s="72" t="s">
        <v>161</v>
      </c>
      <c r="G142" s="56"/>
      <c r="H142" s="56" t="n">
        <v>445</v>
      </c>
      <c r="I142" s="56" t="n">
        <v>2000</v>
      </c>
      <c r="J142" s="56" t="n">
        <v>375.36</v>
      </c>
      <c r="K142" s="56" t="n">
        <v>2000</v>
      </c>
      <c r="L142" s="56"/>
      <c r="M142" s="56" t="n">
        <v>-88</v>
      </c>
      <c r="N142" s="56"/>
      <c r="O142" s="56" t="n">
        <v>-1318</v>
      </c>
      <c r="P142" s="56" t="n">
        <f aca="false">K142+SUM(L142:O142)</f>
        <v>594</v>
      </c>
      <c r="Q142" s="56" t="n">
        <v>147</v>
      </c>
      <c r="R142" s="57" t="n">
        <f aca="false">Q142/$P142</f>
        <v>0.247474747474747</v>
      </c>
      <c r="S142" s="56" t="n">
        <v>147</v>
      </c>
      <c r="T142" s="57" t="n">
        <f aca="false">S142/$P142</f>
        <v>0.247474747474747</v>
      </c>
      <c r="U142" s="56" t="n">
        <v>147</v>
      </c>
      <c r="V142" s="57" t="n">
        <f aca="false">U142/$P142</f>
        <v>0.247474747474747</v>
      </c>
      <c r="W142" s="56" t="n">
        <v>596.76</v>
      </c>
      <c r="X142" s="58" t="n">
        <f aca="false">W142/$P142</f>
        <v>1.00464646464646</v>
      </c>
      <c r="Y142" s="56"/>
      <c r="Z142" s="60"/>
    </row>
    <row r="143" customFormat="false" ht="12.8" hidden="false" customHeight="false" outlineLevel="0" collapsed="false"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S143" s="47"/>
      <c r="U143" s="47"/>
      <c r="W143" s="47"/>
      <c r="Y143" s="47"/>
      <c r="Z143" s="47"/>
    </row>
    <row r="144" customFormat="false" ht="12.8" hidden="false" customHeight="false" outlineLevel="0" collapsed="false">
      <c r="D144" s="27" t="s">
        <v>162</v>
      </c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</row>
    <row r="145" customFormat="false" ht="12.8" hidden="false" customHeight="false" outlineLevel="0" collapsed="false">
      <c r="D145" s="7" t="s">
        <v>33</v>
      </c>
      <c r="E145" s="7" t="s">
        <v>34</v>
      </c>
      <c r="F145" s="7" t="s">
        <v>35</v>
      </c>
      <c r="G145" s="7" t="s">
        <v>1</v>
      </c>
      <c r="H145" s="7" t="s">
        <v>2</v>
      </c>
      <c r="I145" s="7" t="s">
        <v>3</v>
      </c>
      <c r="J145" s="7" t="s">
        <v>4</v>
      </c>
      <c r="K145" s="7" t="s">
        <v>5</v>
      </c>
      <c r="L145" s="7" t="s">
        <v>6</v>
      </c>
      <c r="M145" s="7" t="s">
        <v>7</v>
      </c>
      <c r="N145" s="7" t="s">
        <v>8</v>
      </c>
      <c r="O145" s="7" t="s">
        <v>9</v>
      </c>
      <c r="P145" s="7" t="s">
        <v>10</v>
      </c>
      <c r="Q145" s="7" t="s">
        <v>11</v>
      </c>
      <c r="R145" s="8" t="s">
        <v>12</v>
      </c>
      <c r="S145" s="7" t="s">
        <v>13</v>
      </c>
      <c r="T145" s="8" t="s">
        <v>14</v>
      </c>
      <c r="U145" s="7" t="s">
        <v>15</v>
      </c>
      <c r="V145" s="8" t="s">
        <v>16</v>
      </c>
      <c r="W145" s="7" t="s">
        <v>17</v>
      </c>
      <c r="X145" s="8" t="s">
        <v>18</v>
      </c>
      <c r="Y145" s="7" t="s">
        <v>19</v>
      </c>
      <c r="Z145" s="7" t="s">
        <v>20</v>
      </c>
    </row>
    <row r="146" customFormat="false" ht="12.8" hidden="false" customHeight="false" outlineLevel="0" collapsed="false">
      <c r="A146" s="1" t="n">
        <v>1</v>
      </c>
      <c r="B146" s="1" t="n">
        <v>4</v>
      </c>
      <c r="D146" s="94" t="s">
        <v>163</v>
      </c>
      <c r="E146" s="95" t="n">
        <v>620</v>
      </c>
      <c r="F146" s="95" t="s">
        <v>125</v>
      </c>
      <c r="G146" s="37" t="n">
        <v>74.3</v>
      </c>
      <c r="H146" s="37" t="n">
        <v>46.76</v>
      </c>
      <c r="I146" s="37" t="n">
        <v>0</v>
      </c>
      <c r="J146" s="37" t="n">
        <v>27.45</v>
      </c>
      <c r="K146" s="37" t="n">
        <v>0</v>
      </c>
      <c r="L146" s="37"/>
      <c r="M146" s="37"/>
      <c r="N146" s="37"/>
      <c r="O146" s="37" t="n">
        <v>51</v>
      </c>
      <c r="P146" s="11" t="n">
        <f aca="false">K146+SUM(L146:O146)</f>
        <v>51</v>
      </c>
      <c r="Q146" s="37" t="n">
        <v>0</v>
      </c>
      <c r="R146" s="38" t="n">
        <f aca="false">Q146/$P146</f>
        <v>0</v>
      </c>
      <c r="S146" s="37" t="n">
        <v>0</v>
      </c>
      <c r="T146" s="38" t="n">
        <f aca="false">S146/$P146</f>
        <v>0</v>
      </c>
      <c r="U146" s="37" t="n">
        <v>0</v>
      </c>
      <c r="V146" s="38" t="n">
        <f aca="false">U146/$P146</f>
        <v>0</v>
      </c>
      <c r="W146" s="37" t="n">
        <v>50.81</v>
      </c>
      <c r="X146" s="38" t="n">
        <f aca="false">W146/$P146</f>
        <v>0.996274509803922</v>
      </c>
      <c r="Y146" s="11" t="n">
        <f aca="false">K146</f>
        <v>0</v>
      </c>
      <c r="Z146" s="11" t="n">
        <f aca="false">Y146</f>
        <v>0</v>
      </c>
    </row>
    <row r="147" customFormat="false" ht="12.8" hidden="false" customHeight="false" outlineLevel="0" collapsed="false">
      <c r="A147" s="1" t="n">
        <v>1</v>
      </c>
      <c r="B147" s="1" t="n">
        <v>4</v>
      </c>
      <c r="D147" s="94"/>
      <c r="E147" s="95" t="n">
        <v>630</v>
      </c>
      <c r="F147" s="95" t="s">
        <v>126</v>
      </c>
      <c r="G147" s="37" t="n">
        <v>1205.7</v>
      </c>
      <c r="H147" s="37" t="n">
        <v>1757.26</v>
      </c>
      <c r="I147" s="37" t="n">
        <v>2000</v>
      </c>
      <c r="J147" s="37" t="n">
        <v>1301.35</v>
      </c>
      <c r="K147" s="37" t="n">
        <f aca="false">príjmy!H101</f>
        <v>1500</v>
      </c>
      <c r="L147" s="37"/>
      <c r="M147" s="37"/>
      <c r="N147" s="37"/>
      <c r="O147" s="37" t="n">
        <v>-5</v>
      </c>
      <c r="P147" s="11" t="n">
        <f aca="false">K147+SUM(L147:O147)</f>
        <v>1495</v>
      </c>
      <c r="Q147" s="37" t="n">
        <v>0</v>
      </c>
      <c r="R147" s="38" t="n">
        <f aca="false">Q147/$P147</f>
        <v>0</v>
      </c>
      <c r="S147" s="37" t="n">
        <v>0</v>
      </c>
      <c r="T147" s="38" t="n">
        <f aca="false">S147/$P147</f>
        <v>0</v>
      </c>
      <c r="U147" s="37" t="n">
        <v>48.72</v>
      </c>
      <c r="V147" s="38" t="n">
        <f aca="false">U147/$P147</f>
        <v>0.0325886287625418</v>
      </c>
      <c r="W147" s="37" t="n">
        <v>1494.77</v>
      </c>
      <c r="X147" s="38" t="n">
        <f aca="false">W147/$P147</f>
        <v>0.999846153846154</v>
      </c>
      <c r="Y147" s="37" t="n">
        <f aca="false">príjmy!V101</f>
        <v>3000</v>
      </c>
      <c r="Z147" s="37" t="n">
        <f aca="false">príjmy!W101</f>
        <v>1500</v>
      </c>
    </row>
    <row r="148" customFormat="false" ht="12.8" hidden="false" customHeight="false" outlineLevel="0" collapsed="false">
      <c r="A148" s="1" t="n">
        <v>1</v>
      </c>
      <c r="B148" s="1" t="n">
        <v>4</v>
      </c>
      <c r="D148" s="96" t="s">
        <v>21</v>
      </c>
      <c r="E148" s="97" t="n">
        <v>111</v>
      </c>
      <c r="F148" s="97" t="s">
        <v>130</v>
      </c>
      <c r="G148" s="98" t="n">
        <f aca="false">SUM(G146:G147)</f>
        <v>1280</v>
      </c>
      <c r="H148" s="98" t="n">
        <f aca="false">SUM(H146:H147)</f>
        <v>1804.02</v>
      </c>
      <c r="I148" s="98" t="n">
        <f aca="false">SUM(I146:I147)</f>
        <v>2000</v>
      </c>
      <c r="J148" s="98" t="n">
        <f aca="false">SUM(J146:J147)</f>
        <v>1328.8</v>
      </c>
      <c r="K148" s="98" t="n">
        <f aca="false">SUM(K146:K147)</f>
        <v>1500</v>
      </c>
      <c r="L148" s="98" t="n">
        <f aca="false">SUM(L146:L147)</f>
        <v>0</v>
      </c>
      <c r="M148" s="98" t="n">
        <f aca="false">SUM(M146:M147)</f>
        <v>0</v>
      </c>
      <c r="N148" s="98" t="n">
        <f aca="false">SUM(N146:N147)</f>
        <v>0</v>
      </c>
      <c r="O148" s="98" t="n">
        <f aca="false">SUM(O146:O147)</f>
        <v>46</v>
      </c>
      <c r="P148" s="98" t="n">
        <f aca="false">SUM(P146:P147)</f>
        <v>1546</v>
      </c>
      <c r="Q148" s="98" t="n">
        <f aca="false">SUM(Q146:Q147)</f>
        <v>0</v>
      </c>
      <c r="R148" s="99" t="n">
        <f aca="false">Q148/$P148</f>
        <v>0</v>
      </c>
      <c r="S148" s="98" t="n">
        <f aca="false">SUM(S146:S147)</f>
        <v>0</v>
      </c>
      <c r="T148" s="99" t="n">
        <f aca="false">S148/$P148</f>
        <v>0</v>
      </c>
      <c r="U148" s="98" t="n">
        <f aca="false">SUM(U146:U147)</f>
        <v>48.72</v>
      </c>
      <c r="V148" s="99" t="n">
        <f aca="false">U148/$P148</f>
        <v>0.0315135834411384</v>
      </c>
      <c r="W148" s="98" t="n">
        <f aca="false">SUM(W146:W147)</f>
        <v>1545.58</v>
      </c>
      <c r="X148" s="99" t="n">
        <f aca="false">W148/$P148</f>
        <v>0.999728331177231</v>
      </c>
      <c r="Y148" s="98" t="n">
        <f aca="false">SUM(Y146:Y147)</f>
        <v>3000</v>
      </c>
      <c r="Z148" s="98" t="n">
        <f aca="false">SUM(Z146:Z147)</f>
        <v>1500</v>
      </c>
    </row>
    <row r="150" customFormat="false" ht="12.8" hidden="false" customHeight="false" outlineLevel="0" collapsed="false">
      <c r="D150" s="18" t="s">
        <v>164</v>
      </c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customFormat="false" ht="12.8" hidden="false" customHeight="false" outlineLevel="0" collapsed="false">
      <c r="D151" s="6"/>
      <c r="E151" s="6"/>
      <c r="F151" s="6"/>
      <c r="G151" s="7" t="s">
        <v>1</v>
      </c>
      <c r="H151" s="7" t="s">
        <v>2</v>
      </c>
      <c r="I151" s="7" t="s">
        <v>3</v>
      </c>
      <c r="J151" s="7" t="s">
        <v>4</v>
      </c>
      <c r="K151" s="7" t="s">
        <v>5</v>
      </c>
      <c r="L151" s="7" t="s">
        <v>6</v>
      </c>
      <c r="M151" s="7" t="s">
        <v>7</v>
      </c>
      <c r="N151" s="7" t="s">
        <v>8</v>
      </c>
      <c r="O151" s="7" t="s">
        <v>9</v>
      </c>
      <c r="P151" s="7" t="s">
        <v>10</v>
      </c>
      <c r="Q151" s="7" t="s">
        <v>11</v>
      </c>
      <c r="R151" s="8" t="s">
        <v>12</v>
      </c>
      <c r="S151" s="7" t="s">
        <v>13</v>
      </c>
      <c r="T151" s="8" t="s">
        <v>14</v>
      </c>
      <c r="U151" s="7" t="s">
        <v>15</v>
      </c>
      <c r="V151" s="8" t="s">
        <v>16</v>
      </c>
      <c r="W151" s="7" t="s">
        <v>17</v>
      </c>
      <c r="X151" s="8" t="s">
        <v>18</v>
      </c>
      <c r="Y151" s="7" t="s">
        <v>19</v>
      </c>
      <c r="Z151" s="7" t="s">
        <v>20</v>
      </c>
    </row>
    <row r="152" customFormat="false" ht="12.8" hidden="false" customHeight="false" outlineLevel="0" collapsed="false">
      <c r="A152" s="1" t="n">
        <v>2</v>
      </c>
      <c r="D152" s="20" t="s">
        <v>21</v>
      </c>
      <c r="E152" s="21" t="n">
        <v>111</v>
      </c>
      <c r="F152" s="21" t="s">
        <v>47</v>
      </c>
      <c r="G152" s="22" t="n">
        <f aca="false">G162+G178+G192</f>
        <v>401257.09</v>
      </c>
      <c r="H152" s="22" t="n">
        <f aca="false">H162+H178+H192</f>
        <v>426240.12</v>
      </c>
      <c r="I152" s="22" t="n">
        <f aca="false">I162+I178+I192</f>
        <v>429473</v>
      </c>
      <c r="J152" s="22" t="n">
        <f aca="false">J162+J178+J192</f>
        <v>433833.59</v>
      </c>
      <c r="K152" s="22" t="n">
        <f aca="false">K162+K178+K192</f>
        <v>453060</v>
      </c>
      <c r="L152" s="22" t="n">
        <f aca="false">L162+L178+L192</f>
        <v>0</v>
      </c>
      <c r="M152" s="22" t="n">
        <f aca="false">M162+M178+M192</f>
        <v>6047</v>
      </c>
      <c r="N152" s="22" t="n">
        <f aca="false">N162+N178+N192</f>
        <v>0</v>
      </c>
      <c r="O152" s="22" t="n">
        <f aca="false">O162+O178+O192</f>
        <v>973</v>
      </c>
      <c r="P152" s="22" t="n">
        <f aca="false">P162+P178+P192</f>
        <v>460080</v>
      </c>
      <c r="Q152" s="22" t="n">
        <f aca="false">Q162+Q178+Q192</f>
        <v>89055.39</v>
      </c>
      <c r="R152" s="23" t="n">
        <f aca="false">Q152/$P152</f>
        <v>0.193565010432968</v>
      </c>
      <c r="S152" s="22" t="n">
        <f aca="false">S162+S178+S192</f>
        <v>198119.42</v>
      </c>
      <c r="T152" s="23" t="n">
        <f aca="false">S152/$P152</f>
        <v>0.430619500956355</v>
      </c>
      <c r="U152" s="22" t="n">
        <f aca="false">U162+U178+U192</f>
        <v>294846.7</v>
      </c>
      <c r="V152" s="23" t="n">
        <f aca="false">U152/$P152</f>
        <v>0.640859633107286</v>
      </c>
      <c r="W152" s="22" t="n">
        <f aca="false">W162+W178+W192</f>
        <v>456466.12</v>
      </c>
      <c r="X152" s="23" t="n">
        <f aca="false">W152/$P152</f>
        <v>0.992145105199096</v>
      </c>
      <c r="Y152" s="22" t="n">
        <f aca="false">Y162+Y178+Y192</f>
        <v>453060</v>
      </c>
      <c r="Z152" s="22" t="n">
        <f aca="false">Z162+Z178+Z192</f>
        <v>453060</v>
      </c>
    </row>
    <row r="153" customFormat="false" ht="12.8" hidden="false" customHeight="false" outlineLevel="0" collapsed="false">
      <c r="A153" s="1" t="n">
        <v>2</v>
      </c>
      <c r="D153" s="20"/>
      <c r="E153" s="21" t="n">
        <v>41</v>
      </c>
      <c r="F153" s="21" t="s">
        <v>23</v>
      </c>
      <c r="G153" s="22" t="n">
        <f aca="false">G167+G183+G197</f>
        <v>224031.45</v>
      </c>
      <c r="H153" s="22" t="n">
        <f aca="false">H167+H183+H197</f>
        <v>233190.06</v>
      </c>
      <c r="I153" s="22" t="n">
        <f aca="false">I167+I183+I197</f>
        <v>266283</v>
      </c>
      <c r="J153" s="22" t="n">
        <f aca="false">J167+J183+J197</f>
        <v>264846.47</v>
      </c>
      <c r="K153" s="22" t="n">
        <f aca="false">K167+K183+K197</f>
        <v>274378</v>
      </c>
      <c r="L153" s="22" t="n">
        <f aca="false">L167+L183+L197</f>
        <v>900</v>
      </c>
      <c r="M153" s="22" t="n">
        <f aca="false">M167+M183+M197</f>
        <v>807</v>
      </c>
      <c r="N153" s="22" t="n">
        <f aca="false">N167+N183+N197</f>
        <v>1045</v>
      </c>
      <c r="O153" s="22" t="n">
        <f aca="false">O167+O183+O197</f>
        <v>2112</v>
      </c>
      <c r="P153" s="22" t="n">
        <f aca="false">P167+P183+P197</f>
        <v>279242</v>
      </c>
      <c r="Q153" s="22" t="n">
        <f aca="false">Q167+Q183+Q197</f>
        <v>55731.66</v>
      </c>
      <c r="R153" s="23" t="n">
        <f aca="false">Q153/$P153</f>
        <v>0.199581939679561</v>
      </c>
      <c r="S153" s="22" t="n">
        <f aca="false">S167+S183+S197</f>
        <v>126029.44</v>
      </c>
      <c r="T153" s="23" t="n">
        <f aca="false">S153/$P153</f>
        <v>0.451326949384405</v>
      </c>
      <c r="U153" s="22" t="n">
        <f aca="false">U167+U183+U197</f>
        <v>184292.53</v>
      </c>
      <c r="V153" s="23" t="n">
        <f aca="false">U153/$P153</f>
        <v>0.659974251724311</v>
      </c>
      <c r="W153" s="22" t="n">
        <f aca="false">W167+W183+W197</f>
        <v>273337.44</v>
      </c>
      <c r="X153" s="23" t="n">
        <f aca="false">W153/$P153</f>
        <v>0.978855043295779</v>
      </c>
      <c r="Y153" s="22" t="n">
        <f aca="false">Y167+Y183+Y197</f>
        <v>282952</v>
      </c>
      <c r="Z153" s="22" t="n">
        <f aca="false">Z167+Z183+Z197</f>
        <v>292064</v>
      </c>
    </row>
    <row r="154" customFormat="false" ht="12.8" hidden="false" customHeight="false" outlineLevel="0" collapsed="false">
      <c r="D154" s="20"/>
      <c r="E154" s="21" t="n">
        <v>72</v>
      </c>
      <c r="F154" s="21" t="s">
        <v>25</v>
      </c>
      <c r="G154" s="22" t="n">
        <f aca="false">G170+G185+G199</f>
        <v>0</v>
      </c>
      <c r="H154" s="22" t="n">
        <f aca="false">H170+H185+H199</f>
        <v>0</v>
      </c>
      <c r="I154" s="22" t="n">
        <f aca="false">I170+I185+I199</f>
        <v>0</v>
      </c>
      <c r="J154" s="22" t="n">
        <f aca="false">J170+J185+J199</f>
        <v>0</v>
      </c>
      <c r="K154" s="22" t="n">
        <f aca="false">K170+K185+K199</f>
        <v>47445</v>
      </c>
      <c r="L154" s="22" t="n">
        <f aca="false">L170+L185+L199</f>
        <v>0</v>
      </c>
      <c r="M154" s="22" t="n">
        <f aca="false">M170+M185+M199</f>
        <v>4652</v>
      </c>
      <c r="N154" s="22" t="n">
        <f aca="false">N170+N185+N199</f>
        <v>0</v>
      </c>
      <c r="O154" s="22" t="n">
        <f aca="false">O170+O185+O199</f>
        <v>101</v>
      </c>
      <c r="P154" s="22" t="n">
        <f aca="false">P170+P185+P199</f>
        <v>52198</v>
      </c>
      <c r="Q154" s="22" t="n">
        <f aca="false">Q170+Q185+Q199</f>
        <v>14297.5</v>
      </c>
      <c r="R154" s="23" t="n">
        <f aca="false">Q154/$P154</f>
        <v>0.273908962029196</v>
      </c>
      <c r="S154" s="22" t="n">
        <f aca="false">S170+S185+S199</f>
        <v>27840.84</v>
      </c>
      <c r="T154" s="23" t="n">
        <f aca="false">S154/$P154</f>
        <v>0.533369860914211</v>
      </c>
      <c r="U154" s="22" t="n">
        <f aca="false">U170+U185+U199</f>
        <v>35089.62</v>
      </c>
      <c r="V154" s="23" t="n">
        <f aca="false">U154/$P154</f>
        <v>0.672240698877352</v>
      </c>
      <c r="W154" s="22" t="n">
        <f aca="false">W170+W185+W199</f>
        <v>55075.9</v>
      </c>
      <c r="X154" s="23" t="n">
        <f aca="false">W154/$P154</f>
        <v>1.05513429633319</v>
      </c>
      <c r="Y154" s="22" t="n">
        <f aca="false">Y170+Y185+Y199</f>
        <v>47445</v>
      </c>
      <c r="Z154" s="22" t="n">
        <f aca="false">Z170+Z185+Z199</f>
        <v>47445</v>
      </c>
    </row>
    <row r="155" customFormat="false" ht="12.8" hidden="false" customHeight="false" outlineLevel="0" collapsed="false">
      <c r="A155" s="1" t="n">
        <v>2</v>
      </c>
      <c r="D155" s="16"/>
      <c r="E155" s="17"/>
      <c r="F155" s="24" t="s">
        <v>119</v>
      </c>
      <c r="G155" s="25" t="n">
        <f aca="false">SUM(G152:G154)</f>
        <v>625288.54</v>
      </c>
      <c r="H155" s="25" t="n">
        <f aca="false">SUM(H152:H154)</f>
        <v>659430.18</v>
      </c>
      <c r="I155" s="25" t="n">
        <f aca="false">SUM(I152:I154)</f>
        <v>695756</v>
      </c>
      <c r="J155" s="25" t="n">
        <f aca="false">SUM(J152:J154)</f>
        <v>698680.06</v>
      </c>
      <c r="K155" s="25" t="n">
        <f aca="false">SUM(K152:K154)</f>
        <v>774883</v>
      </c>
      <c r="L155" s="25" t="n">
        <f aca="false">SUM(L152:L154)</f>
        <v>900</v>
      </c>
      <c r="M155" s="25" t="n">
        <f aca="false">SUM(M152:M154)</f>
        <v>11506</v>
      </c>
      <c r="N155" s="25" t="n">
        <f aca="false">SUM(N152:N154)</f>
        <v>1045</v>
      </c>
      <c r="O155" s="25" t="n">
        <f aca="false">SUM(O152:O154)</f>
        <v>3186</v>
      </c>
      <c r="P155" s="25" t="n">
        <f aca="false">SUM(P152:P154)</f>
        <v>791520</v>
      </c>
      <c r="Q155" s="25" t="n">
        <f aca="false">SUM(Q152:Q154)</f>
        <v>159084.55</v>
      </c>
      <c r="R155" s="26" t="n">
        <f aca="false">Q155/$P155</f>
        <v>0.200986140590257</v>
      </c>
      <c r="S155" s="25" t="n">
        <f aca="false">SUM(S152:S154)</f>
        <v>351989.7</v>
      </c>
      <c r="T155" s="26" t="n">
        <f aca="false">S155/$P155</f>
        <v>0.444700955124318</v>
      </c>
      <c r="U155" s="25" t="n">
        <f aca="false">SUM(U152:U154)</f>
        <v>514228.85</v>
      </c>
      <c r="V155" s="26" t="n">
        <f aca="false">U155/$P155</f>
        <v>0.649672591974934</v>
      </c>
      <c r="W155" s="25" t="n">
        <f aca="false">SUM(W152:W154)</f>
        <v>784879.46</v>
      </c>
      <c r="X155" s="26" t="n">
        <f aca="false">W155/$P155</f>
        <v>0.991610395189003</v>
      </c>
      <c r="Y155" s="25" t="n">
        <f aca="false">SUM(Y152:Y154)</f>
        <v>783457</v>
      </c>
      <c r="Z155" s="25" t="n">
        <f aca="false">SUM(Z152:Z154)</f>
        <v>792569</v>
      </c>
    </row>
    <row r="157" customFormat="false" ht="12.8" hidden="false" customHeight="false" outlineLevel="0" collapsed="false">
      <c r="D157" s="27" t="s">
        <v>165</v>
      </c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8"/>
      <c r="S157" s="27"/>
      <c r="T157" s="28"/>
      <c r="U157" s="27"/>
      <c r="V157" s="28"/>
      <c r="W157" s="27"/>
      <c r="X157" s="28"/>
      <c r="Y157" s="27"/>
      <c r="Z157" s="27"/>
    </row>
    <row r="158" customFormat="false" ht="12.8" hidden="false" customHeight="false" outlineLevel="0" collapsed="false">
      <c r="D158" s="7" t="s">
        <v>33</v>
      </c>
      <c r="E158" s="7" t="s">
        <v>34</v>
      </c>
      <c r="F158" s="7" t="s">
        <v>35</v>
      </c>
      <c r="G158" s="7" t="s">
        <v>1</v>
      </c>
      <c r="H158" s="7" t="s">
        <v>2</v>
      </c>
      <c r="I158" s="7" t="s">
        <v>3</v>
      </c>
      <c r="J158" s="7" t="s">
        <v>4</v>
      </c>
      <c r="K158" s="7" t="s">
        <v>5</v>
      </c>
      <c r="L158" s="7" t="s">
        <v>6</v>
      </c>
      <c r="M158" s="7" t="s">
        <v>7</v>
      </c>
      <c r="N158" s="7" t="s">
        <v>8</v>
      </c>
      <c r="O158" s="7" t="s">
        <v>9</v>
      </c>
      <c r="P158" s="7" t="s">
        <v>10</v>
      </c>
      <c r="Q158" s="7" t="s">
        <v>11</v>
      </c>
      <c r="R158" s="8" t="s">
        <v>12</v>
      </c>
      <c r="S158" s="7" t="s">
        <v>13</v>
      </c>
      <c r="T158" s="8" t="s">
        <v>14</v>
      </c>
      <c r="U158" s="7" t="s">
        <v>15</v>
      </c>
      <c r="V158" s="8" t="s">
        <v>16</v>
      </c>
      <c r="W158" s="7" t="s">
        <v>17</v>
      </c>
      <c r="X158" s="8" t="s">
        <v>18</v>
      </c>
      <c r="Y158" s="7" t="s">
        <v>19</v>
      </c>
      <c r="Z158" s="7" t="s">
        <v>20</v>
      </c>
    </row>
    <row r="159" customFormat="false" ht="12.8" hidden="false" customHeight="false" outlineLevel="0" collapsed="false">
      <c r="A159" s="1" t="n">
        <v>2</v>
      </c>
      <c r="B159" s="1" t="n">
        <v>1</v>
      </c>
      <c r="D159" s="36" t="s">
        <v>152</v>
      </c>
      <c r="E159" s="10" t="n">
        <v>610</v>
      </c>
      <c r="F159" s="10" t="s">
        <v>124</v>
      </c>
      <c r="G159" s="11" t="n">
        <v>2510</v>
      </c>
      <c r="H159" s="11" t="n">
        <v>1950</v>
      </c>
      <c r="I159" s="11" t="n">
        <v>0</v>
      </c>
      <c r="J159" s="11" t="n">
        <v>1807</v>
      </c>
      <c r="K159" s="11" t="n">
        <v>0</v>
      </c>
      <c r="L159" s="11" t="n">
        <v>180</v>
      </c>
      <c r="M159" s="11" t="n">
        <v>160</v>
      </c>
      <c r="N159" s="11"/>
      <c r="O159" s="11" t="n">
        <v>1975</v>
      </c>
      <c r="P159" s="11" t="n">
        <f aca="false">K159+SUM(L159:O159)</f>
        <v>2315</v>
      </c>
      <c r="Q159" s="11" t="n">
        <v>120</v>
      </c>
      <c r="R159" s="12" t="n">
        <f aca="false">Q159/$P159</f>
        <v>0.0518358531317495</v>
      </c>
      <c r="S159" s="11" t="n">
        <v>280</v>
      </c>
      <c r="T159" s="12" t="n">
        <f aca="false">S159/$P159</f>
        <v>0.120950323974082</v>
      </c>
      <c r="U159" s="11" t="n">
        <v>340</v>
      </c>
      <c r="V159" s="12" t="n">
        <f aca="false">U159/$P159</f>
        <v>0.146868250539957</v>
      </c>
      <c r="W159" s="11" t="n">
        <v>2315</v>
      </c>
      <c r="X159" s="12" t="n">
        <f aca="false">W159/$P159</f>
        <v>1</v>
      </c>
      <c r="Y159" s="11" t="n">
        <f aca="false">K159</f>
        <v>0</v>
      </c>
      <c r="Z159" s="11" t="n">
        <f aca="false">Y159</f>
        <v>0</v>
      </c>
    </row>
    <row r="160" customFormat="false" ht="12.8" hidden="false" customHeight="false" outlineLevel="0" collapsed="false">
      <c r="A160" s="1" t="n">
        <v>2</v>
      </c>
      <c r="B160" s="1" t="n">
        <v>1</v>
      </c>
      <c r="D160" s="36"/>
      <c r="E160" s="10" t="n">
        <v>620</v>
      </c>
      <c r="F160" s="10" t="s">
        <v>125</v>
      </c>
      <c r="G160" s="11" t="n">
        <v>0</v>
      </c>
      <c r="H160" s="11" t="n">
        <v>681.54</v>
      </c>
      <c r="I160" s="11" t="n">
        <v>0</v>
      </c>
      <c r="J160" s="11" t="n">
        <v>659.52</v>
      </c>
      <c r="K160" s="11" t="n">
        <v>0</v>
      </c>
      <c r="L160" s="11" t="n">
        <v>44</v>
      </c>
      <c r="M160" s="11" t="n">
        <v>140</v>
      </c>
      <c r="N160" s="11"/>
      <c r="O160" s="11" t="n">
        <v>625</v>
      </c>
      <c r="P160" s="11" t="n">
        <f aca="false">K160+SUM(L160:O160)</f>
        <v>809</v>
      </c>
      <c r="Q160" s="11" t="n">
        <v>41.94</v>
      </c>
      <c r="R160" s="12" t="n">
        <f aca="false">Q160/$P160</f>
        <v>0.0518417799752781</v>
      </c>
      <c r="S160" s="11" t="n">
        <v>97.86</v>
      </c>
      <c r="T160" s="12" t="n">
        <f aca="false">S160/$P160</f>
        <v>0.120964153275649</v>
      </c>
      <c r="U160" s="11" t="n">
        <v>118.83</v>
      </c>
      <c r="V160" s="12" t="n">
        <f aca="false">U160/$P160</f>
        <v>0.146885043263288</v>
      </c>
      <c r="W160" s="11" t="n">
        <v>809.09</v>
      </c>
      <c r="X160" s="12" t="n">
        <f aca="false">W160/$P160</f>
        <v>1.00011124845488</v>
      </c>
      <c r="Y160" s="11" t="n">
        <f aca="false">K160</f>
        <v>0</v>
      </c>
      <c r="Z160" s="11" t="n">
        <f aca="false">Y160</f>
        <v>0</v>
      </c>
    </row>
    <row r="161" customFormat="false" ht="12.8" hidden="false" customHeight="false" outlineLevel="0" collapsed="false">
      <c r="A161" s="1" t="n">
        <v>2</v>
      </c>
      <c r="B161" s="1" t="n">
        <v>1</v>
      </c>
      <c r="D161" s="36"/>
      <c r="E161" s="10" t="n">
        <v>630</v>
      </c>
      <c r="F161" s="10" t="s">
        <v>126</v>
      </c>
      <c r="G161" s="11" t="n">
        <v>2535</v>
      </c>
      <c r="H161" s="11" t="n">
        <v>1826.87</v>
      </c>
      <c r="I161" s="11" t="n">
        <v>4548</v>
      </c>
      <c r="J161" s="11" t="n">
        <v>2145.07</v>
      </c>
      <c r="K161" s="11" t="n">
        <f aca="false">príjmy!H93</f>
        <v>4300</v>
      </c>
      <c r="L161" s="11" t="n">
        <v>-224</v>
      </c>
      <c r="M161" s="11" t="n">
        <f aca="false">-540-160</f>
        <v>-700</v>
      </c>
      <c r="N161" s="11"/>
      <c r="O161" s="11" t="n">
        <v>-1703</v>
      </c>
      <c r="P161" s="11" t="n">
        <f aca="false">K161+SUM(L161:O161)</f>
        <v>1673</v>
      </c>
      <c r="Q161" s="11" t="n">
        <v>0</v>
      </c>
      <c r="R161" s="12" t="n">
        <f aca="false">Q161/$P161</f>
        <v>0</v>
      </c>
      <c r="S161" s="11" t="n">
        <v>177.02</v>
      </c>
      <c r="T161" s="12" t="n">
        <f aca="false">S161/$P161</f>
        <v>0.105809922295278</v>
      </c>
      <c r="U161" s="11" t="n">
        <v>177.02</v>
      </c>
      <c r="V161" s="12" t="n">
        <f aca="false">U161/$P161</f>
        <v>0.105809922295278</v>
      </c>
      <c r="W161" s="11" t="n">
        <v>1673.91</v>
      </c>
      <c r="X161" s="12" t="n">
        <f aca="false">W161/$P161</f>
        <v>1.00054393305439</v>
      </c>
      <c r="Y161" s="11" t="n">
        <f aca="false">príjmy!V93</f>
        <v>4300</v>
      </c>
      <c r="Z161" s="11" t="n">
        <f aca="false">príjmy!W93</f>
        <v>4300</v>
      </c>
    </row>
    <row r="162" customFormat="false" ht="12.8" hidden="false" customHeight="false" outlineLevel="0" collapsed="false">
      <c r="A162" s="1" t="n">
        <v>2</v>
      </c>
      <c r="B162" s="1" t="n">
        <v>1</v>
      </c>
      <c r="D162" s="75" t="s">
        <v>21</v>
      </c>
      <c r="E162" s="32" t="n">
        <v>111</v>
      </c>
      <c r="F162" s="32" t="s">
        <v>130</v>
      </c>
      <c r="G162" s="33" t="n">
        <f aca="false">SUM(G159:G161)</f>
        <v>5045</v>
      </c>
      <c r="H162" s="33" t="n">
        <f aca="false">SUM(H159:H161)</f>
        <v>4458.41</v>
      </c>
      <c r="I162" s="33" t="n">
        <f aca="false">SUM(I159:I161)</f>
        <v>4548</v>
      </c>
      <c r="J162" s="33" t="n">
        <f aca="false">SUM(J159:J161)</f>
        <v>4611.59</v>
      </c>
      <c r="K162" s="33" t="n">
        <f aca="false">SUM(K159:K161)</f>
        <v>4300</v>
      </c>
      <c r="L162" s="33" t="n">
        <f aca="false">SUM(L159:L161)</f>
        <v>0</v>
      </c>
      <c r="M162" s="33" t="n">
        <f aca="false">SUM(M159:M161)</f>
        <v>-400</v>
      </c>
      <c r="N162" s="33" t="n">
        <f aca="false">SUM(N159:N161)</f>
        <v>0</v>
      </c>
      <c r="O162" s="33" t="n">
        <f aca="false">SUM(O159:O161)</f>
        <v>897</v>
      </c>
      <c r="P162" s="33" t="n">
        <f aca="false">SUM(P159:P161)</f>
        <v>4797</v>
      </c>
      <c r="Q162" s="33" t="n">
        <f aca="false">SUM(Q159:Q161)</f>
        <v>161.94</v>
      </c>
      <c r="R162" s="34" t="n">
        <f aca="false">Q162/$P162</f>
        <v>0.0337585991244528</v>
      </c>
      <c r="S162" s="33" t="n">
        <f aca="false">SUM(S159:S161)</f>
        <v>554.88</v>
      </c>
      <c r="T162" s="34" t="n">
        <f aca="false">S162/$P162</f>
        <v>0.11567229518449</v>
      </c>
      <c r="U162" s="33" t="n">
        <f aca="false">SUM(U159:U161)</f>
        <v>635.85</v>
      </c>
      <c r="V162" s="34" t="n">
        <f aca="false">U162/$P162</f>
        <v>0.132551594746717</v>
      </c>
      <c r="W162" s="33" t="n">
        <f aca="false">SUM(W159:W161)</f>
        <v>4798</v>
      </c>
      <c r="X162" s="34" t="n">
        <f aca="false">W162/$P162</f>
        <v>1.0002084636231</v>
      </c>
      <c r="Y162" s="33" t="n">
        <f aca="false">SUM(Y159:Y161)</f>
        <v>4300</v>
      </c>
      <c r="Z162" s="33" t="n">
        <f aca="false">SUM(Z159:Z161)</f>
        <v>4300</v>
      </c>
    </row>
    <row r="163" customFormat="false" ht="12.8" hidden="false" customHeight="false" outlineLevel="0" collapsed="false">
      <c r="A163" s="1" t="n">
        <v>2</v>
      </c>
      <c r="B163" s="1" t="n">
        <v>1</v>
      </c>
      <c r="D163" s="36" t="s">
        <v>152</v>
      </c>
      <c r="E163" s="10" t="n">
        <v>610</v>
      </c>
      <c r="F163" s="10" t="s">
        <v>124</v>
      </c>
      <c r="G163" s="11" t="n">
        <v>78995.49</v>
      </c>
      <c r="H163" s="11" t="n">
        <v>89784.2</v>
      </c>
      <c r="I163" s="11" t="n">
        <v>93544</v>
      </c>
      <c r="J163" s="11" t="n">
        <v>92839.99</v>
      </c>
      <c r="K163" s="11" t="n">
        <v>100040</v>
      </c>
      <c r="L163" s="11" t="n">
        <v>-364</v>
      </c>
      <c r="M163" s="11" t="n">
        <f aca="false">192-152</f>
        <v>40</v>
      </c>
      <c r="N163" s="11" t="n">
        <v>-139</v>
      </c>
      <c r="O163" s="11" t="n">
        <f aca="false">-1813</f>
        <v>-1813</v>
      </c>
      <c r="P163" s="11" t="n">
        <f aca="false">K163+SUM(L163:O163)</f>
        <v>97764</v>
      </c>
      <c r="Q163" s="11" t="n">
        <v>21676.48</v>
      </c>
      <c r="R163" s="12" t="n">
        <f aca="false">Q163/$P163</f>
        <v>0.221722515445358</v>
      </c>
      <c r="S163" s="11" t="n">
        <v>45084.57</v>
      </c>
      <c r="T163" s="12" t="n">
        <f aca="false">S163/$P163</f>
        <v>0.461157174420032</v>
      </c>
      <c r="U163" s="11" t="n">
        <v>68344.13</v>
      </c>
      <c r="V163" s="12" t="n">
        <f aca="false">U163/$P163</f>
        <v>0.699072562497443</v>
      </c>
      <c r="W163" s="11" t="n">
        <v>97764.72</v>
      </c>
      <c r="X163" s="12" t="n">
        <f aca="false">W163/$P163</f>
        <v>1.00000736467411</v>
      </c>
      <c r="Y163" s="11" t="n">
        <v>105658</v>
      </c>
      <c r="Z163" s="11" t="n">
        <v>111614</v>
      </c>
    </row>
    <row r="164" customFormat="false" ht="12.8" hidden="false" customHeight="false" outlineLevel="0" collapsed="false">
      <c r="A164" s="1" t="n">
        <v>2</v>
      </c>
      <c r="B164" s="1" t="n">
        <v>1</v>
      </c>
      <c r="D164" s="36"/>
      <c r="E164" s="10" t="n">
        <v>620</v>
      </c>
      <c r="F164" s="10" t="s">
        <v>125</v>
      </c>
      <c r="G164" s="11" t="n">
        <v>29921.59</v>
      </c>
      <c r="H164" s="11" t="n">
        <v>33111.05</v>
      </c>
      <c r="I164" s="11" t="n">
        <v>34563</v>
      </c>
      <c r="J164" s="11" t="n">
        <v>34064.19</v>
      </c>
      <c r="K164" s="11" t="n">
        <v>36965</v>
      </c>
      <c r="L164" s="11"/>
      <c r="M164" s="11"/>
      <c r="N164" s="11"/>
      <c r="O164" s="11" t="n">
        <f aca="false">-227-811</f>
        <v>-1038</v>
      </c>
      <c r="P164" s="11" t="n">
        <f aca="false">K164+SUM(L164:O164)</f>
        <v>35927</v>
      </c>
      <c r="Q164" s="11" t="n">
        <v>7929.2</v>
      </c>
      <c r="R164" s="12" t="n">
        <f aca="false">Q164/$P164</f>
        <v>0.220703092381774</v>
      </c>
      <c r="S164" s="11" t="n">
        <v>16573.68</v>
      </c>
      <c r="T164" s="12" t="n">
        <f aca="false">S164/$P164</f>
        <v>0.461315445208339</v>
      </c>
      <c r="U164" s="11" t="n">
        <v>25129.83</v>
      </c>
      <c r="V164" s="12" t="n">
        <f aca="false">U164/$P164</f>
        <v>0.699469201436246</v>
      </c>
      <c r="W164" s="11" t="n">
        <v>35927.8</v>
      </c>
      <c r="X164" s="12" t="n">
        <f aca="false">W164/$P164</f>
        <v>1.00002226737551</v>
      </c>
      <c r="Y164" s="11" t="n">
        <v>39041</v>
      </c>
      <c r="Z164" s="11" t="n">
        <v>41241</v>
      </c>
    </row>
    <row r="165" customFormat="false" ht="12.8" hidden="false" customHeight="false" outlineLevel="0" collapsed="false">
      <c r="A165" s="1" t="n">
        <v>2</v>
      </c>
      <c r="B165" s="1" t="n">
        <v>1</v>
      </c>
      <c r="D165" s="36"/>
      <c r="E165" s="10" t="n">
        <v>630</v>
      </c>
      <c r="F165" s="10" t="s">
        <v>126</v>
      </c>
      <c r="G165" s="11" t="n">
        <v>11143.52</v>
      </c>
      <c r="H165" s="11" t="n">
        <v>11608.63</v>
      </c>
      <c r="I165" s="11" t="n">
        <f aca="false">6182+4430+2432</f>
        <v>13044</v>
      </c>
      <c r="J165" s="11" t="n">
        <v>14865.71</v>
      </c>
      <c r="K165" s="11" t="n">
        <f aca="false">15609-5104</f>
        <v>10505</v>
      </c>
      <c r="L165" s="11" t="n">
        <v>300</v>
      </c>
      <c r="M165" s="11" t="n">
        <f aca="false">208+400</f>
        <v>608</v>
      </c>
      <c r="N165" s="11" t="n">
        <v>1045</v>
      </c>
      <c r="O165" s="11" t="n">
        <f aca="false">2533+1558</f>
        <v>4091</v>
      </c>
      <c r="P165" s="11" t="n">
        <f aca="false">K165+SUM(L165:O165)</f>
        <v>16549</v>
      </c>
      <c r="Q165" s="11" t="n">
        <v>2185.14</v>
      </c>
      <c r="R165" s="12" t="n">
        <f aca="false">Q165/$P165</f>
        <v>0.132040606683183</v>
      </c>
      <c r="S165" s="11" t="n">
        <v>5962.45</v>
      </c>
      <c r="T165" s="12" t="n">
        <f aca="false">S165/$P165</f>
        <v>0.360290652003142</v>
      </c>
      <c r="U165" s="11" t="n">
        <v>8905.52</v>
      </c>
      <c r="V165" s="12" t="n">
        <f aca="false">U165/$P165</f>
        <v>0.538130400628437</v>
      </c>
      <c r="W165" s="11" t="n">
        <v>16547.16</v>
      </c>
      <c r="X165" s="12" t="n">
        <f aca="false">W165/$P165</f>
        <v>0.999888815034141</v>
      </c>
      <c r="Y165" s="11" t="n">
        <f aca="false">15670-5104</f>
        <v>10566</v>
      </c>
      <c r="Z165" s="11" t="n">
        <f aca="false">15762-5104</f>
        <v>10658</v>
      </c>
    </row>
    <row r="166" customFormat="false" ht="12.8" hidden="false" customHeight="false" outlineLevel="0" collapsed="false">
      <c r="A166" s="1" t="n">
        <v>2</v>
      </c>
      <c r="B166" s="1" t="n">
        <v>1</v>
      </c>
      <c r="D166" s="36"/>
      <c r="E166" s="10" t="n">
        <v>640</v>
      </c>
      <c r="F166" s="10" t="s">
        <v>127</v>
      </c>
      <c r="G166" s="11" t="n">
        <v>0</v>
      </c>
      <c r="H166" s="11" t="n">
        <v>0</v>
      </c>
      <c r="I166" s="11" t="n">
        <v>0</v>
      </c>
      <c r="J166" s="11" t="n">
        <v>629.14</v>
      </c>
      <c r="K166" s="11" t="n">
        <v>0</v>
      </c>
      <c r="L166" s="11" t="n">
        <v>364</v>
      </c>
      <c r="M166" s="11" t="n">
        <v>152</v>
      </c>
      <c r="N166" s="11" t="n">
        <v>139</v>
      </c>
      <c r="O166" s="11" t="n">
        <v>91</v>
      </c>
      <c r="P166" s="11" t="n">
        <f aca="false">K166+SUM(L166:O166)</f>
        <v>746</v>
      </c>
      <c r="Q166" s="11" t="n">
        <v>363.55</v>
      </c>
      <c r="R166" s="12" t="n">
        <f aca="false">Q166/$P166</f>
        <v>0.487332439678284</v>
      </c>
      <c r="S166" s="11" t="n">
        <v>406.64</v>
      </c>
      <c r="T166" s="12" t="n">
        <f aca="false">S166/$P166</f>
        <v>0.545093833780161</v>
      </c>
      <c r="U166" s="11" t="n">
        <v>654.89</v>
      </c>
      <c r="V166" s="12" t="n">
        <f aca="false">U166/$P166</f>
        <v>0.877868632707775</v>
      </c>
      <c r="W166" s="11" t="n">
        <v>746.48</v>
      </c>
      <c r="X166" s="12" t="n">
        <f aca="false">W166/$P166</f>
        <v>1.00064343163539</v>
      </c>
      <c r="Y166" s="11" t="n">
        <v>0</v>
      </c>
      <c r="Z166" s="11" t="n">
        <v>0</v>
      </c>
    </row>
    <row r="167" customFormat="false" ht="12.8" hidden="false" customHeight="false" outlineLevel="0" collapsed="false">
      <c r="A167" s="1" t="n">
        <v>2</v>
      </c>
      <c r="B167" s="1" t="n">
        <v>1</v>
      </c>
      <c r="D167" s="75" t="s">
        <v>21</v>
      </c>
      <c r="E167" s="32" t="n">
        <v>41</v>
      </c>
      <c r="F167" s="32" t="s">
        <v>23</v>
      </c>
      <c r="G167" s="33" t="n">
        <f aca="false">SUM(G163:G166)</f>
        <v>120060.6</v>
      </c>
      <c r="H167" s="33" t="n">
        <f aca="false">SUM(H163:H166)</f>
        <v>134503.88</v>
      </c>
      <c r="I167" s="33" t="n">
        <f aca="false">SUM(I163:I166)</f>
        <v>141151</v>
      </c>
      <c r="J167" s="33" t="n">
        <f aca="false">SUM(J163:J166)</f>
        <v>142399.03</v>
      </c>
      <c r="K167" s="33" t="n">
        <f aca="false">SUM(K163:K166)</f>
        <v>147510</v>
      </c>
      <c r="L167" s="33" t="n">
        <f aca="false">SUM(L163:L166)</f>
        <v>300</v>
      </c>
      <c r="M167" s="33" t="n">
        <f aca="false">SUM(M163:M166)</f>
        <v>800</v>
      </c>
      <c r="N167" s="33" t="n">
        <f aca="false">SUM(N163:N166)</f>
        <v>1045</v>
      </c>
      <c r="O167" s="33" t="n">
        <f aca="false">SUM(O163:O166)</f>
        <v>1331</v>
      </c>
      <c r="P167" s="33" t="n">
        <f aca="false">SUM(P163:P166)</f>
        <v>150986</v>
      </c>
      <c r="Q167" s="33" t="n">
        <f aca="false">SUM(Q163:Q166)</f>
        <v>32154.37</v>
      </c>
      <c r="R167" s="34" t="n">
        <f aca="false">Q167/$P167</f>
        <v>0.21296259255825</v>
      </c>
      <c r="S167" s="33" t="n">
        <f aca="false">SUM(S163:S166)</f>
        <v>68027.34</v>
      </c>
      <c r="T167" s="34" t="n">
        <f aca="false">S167/$P167</f>
        <v>0.450553958645172</v>
      </c>
      <c r="U167" s="33" t="n">
        <f aca="false">SUM(U163:U166)</f>
        <v>103034.37</v>
      </c>
      <c r="V167" s="34" t="n">
        <f aca="false">U167/$P167</f>
        <v>0.682410091001815</v>
      </c>
      <c r="W167" s="33" t="n">
        <f aca="false">SUM(W163:W166)</f>
        <v>150986.16</v>
      </c>
      <c r="X167" s="34" t="n">
        <f aca="false">W167/$P167</f>
        <v>1.0000010597009</v>
      </c>
      <c r="Y167" s="33" t="n">
        <f aca="false">SUM(Y163:Y166)</f>
        <v>155265</v>
      </c>
      <c r="Z167" s="33" t="n">
        <f aca="false">SUM(Z163:Z166)</f>
        <v>163513</v>
      </c>
    </row>
    <row r="168" customFormat="false" ht="12.8" hidden="false" customHeight="false" outlineLevel="0" collapsed="false">
      <c r="D168" s="87" t="s">
        <v>152</v>
      </c>
      <c r="E168" s="10" t="n">
        <v>630</v>
      </c>
      <c r="F168" s="10" t="s">
        <v>126</v>
      </c>
      <c r="G168" s="11" t="n">
        <v>0</v>
      </c>
      <c r="H168" s="11" t="n">
        <v>0</v>
      </c>
      <c r="I168" s="11" t="n">
        <v>0</v>
      </c>
      <c r="J168" s="11" t="n">
        <v>0</v>
      </c>
      <c r="K168" s="11" t="n">
        <v>900</v>
      </c>
      <c r="L168" s="11"/>
      <c r="M168" s="11"/>
      <c r="N168" s="11"/>
      <c r="O168" s="11"/>
      <c r="P168" s="11" t="n">
        <f aca="false">K168+SUM(L168:O168)</f>
        <v>900</v>
      </c>
      <c r="Q168" s="11" t="n">
        <v>10.16</v>
      </c>
      <c r="R168" s="12" t="n">
        <f aca="false">Q168/$P168</f>
        <v>0.0112888888888889</v>
      </c>
      <c r="S168" s="11" t="n">
        <v>30.49</v>
      </c>
      <c r="T168" s="12" t="n">
        <f aca="false">S168/$P168</f>
        <v>0.0338777777777778</v>
      </c>
      <c r="U168" s="11" t="n">
        <v>30.49</v>
      </c>
      <c r="V168" s="12" t="n">
        <f aca="false">U168/$P168</f>
        <v>0.0338777777777778</v>
      </c>
      <c r="W168" s="11" t="n">
        <v>472.46</v>
      </c>
      <c r="X168" s="12" t="n">
        <f aca="false">W168/$P168</f>
        <v>0.524955555555555</v>
      </c>
      <c r="Y168" s="11" t="n">
        <f aca="false">K168</f>
        <v>900</v>
      </c>
      <c r="Z168" s="11" t="n">
        <f aca="false">Y168</f>
        <v>900</v>
      </c>
    </row>
    <row r="169" customFormat="false" ht="12.8" hidden="false" customHeight="false" outlineLevel="0" collapsed="false">
      <c r="D169" s="87" t="s">
        <v>152</v>
      </c>
      <c r="E169" s="10" t="n">
        <v>640</v>
      </c>
      <c r="F169" s="10" t="s">
        <v>127</v>
      </c>
      <c r="G169" s="11" t="n">
        <v>0</v>
      </c>
      <c r="H169" s="11" t="n">
        <v>0</v>
      </c>
      <c r="I169" s="11" t="n">
        <v>0</v>
      </c>
      <c r="J169" s="11" t="n">
        <v>0</v>
      </c>
      <c r="K169" s="11" t="n">
        <v>870</v>
      </c>
      <c r="L169" s="11"/>
      <c r="M169" s="11"/>
      <c r="N169" s="11"/>
      <c r="O169" s="11" t="n">
        <v>67</v>
      </c>
      <c r="P169" s="11" t="n">
        <f aca="false">K169+SUM(L169:O169)</f>
        <v>937</v>
      </c>
      <c r="Q169" s="11" t="n">
        <v>0</v>
      </c>
      <c r="R169" s="12" t="n">
        <f aca="false">Q169/$P169</f>
        <v>0</v>
      </c>
      <c r="S169" s="11" t="n">
        <v>0</v>
      </c>
      <c r="T169" s="12" t="n">
        <f aca="false">S169/$P169</f>
        <v>0</v>
      </c>
      <c r="U169" s="11" t="n">
        <v>0</v>
      </c>
      <c r="V169" s="12" t="n">
        <f aca="false">U169/$P169</f>
        <v>0</v>
      </c>
      <c r="W169" s="11" t="n">
        <v>937.17</v>
      </c>
      <c r="X169" s="12" t="n">
        <f aca="false">W169/$P169</f>
        <v>1.00018143009605</v>
      </c>
      <c r="Y169" s="11" t="n">
        <f aca="false">K169</f>
        <v>870</v>
      </c>
      <c r="Z169" s="11" t="n">
        <f aca="false">Y169</f>
        <v>870</v>
      </c>
    </row>
    <row r="170" customFormat="false" ht="12.8" hidden="false" customHeight="false" outlineLevel="0" collapsed="false">
      <c r="D170" s="75" t="s">
        <v>21</v>
      </c>
      <c r="E170" s="32" t="n">
        <v>72</v>
      </c>
      <c r="F170" s="32" t="s">
        <v>25</v>
      </c>
      <c r="G170" s="33" t="n">
        <f aca="false">SUM(G168:G169)</f>
        <v>0</v>
      </c>
      <c r="H170" s="33" t="n">
        <f aca="false">SUM(H168:H169)</f>
        <v>0</v>
      </c>
      <c r="I170" s="33" t="n">
        <f aca="false">SUM(I168:I169)</f>
        <v>0</v>
      </c>
      <c r="J170" s="33" t="n">
        <f aca="false">SUM(J168:J169)</f>
        <v>0</v>
      </c>
      <c r="K170" s="33" t="n">
        <f aca="false">SUM(K168:K169)</f>
        <v>1770</v>
      </c>
      <c r="L170" s="33" t="n">
        <f aca="false">SUM(L168:L169)</f>
        <v>0</v>
      </c>
      <c r="M170" s="33" t="n">
        <f aca="false">SUM(M168:M169)</f>
        <v>0</v>
      </c>
      <c r="N170" s="33" t="n">
        <f aca="false">SUM(N168:N169)</f>
        <v>0</v>
      </c>
      <c r="O170" s="33" t="n">
        <f aca="false">SUM(O168:O169)</f>
        <v>67</v>
      </c>
      <c r="P170" s="33" t="n">
        <f aca="false">SUM(P168:P169)</f>
        <v>1837</v>
      </c>
      <c r="Q170" s="33" t="n">
        <f aca="false">SUM(Q168:Q169)</f>
        <v>10.16</v>
      </c>
      <c r="R170" s="34" t="n">
        <f aca="false">Q170/$P170</f>
        <v>0.00553075666848122</v>
      </c>
      <c r="S170" s="33" t="n">
        <f aca="false">SUM(S168:S169)</f>
        <v>30.49</v>
      </c>
      <c r="T170" s="34" t="n">
        <f aca="false">S170/$P170</f>
        <v>0.0165977136635819</v>
      </c>
      <c r="U170" s="33" t="n">
        <f aca="false">SUM(U168:U169)</f>
        <v>30.49</v>
      </c>
      <c r="V170" s="34" t="n">
        <f aca="false">U170/$P170</f>
        <v>0.0165977136635819</v>
      </c>
      <c r="W170" s="33" t="n">
        <f aca="false">SUM(W168:W169)</f>
        <v>1409.63</v>
      </c>
      <c r="X170" s="34" t="n">
        <f aca="false">W170/$P170</f>
        <v>0.767354382144801</v>
      </c>
      <c r="Y170" s="33" t="n">
        <f aca="false">SUM(Y168:Y169)</f>
        <v>1770</v>
      </c>
      <c r="Z170" s="33" t="n">
        <f aca="false">SUM(Z168:Z169)</f>
        <v>1770</v>
      </c>
    </row>
    <row r="171" customFormat="false" ht="12.8" hidden="false" customHeight="false" outlineLevel="0" collapsed="false">
      <c r="A171" s="1" t="n">
        <v>2</v>
      </c>
      <c r="B171" s="1" t="n">
        <v>1</v>
      </c>
      <c r="D171" s="16"/>
      <c r="E171" s="17"/>
      <c r="F171" s="13" t="s">
        <v>119</v>
      </c>
      <c r="G171" s="14" t="n">
        <f aca="false">G162+G167+G170</f>
        <v>125105.6</v>
      </c>
      <c r="H171" s="14" t="n">
        <f aca="false">H162+H167+H170</f>
        <v>138962.29</v>
      </c>
      <c r="I171" s="14" t="n">
        <f aca="false">I162+I167+I170</f>
        <v>145699</v>
      </c>
      <c r="J171" s="14" t="n">
        <f aca="false">J162+J167+J170</f>
        <v>147010.62</v>
      </c>
      <c r="K171" s="14" t="n">
        <f aca="false">K162+K167+K170</f>
        <v>153580</v>
      </c>
      <c r="L171" s="14" t="n">
        <f aca="false">L162+L167+L170</f>
        <v>300</v>
      </c>
      <c r="M171" s="14" t="n">
        <f aca="false">M162+M167+M170</f>
        <v>400</v>
      </c>
      <c r="N171" s="14" t="n">
        <f aca="false">N162+N167+N170</f>
        <v>1045</v>
      </c>
      <c r="O171" s="14" t="n">
        <f aca="false">O162+O167+O170</f>
        <v>2295</v>
      </c>
      <c r="P171" s="14" t="n">
        <f aca="false">P162+P167+P170</f>
        <v>157620</v>
      </c>
      <c r="Q171" s="14" t="n">
        <f aca="false">Q162+Q167+Q170</f>
        <v>32326.47</v>
      </c>
      <c r="R171" s="15" t="n">
        <f aca="false">Q171/$P171</f>
        <v>0.205091168633422</v>
      </c>
      <c r="S171" s="14" t="n">
        <f aca="false">S162+S167+S170</f>
        <v>68612.71</v>
      </c>
      <c r="T171" s="15" t="n">
        <f aca="false">S171/$P171</f>
        <v>0.43530459332572</v>
      </c>
      <c r="U171" s="14" t="n">
        <f aca="false">U162+U167+U170</f>
        <v>103700.71</v>
      </c>
      <c r="V171" s="15" t="n">
        <f aca="false">U171/$P171</f>
        <v>0.657915937063825</v>
      </c>
      <c r="W171" s="14" t="n">
        <f aca="false">W162+W167+W170</f>
        <v>157193.79</v>
      </c>
      <c r="X171" s="15" t="n">
        <f aca="false">W171/$P171</f>
        <v>0.997295964979064</v>
      </c>
      <c r="Y171" s="14" t="n">
        <f aca="false">Y162+Y167+Y170</f>
        <v>161335</v>
      </c>
      <c r="Z171" s="14" t="n">
        <f aca="false">Z162+Z167+Z170</f>
        <v>169583</v>
      </c>
    </row>
    <row r="173" customFormat="false" ht="12.8" hidden="false" customHeight="false" outlineLevel="0" collapsed="false">
      <c r="D173" s="27" t="s">
        <v>166</v>
      </c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8"/>
      <c r="S173" s="27"/>
      <c r="T173" s="28"/>
      <c r="U173" s="27"/>
      <c r="V173" s="28"/>
      <c r="W173" s="27"/>
      <c r="X173" s="28"/>
      <c r="Y173" s="27"/>
      <c r="Z173" s="27"/>
    </row>
    <row r="174" customFormat="false" ht="12.8" hidden="false" customHeight="false" outlineLevel="0" collapsed="false">
      <c r="D174" s="7" t="s">
        <v>33</v>
      </c>
      <c r="E174" s="7" t="s">
        <v>34</v>
      </c>
      <c r="F174" s="7" t="s">
        <v>35</v>
      </c>
      <c r="G174" s="7" t="s">
        <v>1</v>
      </c>
      <c r="H174" s="7" t="s">
        <v>2</v>
      </c>
      <c r="I174" s="7" t="s">
        <v>3</v>
      </c>
      <c r="J174" s="7" t="s">
        <v>4</v>
      </c>
      <c r="K174" s="7" t="s">
        <v>5</v>
      </c>
      <c r="L174" s="7" t="s">
        <v>6</v>
      </c>
      <c r="M174" s="7" t="s">
        <v>7</v>
      </c>
      <c r="N174" s="7" t="s">
        <v>8</v>
      </c>
      <c r="O174" s="7" t="s">
        <v>9</v>
      </c>
      <c r="P174" s="7" t="s">
        <v>10</v>
      </c>
      <c r="Q174" s="7" t="s">
        <v>11</v>
      </c>
      <c r="R174" s="8" t="s">
        <v>12</v>
      </c>
      <c r="S174" s="7" t="s">
        <v>13</v>
      </c>
      <c r="T174" s="8" t="s">
        <v>14</v>
      </c>
      <c r="U174" s="7" t="s">
        <v>15</v>
      </c>
      <c r="V174" s="8" t="s">
        <v>16</v>
      </c>
      <c r="W174" s="7" t="s">
        <v>17</v>
      </c>
      <c r="X174" s="8" t="s">
        <v>18</v>
      </c>
      <c r="Y174" s="7" t="s">
        <v>19</v>
      </c>
      <c r="Z174" s="7" t="s">
        <v>20</v>
      </c>
    </row>
    <row r="175" customFormat="false" ht="12.8" hidden="false" customHeight="false" outlineLevel="0" collapsed="false">
      <c r="A175" s="1" t="n">
        <v>2</v>
      </c>
      <c r="B175" s="1" t="n">
        <v>2</v>
      </c>
      <c r="D175" s="87" t="s">
        <v>167</v>
      </c>
      <c r="E175" s="10" t="n">
        <v>630</v>
      </c>
      <c r="F175" s="10" t="s">
        <v>126</v>
      </c>
      <c r="G175" s="11" t="n">
        <v>57.39</v>
      </c>
      <c r="H175" s="11" t="n">
        <v>2850</v>
      </c>
      <c r="I175" s="11" t="n">
        <v>0</v>
      </c>
      <c r="J175" s="11" t="n">
        <v>883</v>
      </c>
      <c r="K175" s="11" t="n">
        <v>0</v>
      </c>
      <c r="L175" s="11"/>
      <c r="M175" s="11"/>
      <c r="N175" s="11"/>
      <c r="O175" s="11"/>
      <c r="P175" s="11" t="n">
        <f aca="false">K175+SUM(L175:O175)</f>
        <v>0</v>
      </c>
      <c r="Q175" s="11" t="n">
        <v>1800</v>
      </c>
      <c r="R175" s="12" t="e">
        <f aca="false">Q175/$P175</f>
        <v>#DIV/0!</v>
      </c>
      <c r="S175" s="11" t="n">
        <v>1800</v>
      </c>
      <c r="T175" s="12" t="e">
        <f aca="false">S175/$P175</f>
        <v>#DIV/0!</v>
      </c>
      <c r="U175" s="11" t="n">
        <v>2000</v>
      </c>
      <c r="V175" s="12" t="e">
        <f aca="false">U175/$P175</f>
        <v>#DIV/0!</v>
      </c>
      <c r="W175" s="11" t="n">
        <v>2006.7</v>
      </c>
      <c r="X175" s="12" t="e">
        <f aca="false">W175/$P175</f>
        <v>#DIV/0!</v>
      </c>
      <c r="Y175" s="11" t="n">
        <f aca="false">K175</f>
        <v>0</v>
      </c>
      <c r="Z175" s="11" t="n">
        <f aca="false">Y175</f>
        <v>0</v>
      </c>
    </row>
    <row r="176" customFormat="false" ht="12.8" hidden="false" customHeight="false" outlineLevel="0" collapsed="false">
      <c r="A176" s="1" t="n">
        <v>2</v>
      </c>
      <c r="B176" s="1" t="n">
        <v>2</v>
      </c>
      <c r="D176" s="87"/>
      <c r="E176" s="10" t="n">
        <v>640</v>
      </c>
      <c r="F176" s="10" t="s">
        <v>127</v>
      </c>
      <c r="G176" s="11" t="n">
        <v>1029.2</v>
      </c>
      <c r="H176" s="11" t="n">
        <v>564.4</v>
      </c>
      <c r="I176" s="11" t="n">
        <v>560</v>
      </c>
      <c r="J176" s="11" t="n">
        <v>431.6</v>
      </c>
      <c r="K176" s="11" t="n">
        <v>560</v>
      </c>
      <c r="L176" s="11"/>
      <c r="M176" s="11"/>
      <c r="N176" s="11"/>
      <c r="O176" s="11"/>
      <c r="P176" s="11" t="n">
        <f aca="false">K176+SUM(L176:O176)</f>
        <v>560</v>
      </c>
      <c r="Q176" s="11" t="n">
        <v>166</v>
      </c>
      <c r="R176" s="12" t="n">
        <f aca="false">Q176/$P176</f>
        <v>0.296428571428571</v>
      </c>
      <c r="S176" s="11" t="n">
        <v>166</v>
      </c>
      <c r="T176" s="12" t="n">
        <f aca="false">S176/$P176</f>
        <v>0.296428571428571</v>
      </c>
      <c r="U176" s="11" t="n">
        <v>166</v>
      </c>
      <c r="V176" s="12" t="n">
        <f aca="false">U176/$P176</f>
        <v>0.296428571428571</v>
      </c>
      <c r="W176" s="11" t="n">
        <v>182.6</v>
      </c>
      <c r="X176" s="12" t="n">
        <f aca="false">W176/$P176</f>
        <v>0.326071428571429</v>
      </c>
      <c r="Y176" s="11" t="n">
        <f aca="false">K176</f>
        <v>560</v>
      </c>
      <c r="Z176" s="11" t="n">
        <f aca="false">Y176</f>
        <v>560</v>
      </c>
    </row>
    <row r="177" customFormat="false" ht="12.8" hidden="false" customHeight="false" outlineLevel="0" collapsed="false">
      <c r="A177" s="1" t="n">
        <v>2</v>
      </c>
      <c r="B177" s="1" t="n">
        <v>2</v>
      </c>
      <c r="D177" s="87"/>
      <c r="E177" s="10" t="s">
        <v>55</v>
      </c>
      <c r="F177" s="10" t="s">
        <v>22</v>
      </c>
      <c r="G177" s="11" t="n">
        <f aca="false">464942.5-G181</f>
        <v>394063.5</v>
      </c>
      <c r="H177" s="37" t="n">
        <v>417586.31</v>
      </c>
      <c r="I177" s="11" t="n">
        <v>423585</v>
      </c>
      <c r="J177" s="37" t="n">
        <v>427018.4</v>
      </c>
      <c r="K177" s="11" t="n">
        <f aca="false">422516+5856+4800+4500+3000+174+1150+2500+2814</f>
        <v>447310</v>
      </c>
      <c r="L177" s="11"/>
      <c r="M177" s="11" t="n">
        <v>6447</v>
      </c>
      <c r="N177" s="11"/>
      <c r="O177" s="11"/>
      <c r="P177" s="11" t="n">
        <f aca="false">K177+SUM(L177:O177)</f>
        <v>453757</v>
      </c>
      <c r="Q177" s="11" t="n">
        <v>86927.45</v>
      </c>
      <c r="R177" s="12" t="n">
        <f aca="false">Q177/$P177</f>
        <v>0.191572691991528</v>
      </c>
      <c r="S177" s="11" t="n">
        <v>195598.54</v>
      </c>
      <c r="T177" s="12" t="n">
        <f aca="false">S177/$P177</f>
        <v>0.431064512503388</v>
      </c>
      <c r="U177" s="11" t="n">
        <v>292044.85</v>
      </c>
      <c r="V177" s="12" t="n">
        <f aca="false">U177/$P177</f>
        <v>0.643615084725966</v>
      </c>
      <c r="W177" s="11" t="n">
        <v>448512.82</v>
      </c>
      <c r="X177" s="12" t="n">
        <f aca="false">W177/$P177</f>
        <v>0.988442756805956</v>
      </c>
      <c r="Y177" s="11" t="n">
        <f aca="false">K177</f>
        <v>447310</v>
      </c>
      <c r="Z177" s="11" t="n">
        <f aca="false">Y177</f>
        <v>447310</v>
      </c>
    </row>
    <row r="178" customFormat="false" ht="12.8" hidden="false" customHeight="false" outlineLevel="0" collapsed="false">
      <c r="A178" s="1" t="n">
        <v>2</v>
      </c>
      <c r="B178" s="1" t="n">
        <v>2</v>
      </c>
      <c r="D178" s="75" t="s">
        <v>21</v>
      </c>
      <c r="E178" s="32" t="n">
        <v>111</v>
      </c>
      <c r="F178" s="32" t="s">
        <v>130</v>
      </c>
      <c r="G178" s="33" t="n">
        <f aca="false">SUM(G175:G177)</f>
        <v>395150.09</v>
      </c>
      <c r="H178" s="33" t="n">
        <f aca="false">SUM(H175:H177)</f>
        <v>421000.71</v>
      </c>
      <c r="I178" s="33" t="n">
        <f aca="false">SUM(I175:I177)</f>
        <v>424145</v>
      </c>
      <c r="J178" s="33" t="n">
        <f aca="false">SUM(J175:J177)</f>
        <v>428333</v>
      </c>
      <c r="K178" s="33" t="n">
        <f aca="false">SUM(K175:K177)</f>
        <v>447870</v>
      </c>
      <c r="L178" s="33" t="n">
        <f aca="false">SUM(L175:L177)</f>
        <v>0</v>
      </c>
      <c r="M178" s="33" t="n">
        <f aca="false">SUM(M175:M177)</f>
        <v>6447</v>
      </c>
      <c r="N178" s="33" t="n">
        <f aca="false">SUM(N175:N177)</f>
        <v>0</v>
      </c>
      <c r="O178" s="33" t="n">
        <f aca="false">SUM(O175:O177)</f>
        <v>0</v>
      </c>
      <c r="P178" s="33" t="n">
        <f aca="false">SUM(P175:P177)</f>
        <v>454317</v>
      </c>
      <c r="Q178" s="33" t="n">
        <f aca="false">SUM(Q175:Q177)</f>
        <v>88893.45</v>
      </c>
      <c r="R178" s="34" t="n">
        <f aca="false">Q178/$P178</f>
        <v>0.195663930691566</v>
      </c>
      <c r="S178" s="33" t="n">
        <f aca="false">SUM(S175:S177)</f>
        <v>197564.54</v>
      </c>
      <c r="T178" s="34" t="n">
        <f aca="false">S178/$P178</f>
        <v>0.434860548911883</v>
      </c>
      <c r="U178" s="33" t="n">
        <f aca="false">SUM(U175:U177)</f>
        <v>294210.85</v>
      </c>
      <c r="V178" s="34" t="n">
        <f aca="false">U178/$P178</f>
        <v>0.647589348406509</v>
      </c>
      <c r="W178" s="33" t="n">
        <f aca="false">SUM(W175:W177)</f>
        <v>450702.12</v>
      </c>
      <c r="X178" s="34" t="n">
        <f aca="false">W178/$P178</f>
        <v>0.992043264944961</v>
      </c>
      <c r="Y178" s="33" t="n">
        <f aca="false">SUM(Y175:Y177)</f>
        <v>447870</v>
      </c>
      <c r="Z178" s="33" t="n">
        <f aca="false">SUM(Z175:Z177)</f>
        <v>447870</v>
      </c>
    </row>
    <row r="179" customFormat="false" ht="12.8" hidden="false" customHeight="false" outlineLevel="0" collapsed="false">
      <c r="A179" s="1" t="n">
        <v>2</v>
      </c>
      <c r="B179" s="1" t="n">
        <v>2</v>
      </c>
      <c r="D179" s="87" t="s">
        <v>167</v>
      </c>
      <c r="E179" s="10" t="n">
        <v>630</v>
      </c>
      <c r="F179" s="10" t="s">
        <v>126</v>
      </c>
      <c r="G179" s="11" t="n">
        <v>3257.43</v>
      </c>
      <c r="H179" s="11" t="n">
        <v>2669.87</v>
      </c>
      <c r="I179" s="11" t="n">
        <v>2800</v>
      </c>
      <c r="J179" s="11" t="n">
        <v>748.81</v>
      </c>
      <c r="K179" s="11" t="n">
        <v>750</v>
      </c>
      <c r="L179" s="11" t="n">
        <v>600</v>
      </c>
      <c r="M179" s="11"/>
      <c r="N179" s="11" t="n">
        <v>73</v>
      </c>
      <c r="O179" s="11" t="n">
        <v>543</v>
      </c>
      <c r="P179" s="11" t="n">
        <f aca="false">K179+SUM(L179:O179)</f>
        <v>1966</v>
      </c>
      <c r="Q179" s="11" t="n">
        <v>600</v>
      </c>
      <c r="R179" s="12" t="n">
        <f aca="false">Q179/$P179</f>
        <v>0.305188199389624</v>
      </c>
      <c r="S179" s="11" t="n">
        <v>1348.81</v>
      </c>
      <c r="T179" s="12" t="n">
        <f aca="false">S179/$P179</f>
        <v>0.686068158697864</v>
      </c>
      <c r="U179" s="11" t="n">
        <v>1421.61</v>
      </c>
      <c r="V179" s="12" t="n">
        <f aca="false">U179/$P179</f>
        <v>0.723097660223805</v>
      </c>
      <c r="W179" s="11" t="n">
        <v>1965.17</v>
      </c>
      <c r="X179" s="12" t="n">
        <f aca="false">W179/$P179</f>
        <v>0.999577822990844</v>
      </c>
      <c r="Y179" s="11" t="n">
        <v>750</v>
      </c>
      <c r="Z179" s="11" t="n">
        <f aca="false">Y179</f>
        <v>750</v>
      </c>
    </row>
    <row r="180" customFormat="false" ht="12.8" hidden="false" customHeight="false" outlineLevel="0" collapsed="false">
      <c r="A180" s="1" t="n">
        <v>2</v>
      </c>
      <c r="B180" s="1" t="n">
        <v>2</v>
      </c>
      <c r="D180" s="87"/>
      <c r="E180" s="10" t="n">
        <v>640</v>
      </c>
      <c r="F180" s="10" t="s">
        <v>127</v>
      </c>
      <c r="G180" s="11" t="n">
        <v>893.27</v>
      </c>
      <c r="H180" s="11" t="n">
        <v>777.29</v>
      </c>
      <c r="I180" s="11" t="n">
        <v>120</v>
      </c>
      <c r="J180" s="11" t="n">
        <v>228.89</v>
      </c>
      <c r="K180" s="11" t="n">
        <v>865</v>
      </c>
      <c r="L180" s="11"/>
      <c r="M180" s="11"/>
      <c r="N180" s="11" t="n">
        <v>-73</v>
      </c>
      <c r="O180" s="11" t="n">
        <v>-621</v>
      </c>
      <c r="P180" s="11" t="n">
        <f aca="false">K180+SUM(L180:O180)</f>
        <v>171</v>
      </c>
      <c r="Q180" s="11" t="n">
        <v>33.75</v>
      </c>
      <c r="R180" s="12" t="n">
        <f aca="false">Q180/$P180</f>
        <v>0.197368421052632</v>
      </c>
      <c r="S180" s="11" t="n">
        <v>55.55</v>
      </c>
      <c r="T180" s="12" t="n">
        <f aca="false">S180/$P180</f>
        <v>0.324853801169591</v>
      </c>
      <c r="U180" s="11" t="n">
        <v>122.97</v>
      </c>
      <c r="V180" s="12" t="n">
        <f aca="false">U180/$P180</f>
        <v>0.719122807017544</v>
      </c>
      <c r="W180" s="11" t="n">
        <v>170.52</v>
      </c>
      <c r="X180" s="12" t="n">
        <f aca="false">W180/$P180</f>
        <v>0.99719298245614</v>
      </c>
      <c r="Y180" s="11" t="n">
        <f aca="false">K180</f>
        <v>865</v>
      </c>
      <c r="Z180" s="11" t="n">
        <f aca="false">Y180</f>
        <v>865</v>
      </c>
    </row>
    <row r="181" customFormat="false" ht="12.8" hidden="false" customHeight="false" outlineLevel="0" collapsed="false">
      <c r="A181" s="1" t="n">
        <v>2</v>
      </c>
      <c r="B181" s="1" t="n">
        <v>2</v>
      </c>
      <c r="D181" s="87"/>
      <c r="E181" s="10" t="s">
        <v>55</v>
      </c>
      <c r="F181" s="10" t="s">
        <v>168</v>
      </c>
      <c r="G181" s="11" t="n">
        <v>70879</v>
      </c>
      <c r="H181" s="11" t="n">
        <v>74439.17</v>
      </c>
      <c r="I181" s="11" t="n">
        <v>88930</v>
      </c>
      <c r="J181" s="11" t="n">
        <v>88060.03</v>
      </c>
      <c r="K181" s="11" t="n">
        <v>88335</v>
      </c>
      <c r="L181" s="11"/>
      <c r="M181" s="11" t="n">
        <v>7</v>
      </c>
      <c r="N181" s="11"/>
      <c r="O181" s="11"/>
      <c r="P181" s="11" t="n">
        <f aca="false">K181+SUM(L181:O181)</f>
        <v>88342</v>
      </c>
      <c r="Q181" s="11" t="n">
        <v>15638.64</v>
      </c>
      <c r="R181" s="12" t="n">
        <f aca="false">Q181/$P181</f>
        <v>0.177023839170496</v>
      </c>
      <c r="S181" s="11" t="n">
        <v>41559.82</v>
      </c>
      <c r="T181" s="12" t="n">
        <f aca="false">S181/$P181</f>
        <v>0.470442371691834</v>
      </c>
      <c r="U181" s="11" t="n">
        <v>56789.28</v>
      </c>
      <c r="V181" s="12" t="n">
        <f aca="false">U181/$P181</f>
        <v>0.642834438885241</v>
      </c>
      <c r="W181" s="11" t="n">
        <v>87928.51</v>
      </c>
      <c r="X181" s="12" t="n">
        <f aca="false">W181/$P181</f>
        <v>0.995319440356795</v>
      </c>
      <c r="Y181" s="11" t="n">
        <f aca="false">K181</f>
        <v>88335</v>
      </c>
      <c r="Z181" s="11" t="n">
        <f aca="false">Y181</f>
        <v>88335</v>
      </c>
    </row>
    <row r="182" customFormat="false" ht="12.8" hidden="false" customHeight="false" outlineLevel="0" collapsed="false">
      <c r="D182" s="45" t="s">
        <v>169</v>
      </c>
      <c r="E182" s="10" t="n">
        <v>630</v>
      </c>
      <c r="F182" s="10" t="s">
        <v>126</v>
      </c>
      <c r="G182" s="11" t="n">
        <v>0</v>
      </c>
      <c r="H182" s="11" t="n">
        <v>0</v>
      </c>
      <c r="I182" s="11" t="n">
        <v>0</v>
      </c>
      <c r="J182" s="11" t="n">
        <v>0</v>
      </c>
      <c r="K182" s="11" t="n">
        <v>0</v>
      </c>
      <c r="L182" s="11"/>
      <c r="M182" s="11"/>
      <c r="N182" s="11"/>
      <c r="O182" s="11" t="n">
        <v>859</v>
      </c>
      <c r="P182" s="11" t="n">
        <f aca="false">K182+SUM(L182:O182)</f>
        <v>859</v>
      </c>
      <c r="Q182" s="11" t="n">
        <v>0</v>
      </c>
      <c r="R182" s="12" t="n">
        <f aca="false">Q182/$P182</f>
        <v>0</v>
      </c>
      <c r="S182" s="11" t="n">
        <v>0</v>
      </c>
      <c r="T182" s="12" t="n">
        <f aca="false">S182/$P182</f>
        <v>0</v>
      </c>
      <c r="U182" s="11" t="n">
        <v>0</v>
      </c>
      <c r="V182" s="12" t="n">
        <f aca="false">U182/$P182</f>
        <v>0</v>
      </c>
      <c r="W182" s="11" t="n">
        <v>859.78</v>
      </c>
      <c r="X182" s="12" t="n">
        <f aca="false">W182/$P182</f>
        <v>1.00090803259604</v>
      </c>
      <c r="Y182" s="11" t="n">
        <f aca="false">K182</f>
        <v>0</v>
      </c>
      <c r="Z182" s="11" t="n">
        <f aca="false">Y182</f>
        <v>0</v>
      </c>
    </row>
    <row r="183" customFormat="false" ht="12.8" hidden="false" customHeight="false" outlineLevel="0" collapsed="false">
      <c r="A183" s="1" t="n">
        <v>2</v>
      </c>
      <c r="B183" s="1" t="n">
        <v>2</v>
      </c>
      <c r="D183" s="75" t="s">
        <v>21</v>
      </c>
      <c r="E183" s="32" t="n">
        <v>41</v>
      </c>
      <c r="F183" s="32" t="s">
        <v>23</v>
      </c>
      <c r="G183" s="33" t="n">
        <f aca="false">SUM(G179:G182)</f>
        <v>75029.7</v>
      </c>
      <c r="H183" s="33" t="n">
        <f aca="false">SUM(H179:H182)</f>
        <v>77886.33</v>
      </c>
      <c r="I183" s="33" t="n">
        <f aca="false">SUM(I179:I182)</f>
        <v>91850</v>
      </c>
      <c r="J183" s="33" t="n">
        <f aca="false">SUM(J179:J182)</f>
        <v>89037.73</v>
      </c>
      <c r="K183" s="33" t="n">
        <f aca="false">SUM(K179:K182)</f>
        <v>89950</v>
      </c>
      <c r="L183" s="33" t="n">
        <f aca="false">SUM(L179:L182)</f>
        <v>600</v>
      </c>
      <c r="M183" s="33" t="n">
        <f aca="false">SUM(M179:M182)</f>
        <v>7</v>
      </c>
      <c r="N183" s="33" t="n">
        <f aca="false">SUM(N179:N182)</f>
        <v>0</v>
      </c>
      <c r="O183" s="33" t="n">
        <f aca="false">SUM(O179:O182)</f>
        <v>781</v>
      </c>
      <c r="P183" s="33" t="n">
        <f aca="false">SUM(P179:P182)</f>
        <v>91338</v>
      </c>
      <c r="Q183" s="33" t="n">
        <f aca="false">SUM(Q179:Q182)</f>
        <v>16272.39</v>
      </c>
      <c r="R183" s="34" t="n">
        <f aca="false">Q183/$P183</f>
        <v>0.178155751165999</v>
      </c>
      <c r="S183" s="33" t="n">
        <f aca="false">SUM(S179:S182)</f>
        <v>42964.18</v>
      </c>
      <c r="T183" s="34" t="n">
        <f aca="false">S183/$P183</f>
        <v>0.470386695570299</v>
      </c>
      <c r="U183" s="33" t="n">
        <f aca="false">SUM(U179:U182)</f>
        <v>58333.86</v>
      </c>
      <c r="V183" s="34" t="n">
        <f aca="false">U183/$P183</f>
        <v>0.63865926558497</v>
      </c>
      <c r="W183" s="33" t="n">
        <f aca="false">SUM(W179:W182)</f>
        <v>90923.98</v>
      </c>
      <c r="X183" s="34" t="n">
        <f aca="false">W183/$P183</f>
        <v>0.995467165911231</v>
      </c>
      <c r="Y183" s="33" t="n">
        <f aca="false">SUM(Y179:Y182)</f>
        <v>89950</v>
      </c>
      <c r="Z183" s="33" t="n">
        <f aca="false">SUM(Z179:Z182)</f>
        <v>89950</v>
      </c>
    </row>
    <row r="184" customFormat="false" ht="12.8" hidden="false" customHeight="false" outlineLevel="0" collapsed="false">
      <c r="D184" s="87" t="s">
        <v>167</v>
      </c>
      <c r="E184" s="10" t="s">
        <v>55</v>
      </c>
      <c r="F184" s="10" t="s">
        <v>25</v>
      </c>
      <c r="G184" s="11" t="n">
        <v>0</v>
      </c>
      <c r="H184" s="11" t="n">
        <v>0</v>
      </c>
      <c r="I184" s="11" t="n">
        <v>0</v>
      </c>
      <c r="J184" s="11" t="n">
        <v>0</v>
      </c>
      <c r="K184" s="11" t="n">
        <f aca="false">príjmy!H60</f>
        <v>45500</v>
      </c>
      <c r="L184" s="11"/>
      <c r="M184" s="11" t="n">
        <v>4652</v>
      </c>
      <c r="N184" s="11"/>
      <c r="O184" s="11"/>
      <c r="P184" s="11" t="n">
        <f aca="false">K184+SUM(L184:O184)</f>
        <v>50152</v>
      </c>
      <c r="Q184" s="11" t="n">
        <v>14287.34</v>
      </c>
      <c r="R184" s="12" t="n">
        <f aca="false">Q184/$P184</f>
        <v>0.284880762482055</v>
      </c>
      <c r="S184" s="11" t="n">
        <v>27810.35</v>
      </c>
      <c r="T184" s="12" t="n">
        <f aca="false">S184/$P184</f>
        <v>0.554521255383634</v>
      </c>
      <c r="U184" s="11" t="n">
        <v>35059.13</v>
      </c>
      <c r="V184" s="12" t="n">
        <f aca="false">U184/$P184</f>
        <v>0.699057465305471</v>
      </c>
      <c r="W184" s="11" t="n">
        <v>53456.9</v>
      </c>
      <c r="X184" s="12" t="n">
        <f aca="false">W184/$P184</f>
        <v>1.06589767107992</v>
      </c>
      <c r="Y184" s="11" t="n">
        <f aca="false">K184</f>
        <v>45500</v>
      </c>
      <c r="Z184" s="11" t="n">
        <f aca="false">Y184</f>
        <v>45500</v>
      </c>
    </row>
    <row r="185" customFormat="false" ht="12.8" hidden="false" customHeight="false" outlineLevel="0" collapsed="false">
      <c r="D185" s="75" t="s">
        <v>21</v>
      </c>
      <c r="E185" s="32" t="n">
        <v>72</v>
      </c>
      <c r="F185" s="32" t="s">
        <v>25</v>
      </c>
      <c r="G185" s="33" t="n">
        <f aca="false">SUM(G184:G184)</f>
        <v>0</v>
      </c>
      <c r="H185" s="33" t="n">
        <f aca="false">SUM(H184:H184)</f>
        <v>0</v>
      </c>
      <c r="I185" s="33" t="n">
        <f aca="false">SUM(I184:I184)</f>
        <v>0</v>
      </c>
      <c r="J185" s="33" t="n">
        <f aca="false">SUM(J184:J184)</f>
        <v>0</v>
      </c>
      <c r="K185" s="33" t="n">
        <f aca="false">SUM(K184:K184)</f>
        <v>45500</v>
      </c>
      <c r="L185" s="33" t="n">
        <f aca="false">SUM(L184:L184)</f>
        <v>0</v>
      </c>
      <c r="M185" s="33" t="n">
        <f aca="false">SUM(M184:M184)</f>
        <v>4652</v>
      </c>
      <c r="N185" s="33" t="n">
        <f aca="false">SUM(N184:N184)</f>
        <v>0</v>
      </c>
      <c r="O185" s="33" t="n">
        <f aca="false">SUM(O184:O184)</f>
        <v>0</v>
      </c>
      <c r="P185" s="33" t="n">
        <f aca="false">SUM(P184:P184)</f>
        <v>50152</v>
      </c>
      <c r="Q185" s="33" t="n">
        <f aca="false">SUM(Q184:Q184)</f>
        <v>14287.34</v>
      </c>
      <c r="R185" s="34" t="n">
        <f aca="false">Q185/$P185</f>
        <v>0.284880762482055</v>
      </c>
      <c r="S185" s="33" t="n">
        <f aca="false">SUM(S184:S184)</f>
        <v>27810.35</v>
      </c>
      <c r="T185" s="34" t="n">
        <f aca="false">S185/$P185</f>
        <v>0.554521255383634</v>
      </c>
      <c r="U185" s="33" t="n">
        <f aca="false">SUM(U184:U184)</f>
        <v>35059.13</v>
      </c>
      <c r="V185" s="34" t="n">
        <f aca="false">U185/$P185</f>
        <v>0.699057465305471</v>
      </c>
      <c r="W185" s="33" t="n">
        <f aca="false">SUM(W184:W184)</f>
        <v>53456.9</v>
      </c>
      <c r="X185" s="34" t="n">
        <f aca="false">W185/$P185</f>
        <v>1.06589767107992</v>
      </c>
      <c r="Y185" s="33" t="n">
        <f aca="false">SUM(Y184:Y184)</f>
        <v>45500</v>
      </c>
      <c r="Z185" s="33" t="n">
        <f aca="false">SUM(Z184:Z184)</f>
        <v>45500</v>
      </c>
    </row>
    <row r="186" customFormat="false" ht="12.8" hidden="false" customHeight="false" outlineLevel="0" collapsed="false">
      <c r="A186" s="1" t="n">
        <v>2</v>
      </c>
      <c r="B186" s="1" t="n">
        <v>2</v>
      </c>
      <c r="D186" s="16"/>
      <c r="E186" s="17"/>
      <c r="F186" s="13" t="s">
        <v>119</v>
      </c>
      <c r="G186" s="14" t="n">
        <f aca="false">G178+G183+G185</f>
        <v>470179.79</v>
      </c>
      <c r="H186" s="14" t="n">
        <f aca="false">H178+H183+H185</f>
        <v>498887.04</v>
      </c>
      <c r="I186" s="14" t="n">
        <f aca="false">I178+I183+I185</f>
        <v>515995</v>
      </c>
      <c r="J186" s="14" t="n">
        <f aca="false">J178+J183+J185</f>
        <v>517370.73</v>
      </c>
      <c r="K186" s="14" t="n">
        <f aca="false">K178+K183+K185</f>
        <v>583320</v>
      </c>
      <c r="L186" s="14" t="n">
        <f aca="false">L178+L183+L185</f>
        <v>600</v>
      </c>
      <c r="M186" s="14" t="n">
        <f aca="false">M178+M183+M185</f>
        <v>11106</v>
      </c>
      <c r="N186" s="14" t="n">
        <f aca="false">N178+N183+N185</f>
        <v>0</v>
      </c>
      <c r="O186" s="14" t="n">
        <f aca="false">O178+O183+O185</f>
        <v>781</v>
      </c>
      <c r="P186" s="14" t="n">
        <f aca="false">P178+P183+P185</f>
        <v>595807</v>
      </c>
      <c r="Q186" s="14" t="n">
        <f aca="false">Q178+Q183+Q185</f>
        <v>119453.18</v>
      </c>
      <c r="R186" s="15" t="n">
        <f aca="false">Q186/$P186</f>
        <v>0.200489722342973</v>
      </c>
      <c r="S186" s="14" t="n">
        <f aca="false">S178+S183+S185</f>
        <v>268339.07</v>
      </c>
      <c r="T186" s="15" t="n">
        <f aca="false">S186/$P186</f>
        <v>0.450379183191873</v>
      </c>
      <c r="U186" s="14" t="n">
        <f aca="false">U178+U183+U185</f>
        <v>387603.84</v>
      </c>
      <c r="V186" s="15" t="n">
        <f aca="false">U186/$P186</f>
        <v>0.650552678971546</v>
      </c>
      <c r="W186" s="14" t="n">
        <f aca="false">W178+W183+W185</f>
        <v>595083</v>
      </c>
      <c r="X186" s="15" t="n">
        <f aca="false">W186/$P186</f>
        <v>0.998784841399984</v>
      </c>
      <c r="Y186" s="14" t="n">
        <f aca="false">Y178+Y183+Y185</f>
        <v>583320</v>
      </c>
      <c r="Z186" s="14" t="n">
        <f aca="false">Z178+Z183+Z185</f>
        <v>583320</v>
      </c>
    </row>
    <row r="188" customFormat="false" ht="12.8" hidden="false" customHeight="false" outlineLevel="0" collapsed="false">
      <c r="D188" s="27" t="s">
        <v>170</v>
      </c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8"/>
      <c r="S188" s="27"/>
      <c r="T188" s="28"/>
      <c r="U188" s="27"/>
      <c r="V188" s="28"/>
      <c r="W188" s="27"/>
      <c r="X188" s="28"/>
      <c r="Y188" s="27"/>
      <c r="Z188" s="27"/>
    </row>
    <row r="189" customFormat="false" ht="12.8" hidden="false" customHeight="false" outlineLevel="0" collapsed="false">
      <c r="D189" s="7" t="s">
        <v>33</v>
      </c>
      <c r="E189" s="7" t="s">
        <v>34</v>
      </c>
      <c r="F189" s="7" t="s">
        <v>35</v>
      </c>
      <c r="G189" s="7" t="s">
        <v>1</v>
      </c>
      <c r="H189" s="7" t="s">
        <v>2</v>
      </c>
      <c r="I189" s="7" t="s">
        <v>3</v>
      </c>
      <c r="J189" s="7" t="s">
        <v>4</v>
      </c>
      <c r="K189" s="7" t="s">
        <v>5</v>
      </c>
      <c r="L189" s="7" t="s">
        <v>6</v>
      </c>
      <c r="M189" s="7" t="s">
        <v>7</v>
      </c>
      <c r="N189" s="7" t="s">
        <v>8</v>
      </c>
      <c r="O189" s="7" t="s">
        <v>9</v>
      </c>
      <c r="P189" s="7" t="s">
        <v>10</v>
      </c>
      <c r="Q189" s="7" t="s">
        <v>11</v>
      </c>
      <c r="R189" s="8" t="s">
        <v>12</v>
      </c>
      <c r="S189" s="7" t="s">
        <v>13</v>
      </c>
      <c r="T189" s="8" t="s">
        <v>14</v>
      </c>
      <c r="U189" s="7" t="s">
        <v>15</v>
      </c>
      <c r="V189" s="8" t="s">
        <v>16</v>
      </c>
      <c r="W189" s="7" t="s">
        <v>17</v>
      </c>
      <c r="X189" s="8" t="s">
        <v>18</v>
      </c>
      <c r="Y189" s="7" t="s">
        <v>19</v>
      </c>
      <c r="Z189" s="7" t="s">
        <v>20</v>
      </c>
    </row>
    <row r="190" customFormat="false" ht="12.8" hidden="false" customHeight="false" outlineLevel="0" collapsed="false">
      <c r="A190" s="1" t="n">
        <v>2</v>
      </c>
      <c r="B190" s="1" t="n">
        <v>3</v>
      </c>
      <c r="D190" s="87" t="s">
        <v>171</v>
      </c>
      <c r="E190" s="10" t="n">
        <v>610</v>
      </c>
      <c r="F190" s="10" t="s">
        <v>124</v>
      </c>
      <c r="G190" s="11" t="n">
        <v>1062</v>
      </c>
      <c r="H190" s="11" t="n">
        <v>0</v>
      </c>
      <c r="I190" s="11" t="n">
        <v>0</v>
      </c>
      <c r="J190" s="11" t="n">
        <v>0</v>
      </c>
      <c r="K190" s="11" t="n">
        <f aca="false">H190</f>
        <v>0</v>
      </c>
      <c r="L190" s="11"/>
      <c r="M190" s="11"/>
      <c r="N190" s="11"/>
      <c r="O190" s="11"/>
      <c r="P190" s="11" t="n">
        <f aca="false">K190+SUM(L190:O190)</f>
        <v>0</v>
      </c>
      <c r="Q190" s="11" t="n">
        <v>0</v>
      </c>
      <c r="R190" s="12" t="e">
        <f aca="false">Q190/$P190</f>
        <v>#DIV/0!</v>
      </c>
      <c r="S190" s="11" t="n">
        <v>0</v>
      </c>
      <c r="T190" s="12" t="e">
        <f aca="false">S190/$P190</f>
        <v>#DIV/0!</v>
      </c>
      <c r="U190" s="11" t="n">
        <v>0</v>
      </c>
      <c r="V190" s="12" t="e">
        <f aca="false">U190/$P190</f>
        <v>#DIV/0!</v>
      </c>
      <c r="W190" s="11" t="n">
        <v>0</v>
      </c>
      <c r="X190" s="12" t="e">
        <f aca="false">W190/$P190</f>
        <v>#DIV/0!</v>
      </c>
      <c r="Y190" s="11" t="n">
        <f aca="false">K190</f>
        <v>0</v>
      </c>
      <c r="Z190" s="11" t="n">
        <f aca="false">Y190</f>
        <v>0</v>
      </c>
    </row>
    <row r="191" customFormat="false" ht="12.8" hidden="false" customHeight="false" outlineLevel="0" collapsed="false">
      <c r="A191" s="1" t="n">
        <v>2</v>
      </c>
      <c r="B191" s="1" t="n">
        <v>3</v>
      </c>
      <c r="D191" s="87"/>
      <c r="E191" s="10" t="n">
        <v>630</v>
      </c>
      <c r="F191" s="10" t="s">
        <v>126</v>
      </c>
      <c r="G191" s="11" t="n">
        <v>0</v>
      </c>
      <c r="H191" s="11" t="n">
        <v>781</v>
      </c>
      <c r="I191" s="11" t="n">
        <v>780</v>
      </c>
      <c r="J191" s="11" t="n">
        <v>889</v>
      </c>
      <c r="K191" s="11" t="n">
        <v>890</v>
      </c>
      <c r="L191" s="11"/>
      <c r="M191" s="11"/>
      <c r="N191" s="11"/>
      <c r="O191" s="11" t="n">
        <v>76</v>
      </c>
      <c r="P191" s="11" t="n">
        <f aca="false">K191+SUM(L191:O191)</f>
        <v>966</v>
      </c>
      <c r="Q191" s="11" t="n">
        <v>0</v>
      </c>
      <c r="R191" s="12" t="n">
        <f aca="false">Q191/$P191</f>
        <v>0</v>
      </c>
      <c r="S191" s="11" t="n">
        <v>0</v>
      </c>
      <c r="T191" s="12" t="n">
        <f aca="false">S191/$P191</f>
        <v>0</v>
      </c>
      <c r="U191" s="11" t="n">
        <v>0</v>
      </c>
      <c r="V191" s="12" t="n">
        <f aca="false">U191/$P191</f>
        <v>0</v>
      </c>
      <c r="W191" s="11" t="n">
        <v>966</v>
      </c>
      <c r="X191" s="12" t="n">
        <f aca="false">W191/$P191</f>
        <v>1</v>
      </c>
      <c r="Y191" s="11" t="n">
        <f aca="false">K191</f>
        <v>890</v>
      </c>
      <c r="Z191" s="11" t="n">
        <f aca="false">Y191</f>
        <v>890</v>
      </c>
    </row>
    <row r="192" customFormat="false" ht="12.8" hidden="false" customHeight="false" outlineLevel="0" collapsed="false">
      <c r="A192" s="1" t="n">
        <v>2</v>
      </c>
      <c r="B192" s="1" t="n">
        <v>3</v>
      </c>
      <c r="D192" s="75" t="s">
        <v>21</v>
      </c>
      <c r="E192" s="32" t="n">
        <v>111</v>
      </c>
      <c r="F192" s="32" t="s">
        <v>130</v>
      </c>
      <c r="G192" s="33" t="n">
        <f aca="false">SUM(G190:G191)</f>
        <v>1062</v>
      </c>
      <c r="H192" s="33" t="n">
        <f aca="false">SUM(H190:H191)</f>
        <v>781</v>
      </c>
      <c r="I192" s="33" t="n">
        <f aca="false">SUM(I190:I191)</f>
        <v>780</v>
      </c>
      <c r="J192" s="33" t="n">
        <f aca="false">SUM(J190:J191)</f>
        <v>889</v>
      </c>
      <c r="K192" s="33" t="n">
        <f aca="false">SUM(K190:K191)</f>
        <v>890</v>
      </c>
      <c r="L192" s="33" t="n">
        <f aca="false">SUM(L190:L191)</f>
        <v>0</v>
      </c>
      <c r="M192" s="33" t="n">
        <f aca="false">SUM(M190:M191)</f>
        <v>0</v>
      </c>
      <c r="N192" s="33" t="n">
        <f aca="false">SUM(N190:N191)</f>
        <v>0</v>
      </c>
      <c r="O192" s="33" t="n">
        <f aca="false">SUM(O190:O191)</f>
        <v>76</v>
      </c>
      <c r="P192" s="33" t="n">
        <f aca="false">SUM(P190:P191)</f>
        <v>966</v>
      </c>
      <c r="Q192" s="33" t="n">
        <f aca="false">SUM(Q190:Q191)</f>
        <v>0</v>
      </c>
      <c r="R192" s="34" t="n">
        <f aca="false">Q192/$P192</f>
        <v>0</v>
      </c>
      <c r="S192" s="33" t="n">
        <f aca="false">SUM(S190:S191)</f>
        <v>0</v>
      </c>
      <c r="T192" s="34" t="n">
        <f aca="false">S192/$P192</f>
        <v>0</v>
      </c>
      <c r="U192" s="33" t="n">
        <f aca="false">SUM(U190:U191)</f>
        <v>0</v>
      </c>
      <c r="V192" s="34" t="n">
        <f aca="false">U192/$P192</f>
        <v>0</v>
      </c>
      <c r="W192" s="33" t="n">
        <f aca="false">SUM(W190:W191)</f>
        <v>966</v>
      </c>
      <c r="X192" s="34" t="n">
        <f aca="false">W192/$P192</f>
        <v>1</v>
      </c>
      <c r="Y192" s="33" t="n">
        <f aca="false">SUM(Y190:Y191)</f>
        <v>890</v>
      </c>
      <c r="Z192" s="33" t="n">
        <f aca="false">SUM(Z190:Z191)</f>
        <v>890</v>
      </c>
    </row>
    <row r="193" customFormat="false" ht="12.8" hidden="false" customHeight="false" outlineLevel="0" collapsed="false">
      <c r="A193" s="1" t="n">
        <v>2</v>
      </c>
      <c r="B193" s="1" t="n">
        <v>3</v>
      </c>
      <c r="D193" s="36" t="s">
        <v>171</v>
      </c>
      <c r="E193" s="10" t="n">
        <v>610</v>
      </c>
      <c r="F193" s="10" t="s">
        <v>124</v>
      </c>
      <c r="G193" s="11" t="n">
        <v>13010.75</v>
      </c>
      <c r="H193" s="11" t="n">
        <v>4286.61</v>
      </c>
      <c r="I193" s="11" t="n">
        <v>5240</v>
      </c>
      <c r="J193" s="11" t="n">
        <v>9102.94</v>
      </c>
      <c r="K193" s="11" t="n">
        <v>13208</v>
      </c>
      <c r="L193" s="11"/>
      <c r="M193" s="11" t="n">
        <v>-67</v>
      </c>
      <c r="N193" s="11"/>
      <c r="O193" s="11" t="n">
        <v>215</v>
      </c>
      <c r="P193" s="11" t="n">
        <f aca="false">K193+SUM(L193:O193)</f>
        <v>13356</v>
      </c>
      <c r="Q193" s="11" t="n">
        <v>3175.7</v>
      </c>
      <c r="R193" s="12" t="n">
        <f aca="false">Q193/$P193</f>
        <v>0.237773285414795</v>
      </c>
      <c r="S193" s="11" t="n">
        <v>6286.7</v>
      </c>
      <c r="T193" s="12" t="n">
        <f aca="false">S193/$P193</f>
        <v>0.470702306079665</v>
      </c>
      <c r="U193" s="11" t="n">
        <v>8742.88</v>
      </c>
      <c r="V193" s="12" t="n">
        <f aca="false">U193/$P193</f>
        <v>0.654603174603175</v>
      </c>
      <c r="W193" s="11" t="n">
        <v>13355.98</v>
      </c>
      <c r="X193" s="12" t="n">
        <f aca="false">W193/$P193</f>
        <v>0.999998502545672</v>
      </c>
      <c r="Y193" s="11" t="n">
        <v>13832</v>
      </c>
      <c r="Z193" s="11" t="n">
        <v>14488</v>
      </c>
    </row>
    <row r="194" customFormat="false" ht="12.8" hidden="false" customHeight="false" outlineLevel="0" collapsed="false">
      <c r="A194" s="1" t="n">
        <v>2</v>
      </c>
      <c r="B194" s="1" t="n">
        <v>3</v>
      </c>
      <c r="D194" s="36"/>
      <c r="E194" s="10" t="n">
        <v>620</v>
      </c>
      <c r="F194" s="10" t="s">
        <v>125</v>
      </c>
      <c r="G194" s="11" t="n">
        <v>6167.85</v>
      </c>
      <c r="H194" s="11" t="n">
        <v>4413.91</v>
      </c>
      <c r="I194" s="11" t="n">
        <v>5120</v>
      </c>
      <c r="J194" s="11" t="n">
        <v>5685.2</v>
      </c>
      <c r="K194" s="11" t="n">
        <v>7289</v>
      </c>
      <c r="L194" s="11"/>
      <c r="M194" s="11" t="n">
        <v>67</v>
      </c>
      <c r="N194" s="11"/>
      <c r="O194" s="11" t="n">
        <v>-215</v>
      </c>
      <c r="P194" s="11" t="n">
        <f aca="false">K194+SUM(L194:O194)</f>
        <v>7141</v>
      </c>
      <c r="Q194" s="11" t="n">
        <v>1563.68</v>
      </c>
      <c r="R194" s="12" t="n">
        <f aca="false">Q194/$P194</f>
        <v>0.218972132754516</v>
      </c>
      <c r="S194" s="11" t="n">
        <v>3204.35</v>
      </c>
      <c r="T194" s="12" t="n">
        <f aca="false">S194/$P194</f>
        <v>0.448725668673855</v>
      </c>
      <c r="U194" s="11" t="n">
        <v>4491.34</v>
      </c>
      <c r="V194" s="12" t="n">
        <f aca="false">U194/$P194</f>
        <v>0.628951127293096</v>
      </c>
      <c r="W194" s="11" t="n">
        <v>6279.96</v>
      </c>
      <c r="X194" s="12" t="n">
        <f aca="false">W194/$P194</f>
        <v>0.879423049992998</v>
      </c>
      <c r="Y194" s="11" t="n">
        <v>7477</v>
      </c>
      <c r="Z194" s="11" t="n">
        <v>7672</v>
      </c>
    </row>
    <row r="195" customFormat="false" ht="12.8" hidden="false" customHeight="false" outlineLevel="0" collapsed="false">
      <c r="A195" s="1" t="n">
        <v>2</v>
      </c>
      <c r="B195" s="1" t="n">
        <v>3</v>
      </c>
      <c r="D195" s="36"/>
      <c r="E195" s="10" t="n">
        <v>630</v>
      </c>
      <c r="F195" s="10" t="s">
        <v>126</v>
      </c>
      <c r="G195" s="11" t="n">
        <v>8536.38</v>
      </c>
      <c r="H195" s="11" t="n">
        <v>10503.33</v>
      </c>
      <c r="I195" s="11" t="n">
        <v>21471</v>
      </c>
      <c r="J195" s="11" t="n">
        <v>17104.81</v>
      </c>
      <c r="K195" s="37" t="n">
        <f aca="false">14765+1656</f>
        <v>16421</v>
      </c>
      <c r="L195" s="11"/>
      <c r="M195" s="11" t="n">
        <f aca="false">-67-1874</f>
        <v>-1941</v>
      </c>
      <c r="N195" s="11"/>
      <c r="O195" s="11"/>
      <c r="P195" s="11" t="n">
        <f aca="false">K195+SUM(L195:O195)</f>
        <v>14480</v>
      </c>
      <c r="Q195" s="11" t="n">
        <v>2565.52</v>
      </c>
      <c r="R195" s="12" t="n">
        <f aca="false">Q195/$P195</f>
        <v>0.17717679558011</v>
      </c>
      <c r="S195" s="11" t="n">
        <v>5546.87</v>
      </c>
      <c r="T195" s="12" t="n">
        <f aca="false">S195/$P195</f>
        <v>0.383071132596685</v>
      </c>
      <c r="U195" s="11" t="n">
        <v>7748.4</v>
      </c>
      <c r="V195" s="12" t="n">
        <f aca="false">U195/$P195</f>
        <v>0.535110497237569</v>
      </c>
      <c r="W195" s="11" t="n">
        <v>9849.68</v>
      </c>
      <c r="X195" s="12" t="n">
        <f aca="false">W195/$P195</f>
        <v>0.680226519337017</v>
      </c>
      <c r="Y195" s="11" t="n">
        <f aca="false">14772+1656</f>
        <v>16428</v>
      </c>
      <c r="Z195" s="11" t="n">
        <f aca="false">14785+1656</f>
        <v>16441</v>
      </c>
    </row>
    <row r="196" customFormat="false" ht="12.8" hidden="false" customHeight="false" outlineLevel="0" collapsed="false">
      <c r="A196" s="1" t="n">
        <v>2</v>
      </c>
      <c r="B196" s="1" t="n">
        <v>3</v>
      </c>
      <c r="D196" s="36"/>
      <c r="E196" s="10" t="n">
        <v>640</v>
      </c>
      <c r="F196" s="10" t="s">
        <v>127</v>
      </c>
      <c r="G196" s="11" t="n">
        <v>1226.17</v>
      </c>
      <c r="H196" s="11" t="n">
        <v>1596</v>
      </c>
      <c r="I196" s="11" t="n">
        <v>1451</v>
      </c>
      <c r="J196" s="11" t="n">
        <v>1516.76</v>
      </c>
      <c r="K196" s="11" t="n">
        <v>0</v>
      </c>
      <c r="L196" s="11"/>
      <c r="M196" s="11" t="n">
        <v>1941</v>
      </c>
      <c r="N196" s="11"/>
      <c r="O196" s="11"/>
      <c r="P196" s="11" t="n">
        <f aca="false">K196+SUM(L196:O196)</f>
        <v>1941</v>
      </c>
      <c r="Q196" s="11" t="n">
        <v>0</v>
      </c>
      <c r="R196" s="12" t="n">
        <f aca="false">Q196/$P196</f>
        <v>0</v>
      </c>
      <c r="S196" s="11" t="n">
        <v>0</v>
      </c>
      <c r="T196" s="12" t="n">
        <f aca="false">S196/$P196</f>
        <v>0</v>
      </c>
      <c r="U196" s="11" t="n">
        <v>1941.68</v>
      </c>
      <c r="V196" s="12" t="n">
        <f aca="false">U196/$P196</f>
        <v>1.00035033487893</v>
      </c>
      <c r="W196" s="11" t="n">
        <v>1941.68</v>
      </c>
      <c r="X196" s="12" t="n">
        <f aca="false">W196/$P196</f>
        <v>1.00035033487893</v>
      </c>
      <c r="Y196" s="11" t="n">
        <f aca="false">K196</f>
        <v>0</v>
      </c>
      <c r="Z196" s="11" t="n">
        <f aca="false">Y196</f>
        <v>0</v>
      </c>
    </row>
    <row r="197" customFormat="false" ht="12.8" hidden="false" customHeight="false" outlineLevel="0" collapsed="false">
      <c r="A197" s="1" t="n">
        <v>2</v>
      </c>
      <c r="B197" s="1" t="n">
        <v>3</v>
      </c>
      <c r="D197" s="75" t="s">
        <v>21</v>
      </c>
      <c r="E197" s="32" t="n">
        <v>41</v>
      </c>
      <c r="F197" s="32" t="s">
        <v>23</v>
      </c>
      <c r="G197" s="33" t="n">
        <f aca="false">SUM(G193:G196)</f>
        <v>28941.15</v>
      </c>
      <c r="H197" s="33" t="n">
        <f aca="false">SUM(H193:H196)</f>
        <v>20799.85</v>
      </c>
      <c r="I197" s="33" t="n">
        <f aca="false">SUM(I193:I196)</f>
        <v>33282</v>
      </c>
      <c r="J197" s="33" t="n">
        <f aca="false">SUM(J193:J196)</f>
        <v>33409.71</v>
      </c>
      <c r="K197" s="33" t="n">
        <f aca="false">SUM(K193:K196)</f>
        <v>36918</v>
      </c>
      <c r="L197" s="33" t="n">
        <f aca="false">SUM(L193:L196)</f>
        <v>0</v>
      </c>
      <c r="M197" s="33" t="n">
        <f aca="false">SUM(M193:M196)</f>
        <v>0</v>
      </c>
      <c r="N197" s="33" t="n">
        <f aca="false">SUM(N193:N196)</f>
        <v>0</v>
      </c>
      <c r="O197" s="33" t="n">
        <f aca="false">SUM(O193:O196)</f>
        <v>0</v>
      </c>
      <c r="P197" s="33" t="n">
        <f aca="false">SUM(P193:P196)</f>
        <v>36918</v>
      </c>
      <c r="Q197" s="33" t="n">
        <f aca="false">SUM(Q193:Q196)</f>
        <v>7304.9</v>
      </c>
      <c r="R197" s="34" t="n">
        <f aca="false">Q197/$P197</f>
        <v>0.197868248550842</v>
      </c>
      <c r="S197" s="33" t="n">
        <f aca="false">SUM(S193:S196)</f>
        <v>15037.92</v>
      </c>
      <c r="T197" s="34" t="n">
        <f aca="false">S197/$P197</f>
        <v>0.40733300828864</v>
      </c>
      <c r="U197" s="33" t="n">
        <f aca="false">SUM(U193:U196)</f>
        <v>22924.3</v>
      </c>
      <c r="V197" s="34" t="n">
        <f aca="false">U197/$P197</f>
        <v>0.620951839211225</v>
      </c>
      <c r="W197" s="33" t="n">
        <f aca="false">SUM(W193:W196)</f>
        <v>31427.3</v>
      </c>
      <c r="X197" s="34" t="n">
        <f aca="false">W197/$P197</f>
        <v>0.851273091716778</v>
      </c>
      <c r="Y197" s="33" t="n">
        <f aca="false">SUM(Y193:Y196)</f>
        <v>37737</v>
      </c>
      <c r="Z197" s="33" t="n">
        <f aca="false">SUM(Z193:Z196)</f>
        <v>38601</v>
      </c>
    </row>
    <row r="198" customFormat="false" ht="12.8" hidden="false" customHeight="false" outlineLevel="0" collapsed="false">
      <c r="D198" s="71" t="s">
        <v>171</v>
      </c>
      <c r="E198" s="10" t="n">
        <v>640</v>
      </c>
      <c r="F198" s="10" t="s">
        <v>127</v>
      </c>
      <c r="G198" s="11" t="n">
        <v>0</v>
      </c>
      <c r="H198" s="11" t="n">
        <v>0</v>
      </c>
      <c r="I198" s="11" t="n">
        <v>0</v>
      </c>
      <c r="J198" s="11" t="n">
        <v>0</v>
      </c>
      <c r="K198" s="11" t="n">
        <v>175</v>
      </c>
      <c r="L198" s="11"/>
      <c r="M198" s="11"/>
      <c r="N198" s="11"/>
      <c r="O198" s="11" t="n">
        <v>34</v>
      </c>
      <c r="P198" s="11" t="n">
        <f aca="false">K198+SUM(L198:O198)</f>
        <v>209</v>
      </c>
      <c r="Q198" s="11" t="n">
        <v>0</v>
      </c>
      <c r="R198" s="12" t="n">
        <f aca="false">Q198/$P198</f>
        <v>0</v>
      </c>
      <c r="S198" s="11" t="n">
        <v>0</v>
      </c>
      <c r="T198" s="12" t="n">
        <f aca="false">S198/$P198</f>
        <v>0</v>
      </c>
      <c r="U198" s="11" t="n">
        <v>0</v>
      </c>
      <c r="V198" s="12" t="n">
        <f aca="false">U198/$P198</f>
        <v>0</v>
      </c>
      <c r="W198" s="11" t="n">
        <v>209.37</v>
      </c>
      <c r="X198" s="12" t="n">
        <f aca="false">W198/$P198</f>
        <v>1.00177033492823</v>
      </c>
      <c r="Y198" s="11" t="n">
        <f aca="false">K198</f>
        <v>175</v>
      </c>
      <c r="Z198" s="11" t="n">
        <f aca="false">Y198</f>
        <v>175</v>
      </c>
    </row>
    <row r="199" customFormat="false" ht="12.8" hidden="false" customHeight="false" outlineLevel="0" collapsed="false">
      <c r="D199" s="75" t="s">
        <v>21</v>
      </c>
      <c r="E199" s="32" t="n">
        <v>72</v>
      </c>
      <c r="F199" s="32" t="s">
        <v>25</v>
      </c>
      <c r="G199" s="33" t="n">
        <f aca="false">SUM(G198:G198)</f>
        <v>0</v>
      </c>
      <c r="H199" s="33" t="n">
        <f aca="false">SUM(H198:H198)</f>
        <v>0</v>
      </c>
      <c r="I199" s="33" t="n">
        <f aca="false">SUM(I198:I198)</f>
        <v>0</v>
      </c>
      <c r="J199" s="33" t="n">
        <f aca="false">SUM(J198:J198)</f>
        <v>0</v>
      </c>
      <c r="K199" s="33" t="n">
        <f aca="false">SUM(K198:K198)</f>
        <v>175</v>
      </c>
      <c r="L199" s="33" t="n">
        <f aca="false">SUM(L198:L198)</f>
        <v>0</v>
      </c>
      <c r="M199" s="33" t="n">
        <f aca="false">SUM(M198:M198)</f>
        <v>0</v>
      </c>
      <c r="N199" s="33" t="n">
        <f aca="false">SUM(N198:N198)</f>
        <v>0</v>
      </c>
      <c r="O199" s="33" t="n">
        <f aca="false">SUM(O198:O198)</f>
        <v>34</v>
      </c>
      <c r="P199" s="33" t="n">
        <f aca="false">SUM(P198:P198)</f>
        <v>209</v>
      </c>
      <c r="Q199" s="33" t="n">
        <f aca="false">SUM(Q198:Q198)</f>
        <v>0</v>
      </c>
      <c r="R199" s="34" t="n">
        <f aca="false">Q199/$P199</f>
        <v>0</v>
      </c>
      <c r="S199" s="33" t="n">
        <f aca="false">SUM(S198:S198)</f>
        <v>0</v>
      </c>
      <c r="T199" s="34" t="n">
        <f aca="false">S199/$P199</f>
        <v>0</v>
      </c>
      <c r="U199" s="33" t="n">
        <f aca="false">SUM(U198:U198)</f>
        <v>0</v>
      </c>
      <c r="V199" s="34" t="n">
        <f aca="false">U199/$P199</f>
        <v>0</v>
      </c>
      <c r="W199" s="33" t="n">
        <f aca="false">SUM(W198:W198)</f>
        <v>209.37</v>
      </c>
      <c r="X199" s="34" t="n">
        <f aca="false">W199/$P199</f>
        <v>1.00177033492823</v>
      </c>
      <c r="Y199" s="33" t="n">
        <f aca="false">SUM(Y198:Y198)</f>
        <v>175</v>
      </c>
      <c r="Z199" s="33" t="n">
        <f aca="false">SUM(Z198:Z198)</f>
        <v>175</v>
      </c>
    </row>
    <row r="200" customFormat="false" ht="12.8" hidden="false" customHeight="false" outlineLevel="0" collapsed="false">
      <c r="A200" s="1" t="n">
        <v>2</v>
      </c>
      <c r="B200" s="1" t="n">
        <v>3</v>
      </c>
      <c r="D200" s="16"/>
      <c r="E200" s="17"/>
      <c r="F200" s="13" t="s">
        <v>119</v>
      </c>
      <c r="G200" s="14" t="n">
        <f aca="false">G192+G197+G199</f>
        <v>30003.15</v>
      </c>
      <c r="H200" s="14" t="n">
        <f aca="false">H192+H197+H199</f>
        <v>21580.85</v>
      </c>
      <c r="I200" s="14" t="n">
        <f aca="false">I192+I197+I199</f>
        <v>34062</v>
      </c>
      <c r="J200" s="14" t="n">
        <f aca="false">J192+J197+J199</f>
        <v>34298.71</v>
      </c>
      <c r="K200" s="14" t="n">
        <f aca="false">K192+K197+K199</f>
        <v>37983</v>
      </c>
      <c r="L200" s="14" t="n">
        <f aca="false">L192+L197+L199</f>
        <v>0</v>
      </c>
      <c r="M200" s="14" t="n">
        <f aca="false">M192+M197+M199</f>
        <v>0</v>
      </c>
      <c r="N200" s="14" t="n">
        <f aca="false">N192+N197+N199</f>
        <v>0</v>
      </c>
      <c r="O200" s="14" t="n">
        <f aca="false">O192+O197+O199</f>
        <v>110</v>
      </c>
      <c r="P200" s="14" t="n">
        <f aca="false">P192+P197+P199</f>
        <v>38093</v>
      </c>
      <c r="Q200" s="14" t="n">
        <f aca="false">Q192+Q197+Q199</f>
        <v>7304.9</v>
      </c>
      <c r="R200" s="15" t="n">
        <f aca="false">Q200/$P200</f>
        <v>0.191764891187357</v>
      </c>
      <c r="S200" s="14" t="n">
        <f aca="false">S192+S197+S199</f>
        <v>15037.92</v>
      </c>
      <c r="T200" s="15" t="n">
        <f aca="false">S200/$P200</f>
        <v>0.394768592654818</v>
      </c>
      <c r="U200" s="14" t="n">
        <f aca="false">U192+U197+U199</f>
        <v>22924.3</v>
      </c>
      <c r="V200" s="15" t="n">
        <f aca="false">U200/$P200</f>
        <v>0.60179823064605</v>
      </c>
      <c r="W200" s="14" t="n">
        <f aca="false">W192+W197+W199</f>
        <v>32602.67</v>
      </c>
      <c r="X200" s="15" t="n">
        <f aca="false">W200/$P200</f>
        <v>0.855870369884231</v>
      </c>
      <c r="Y200" s="14" t="n">
        <f aca="false">Y192+Y197+Y199</f>
        <v>38802</v>
      </c>
      <c r="Z200" s="14" t="n">
        <f aca="false">Z192+Z197+Z199</f>
        <v>39666</v>
      </c>
    </row>
    <row r="202" customFormat="false" ht="12.8" hidden="false" customHeight="false" outlineLevel="0" collapsed="false">
      <c r="D202" s="18" t="s">
        <v>172</v>
      </c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9"/>
      <c r="S202" s="18"/>
      <c r="T202" s="19"/>
      <c r="U202" s="18"/>
      <c r="V202" s="19"/>
      <c r="W202" s="18"/>
      <c r="X202" s="19"/>
      <c r="Y202" s="18"/>
      <c r="Z202" s="18"/>
    </row>
    <row r="203" customFormat="false" ht="12.8" hidden="false" customHeight="false" outlineLevel="0" collapsed="false">
      <c r="D203" s="6"/>
      <c r="E203" s="6"/>
      <c r="F203" s="6"/>
      <c r="G203" s="7" t="s">
        <v>1</v>
      </c>
      <c r="H203" s="7" t="s">
        <v>2</v>
      </c>
      <c r="I203" s="7" t="s">
        <v>3</v>
      </c>
      <c r="J203" s="7" t="s">
        <v>4</v>
      </c>
      <c r="K203" s="7" t="s">
        <v>5</v>
      </c>
      <c r="L203" s="7" t="s">
        <v>6</v>
      </c>
      <c r="M203" s="7" t="s">
        <v>7</v>
      </c>
      <c r="N203" s="7" t="s">
        <v>8</v>
      </c>
      <c r="O203" s="7" t="s">
        <v>9</v>
      </c>
      <c r="P203" s="7" t="s">
        <v>10</v>
      </c>
      <c r="Q203" s="7" t="s">
        <v>11</v>
      </c>
      <c r="R203" s="8" t="s">
        <v>12</v>
      </c>
      <c r="S203" s="7" t="s">
        <v>13</v>
      </c>
      <c r="T203" s="8" t="s">
        <v>14</v>
      </c>
      <c r="U203" s="7" t="s">
        <v>15</v>
      </c>
      <c r="V203" s="8" t="s">
        <v>16</v>
      </c>
      <c r="W203" s="7" t="s">
        <v>17</v>
      </c>
      <c r="X203" s="8" t="s">
        <v>18</v>
      </c>
      <c r="Y203" s="7" t="s">
        <v>19</v>
      </c>
      <c r="Z203" s="7" t="s">
        <v>20</v>
      </c>
    </row>
    <row r="204" customFormat="false" ht="12.8" hidden="false" customHeight="false" outlineLevel="0" collapsed="false">
      <c r="A204" s="1" t="n">
        <v>3</v>
      </c>
      <c r="D204" s="20" t="s">
        <v>21</v>
      </c>
      <c r="E204" s="21" t="n">
        <v>41</v>
      </c>
      <c r="F204" s="21" t="s">
        <v>23</v>
      </c>
      <c r="G204" s="22" t="n">
        <f aca="false">G214+G230</f>
        <v>33988.25</v>
      </c>
      <c r="H204" s="22" t="n">
        <f aca="false">H214+H230</f>
        <v>55462.08</v>
      </c>
      <c r="I204" s="22" t="n">
        <f aca="false">I214+I230</f>
        <v>62203</v>
      </c>
      <c r="J204" s="22" t="n">
        <f aca="false">J214+J230</f>
        <v>41136.58</v>
      </c>
      <c r="K204" s="22" t="n">
        <f aca="false">K214+K230</f>
        <v>41309</v>
      </c>
      <c r="L204" s="22" t="n">
        <f aca="false">L214+L230</f>
        <v>0</v>
      </c>
      <c r="M204" s="22" t="n">
        <f aca="false">M214+M230</f>
        <v>518</v>
      </c>
      <c r="N204" s="22" t="n">
        <f aca="false">N214+N230</f>
        <v>0</v>
      </c>
      <c r="O204" s="22" t="n">
        <f aca="false">O214+O230</f>
        <v>10346</v>
      </c>
      <c r="P204" s="22" t="n">
        <f aca="false">P214+P230</f>
        <v>52173</v>
      </c>
      <c r="Q204" s="22" t="n">
        <f aca="false">Q214+Q230</f>
        <v>8149.25</v>
      </c>
      <c r="R204" s="23" t="n">
        <f aca="false">Q204/$P204</f>
        <v>0.156196691775439</v>
      </c>
      <c r="S204" s="22" t="n">
        <f aca="false">S214+S230</f>
        <v>14938.85</v>
      </c>
      <c r="T204" s="23" t="n">
        <f aca="false">S204/$P204</f>
        <v>0.286332969160294</v>
      </c>
      <c r="U204" s="22" t="n">
        <f aca="false">U214+U230</f>
        <v>27229.01</v>
      </c>
      <c r="V204" s="23" t="n">
        <f aca="false">U204/$P204</f>
        <v>0.521898491556936</v>
      </c>
      <c r="W204" s="22" t="n">
        <f aca="false">W214+W230</f>
        <v>51970.42</v>
      </c>
      <c r="X204" s="23" t="n">
        <f aca="false">W204/$P204</f>
        <v>0.996117148716769</v>
      </c>
      <c r="Y204" s="22" t="n">
        <f aca="false">Y214+Y230</f>
        <v>42105</v>
      </c>
      <c r="Z204" s="22" t="n">
        <f aca="false">Z214+Z230</f>
        <v>42947</v>
      </c>
    </row>
    <row r="205" customFormat="false" ht="12.8" hidden="false" customHeight="false" outlineLevel="0" collapsed="false">
      <c r="D205" s="20" t="s">
        <v>21</v>
      </c>
      <c r="E205" s="21" t="n">
        <v>72</v>
      </c>
      <c r="F205" s="21" t="s">
        <v>25</v>
      </c>
      <c r="G205" s="22" t="n">
        <f aca="false">G216</f>
        <v>0</v>
      </c>
      <c r="H205" s="22" t="n">
        <f aca="false">H216</f>
        <v>0</v>
      </c>
      <c r="I205" s="22" t="n">
        <f aca="false">I216</f>
        <v>0</v>
      </c>
      <c r="J205" s="22" t="n">
        <f aca="false">J216</f>
        <v>0</v>
      </c>
      <c r="K205" s="22" t="n">
        <f aca="false">K216</f>
        <v>120</v>
      </c>
      <c r="L205" s="22" t="n">
        <f aca="false">L216</f>
        <v>0</v>
      </c>
      <c r="M205" s="22" t="n">
        <f aca="false">M216</f>
        <v>0</v>
      </c>
      <c r="N205" s="22" t="n">
        <f aca="false">N216</f>
        <v>0</v>
      </c>
      <c r="O205" s="22" t="n">
        <f aca="false">O216</f>
        <v>-3</v>
      </c>
      <c r="P205" s="22" t="n">
        <f aca="false">P216</f>
        <v>117</v>
      </c>
      <c r="Q205" s="22" t="n">
        <f aca="false">Q216</f>
        <v>0</v>
      </c>
      <c r="R205" s="23" t="n">
        <f aca="false">Q205/$P205</f>
        <v>0</v>
      </c>
      <c r="S205" s="22" t="n">
        <f aca="false">S216</f>
        <v>0</v>
      </c>
      <c r="T205" s="23" t="n">
        <f aca="false">S205/$P205</f>
        <v>0</v>
      </c>
      <c r="U205" s="22" t="n">
        <f aca="false">U216</f>
        <v>0</v>
      </c>
      <c r="V205" s="23" t="n">
        <f aca="false">U205/$P205</f>
        <v>0</v>
      </c>
      <c r="W205" s="22" t="n">
        <f aca="false">W216</f>
        <v>116.87</v>
      </c>
      <c r="X205" s="23" t="n">
        <f aca="false">W205/$P205</f>
        <v>0.998888888888889</v>
      </c>
      <c r="Y205" s="22" t="n">
        <f aca="false">Y216</f>
        <v>120</v>
      </c>
      <c r="Z205" s="22" t="n">
        <f aca="false">Z216</f>
        <v>120</v>
      </c>
    </row>
    <row r="206" customFormat="false" ht="12.8" hidden="false" customHeight="false" outlineLevel="0" collapsed="false">
      <c r="A206" s="1" t="n">
        <v>3</v>
      </c>
      <c r="D206" s="16"/>
      <c r="E206" s="17"/>
      <c r="F206" s="24" t="s">
        <v>119</v>
      </c>
      <c r="G206" s="25" t="n">
        <f aca="false">SUM(G204:G205)</f>
        <v>33988.25</v>
      </c>
      <c r="H206" s="25" t="n">
        <f aca="false">SUM(H204:H205)</f>
        <v>55462.08</v>
      </c>
      <c r="I206" s="25" t="n">
        <f aca="false">SUM(I204:I205)</f>
        <v>62203</v>
      </c>
      <c r="J206" s="25" t="n">
        <f aca="false">SUM(J204:J205)</f>
        <v>41136.58</v>
      </c>
      <c r="K206" s="25" t="n">
        <f aca="false">SUM(K204:K205)</f>
        <v>41429</v>
      </c>
      <c r="L206" s="25" t="n">
        <f aca="false">SUM(L204:L205)</f>
        <v>0</v>
      </c>
      <c r="M206" s="25" t="n">
        <f aca="false">SUM(M204:M205)</f>
        <v>518</v>
      </c>
      <c r="N206" s="25" t="n">
        <f aca="false">SUM(N204:N205)</f>
        <v>0</v>
      </c>
      <c r="O206" s="25" t="n">
        <f aca="false">SUM(O204:O205)</f>
        <v>10343</v>
      </c>
      <c r="P206" s="25" t="n">
        <f aca="false">SUM(P204:P205)</f>
        <v>52290</v>
      </c>
      <c r="Q206" s="25" t="n">
        <f aca="false">SUM(Q204:Q205)</f>
        <v>8149.25</v>
      </c>
      <c r="R206" s="26" t="n">
        <f aca="false">Q206/$P206</f>
        <v>0.155847198317078</v>
      </c>
      <c r="S206" s="25" t="n">
        <f aca="false">SUM(S204:S205)</f>
        <v>14938.85</v>
      </c>
      <c r="T206" s="26" t="n">
        <f aca="false">S206/$P206</f>
        <v>0.28569229298145</v>
      </c>
      <c r="U206" s="25" t="n">
        <f aca="false">SUM(U204:U205)</f>
        <v>27229.01</v>
      </c>
      <c r="V206" s="26" t="n">
        <f aca="false">U206/$P206</f>
        <v>0.520730732453624</v>
      </c>
      <c r="W206" s="25" t="n">
        <f aca="false">SUM(W204:W205)</f>
        <v>52087.29</v>
      </c>
      <c r="X206" s="26" t="n">
        <f aca="false">W206/$P206</f>
        <v>0.996123350545037</v>
      </c>
      <c r="Y206" s="25" t="n">
        <f aca="false">SUM(Y204:Y205)</f>
        <v>42225</v>
      </c>
      <c r="Z206" s="25" t="n">
        <f aca="false">SUM(Z204:Z205)</f>
        <v>43067</v>
      </c>
    </row>
    <row r="208" customFormat="false" ht="12.8" hidden="false" customHeight="false" outlineLevel="0" collapsed="false">
      <c r="D208" s="63" t="s">
        <v>173</v>
      </c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4"/>
      <c r="S208" s="63"/>
      <c r="T208" s="64"/>
      <c r="U208" s="63"/>
      <c r="V208" s="64"/>
      <c r="W208" s="63"/>
      <c r="X208" s="64"/>
      <c r="Y208" s="63"/>
      <c r="Z208" s="63"/>
    </row>
    <row r="209" customFormat="false" ht="12.8" hidden="false" customHeight="false" outlineLevel="0" collapsed="false">
      <c r="D209" s="7" t="s">
        <v>33</v>
      </c>
      <c r="E209" s="7" t="s">
        <v>34</v>
      </c>
      <c r="F209" s="7" t="s">
        <v>35</v>
      </c>
      <c r="G209" s="7" t="s">
        <v>1</v>
      </c>
      <c r="H209" s="7" t="s">
        <v>2</v>
      </c>
      <c r="I209" s="7" t="s">
        <v>3</v>
      </c>
      <c r="J209" s="7" t="s">
        <v>4</v>
      </c>
      <c r="K209" s="7" t="s">
        <v>5</v>
      </c>
      <c r="L209" s="7" t="s">
        <v>6</v>
      </c>
      <c r="M209" s="7" t="s">
        <v>7</v>
      </c>
      <c r="N209" s="7" t="s">
        <v>8</v>
      </c>
      <c r="O209" s="7" t="s">
        <v>9</v>
      </c>
      <c r="P209" s="7" t="s">
        <v>10</v>
      </c>
      <c r="Q209" s="7" t="s">
        <v>11</v>
      </c>
      <c r="R209" s="8" t="s">
        <v>12</v>
      </c>
      <c r="S209" s="7" t="s">
        <v>13</v>
      </c>
      <c r="T209" s="8" t="s">
        <v>14</v>
      </c>
      <c r="U209" s="7" t="s">
        <v>15</v>
      </c>
      <c r="V209" s="8" t="s">
        <v>16</v>
      </c>
      <c r="W209" s="7" t="s">
        <v>17</v>
      </c>
      <c r="X209" s="8" t="s">
        <v>18</v>
      </c>
      <c r="Y209" s="7" t="s">
        <v>19</v>
      </c>
      <c r="Z209" s="7" t="s">
        <v>20</v>
      </c>
    </row>
    <row r="210" customFormat="false" ht="12.8" hidden="false" customHeight="false" outlineLevel="0" collapsed="false">
      <c r="A210" s="1" t="n">
        <v>3</v>
      </c>
      <c r="B210" s="1" t="n">
        <v>1</v>
      </c>
      <c r="D210" s="36" t="s">
        <v>174</v>
      </c>
      <c r="E210" s="10" t="n">
        <v>610</v>
      </c>
      <c r="F210" s="10" t="s">
        <v>124</v>
      </c>
      <c r="G210" s="11" t="n">
        <v>5654.13</v>
      </c>
      <c r="H210" s="11" t="n">
        <v>10143.52</v>
      </c>
      <c r="I210" s="11" t="n">
        <v>10555</v>
      </c>
      <c r="J210" s="11" t="n">
        <v>11847.89</v>
      </c>
      <c r="K210" s="11" t="n">
        <v>12715</v>
      </c>
      <c r="L210" s="11"/>
      <c r="M210" s="11"/>
      <c r="N210" s="11"/>
      <c r="O210" s="11" t="n">
        <v>-1260</v>
      </c>
      <c r="P210" s="11" t="n">
        <f aca="false">K210+SUM(L210:O210)</f>
        <v>11455</v>
      </c>
      <c r="Q210" s="11" t="n">
        <v>3445.96</v>
      </c>
      <c r="R210" s="12" t="n">
        <f aca="false">Q210/$P210</f>
        <v>0.300825840244435</v>
      </c>
      <c r="S210" s="11" t="n">
        <v>5642.43</v>
      </c>
      <c r="T210" s="12" t="n">
        <f aca="false">S210/$P210</f>
        <v>0.492573548668704</v>
      </c>
      <c r="U210" s="11" t="n">
        <v>8192.43</v>
      </c>
      <c r="V210" s="12" t="n">
        <f aca="false">U210/$P210</f>
        <v>0.715183762549105</v>
      </c>
      <c r="W210" s="11" t="n">
        <v>11455.43</v>
      </c>
      <c r="X210" s="12" t="n">
        <f aca="false">W210/$P210</f>
        <v>1.00003753819293</v>
      </c>
      <c r="Y210" s="11" t="n">
        <v>13301</v>
      </c>
      <c r="Z210" s="11" t="n">
        <v>13917</v>
      </c>
    </row>
    <row r="211" customFormat="false" ht="12.8" hidden="false" customHeight="false" outlineLevel="0" collapsed="false">
      <c r="A211" s="1" t="n">
        <v>3</v>
      </c>
      <c r="B211" s="1" t="n">
        <v>1</v>
      </c>
      <c r="D211" s="36"/>
      <c r="E211" s="10" t="n">
        <v>620</v>
      </c>
      <c r="F211" s="10" t="s">
        <v>125</v>
      </c>
      <c r="G211" s="11" t="n">
        <v>1915.86</v>
      </c>
      <c r="H211" s="11" t="n">
        <v>3692.66</v>
      </c>
      <c r="I211" s="11" t="n">
        <v>3656</v>
      </c>
      <c r="J211" s="11" t="n">
        <v>4140.53</v>
      </c>
      <c r="K211" s="11" t="n">
        <v>4444</v>
      </c>
      <c r="L211" s="11"/>
      <c r="M211" s="11"/>
      <c r="N211" s="11"/>
      <c r="O211" s="11" t="n">
        <v>-439</v>
      </c>
      <c r="P211" s="11" t="n">
        <f aca="false">K211+SUM(L211:O211)</f>
        <v>4005</v>
      </c>
      <c r="Q211" s="11" t="n">
        <v>1080.74</v>
      </c>
      <c r="R211" s="12" t="n">
        <f aca="false">Q211/$P211</f>
        <v>0.269847690387016</v>
      </c>
      <c r="S211" s="11" t="n">
        <v>1971.95</v>
      </c>
      <c r="T211" s="12" t="n">
        <f aca="false">S211/$P211</f>
        <v>0.492372034956305</v>
      </c>
      <c r="U211" s="11" t="n">
        <v>2863.16</v>
      </c>
      <c r="V211" s="12" t="n">
        <f aca="false">U211/$P211</f>
        <v>0.714896379525593</v>
      </c>
      <c r="W211" s="11" t="n">
        <v>4003.56</v>
      </c>
      <c r="X211" s="12" t="n">
        <f aca="false">W211/$P211</f>
        <v>0.999640449438202</v>
      </c>
      <c r="Y211" s="11" t="n">
        <v>4648</v>
      </c>
      <c r="Z211" s="11" t="n">
        <v>4864</v>
      </c>
    </row>
    <row r="212" customFormat="false" ht="12.8" hidden="false" customHeight="false" outlineLevel="0" collapsed="false">
      <c r="A212" s="1" t="n">
        <v>3</v>
      </c>
      <c r="B212" s="1" t="n">
        <v>1</v>
      </c>
      <c r="D212" s="36"/>
      <c r="E212" s="10" t="n">
        <v>630</v>
      </c>
      <c r="F212" s="10" t="s">
        <v>126</v>
      </c>
      <c r="G212" s="11" t="n">
        <v>25980.46</v>
      </c>
      <c r="H212" s="11" t="n">
        <v>39642.8</v>
      </c>
      <c r="I212" s="11" t="n">
        <f aca="false">28450+780+3500+1200+1050-2488+15000</f>
        <v>47492</v>
      </c>
      <c r="J212" s="11" t="n">
        <v>24996.5</v>
      </c>
      <c r="K212" s="11" t="n">
        <v>23950</v>
      </c>
      <c r="L212" s="11"/>
      <c r="M212" s="11" t="n">
        <v>518</v>
      </c>
      <c r="N212" s="11"/>
      <c r="O212" s="11" t="n">
        <f aca="false">2403+9642</f>
        <v>12045</v>
      </c>
      <c r="P212" s="11" t="n">
        <f aca="false">K212+SUM(L212:O212)</f>
        <v>36513</v>
      </c>
      <c r="Q212" s="11" t="n">
        <v>3622.55</v>
      </c>
      <c r="R212" s="12" t="n">
        <f aca="false">Q212/$P212</f>
        <v>0.0992126092076795</v>
      </c>
      <c r="S212" s="11" t="n">
        <v>7324.47</v>
      </c>
      <c r="T212" s="12" t="n">
        <f aca="false">S212/$P212</f>
        <v>0.20059896475228</v>
      </c>
      <c r="U212" s="11" t="n">
        <v>16173.42</v>
      </c>
      <c r="V212" s="12" t="n">
        <f aca="false">U212/$P212</f>
        <v>0.442949634376797</v>
      </c>
      <c r="W212" s="11" t="n">
        <v>36511.43</v>
      </c>
      <c r="X212" s="12" t="n">
        <f aca="false">W212/$P212</f>
        <v>0.999957001615863</v>
      </c>
      <c r="Y212" s="11" t="n">
        <v>23956</v>
      </c>
      <c r="Z212" s="11" t="n">
        <v>23966</v>
      </c>
    </row>
    <row r="213" customFormat="false" ht="12.8" hidden="false" customHeight="false" outlineLevel="0" collapsed="false">
      <c r="A213" s="1" t="n">
        <v>3</v>
      </c>
      <c r="B213" s="1" t="n">
        <v>1</v>
      </c>
      <c r="D213" s="36"/>
      <c r="E213" s="10" t="n">
        <v>640</v>
      </c>
      <c r="F213" s="10" t="s">
        <v>127</v>
      </c>
      <c r="G213" s="11" t="n">
        <v>221.7</v>
      </c>
      <c r="H213" s="11" t="n">
        <v>1767</v>
      </c>
      <c r="I213" s="11" t="n">
        <v>0</v>
      </c>
      <c r="J213" s="11" t="n">
        <v>0</v>
      </c>
      <c r="K213" s="11" t="n">
        <v>0</v>
      </c>
      <c r="L213" s="11"/>
      <c r="M213" s="11"/>
      <c r="N213" s="11"/>
      <c r="O213" s="11"/>
      <c r="P213" s="11" t="n">
        <f aca="false">K213+SUM(L213:O213)</f>
        <v>0</v>
      </c>
      <c r="Q213" s="11" t="n">
        <v>0</v>
      </c>
      <c r="R213" s="12" t="e">
        <f aca="false">Q213/$P213</f>
        <v>#DIV/0!</v>
      </c>
      <c r="S213" s="11" t="n">
        <v>0</v>
      </c>
      <c r="T213" s="12" t="e">
        <f aca="false">S213/$P213</f>
        <v>#DIV/0!</v>
      </c>
      <c r="U213" s="11" t="n">
        <v>0</v>
      </c>
      <c r="V213" s="12" t="e">
        <f aca="false">U213/$P213</f>
        <v>#DIV/0!</v>
      </c>
      <c r="W213" s="11" t="n">
        <v>0</v>
      </c>
      <c r="X213" s="12" t="e">
        <f aca="false">W213/$P213</f>
        <v>#DIV/0!</v>
      </c>
      <c r="Y213" s="11" t="n">
        <v>0</v>
      </c>
      <c r="Z213" s="11" t="n">
        <v>0</v>
      </c>
    </row>
    <row r="214" customFormat="false" ht="12.8" hidden="false" customHeight="false" outlineLevel="0" collapsed="false">
      <c r="A214" s="1" t="n">
        <v>3</v>
      </c>
      <c r="B214" s="1" t="n">
        <v>1</v>
      </c>
      <c r="D214" s="75" t="s">
        <v>21</v>
      </c>
      <c r="E214" s="32" t="n">
        <v>41</v>
      </c>
      <c r="F214" s="32" t="s">
        <v>23</v>
      </c>
      <c r="G214" s="33" t="n">
        <f aca="false">SUM(G210:G213)</f>
        <v>33772.15</v>
      </c>
      <c r="H214" s="33" t="n">
        <f aca="false">SUM(H210:H213)</f>
        <v>55245.98</v>
      </c>
      <c r="I214" s="33" t="n">
        <f aca="false">SUM(I210:I213)</f>
        <v>61703</v>
      </c>
      <c r="J214" s="33" t="n">
        <f aca="false">SUM(J210:J213)</f>
        <v>40984.92</v>
      </c>
      <c r="K214" s="33" t="n">
        <f aca="false">SUM(K210:K213)</f>
        <v>41109</v>
      </c>
      <c r="L214" s="33" t="n">
        <f aca="false">SUM(L210:L213)</f>
        <v>0</v>
      </c>
      <c r="M214" s="33" t="n">
        <f aca="false">SUM(M210:M213)</f>
        <v>518</v>
      </c>
      <c r="N214" s="33" t="n">
        <f aca="false">SUM(N210:N213)</f>
        <v>0</v>
      </c>
      <c r="O214" s="33" t="n">
        <f aca="false">SUM(O210:O213)</f>
        <v>10346</v>
      </c>
      <c r="P214" s="33" t="n">
        <f aca="false">SUM(P210:P213)</f>
        <v>51973</v>
      </c>
      <c r="Q214" s="33" t="n">
        <f aca="false">SUM(Q210:Q213)</f>
        <v>8149.25</v>
      </c>
      <c r="R214" s="34" t="n">
        <f aca="false">Q214/$P214</f>
        <v>0.15679776037558</v>
      </c>
      <c r="S214" s="33" t="n">
        <f aca="false">SUM(S210:S213)</f>
        <v>14938.85</v>
      </c>
      <c r="T214" s="34" t="n">
        <f aca="false">S214/$P214</f>
        <v>0.28743482192677</v>
      </c>
      <c r="U214" s="33" t="n">
        <f aca="false">SUM(U210:U213)</f>
        <v>27229.01</v>
      </c>
      <c r="V214" s="34" t="n">
        <f aca="false">U214/$P214</f>
        <v>0.523906836241895</v>
      </c>
      <c r="W214" s="33" t="n">
        <f aca="false">SUM(W210:W213)</f>
        <v>51970.42</v>
      </c>
      <c r="X214" s="34" t="n">
        <f aca="false">W214/$P214</f>
        <v>0.999950358840167</v>
      </c>
      <c r="Y214" s="33" t="n">
        <f aca="false">SUM(Y210:Y213)</f>
        <v>41905</v>
      </c>
      <c r="Z214" s="33" t="n">
        <f aca="false">SUM(Z210:Z213)</f>
        <v>42747</v>
      </c>
    </row>
    <row r="215" customFormat="false" ht="12.8" hidden="false" customHeight="false" outlineLevel="0" collapsed="false">
      <c r="D215" s="71" t="s">
        <v>174</v>
      </c>
      <c r="E215" s="10" t="n">
        <v>640</v>
      </c>
      <c r="F215" s="10" t="s">
        <v>127</v>
      </c>
      <c r="G215" s="11" t="n">
        <v>0</v>
      </c>
      <c r="H215" s="11" t="n">
        <v>0</v>
      </c>
      <c r="I215" s="11" t="n">
        <v>0</v>
      </c>
      <c r="J215" s="11" t="n">
        <v>0</v>
      </c>
      <c r="K215" s="11" t="n">
        <v>120</v>
      </c>
      <c r="L215" s="11"/>
      <c r="M215" s="11"/>
      <c r="N215" s="11"/>
      <c r="O215" s="11" t="n">
        <v>-3</v>
      </c>
      <c r="P215" s="11" t="n">
        <f aca="false">K215+SUM(L215:O215)</f>
        <v>117</v>
      </c>
      <c r="Q215" s="11" t="n">
        <v>0</v>
      </c>
      <c r="R215" s="12" t="n">
        <f aca="false">Q215/$P215</f>
        <v>0</v>
      </c>
      <c r="S215" s="11" t="n">
        <v>0</v>
      </c>
      <c r="T215" s="12" t="n">
        <f aca="false">S215/$P215</f>
        <v>0</v>
      </c>
      <c r="U215" s="11" t="n">
        <v>0</v>
      </c>
      <c r="V215" s="12" t="n">
        <f aca="false">U215/$P215</f>
        <v>0</v>
      </c>
      <c r="W215" s="11" t="n">
        <v>116.87</v>
      </c>
      <c r="X215" s="12" t="n">
        <f aca="false">W215/$P215</f>
        <v>0.998888888888889</v>
      </c>
      <c r="Y215" s="11" t="n">
        <f aca="false">K215</f>
        <v>120</v>
      </c>
      <c r="Z215" s="11" t="n">
        <f aca="false">Y215</f>
        <v>120</v>
      </c>
    </row>
    <row r="216" customFormat="false" ht="12.8" hidden="false" customHeight="false" outlineLevel="0" collapsed="false">
      <c r="D216" s="75" t="s">
        <v>21</v>
      </c>
      <c r="E216" s="32" t="n">
        <v>72</v>
      </c>
      <c r="F216" s="32" t="s">
        <v>25</v>
      </c>
      <c r="G216" s="33" t="n">
        <f aca="false">SUM(G215:G215)</f>
        <v>0</v>
      </c>
      <c r="H216" s="33" t="n">
        <f aca="false">SUM(H215:H215)</f>
        <v>0</v>
      </c>
      <c r="I216" s="33" t="n">
        <f aca="false">SUM(I215:I215)</f>
        <v>0</v>
      </c>
      <c r="J216" s="33" t="n">
        <f aca="false">SUM(J215:J215)</f>
        <v>0</v>
      </c>
      <c r="K216" s="33" t="n">
        <f aca="false">SUM(K215:K215)</f>
        <v>120</v>
      </c>
      <c r="L216" s="33" t="n">
        <f aca="false">SUM(L215:L215)</f>
        <v>0</v>
      </c>
      <c r="M216" s="33" t="n">
        <f aca="false">SUM(M215:M215)</f>
        <v>0</v>
      </c>
      <c r="N216" s="33" t="n">
        <f aca="false">SUM(N215:N215)</f>
        <v>0</v>
      </c>
      <c r="O216" s="33" t="n">
        <f aca="false">SUM(O215:O215)</f>
        <v>-3</v>
      </c>
      <c r="P216" s="33" t="n">
        <f aca="false">SUM(P215:P215)</f>
        <v>117</v>
      </c>
      <c r="Q216" s="33" t="n">
        <f aca="false">SUM(Q215:Q215)</f>
        <v>0</v>
      </c>
      <c r="R216" s="34" t="n">
        <f aca="false">Q216/$P216</f>
        <v>0</v>
      </c>
      <c r="S216" s="33" t="n">
        <f aca="false">SUM(S215:S215)</f>
        <v>0</v>
      </c>
      <c r="T216" s="34" t="n">
        <f aca="false">S216/$P216</f>
        <v>0</v>
      </c>
      <c r="U216" s="33" t="n">
        <f aca="false">SUM(U215:U215)</f>
        <v>0</v>
      </c>
      <c r="V216" s="34" t="n">
        <f aca="false">U216/$P216</f>
        <v>0</v>
      </c>
      <c r="W216" s="33" t="n">
        <f aca="false">SUM(W215:W215)</f>
        <v>116.87</v>
      </c>
      <c r="X216" s="34" t="n">
        <f aca="false">W216/$P216</f>
        <v>0.998888888888889</v>
      </c>
      <c r="Y216" s="33" t="n">
        <f aca="false">SUM(Y215:Y215)</f>
        <v>120</v>
      </c>
      <c r="Z216" s="33" t="n">
        <f aca="false">SUM(Z215:Z215)</f>
        <v>120</v>
      </c>
    </row>
    <row r="217" customFormat="false" ht="12.8" hidden="false" customHeight="false" outlineLevel="0" collapsed="false">
      <c r="D217" s="100"/>
      <c r="E217" s="17"/>
      <c r="F217" s="13" t="s">
        <v>119</v>
      </c>
      <c r="G217" s="14" t="n">
        <f aca="false">G214+G216</f>
        <v>33772.15</v>
      </c>
      <c r="H217" s="14" t="n">
        <f aca="false">H214+H216</f>
        <v>55245.98</v>
      </c>
      <c r="I217" s="14" t="n">
        <f aca="false">I214+I216</f>
        <v>61703</v>
      </c>
      <c r="J217" s="14" t="n">
        <f aca="false">J214+J216</f>
        <v>40984.92</v>
      </c>
      <c r="K217" s="14" t="n">
        <f aca="false">K214+K216</f>
        <v>41229</v>
      </c>
      <c r="L217" s="14" t="n">
        <f aca="false">L214+L216</f>
        <v>0</v>
      </c>
      <c r="M217" s="14" t="n">
        <f aca="false">M214+M216</f>
        <v>518</v>
      </c>
      <c r="N217" s="14" t="n">
        <f aca="false">N214+N216</f>
        <v>0</v>
      </c>
      <c r="O217" s="14" t="n">
        <f aca="false">O214+O216</f>
        <v>10343</v>
      </c>
      <c r="P217" s="14" t="n">
        <f aca="false">P214+P216</f>
        <v>52090</v>
      </c>
      <c r="Q217" s="14" t="n">
        <f aca="false">Q214+Q216</f>
        <v>8149.25</v>
      </c>
      <c r="R217" s="15" t="n">
        <f aca="false">Q217/$P217</f>
        <v>0.156445574966404</v>
      </c>
      <c r="S217" s="14" t="n">
        <f aca="false">S214+S216</f>
        <v>14938.85</v>
      </c>
      <c r="T217" s="15" t="n">
        <f aca="false">S217/$P217</f>
        <v>0.286789210980994</v>
      </c>
      <c r="U217" s="14" t="n">
        <f aca="false">U214+U216</f>
        <v>27229.01</v>
      </c>
      <c r="V217" s="15" t="n">
        <f aca="false">U217/$P217</f>
        <v>0.522730082549434</v>
      </c>
      <c r="W217" s="14" t="n">
        <f aca="false">W214+W216</f>
        <v>52087.29</v>
      </c>
      <c r="X217" s="15" t="n">
        <f aca="false">W217/$P217</f>
        <v>0.999947974659244</v>
      </c>
      <c r="Y217" s="14" t="n">
        <f aca="false">Y214+Y216</f>
        <v>42025</v>
      </c>
      <c r="Z217" s="14" t="n">
        <f aca="false">Z214+Z216</f>
        <v>42867</v>
      </c>
    </row>
    <row r="219" customFormat="false" ht="12.8" hidden="false" customHeight="false" outlineLevel="0" collapsed="false">
      <c r="E219" s="39" t="s">
        <v>57</v>
      </c>
      <c r="F219" s="16" t="s">
        <v>61</v>
      </c>
      <c r="G219" s="40" t="n">
        <v>8916.85</v>
      </c>
      <c r="H219" s="40" t="n">
        <v>1068.55</v>
      </c>
      <c r="I219" s="40" t="n">
        <v>1140</v>
      </c>
      <c r="J219" s="40" t="n">
        <v>774.83</v>
      </c>
      <c r="K219" s="40" t="n">
        <v>800</v>
      </c>
      <c r="L219" s="40"/>
      <c r="M219" s="40"/>
      <c r="N219" s="40" t="n">
        <v>5000</v>
      </c>
      <c r="O219" s="40" t="n">
        <f aca="false">1368+1840+2021</f>
        <v>5229</v>
      </c>
      <c r="P219" s="40" t="n">
        <f aca="false">K219+SUM(L219:O219)</f>
        <v>11029</v>
      </c>
      <c r="Q219" s="40" t="n">
        <v>77.99</v>
      </c>
      <c r="R219" s="41" t="n">
        <f aca="false">Q219/$P219</f>
        <v>0.00707135733067368</v>
      </c>
      <c r="S219" s="40" t="n">
        <v>279.24</v>
      </c>
      <c r="T219" s="41" t="n">
        <f aca="false">S219/$P219</f>
        <v>0.025318705231662</v>
      </c>
      <c r="U219" s="40" t="n">
        <v>3323.99</v>
      </c>
      <c r="V219" s="41" t="n">
        <f aca="false">U219/$P219</f>
        <v>0.301386345090217</v>
      </c>
      <c r="W219" s="40" t="n">
        <v>11004.29</v>
      </c>
      <c r="X219" s="42" t="n">
        <f aca="false">W219/$P219</f>
        <v>0.997759543022939</v>
      </c>
      <c r="Y219" s="40" t="n">
        <f aca="false">K219</f>
        <v>800</v>
      </c>
      <c r="Z219" s="44" t="n">
        <f aca="false">Y219</f>
        <v>800</v>
      </c>
    </row>
    <row r="220" customFormat="false" ht="12.8" hidden="false" customHeight="false" outlineLevel="0" collapsed="false">
      <c r="E220" s="45"/>
      <c r="F220" s="88" t="s">
        <v>144</v>
      </c>
      <c r="G220" s="89" t="n">
        <v>769</v>
      </c>
      <c r="H220" s="89" t="n">
        <v>3672.41</v>
      </c>
      <c r="I220" s="89" t="n">
        <v>1212</v>
      </c>
      <c r="J220" s="89" t="n">
        <v>1212.31</v>
      </c>
      <c r="K220" s="89" t="n">
        <f aca="false">(51+36+10+8)*11+57</f>
        <v>1212</v>
      </c>
      <c r="L220" s="89"/>
      <c r="M220" s="89" t="n">
        <v>518</v>
      </c>
      <c r="N220" s="89"/>
      <c r="O220" s="89" t="n">
        <v>105</v>
      </c>
      <c r="P220" s="89" t="n">
        <f aca="false">K220+SUM(L220:O220)</f>
        <v>1835</v>
      </c>
      <c r="Q220" s="89" t="n">
        <v>385.54</v>
      </c>
      <c r="R220" s="90" t="n">
        <f aca="false">Q220/$P220</f>
        <v>0.210103542234332</v>
      </c>
      <c r="S220" s="89" t="n">
        <v>868.54</v>
      </c>
      <c r="T220" s="90" t="n">
        <f aca="false">S220/$P220</f>
        <v>0.473318801089918</v>
      </c>
      <c r="U220" s="89" t="n">
        <v>1351.54</v>
      </c>
      <c r="V220" s="90" t="n">
        <f aca="false">U220/$P220</f>
        <v>0.736534059945504</v>
      </c>
      <c r="W220" s="89" t="n">
        <v>1834.54</v>
      </c>
      <c r="X220" s="48" t="n">
        <f aca="false">W220/$P220</f>
        <v>0.99974931880109</v>
      </c>
      <c r="Y220" s="47" t="n">
        <f aca="false">K220</f>
        <v>1212</v>
      </c>
      <c r="Z220" s="50" t="n">
        <f aca="false">Y220</f>
        <v>1212</v>
      </c>
    </row>
    <row r="221" customFormat="false" ht="12.8" hidden="false" customHeight="false" outlineLevel="0" collapsed="false">
      <c r="E221" s="45"/>
      <c r="F221" s="46" t="s">
        <v>175</v>
      </c>
      <c r="G221" s="47" t="n">
        <v>11900</v>
      </c>
      <c r="H221" s="47" t="n">
        <v>22955.44</v>
      </c>
      <c r="I221" s="47" t="n">
        <v>25000</v>
      </c>
      <c r="J221" s="47" t="n">
        <v>11236.2</v>
      </c>
      <c r="K221" s="47" t="n">
        <v>5000</v>
      </c>
      <c r="L221" s="47" t="n">
        <v>-23</v>
      </c>
      <c r="M221" s="47"/>
      <c r="N221" s="47"/>
      <c r="O221" s="47" t="n">
        <f aca="false">7621</f>
        <v>7621</v>
      </c>
      <c r="P221" s="47" t="n">
        <f aca="false">K221+SUM(L221:O221)</f>
        <v>12598</v>
      </c>
      <c r="Q221" s="47" t="n">
        <v>565.34</v>
      </c>
      <c r="R221" s="2" t="n">
        <f aca="false">Q221/$P221</f>
        <v>0.0448753770439752</v>
      </c>
      <c r="S221" s="47" t="n">
        <v>1226.43</v>
      </c>
      <c r="T221" s="2" t="n">
        <f aca="false">S221/$P221</f>
        <v>0.0973511668518813</v>
      </c>
      <c r="U221" s="47" t="n">
        <v>3480.68</v>
      </c>
      <c r="V221" s="2" t="n">
        <f aca="false">U221/$P221</f>
        <v>0.276288299730116</v>
      </c>
      <c r="W221" s="47" t="n">
        <v>12597.73</v>
      </c>
      <c r="X221" s="48" t="n">
        <f aca="false">W221/$P221</f>
        <v>0.999978568026671</v>
      </c>
      <c r="Y221" s="47" t="n">
        <f aca="false">K221</f>
        <v>5000</v>
      </c>
      <c r="Z221" s="50" t="n">
        <f aca="false">Y221</f>
        <v>5000</v>
      </c>
    </row>
    <row r="222" customFormat="false" ht="12.8" hidden="false" customHeight="false" outlineLevel="0" collapsed="false">
      <c r="E222" s="45"/>
      <c r="F222" s="46" t="s">
        <v>176</v>
      </c>
      <c r="G222" s="47"/>
      <c r="H222" s="47" t="n">
        <v>3457.06</v>
      </c>
      <c r="I222" s="47" t="n">
        <v>3500</v>
      </c>
      <c r="J222" s="47" t="n">
        <v>0</v>
      </c>
      <c r="K222" s="47" t="n">
        <v>3500</v>
      </c>
      <c r="L222" s="47"/>
      <c r="M222" s="47"/>
      <c r="N222" s="47" t="n">
        <v>-3500</v>
      </c>
      <c r="O222" s="47"/>
      <c r="P222" s="47" t="n">
        <f aca="false">K222+SUM(L222:O222)</f>
        <v>0</v>
      </c>
      <c r="Q222" s="47" t="n">
        <v>0</v>
      </c>
      <c r="R222" s="2" t="e">
        <f aca="false">Q222/$P222</f>
        <v>#DIV/0!</v>
      </c>
      <c r="S222" s="47" t="n">
        <v>0</v>
      </c>
      <c r="T222" s="2" t="e">
        <f aca="false">S222/$P222</f>
        <v>#DIV/0!</v>
      </c>
      <c r="U222" s="47" t="n">
        <v>0</v>
      </c>
      <c r="V222" s="2" t="e">
        <f aca="false">U222/$P222</f>
        <v>#DIV/0!</v>
      </c>
      <c r="W222" s="47" t="n">
        <v>0</v>
      </c>
      <c r="X222" s="48" t="e">
        <f aca="false">W222/$P222</f>
        <v>#DIV/0!</v>
      </c>
      <c r="Y222" s="47" t="n">
        <f aca="false">K222</f>
        <v>3500</v>
      </c>
      <c r="Z222" s="50" t="n">
        <f aca="false">Y222</f>
        <v>3500</v>
      </c>
    </row>
    <row r="223" customFormat="false" ht="12.8" hidden="false" customHeight="false" outlineLevel="0" collapsed="false">
      <c r="E223" s="45"/>
      <c r="F223" s="1" t="s">
        <v>177</v>
      </c>
      <c r="G223" s="47" t="n">
        <v>769.54</v>
      </c>
      <c r="H223" s="47" t="n">
        <v>1309.49</v>
      </c>
      <c r="I223" s="47" t="n">
        <v>2500</v>
      </c>
      <c r="J223" s="47" t="n">
        <v>672.28</v>
      </c>
      <c r="K223" s="47" t="n">
        <f aca="false">1300+1200</f>
        <v>2500</v>
      </c>
      <c r="L223" s="47"/>
      <c r="M223" s="47"/>
      <c r="N223" s="47" t="n">
        <v>-1120</v>
      </c>
      <c r="O223" s="47" t="n">
        <v>-880</v>
      </c>
      <c r="P223" s="47" t="n">
        <f aca="false">K223+SUM(L223:O223)</f>
        <v>500</v>
      </c>
      <c r="Q223" s="47" t="n">
        <v>0</v>
      </c>
      <c r="R223" s="2" t="n">
        <f aca="false">Q223/$P223</f>
        <v>0</v>
      </c>
      <c r="S223" s="47" t="n">
        <v>259.8</v>
      </c>
      <c r="T223" s="2" t="n">
        <f aca="false">S223/$P223</f>
        <v>0.5196</v>
      </c>
      <c r="U223" s="47" t="n">
        <v>499.8</v>
      </c>
      <c r="V223" s="2" t="n">
        <f aca="false">U223/$P223</f>
        <v>0.9996</v>
      </c>
      <c r="W223" s="47" t="n">
        <v>499.8</v>
      </c>
      <c r="X223" s="48" t="n">
        <f aca="false">W223/$P223</f>
        <v>0.9996</v>
      </c>
      <c r="Y223" s="47" t="n">
        <f aca="false">K223</f>
        <v>2500</v>
      </c>
      <c r="Z223" s="50" t="n">
        <f aca="false">Y223</f>
        <v>2500</v>
      </c>
    </row>
    <row r="224" customFormat="false" ht="12.8" hidden="false" customHeight="false" outlineLevel="0" collapsed="false">
      <c r="E224" s="45"/>
      <c r="F224" s="1" t="s">
        <v>178</v>
      </c>
      <c r="G224" s="47"/>
      <c r="H224" s="47"/>
      <c r="I224" s="47" t="n">
        <v>2160</v>
      </c>
      <c r="J224" s="47" t="n">
        <v>2160</v>
      </c>
      <c r="K224" s="47"/>
      <c r="L224" s="47"/>
      <c r="M224" s="47"/>
      <c r="N224" s="47"/>
      <c r="O224" s="47"/>
      <c r="P224" s="47"/>
      <c r="Q224" s="47"/>
      <c r="S224" s="47"/>
      <c r="U224" s="47"/>
      <c r="W224" s="47"/>
      <c r="X224" s="48"/>
      <c r="Y224" s="47"/>
      <c r="Z224" s="50"/>
    </row>
    <row r="225" customFormat="false" ht="12.8" hidden="false" customHeight="false" outlineLevel="0" collapsed="false">
      <c r="E225" s="54"/>
      <c r="F225" s="72" t="s">
        <v>179</v>
      </c>
      <c r="G225" s="56" t="n">
        <v>1307.94</v>
      </c>
      <c r="H225" s="56" t="n">
        <v>2439.01</v>
      </c>
      <c r="I225" s="56" t="n">
        <v>3500</v>
      </c>
      <c r="J225" s="56" t="n">
        <v>4683.78</v>
      </c>
      <c r="K225" s="56" t="n">
        <v>5000</v>
      </c>
      <c r="L225" s="56"/>
      <c r="M225" s="56"/>
      <c r="N225" s="56"/>
      <c r="O225" s="56" t="n">
        <v>-388</v>
      </c>
      <c r="P225" s="56" t="n">
        <f aca="false">K225+SUM(L225:O225)</f>
        <v>4612</v>
      </c>
      <c r="Q225" s="56" t="n">
        <v>1000</v>
      </c>
      <c r="R225" s="57" t="n">
        <f aca="false">Q225/$P225</f>
        <v>0.216825672159584</v>
      </c>
      <c r="S225" s="56" t="n">
        <v>2315.17</v>
      </c>
      <c r="T225" s="57" t="n">
        <f aca="false">S225/$P225</f>
        <v>0.501988291413703</v>
      </c>
      <c r="U225" s="56" t="n">
        <v>3315.17</v>
      </c>
      <c r="V225" s="57" t="n">
        <f aca="false">U225/$P225</f>
        <v>0.718813963573287</v>
      </c>
      <c r="W225" s="56" t="n">
        <v>4312.08</v>
      </c>
      <c r="X225" s="58" t="n">
        <f aca="false">W225/$P225</f>
        <v>0.934969644405898</v>
      </c>
      <c r="Y225" s="56" t="n">
        <f aca="false">K225</f>
        <v>5000</v>
      </c>
      <c r="Z225" s="60" t="n">
        <f aca="false">Y225</f>
        <v>5000</v>
      </c>
    </row>
    <row r="227" customFormat="false" ht="12.8" hidden="false" customHeight="false" outlineLevel="0" collapsed="false">
      <c r="D227" s="63" t="s">
        <v>180</v>
      </c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4"/>
      <c r="S227" s="63"/>
      <c r="T227" s="64"/>
      <c r="U227" s="63"/>
      <c r="V227" s="64"/>
      <c r="W227" s="63"/>
      <c r="X227" s="64"/>
      <c r="Y227" s="63"/>
      <c r="Z227" s="63"/>
    </row>
    <row r="228" customFormat="false" ht="12.8" hidden="false" customHeight="false" outlineLevel="0" collapsed="false">
      <c r="D228" s="7" t="s">
        <v>33</v>
      </c>
      <c r="E228" s="7" t="s">
        <v>34</v>
      </c>
      <c r="F228" s="7" t="s">
        <v>35</v>
      </c>
      <c r="G228" s="7" t="s">
        <v>1</v>
      </c>
      <c r="H228" s="7" t="s">
        <v>2</v>
      </c>
      <c r="I228" s="7" t="s">
        <v>3</v>
      </c>
      <c r="J228" s="7" t="s">
        <v>4</v>
      </c>
      <c r="K228" s="7" t="s">
        <v>5</v>
      </c>
      <c r="L228" s="7" t="s">
        <v>6</v>
      </c>
      <c r="M228" s="7" t="s">
        <v>7</v>
      </c>
      <c r="N228" s="7" t="s">
        <v>8</v>
      </c>
      <c r="O228" s="7" t="s">
        <v>9</v>
      </c>
      <c r="P228" s="7" t="s">
        <v>10</v>
      </c>
      <c r="Q228" s="7" t="s">
        <v>11</v>
      </c>
      <c r="R228" s="8" t="s">
        <v>12</v>
      </c>
      <c r="S228" s="7" t="s">
        <v>13</v>
      </c>
      <c r="T228" s="8" t="s">
        <v>14</v>
      </c>
      <c r="U228" s="7" t="s">
        <v>15</v>
      </c>
      <c r="V228" s="8" t="s">
        <v>16</v>
      </c>
      <c r="W228" s="7" t="s">
        <v>17</v>
      </c>
      <c r="X228" s="8" t="s">
        <v>18</v>
      </c>
      <c r="Y228" s="7" t="s">
        <v>19</v>
      </c>
      <c r="Z228" s="7" t="s">
        <v>20</v>
      </c>
    </row>
    <row r="229" customFormat="false" ht="12.8" hidden="false" customHeight="false" outlineLevel="0" collapsed="false">
      <c r="A229" s="1" t="n">
        <v>3</v>
      </c>
      <c r="B229" s="1" t="n">
        <v>2</v>
      </c>
      <c r="D229" s="36" t="s">
        <v>174</v>
      </c>
      <c r="E229" s="10" t="n">
        <v>640</v>
      </c>
      <c r="F229" s="10" t="s">
        <v>127</v>
      </c>
      <c r="G229" s="11" t="n">
        <v>216.1</v>
      </c>
      <c r="H229" s="11" t="n">
        <v>216.1</v>
      </c>
      <c r="I229" s="11" t="n">
        <v>500</v>
      </c>
      <c r="J229" s="11" t="n">
        <v>151.66</v>
      </c>
      <c r="K229" s="11" t="n">
        <v>200</v>
      </c>
      <c r="L229" s="11"/>
      <c r="M229" s="11"/>
      <c r="N229" s="11"/>
      <c r="O229" s="11"/>
      <c r="P229" s="11" t="n">
        <f aca="false">K229+SUM(L229:O229)</f>
        <v>200</v>
      </c>
      <c r="Q229" s="11" t="n">
        <v>0</v>
      </c>
      <c r="R229" s="12" t="n">
        <f aca="false">Q229/$P229</f>
        <v>0</v>
      </c>
      <c r="S229" s="11" t="n">
        <v>0</v>
      </c>
      <c r="T229" s="12" t="n">
        <f aca="false">S229/$P229</f>
        <v>0</v>
      </c>
      <c r="U229" s="11" t="n">
        <v>0</v>
      </c>
      <c r="V229" s="12" t="n">
        <f aca="false">U229/$P229</f>
        <v>0</v>
      </c>
      <c r="W229" s="11" t="n">
        <v>0</v>
      </c>
      <c r="X229" s="12" t="n">
        <f aca="false">W229/$P229</f>
        <v>0</v>
      </c>
      <c r="Y229" s="11" t="n">
        <f aca="false">K229</f>
        <v>200</v>
      </c>
      <c r="Z229" s="11" t="n">
        <f aca="false">Y229</f>
        <v>200</v>
      </c>
    </row>
    <row r="230" customFormat="false" ht="12.8" hidden="false" customHeight="false" outlineLevel="0" collapsed="false">
      <c r="A230" s="1" t="n">
        <v>3</v>
      </c>
      <c r="B230" s="1" t="n">
        <v>2</v>
      </c>
      <c r="D230" s="70" t="s">
        <v>21</v>
      </c>
      <c r="E230" s="13" t="n">
        <v>41</v>
      </c>
      <c r="F230" s="13" t="s">
        <v>23</v>
      </c>
      <c r="G230" s="14" t="n">
        <f aca="false">SUM(G229:G229)</f>
        <v>216.1</v>
      </c>
      <c r="H230" s="14" t="n">
        <f aca="false">SUM(H229:H229)</f>
        <v>216.1</v>
      </c>
      <c r="I230" s="14" t="n">
        <f aca="false">SUM(I229:I229)</f>
        <v>500</v>
      </c>
      <c r="J230" s="14" t="n">
        <f aca="false">SUM(J229:J229)</f>
        <v>151.66</v>
      </c>
      <c r="K230" s="14" t="n">
        <f aca="false">SUM(K229:K229)</f>
        <v>200</v>
      </c>
      <c r="L230" s="14" t="n">
        <f aca="false">SUM(L229:L229)</f>
        <v>0</v>
      </c>
      <c r="M230" s="14" t="n">
        <f aca="false">SUM(M229:M229)</f>
        <v>0</v>
      </c>
      <c r="N230" s="14" t="n">
        <f aca="false">SUM(N229:N229)</f>
        <v>0</v>
      </c>
      <c r="O230" s="14" t="n">
        <f aca="false">SUM(O229:O229)</f>
        <v>0</v>
      </c>
      <c r="P230" s="14" t="n">
        <f aca="false">SUM(P229:P229)</f>
        <v>200</v>
      </c>
      <c r="Q230" s="14" t="n">
        <f aca="false">SUM(Q229:Q229)</f>
        <v>0</v>
      </c>
      <c r="R230" s="15" t="n">
        <f aca="false">Q230/$P230</f>
        <v>0</v>
      </c>
      <c r="S230" s="14" t="n">
        <f aca="false">SUM(S229:S229)</f>
        <v>0</v>
      </c>
      <c r="T230" s="15" t="n">
        <f aca="false">S230/$P230</f>
        <v>0</v>
      </c>
      <c r="U230" s="14" t="n">
        <f aca="false">SUM(U229:U229)</f>
        <v>0</v>
      </c>
      <c r="V230" s="15" t="n">
        <f aca="false">U230/$P230</f>
        <v>0</v>
      </c>
      <c r="W230" s="14" t="n">
        <f aca="false">SUM(W229:W229)</f>
        <v>0</v>
      </c>
      <c r="X230" s="15" t="n">
        <f aca="false">W230/$P230</f>
        <v>0</v>
      </c>
      <c r="Y230" s="14" t="n">
        <f aca="false">SUM(Y229:Y229)</f>
        <v>200</v>
      </c>
      <c r="Z230" s="14" t="n">
        <f aca="false">SUM(Z229:Z229)</f>
        <v>200</v>
      </c>
    </row>
    <row r="232" customFormat="false" ht="12.8" hidden="false" customHeight="false" outlineLevel="0" collapsed="false">
      <c r="D232" s="18" t="s">
        <v>181</v>
      </c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9"/>
      <c r="S232" s="18"/>
      <c r="T232" s="19"/>
      <c r="U232" s="18"/>
      <c r="V232" s="19"/>
      <c r="W232" s="18"/>
      <c r="X232" s="19"/>
      <c r="Y232" s="18"/>
      <c r="Z232" s="18"/>
    </row>
    <row r="233" customFormat="false" ht="12.8" hidden="false" customHeight="false" outlineLevel="0" collapsed="false">
      <c r="D233" s="6"/>
      <c r="E233" s="6"/>
      <c r="F233" s="6"/>
      <c r="G233" s="7" t="s">
        <v>1</v>
      </c>
      <c r="H233" s="7" t="s">
        <v>2</v>
      </c>
      <c r="I233" s="7" t="s">
        <v>3</v>
      </c>
      <c r="J233" s="7" t="s">
        <v>4</v>
      </c>
      <c r="K233" s="7" t="s">
        <v>5</v>
      </c>
      <c r="L233" s="7" t="s">
        <v>6</v>
      </c>
      <c r="M233" s="7" t="s">
        <v>7</v>
      </c>
      <c r="N233" s="7" t="s">
        <v>8</v>
      </c>
      <c r="O233" s="7" t="s">
        <v>9</v>
      </c>
      <c r="P233" s="7" t="s">
        <v>10</v>
      </c>
      <c r="Q233" s="7" t="s">
        <v>11</v>
      </c>
      <c r="R233" s="8" t="s">
        <v>12</v>
      </c>
      <c r="S233" s="7" t="s">
        <v>13</v>
      </c>
      <c r="T233" s="8" t="s">
        <v>14</v>
      </c>
      <c r="U233" s="7" t="s">
        <v>15</v>
      </c>
      <c r="V233" s="8" t="s">
        <v>16</v>
      </c>
      <c r="W233" s="7" t="s">
        <v>17</v>
      </c>
      <c r="X233" s="8" t="s">
        <v>18</v>
      </c>
      <c r="Y233" s="7" t="s">
        <v>19</v>
      </c>
      <c r="Z233" s="7" t="s">
        <v>20</v>
      </c>
    </row>
    <row r="234" customFormat="false" ht="12.8" hidden="false" customHeight="false" outlineLevel="0" collapsed="false">
      <c r="D234" s="20" t="s">
        <v>21</v>
      </c>
      <c r="E234" s="21" t="n">
        <v>111</v>
      </c>
      <c r="F234" s="21" t="s">
        <v>47</v>
      </c>
      <c r="G234" s="22" t="n">
        <f aca="false">G246</f>
        <v>0</v>
      </c>
      <c r="H234" s="22" t="n">
        <f aca="false">H246</f>
        <v>0</v>
      </c>
      <c r="I234" s="22" t="n">
        <f aca="false">I246</f>
        <v>0</v>
      </c>
      <c r="J234" s="22" t="n">
        <f aca="false">J246</f>
        <v>0</v>
      </c>
      <c r="K234" s="22" t="n">
        <f aca="false">K246</f>
        <v>137658</v>
      </c>
      <c r="L234" s="22" t="n">
        <f aca="false">L246</f>
        <v>0</v>
      </c>
      <c r="M234" s="22" t="n">
        <f aca="false">M246</f>
        <v>0</v>
      </c>
      <c r="N234" s="22" t="n">
        <f aca="false">N246</f>
        <v>0</v>
      </c>
      <c r="O234" s="22" t="n">
        <f aca="false">O246</f>
        <v>0</v>
      </c>
      <c r="P234" s="22" t="n">
        <f aca="false">P246</f>
        <v>137658</v>
      </c>
      <c r="Q234" s="22" t="n">
        <f aca="false">Q246</f>
        <v>0</v>
      </c>
      <c r="R234" s="23" t="n">
        <f aca="false">Q234/$P234</f>
        <v>0</v>
      </c>
      <c r="S234" s="22" t="n">
        <f aca="false">S246</f>
        <v>0</v>
      </c>
      <c r="T234" s="23" t="n">
        <f aca="false">S234/$P234</f>
        <v>0</v>
      </c>
      <c r="U234" s="22" t="n">
        <f aca="false">U246</f>
        <v>0</v>
      </c>
      <c r="V234" s="23" t="n">
        <f aca="false">U234/$P234</f>
        <v>0</v>
      </c>
      <c r="W234" s="22" t="n">
        <f aca="false">W246</f>
        <v>0</v>
      </c>
      <c r="X234" s="23" t="n">
        <f aca="false">W234/$P234</f>
        <v>0</v>
      </c>
      <c r="Y234" s="22" t="n">
        <f aca="false">Y246</f>
        <v>0</v>
      </c>
      <c r="Z234" s="22" t="n">
        <f aca="false">Z246</f>
        <v>0</v>
      </c>
    </row>
    <row r="235" customFormat="false" ht="12.8" hidden="false" customHeight="false" outlineLevel="0" collapsed="false">
      <c r="A235" s="1" t="n">
        <v>4</v>
      </c>
      <c r="D235" s="20" t="s">
        <v>21</v>
      </c>
      <c r="E235" s="21" t="n">
        <v>41</v>
      </c>
      <c r="F235" s="21" t="s">
        <v>23</v>
      </c>
      <c r="G235" s="22" t="n">
        <f aca="false">G241+G248+G257+G262</f>
        <v>52727.26</v>
      </c>
      <c r="H235" s="22" t="n">
        <f aca="false">H241+H248+H257+H262</f>
        <v>61481.63</v>
      </c>
      <c r="I235" s="22" t="n">
        <f aca="false">I241+I248+I257+I262</f>
        <v>59000</v>
      </c>
      <c r="J235" s="22" t="n">
        <f aca="false">J241+J248+J257+J262</f>
        <v>56222.96</v>
      </c>
      <c r="K235" s="22" t="n">
        <f aca="false">K241+K248+K257+K262</f>
        <v>63995</v>
      </c>
      <c r="L235" s="22" t="n">
        <f aca="false">L241+L248+L257+L262</f>
        <v>0</v>
      </c>
      <c r="M235" s="22" t="n">
        <f aca="false">M241+M248+M257+M262</f>
        <v>0</v>
      </c>
      <c r="N235" s="22" t="n">
        <f aca="false">N241+N248+N257+N262</f>
        <v>0</v>
      </c>
      <c r="O235" s="22" t="n">
        <f aca="false">O241+O248+O257+O262</f>
        <v>2000</v>
      </c>
      <c r="P235" s="22" t="n">
        <f aca="false">P241+P248+P257+P262</f>
        <v>65995</v>
      </c>
      <c r="Q235" s="22" t="n">
        <f aca="false">Q241+Q248+Q257+Q262</f>
        <v>12705.78</v>
      </c>
      <c r="R235" s="23" t="n">
        <f aca="false">Q235/$P235</f>
        <v>0.192526403515418</v>
      </c>
      <c r="S235" s="22" t="n">
        <f aca="false">S241+S248+S257+S262</f>
        <v>27620.84</v>
      </c>
      <c r="T235" s="23" t="n">
        <f aca="false">S235/$P235</f>
        <v>0.418529282521403</v>
      </c>
      <c r="U235" s="22" t="n">
        <f aca="false">U241+U248+U257+U262</f>
        <v>41793.22</v>
      </c>
      <c r="V235" s="23" t="n">
        <f aca="false">U235/$P235</f>
        <v>0.633278581710736</v>
      </c>
      <c r="W235" s="22" t="n">
        <f aca="false">W241+W248+W257+W262</f>
        <v>61589.59</v>
      </c>
      <c r="X235" s="23" t="n">
        <f aca="false">W235/$P235</f>
        <v>0.933246306538374</v>
      </c>
      <c r="Y235" s="22" t="n">
        <f aca="false">Y241+Y248+Y257+Y262</f>
        <v>57750</v>
      </c>
      <c r="Z235" s="22" t="n">
        <f aca="false">Z241+Z248+Z257+Z262</f>
        <v>57750</v>
      </c>
    </row>
    <row r="236" customFormat="false" ht="12.8" hidden="false" customHeight="false" outlineLevel="0" collapsed="false">
      <c r="A236" s="1" t="n">
        <v>4</v>
      </c>
      <c r="D236" s="16"/>
      <c r="E236" s="17"/>
      <c r="F236" s="24" t="s">
        <v>119</v>
      </c>
      <c r="G236" s="25" t="n">
        <f aca="false">SUM(G234:G235)</f>
        <v>52727.26</v>
      </c>
      <c r="H236" s="25" t="n">
        <f aca="false">SUM(H234:H235)</f>
        <v>61481.63</v>
      </c>
      <c r="I236" s="25" t="n">
        <f aca="false">SUM(I234:I235)</f>
        <v>59000</v>
      </c>
      <c r="J236" s="25" t="n">
        <f aca="false">SUM(J234:J235)</f>
        <v>56222.96</v>
      </c>
      <c r="K236" s="25" t="n">
        <f aca="false">SUM(K234:K235)</f>
        <v>201653</v>
      </c>
      <c r="L236" s="25" t="n">
        <f aca="false">SUM(L234:L235)</f>
        <v>0</v>
      </c>
      <c r="M236" s="25" t="n">
        <f aca="false">SUM(M234:M235)</f>
        <v>0</v>
      </c>
      <c r="N236" s="25" t="n">
        <f aca="false">SUM(N234:N235)</f>
        <v>0</v>
      </c>
      <c r="O236" s="25" t="n">
        <f aca="false">SUM(O234:O235)</f>
        <v>2000</v>
      </c>
      <c r="P236" s="25" t="n">
        <f aca="false">SUM(P234:P235)</f>
        <v>203653</v>
      </c>
      <c r="Q236" s="25" t="n">
        <f aca="false">SUM(Q234:Q235)</f>
        <v>12705.78</v>
      </c>
      <c r="R236" s="26" t="n">
        <f aca="false">Q236/$P236</f>
        <v>0.0623893583693832</v>
      </c>
      <c r="S236" s="25" t="n">
        <f aca="false">SUM(S234:S235)</f>
        <v>27620.84</v>
      </c>
      <c r="T236" s="26" t="n">
        <f aca="false">S236/$P236</f>
        <v>0.135626973332089</v>
      </c>
      <c r="U236" s="25" t="n">
        <f aca="false">SUM(U234:U235)</f>
        <v>41793.22</v>
      </c>
      <c r="V236" s="26" t="n">
        <f aca="false">U236/$P236</f>
        <v>0.205217796938911</v>
      </c>
      <c r="W236" s="25" t="n">
        <f aca="false">SUM(W234:W235)</f>
        <v>61589.59</v>
      </c>
      <c r="X236" s="26" t="n">
        <f aca="false">W236/$P236</f>
        <v>0.30242417248948</v>
      </c>
      <c r="Y236" s="25" t="n">
        <f aca="false">SUM(Y234:Y235)</f>
        <v>57750</v>
      </c>
      <c r="Z236" s="25" t="n">
        <f aca="false">SUM(Z234:Z235)</f>
        <v>57750</v>
      </c>
    </row>
    <row r="238" customFormat="false" ht="12.8" hidden="false" customHeight="false" outlineLevel="0" collapsed="false">
      <c r="D238" s="63" t="s">
        <v>182</v>
      </c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4"/>
      <c r="S238" s="63"/>
      <c r="T238" s="64"/>
      <c r="U238" s="63"/>
      <c r="V238" s="64"/>
      <c r="W238" s="63"/>
      <c r="X238" s="64"/>
      <c r="Y238" s="63"/>
      <c r="Z238" s="63"/>
    </row>
    <row r="239" customFormat="false" ht="12.8" hidden="false" customHeight="false" outlineLevel="0" collapsed="false">
      <c r="D239" s="7" t="s">
        <v>33</v>
      </c>
      <c r="E239" s="7" t="s">
        <v>34</v>
      </c>
      <c r="F239" s="7" t="s">
        <v>35</v>
      </c>
      <c r="G239" s="7" t="s">
        <v>1</v>
      </c>
      <c r="H239" s="7" t="s">
        <v>2</v>
      </c>
      <c r="I239" s="7" t="s">
        <v>3</v>
      </c>
      <c r="J239" s="7" t="s">
        <v>4</v>
      </c>
      <c r="K239" s="7" t="s">
        <v>5</v>
      </c>
      <c r="L239" s="7" t="s">
        <v>6</v>
      </c>
      <c r="M239" s="7" t="s">
        <v>7</v>
      </c>
      <c r="N239" s="7" t="s">
        <v>8</v>
      </c>
      <c r="O239" s="7" t="s">
        <v>9</v>
      </c>
      <c r="P239" s="7" t="s">
        <v>10</v>
      </c>
      <c r="Q239" s="7" t="s">
        <v>11</v>
      </c>
      <c r="R239" s="8" t="s">
        <v>12</v>
      </c>
      <c r="S239" s="7" t="s">
        <v>13</v>
      </c>
      <c r="T239" s="8" t="s">
        <v>14</v>
      </c>
      <c r="U239" s="7" t="s">
        <v>15</v>
      </c>
      <c r="V239" s="8" t="s">
        <v>16</v>
      </c>
      <c r="W239" s="7" t="s">
        <v>17</v>
      </c>
      <c r="X239" s="8" t="s">
        <v>18</v>
      </c>
      <c r="Y239" s="7" t="s">
        <v>19</v>
      </c>
      <c r="Z239" s="7" t="s">
        <v>20</v>
      </c>
    </row>
    <row r="240" customFormat="false" ht="12.8" hidden="false" customHeight="false" outlineLevel="0" collapsed="false">
      <c r="A240" s="1" t="n">
        <v>4</v>
      </c>
      <c r="B240" s="1" t="n">
        <v>1</v>
      </c>
      <c r="D240" s="36" t="s">
        <v>183</v>
      </c>
      <c r="E240" s="10" t="n">
        <v>630</v>
      </c>
      <c r="F240" s="10" t="s">
        <v>126</v>
      </c>
      <c r="G240" s="11" t="n">
        <v>42161.55</v>
      </c>
      <c r="H240" s="11" t="n">
        <v>56240.74</v>
      </c>
      <c r="I240" s="11" t="n">
        <v>57000</v>
      </c>
      <c r="J240" s="11" t="n">
        <v>55222.96</v>
      </c>
      <c r="K240" s="11" t="n">
        <v>54750</v>
      </c>
      <c r="L240" s="11"/>
      <c r="M240" s="11"/>
      <c r="N240" s="11" t="n">
        <v>1069</v>
      </c>
      <c r="O240" s="11" t="n">
        <f aca="false">2000+524</f>
        <v>2524</v>
      </c>
      <c r="P240" s="11" t="n">
        <f aca="false">K240+SUM(L240:O240)</f>
        <v>58343</v>
      </c>
      <c r="Q240" s="11" t="n">
        <v>12705.78</v>
      </c>
      <c r="R240" s="12" t="n">
        <f aca="false">Q240/$P240</f>
        <v>0.217777282621737</v>
      </c>
      <c r="S240" s="11" t="n">
        <v>27600.16</v>
      </c>
      <c r="T240" s="12" t="n">
        <f aca="false">S240/$P240</f>
        <v>0.473067206005862</v>
      </c>
      <c r="U240" s="11" t="n">
        <v>41772.54</v>
      </c>
      <c r="V240" s="12" t="n">
        <f aca="false">U240/$P240</f>
        <v>0.715982037262396</v>
      </c>
      <c r="W240" s="11" t="n">
        <v>58343.26</v>
      </c>
      <c r="X240" s="12" t="n">
        <f aca="false">W240/$P240</f>
        <v>1.00000445640437</v>
      </c>
      <c r="Y240" s="11" t="n">
        <f aca="false">K240</f>
        <v>54750</v>
      </c>
      <c r="Z240" s="11" t="n">
        <f aca="false">Y240</f>
        <v>54750</v>
      </c>
    </row>
    <row r="241" customFormat="false" ht="12.8" hidden="false" customHeight="false" outlineLevel="0" collapsed="false">
      <c r="A241" s="1" t="n">
        <v>4</v>
      </c>
      <c r="B241" s="1" t="n">
        <v>1</v>
      </c>
      <c r="D241" s="70" t="s">
        <v>21</v>
      </c>
      <c r="E241" s="13" t="n">
        <v>41</v>
      </c>
      <c r="F241" s="13" t="s">
        <v>23</v>
      </c>
      <c r="G241" s="14" t="n">
        <f aca="false">SUM(G240:G240)</f>
        <v>42161.55</v>
      </c>
      <c r="H241" s="14" t="n">
        <f aca="false">SUM(H240:H240)</f>
        <v>56240.74</v>
      </c>
      <c r="I241" s="14" t="n">
        <f aca="false">SUM(I240:I240)</f>
        <v>57000</v>
      </c>
      <c r="J241" s="14" t="n">
        <f aca="false">SUM(J240:J240)</f>
        <v>55222.96</v>
      </c>
      <c r="K241" s="14" t="n">
        <f aca="false">SUM(K240:K240)</f>
        <v>54750</v>
      </c>
      <c r="L241" s="14" t="n">
        <f aca="false">SUM(L240:L240)</f>
        <v>0</v>
      </c>
      <c r="M241" s="14" t="n">
        <f aca="false">SUM(M240:M240)</f>
        <v>0</v>
      </c>
      <c r="N241" s="14" t="n">
        <f aca="false">SUM(N240:N240)</f>
        <v>1069</v>
      </c>
      <c r="O241" s="14" t="n">
        <f aca="false">SUM(O240:O240)</f>
        <v>2524</v>
      </c>
      <c r="P241" s="14" t="n">
        <f aca="false">SUM(P240:P240)</f>
        <v>58343</v>
      </c>
      <c r="Q241" s="14" t="n">
        <f aca="false">SUM(Q240:Q240)</f>
        <v>12705.78</v>
      </c>
      <c r="R241" s="15" t="n">
        <f aca="false">Q241/$P241</f>
        <v>0.217777282621737</v>
      </c>
      <c r="S241" s="14" t="n">
        <f aca="false">SUM(S240:S240)</f>
        <v>27600.16</v>
      </c>
      <c r="T241" s="15" t="n">
        <f aca="false">S241/$P241</f>
        <v>0.473067206005862</v>
      </c>
      <c r="U241" s="14" t="n">
        <f aca="false">SUM(U240:U240)</f>
        <v>41772.54</v>
      </c>
      <c r="V241" s="15" t="n">
        <f aca="false">U241/$P241</f>
        <v>0.715982037262396</v>
      </c>
      <c r="W241" s="14" t="n">
        <f aca="false">SUM(W240:W240)</f>
        <v>58343.26</v>
      </c>
      <c r="X241" s="15" t="n">
        <f aca="false">W241/$P241</f>
        <v>1.00000445640437</v>
      </c>
      <c r="Y241" s="14" t="n">
        <f aca="false">SUM(Y240:Y240)</f>
        <v>54750</v>
      </c>
      <c r="Z241" s="14" t="n">
        <f aca="false">SUM(Z240:Z240)</f>
        <v>54750</v>
      </c>
    </row>
    <row r="243" customFormat="false" ht="12.8" hidden="false" customHeight="false" outlineLevel="0" collapsed="false">
      <c r="D243" s="63" t="s">
        <v>184</v>
      </c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4"/>
      <c r="S243" s="63"/>
      <c r="T243" s="64"/>
      <c r="U243" s="63"/>
      <c r="V243" s="64"/>
      <c r="W243" s="63"/>
      <c r="X243" s="64"/>
      <c r="Y243" s="63"/>
      <c r="Z243" s="63"/>
    </row>
    <row r="244" customFormat="false" ht="12.8" hidden="false" customHeight="false" outlineLevel="0" collapsed="false">
      <c r="D244" s="7" t="s">
        <v>33</v>
      </c>
      <c r="E244" s="7" t="s">
        <v>34</v>
      </c>
      <c r="F244" s="7" t="s">
        <v>35</v>
      </c>
      <c r="G244" s="7" t="s">
        <v>1</v>
      </c>
      <c r="H244" s="7" t="s">
        <v>2</v>
      </c>
      <c r="I244" s="7" t="s">
        <v>3</v>
      </c>
      <c r="J244" s="7" t="s">
        <v>4</v>
      </c>
      <c r="K244" s="7" t="s">
        <v>5</v>
      </c>
      <c r="L244" s="7" t="s">
        <v>6</v>
      </c>
      <c r="M244" s="7" t="s">
        <v>7</v>
      </c>
      <c r="N244" s="7" t="s">
        <v>8</v>
      </c>
      <c r="O244" s="7" t="s">
        <v>9</v>
      </c>
      <c r="P244" s="7" t="s">
        <v>10</v>
      </c>
      <c r="Q244" s="7" t="s">
        <v>11</v>
      </c>
      <c r="R244" s="8" t="s">
        <v>12</v>
      </c>
      <c r="S244" s="7" t="s">
        <v>13</v>
      </c>
      <c r="T244" s="8" t="s">
        <v>14</v>
      </c>
      <c r="U244" s="7" t="s">
        <v>15</v>
      </c>
      <c r="V244" s="8" t="s">
        <v>16</v>
      </c>
      <c r="W244" s="7" t="s">
        <v>17</v>
      </c>
      <c r="X244" s="8" t="s">
        <v>18</v>
      </c>
      <c r="Y244" s="7" t="s">
        <v>19</v>
      </c>
      <c r="Z244" s="7" t="s">
        <v>20</v>
      </c>
    </row>
    <row r="245" customFormat="false" ht="12.8" hidden="false" customHeight="false" outlineLevel="0" collapsed="false">
      <c r="D245" s="36" t="s">
        <v>183</v>
      </c>
      <c r="E245" s="10" t="n">
        <v>630</v>
      </c>
      <c r="F245" s="10" t="s">
        <v>126</v>
      </c>
      <c r="G245" s="11" t="n">
        <v>0</v>
      </c>
      <c r="H245" s="11" t="n">
        <v>0</v>
      </c>
      <c r="I245" s="11" t="n">
        <v>0</v>
      </c>
      <c r="J245" s="11" t="n">
        <v>0</v>
      </c>
      <c r="K245" s="11" t="n">
        <v>137658</v>
      </c>
      <c r="L245" s="11"/>
      <c r="M245" s="11"/>
      <c r="N245" s="11"/>
      <c r="O245" s="11"/>
      <c r="P245" s="11" t="n">
        <f aca="false">K245+SUM(L245:O245)</f>
        <v>137658</v>
      </c>
      <c r="Q245" s="11" t="n">
        <v>0</v>
      </c>
      <c r="R245" s="12" t="n">
        <f aca="false">Q245/$P245</f>
        <v>0</v>
      </c>
      <c r="S245" s="11" t="n">
        <v>0</v>
      </c>
      <c r="T245" s="12" t="n">
        <f aca="false">S245/$P245</f>
        <v>0</v>
      </c>
      <c r="U245" s="11" t="n">
        <v>0</v>
      </c>
      <c r="V245" s="12" t="n">
        <f aca="false">U245/$P245</f>
        <v>0</v>
      </c>
      <c r="W245" s="11" t="n">
        <v>0</v>
      </c>
      <c r="X245" s="12" t="n">
        <f aca="false">W245/$P245</f>
        <v>0</v>
      </c>
      <c r="Y245" s="11" t="n">
        <v>0</v>
      </c>
      <c r="Z245" s="11" t="n">
        <f aca="false">Y245</f>
        <v>0</v>
      </c>
    </row>
    <row r="246" customFormat="false" ht="12.8" hidden="false" customHeight="false" outlineLevel="0" collapsed="false">
      <c r="D246" s="75" t="s">
        <v>21</v>
      </c>
      <c r="E246" s="32" t="n">
        <v>111</v>
      </c>
      <c r="F246" s="32" t="s">
        <v>130</v>
      </c>
      <c r="G246" s="33" t="n">
        <f aca="false">SUM(G245:G245)</f>
        <v>0</v>
      </c>
      <c r="H246" s="33" t="n">
        <f aca="false">SUM(H245:H245)</f>
        <v>0</v>
      </c>
      <c r="I246" s="33" t="n">
        <f aca="false">SUM(I245:I245)</f>
        <v>0</v>
      </c>
      <c r="J246" s="33" t="n">
        <f aca="false">SUM(J245:J245)</f>
        <v>0</v>
      </c>
      <c r="K246" s="33" t="n">
        <f aca="false">SUM(K245:K245)</f>
        <v>137658</v>
      </c>
      <c r="L246" s="33" t="n">
        <f aca="false">SUM(L245:L245)</f>
        <v>0</v>
      </c>
      <c r="M246" s="33" t="n">
        <f aca="false">SUM(M245:M245)</f>
        <v>0</v>
      </c>
      <c r="N246" s="33" t="n">
        <f aca="false">SUM(N245:N245)</f>
        <v>0</v>
      </c>
      <c r="O246" s="33" t="n">
        <f aca="false">SUM(O245:O245)</f>
        <v>0</v>
      </c>
      <c r="P246" s="33" t="n">
        <f aca="false">SUM(P245:P245)</f>
        <v>137658</v>
      </c>
      <c r="Q246" s="33" t="n">
        <f aca="false">SUM(Q245:Q245)</f>
        <v>0</v>
      </c>
      <c r="R246" s="34" t="n">
        <f aca="false">Q246/$P246</f>
        <v>0</v>
      </c>
      <c r="S246" s="33" t="n">
        <f aca="false">SUM(S245:S245)</f>
        <v>0</v>
      </c>
      <c r="T246" s="34" t="n">
        <f aca="false">S246/$P246</f>
        <v>0</v>
      </c>
      <c r="U246" s="33" t="n">
        <f aca="false">SUM(U245:U245)</f>
        <v>0</v>
      </c>
      <c r="V246" s="34" t="n">
        <f aca="false">U246/$P246</f>
        <v>0</v>
      </c>
      <c r="W246" s="33" t="n">
        <f aca="false">SUM(W245:W245)</f>
        <v>0</v>
      </c>
      <c r="X246" s="34" t="n">
        <f aca="false">W246/$P246</f>
        <v>0</v>
      </c>
      <c r="Y246" s="33" t="n">
        <f aca="false">SUM(Y245:Y245)</f>
        <v>0</v>
      </c>
      <c r="Z246" s="33" t="n">
        <f aca="false">SUM(Z245:Z245)</f>
        <v>0</v>
      </c>
    </row>
    <row r="247" customFormat="false" ht="12.8" hidden="false" customHeight="false" outlineLevel="0" collapsed="false">
      <c r="A247" s="1" t="n">
        <v>4</v>
      </c>
      <c r="B247" s="1" t="n">
        <v>2</v>
      </c>
      <c r="D247" s="36" t="s">
        <v>183</v>
      </c>
      <c r="E247" s="10" t="n">
        <v>630</v>
      </c>
      <c r="F247" s="10" t="s">
        <v>126</v>
      </c>
      <c r="G247" s="11" t="n">
        <v>7965.71</v>
      </c>
      <c r="H247" s="11" t="n">
        <v>5240.89</v>
      </c>
      <c r="I247" s="11" t="n">
        <v>0</v>
      </c>
      <c r="J247" s="11" t="n">
        <v>1000</v>
      </c>
      <c r="K247" s="11" t="n">
        <f aca="false">7245</f>
        <v>7245</v>
      </c>
      <c r="L247" s="11"/>
      <c r="M247" s="11"/>
      <c r="N247" s="11" t="n">
        <v>-195</v>
      </c>
      <c r="O247" s="11" t="n">
        <f aca="false">-2000-644</f>
        <v>-2644</v>
      </c>
      <c r="P247" s="11" t="n">
        <f aca="false">K247+SUM(L247:O247)</f>
        <v>4406</v>
      </c>
      <c r="Q247" s="11" t="n">
        <v>0</v>
      </c>
      <c r="R247" s="12" t="n">
        <f aca="false">Q247/$P247</f>
        <v>0</v>
      </c>
      <c r="S247" s="11" t="n">
        <v>0</v>
      </c>
      <c r="T247" s="12" t="n">
        <f aca="false">S247/$P247</f>
        <v>0</v>
      </c>
      <c r="U247" s="11" t="n">
        <v>0</v>
      </c>
      <c r="V247" s="12" t="n">
        <f aca="false">U247/$P247</f>
        <v>0</v>
      </c>
      <c r="W247" s="11" t="n">
        <v>0</v>
      </c>
      <c r="X247" s="12" t="n">
        <f aca="false">W247/$P247</f>
        <v>0</v>
      </c>
      <c r="Y247" s="11" t="n">
        <v>1000</v>
      </c>
      <c r="Z247" s="11" t="n">
        <f aca="false">Y247</f>
        <v>1000</v>
      </c>
    </row>
    <row r="248" customFormat="false" ht="12.8" hidden="false" customHeight="false" outlineLevel="0" collapsed="false">
      <c r="A248" s="1" t="n">
        <v>4</v>
      </c>
      <c r="B248" s="1" t="n">
        <v>2</v>
      </c>
      <c r="D248" s="75" t="s">
        <v>21</v>
      </c>
      <c r="E248" s="32" t="n">
        <v>41</v>
      </c>
      <c r="F248" s="32" t="s">
        <v>23</v>
      </c>
      <c r="G248" s="33" t="n">
        <f aca="false">SUM(G247:G247)</f>
        <v>7965.71</v>
      </c>
      <c r="H248" s="33" t="n">
        <f aca="false">SUM(H247:H247)</f>
        <v>5240.89</v>
      </c>
      <c r="I248" s="33" t="n">
        <f aca="false">SUM(I247:I247)</f>
        <v>0</v>
      </c>
      <c r="J248" s="33" t="n">
        <f aca="false">SUM(J247:J247)</f>
        <v>1000</v>
      </c>
      <c r="K248" s="33" t="n">
        <f aca="false">SUM(K247:K247)</f>
        <v>7245</v>
      </c>
      <c r="L248" s="33" t="n">
        <f aca="false">SUM(L247:L247)</f>
        <v>0</v>
      </c>
      <c r="M248" s="33" t="n">
        <f aca="false">SUM(M247:M247)</f>
        <v>0</v>
      </c>
      <c r="N248" s="33" t="n">
        <f aca="false">SUM(N247:N247)</f>
        <v>-195</v>
      </c>
      <c r="O248" s="33" t="n">
        <f aca="false">SUM(O247:O247)</f>
        <v>-2644</v>
      </c>
      <c r="P248" s="33" t="n">
        <f aca="false">SUM(P247:P247)</f>
        <v>4406</v>
      </c>
      <c r="Q248" s="33" t="n">
        <f aca="false">SUM(Q247:Q247)</f>
        <v>0</v>
      </c>
      <c r="R248" s="34" t="n">
        <f aca="false">Q248/$P248</f>
        <v>0</v>
      </c>
      <c r="S248" s="33" t="n">
        <f aca="false">SUM(S247:S247)</f>
        <v>0</v>
      </c>
      <c r="T248" s="34" t="n">
        <f aca="false">S248/$P248</f>
        <v>0</v>
      </c>
      <c r="U248" s="33" t="n">
        <f aca="false">SUM(U247:U247)</f>
        <v>0</v>
      </c>
      <c r="V248" s="34" t="n">
        <f aca="false">U248/$P248</f>
        <v>0</v>
      </c>
      <c r="W248" s="33" t="n">
        <f aca="false">SUM(W247:W247)</f>
        <v>0</v>
      </c>
      <c r="X248" s="34" t="n">
        <f aca="false">W248/$P248</f>
        <v>0</v>
      </c>
      <c r="Y248" s="33" t="n">
        <f aca="false">SUM(Y247:Y247)</f>
        <v>1000</v>
      </c>
      <c r="Z248" s="33" t="n">
        <f aca="false">SUM(Z247:Z247)</f>
        <v>1000</v>
      </c>
    </row>
    <row r="249" customFormat="false" ht="12.8" hidden="false" customHeight="false" outlineLevel="0" collapsed="false">
      <c r="D249" s="77"/>
      <c r="E249" s="78"/>
      <c r="F249" s="13" t="s">
        <v>119</v>
      </c>
      <c r="G249" s="14" t="n">
        <f aca="false">G246+G248</f>
        <v>7965.71</v>
      </c>
      <c r="H249" s="14" t="n">
        <f aca="false">H246+H248</f>
        <v>5240.89</v>
      </c>
      <c r="I249" s="14" t="n">
        <f aca="false">I246+I248</f>
        <v>0</v>
      </c>
      <c r="J249" s="14" t="n">
        <f aca="false">J246+J248</f>
        <v>1000</v>
      </c>
      <c r="K249" s="14" t="n">
        <f aca="false">K246+K248</f>
        <v>144903</v>
      </c>
      <c r="L249" s="14" t="n">
        <f aca="false">L246+L248</f>
        <v>0</v>
      </c>
      <c r="M249" s="14" t="n">
        <f aca="false">M246+M248</f>
        <v>0</v>
      </c>
      <c r="N249" s="14" t="n">
        <f aca="false">N246+N248</f>
        <v>-195</v>
      </c>
      <c r="O249" s="14" t="n">
        <f aca="false">O246+O248</f>
        <v>-2644</v>
      </c>
      <c r="P249" s="14" t="n">
        <f aca="false">P246+P248</f>
        <v>142064</v>
      </c>
      <c r="Q249" s="14" t="n">
        <f aca="false">Q246+Q248</f>
        <v>0</v>
      </c>
      <c r="R249" s="15" t="n">
        <f aca="false">Q249/$P249</f>
        <v>0</v>
      </c>
      <c r="S249" s="14" t="n">
        <f aca="false">S246+S248</f>
        <v>0</v>
      </c>
      <c r="T249" s="15" t="n">
        <f aca="false">S249/$P249</f>
        <v>0</v>
      </c>
      <c r="U249" s="14" t="n">
        <f aca="false">U246+U248</f>
        <v>0</v>
      </c>
      <c r="V249" s="15" t="n">
        <f aca="false">U249/$P249</f>
        <v>0</v>
      </c>
      <c r="W249" s="14" t="n">
        <f aca="false">W246+W248</f>
        <v>0</v>
      </c>
      <c r="X249" s="15" t="n">
        <f aca="false">W249/$P249</f>
        <v>0</v>
      </c>
      <c r="Y249" s="14" t="n">
        <f aca="false">Y246+Y248</f>
        <v>1000</v>
      </c>
      <c r="Z249" s="14" t="n">
        <f aca="false">Z246+Z248</f>
        <v>1000</v>
      </c>
    </row>
    <row r="251" customFormat="false" ht="12.8" hidden="false" customHeight="false" outlineLevel="0" collapsed="false">
      <c r="E251" s="82" t="s">
        <v>57</v>
      </c>
      <c r="F251" s="83" t="s">
        <v>185</v>
      </c>
      <c r="G251" s="84"/>
      <c r="H251" s="84" t="n">
        <v>0</v>
      </c>
      <c r="I251" s="84" t="n">
        <v>0</v>
      </c>
      <c r="J251" s="84" t="n">
        <v>0</v>
      </c>
      <c r="K251" s="101" t="n">
        <f aca="false">137658+7245</f>
        <v>144903</v>
      </c>
      <c r="L251" s="84"/>
      <c r="M251" s="84"/>
      <c r="N251" s="84" t="n">
        <v>-195</v>
      </c>
      <c r="O251" s="84" t="n">
        <f aca="false">-2000-644</f>
        <v>-2644</v>
      </c>
      <c r="P251" s="84" t="n">
        <f aca="false">K251+SUM(L251:O251)</f>
        <v>142064</v>
      </c>
      <c r="Q251" s="84" t="n">
        <v>0</v>
      </c>
      <c r="R251" s="85" t="n">
        <f aca="false">Q251/$P251</f>
        <v>0</v>
      </c>
      <c r="S251" s="84" t="n">
        <v>0</v>
      </c>
      <c r="T251" s="85" t="n">
        <f aca="false">S251/$P251</f>
        <v>0</v>
      </c>
      <c r="U251" s="84" t="n">
        <v>0</v>
      </c>
      <c r="V251" s="85" t="n">
        <f aca="false">U251/$P251</f>
        <v>0</v>
      </c>
      <c r="W251" s="84" t="n">
        <v>0</v>
      </c>
      <c r="X251" s="102" t="n">
        <f aca="false">W251/$P251</f>
        <v>0</v>
      </c>
      <c r="Y251" s="40" t="n">
        <v>0</v>
      </c>
      <c r="Z251" s="44" t="n">
        <f aca="false">Y251</f>
        <v>0</v>
      </c>
    </row>
    <row r="252" customFormat="false" ht="12.8" hidden="true" customHeight="false" outlineLevel="0" collapsed="false">
      <c r="E252" s="54"/>
      <c r="F252" s="72" t="s">
        <v>186</v>
      </c>
      <c r="G252" s="56" t="n">
        <v>4480.53</v>
      </c>
      <c r="H252" s="56" t="n">
        <v>5240.89</v>
      </c>
      <c r="I252" s="56" t="n">
        <v>0</v>
      </c>
      <c r="J252" s="56" t="n">
        <v>0</v>
      </c>
      <c r="K252" s="56" t="n">
        <f aca="false">0</f>
        <v>0</v>
      </c>
      <c r="L252" s="56"/>
      <c r="M252" s="56"/>
      <c r="N252" s="56"/>
      <c r="O252" s="56"/>
      <c r="P252" s="56" t="n">
        <f aca="false">K252+SUM(L252:O252)</f>
        <v>0</v>
      </c>
      <c r="Q252" s="56" t="n">
        <v>0</v>
      </c>
      <c r="R252" s="57" t="e">
        <f aca="false">Q252/$P252</f>
        <v>#DIV/0!</v>
      </c>
      <c r="S252" s="56" t="n">
        <v>0</v>
      </c>
      <c r="T252" s="57" t="e">
        <f aca="false">S252/$P252</f>
        <v>#DIV/0!</v>
      </c>
      <c r="U252" s="56" t="n">
        <v>0</v>
      </c>
      <c r="V252" s="57" t="e">
        <f aca="false">U252/$P252</f>
        <v>#DIV/0!</v>
      </c>
      <c r="W252" s="56" t="n">
        <v>0</v>
      </c>
      <c r="X252" s="57" t="e">
        <f aca="false">W252/$P252</f>
        <v>#DIV/0!</v>
      </c>
      <c r="Y252" s="56" t="n">
        <f aca="false">K252</f>
        <v>0</v>
      </c>
      <c r="Z252" s="60" t="n">
        <f aca="false">Y252</f>
        <v>0</v>
      </c>
    </row>
    <row r="254" customFormat="false" ht="12.8" hidden="false" customHeight="false" outlineLevel="0" collapsed="false">
      <c r="D254" s="63" t="s">
        <v>187</v>
      </c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4"/>
      <c r="S254" s="63"/>
      <c r="T254" s="64"/>
      <c r="U254" s="63"/>
      <c r="V254" s="64"/>
      <c r="W254" s="63"/>
      <c r="X254" s="64"/>
      <c r="Y254" s="63"/>
      <c r="Z254" s="63"/>
    </row>
    <row r="255" customFormat="false" ht="12.8" hidden="false" customHeight="false" outlineLevel="0" collapsed="false">
      <c r="D255" s="7" t="s">
        <v>33</v>
      </c>
      <c r="E255" s="7" t="s">
        <v>34</v>
      </c>
      <c r="F255" s="7" t="s">
        <v>35</v>
      </c>
      <c r="G255" s="7" t="s">
        <v>1</v>
      </c>
      <c r="H255" s="7" t="s">
        <v>2</v>
      </c>
      <c r="I255" s="7" t="s">
        <v>3</v>
      </c>
      <c r="J255" s="7" t="s">
        <v>4</v>
      </c>
      <c r="K255" s="7" t="s">
        <v>5</v>
      </c>
      <c r="L255" s="7" t="s">
        <v>6</v>
      </c>
      <c r="M255" s="7" t="s">
        <v>7</v>
      </c>
      <c r="N255" s="7" t="s">
        <v>8</v>
      </c>
      <c r="O255" s="7" t="s">
        <v>9</v>
      </c>
      <c r="P255" s="7" t="s">
        <v>10</v>
      </c>
      <c r="Q255" s="7" t="s">
        <v>11</v>
      </c>
      <c r="R255" s="8" t="s">
        <v>12</v>
      </c>
      <c r="S255" s="7" t="s">
        <v>13</v>
      </c>
      <c r="T255" s="8" t="s">
        <v>14</v>
      </c>
      <c r="U255" s="7" t="s">
        <v>15</v>
      </c>
      <c r="V255" s="8" t="s">
        <v>16</v>
      </c>
      <c r="W255" s="7" t="s">
        <v>17</v>
      </c>
      <c r="X255" s="8" t="s">
        <v>18</v>
      </c>
      <c r="Y255" s="7" t="s">
        <v>19</v>
      </c>
      <c r="Z255" s="7" t="s">
        <v>20</v>
      </c>
    </row>
    <row r="256" customFormat="false" ht="12.8" hidden="false" customHeight="false" outlineLevel="0" collapsed="false">
      <c r="A256" s="1" t="n">
        <v>4</v>
      </c>
      <c r="B256" s="1" t="n">
        <v>3</v>
      </c>
      <c r="D256" s="36" t="s">
        <v>183</v>
      </c>
      <c r="E256" s="10" t="n">
        <v>630</v>
      </c>
      <c r="F256" s="10" t="s">
        <v>126</v>
      </c>
      <c r="G256" s="11" t="n">
        <v>0</v>
      </c>
      <c r="H256" s="11" t="n">
        <v>0</v>
      </c>
      <c r="I256" s="11" t="n">
        <v>1000</v>
      </c>
      <c r="J256" s="11" t="n">
        <v>0</v>
      </c>
      <c r="K256" s="11" t="n">
        <f aca="false">I256</f>
        <v>1000</v>
      </c>
      <c r="L256" s="11"/>
      <c r="M256" s="11"/>
      <c r="N256" s="11" t="n">
        <v>105</v>
      </c>
      <c r="O256" s="11" t="n">
        <f aca="false">2000+120</f>
        <v>2120</v>
      </c>
      <c r="P256" s="11" t="n">
        <f aca="false">K256+SUM(L256:O256)</f>
        <v>3225</v>
      </c>
      <c r="Q256" s="11" t="n">
        <v>0</v>
      </c>
      <c r="R256" s="12" t="n">
        <f aca="false">Q256/$P256</f>
        <v>0</v>
      </c>
      <c r="S256" s="11" t="n">
        <v>0</v>
      </c>
      <c r="T256" s="12" t="n">
        <f aca="false">S256/$P256</f>
        <v>0</v>
      </c>
      <c r="U256" s="11" t="n">
        <v>0</v>
      </c>
      <c r="V256" s="12" t="n">
        <f aca="false">U256/$P256</f>
        <v>0</v>
      </c>
      <c r="W256" s="11" t="n">
        <v>3225.65</v>
      </c>
      <c r="X256" s="12" t="n">
        <f aca="false">W256/$P256</f>
        <v>1.0002015503876</v>
      </c>
      <c r="Y256" s="11" t="n">
        <f aca="false">K256</f>
        <v>1000</v>
      </c>
      <c r="Z256" s="11" t="n">
        <f aca="false">Y256</f>
        <v>1000</v>
      </c>
    </row>
    <row r="257" customFormat="false" ht="12.8" hidden="false" customHeight="false" outlineLevel="0" collapsed="false">
      <c r="A257" s="1" t="n">
        <v>4</v>
      </c>
      <c r="B257" s="1" t="n">
        <v>3</v>
      </c>
      <c r="D257" s="70" t="s">
        <v>21</v>
      </c>
      <c r="E257" s="13" t="n">
        <v>41</v>
      </c>
      <c r="F257" s="13" t="s">
        <v>23</v>
      </c>
      <c r="G257" s="14" t="n">
        <f aca="false">SUM(G256:G256)</f>
        <v>0</v>
      </c>
      <c r="H257" s="14" t="n">
        <f aca="false">SUM(H256:H256)</f>
        <v>0</v>
      </c>
      <c r="I257" s="14" t="n">
        <f aca="false">SUM(I256:I256)</f>
        <v>1000</v>
      </c>
      <c r="J257" s="14" t="n">
        <f aca="false">SUM(J256:J256)</f>
        <v>0</v>
      </c>
      <c r="K257" s="14" t="n">
        <f aca="false">SUM(K256:K256)</f>
        <v>1000</v>
      </c>
      <c r="L257" s="14" t="n">
        <f aca="false">SUM(L256:L256)</f>
        <v>0</v>
      </c>
      <c r="M257" s="14" t="n">
        <f aca="false">SUM(M256:M256)</f>
        <v>0</v>
      </c>
      <c r="N257" s="14" t="n">
        <f aca="false">SUM(N256:N256)</f>
        <v>105</v>
      </c>
      <c r="O257" s="14" t="n">
        <f aca="false">SUM(O256:O256)</f>
        <v>2120</v>
      </c>
      <c r="P257" s="14" t="n">
        <f aca="false">SUM(P256:P256)</f>
        <v>3225</v>
      </c>
      <c r="Q257" s="14" t="n">
        <f aca="false">SUM(Q256:Q256)</f>
        <v>0</v>
      </c>
      <c r="R257" s="15" t="n">
        <f aca="false">Q257/$P257</f>
        <v>0</v>
      </c>
      <c r="S257" s="14" t="n">
        <f aca="false">SUM(S256:S256)</f>
        <v>0</v>
      </c>
      <c r="T257" s="15" t="n">
        <f aca="false">S257/$P257</f>
        <v>0</v>
      </c>
      <c r="U257" s="14" t="n">
        <f aca="false">SUM(U256:U256)</f>
        <v>0</v>
      </c>
      <c r="V257" s="15" t="n">
        <f aca="false">U257/$P257</f>
        <v>0</v>
      </c>
      <c r="W257" s="14" t="n">
        <f aca="false">SUM(W256:W256)</f>
        <v>3225.65</v>
      </c>
      <c r="X257" s="15" t="n">
        <f aca="false">W257/$P257</f>
        <v>1.0002015503876</v>
      </c>
      <c r="Y257" s="14" t="n">
        <f aca="false">SUM(Y256:Y256)</f>
        <v>1000</v>
      </c>
      <c r="Z257" s="14" t="n">
        <f aca="false">SUM(Z256:Z256)</f>
        <v>1000</v>
      </c>
    </row>
    <row r="259" customFormat="false" ht="12.8" hidden="false" customHeight="false" outlineLevel="0" collapsed="false">
      <c r="D259" s="63" t="s">
        <v>188</v>
      </c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4"/>
      <c r="S259" s="63"/>
      <c r="T259" s="64"/>
      <c r="U259" s="63"/>
      <c r="V259" s="64"/>
      <c r="W259" s="63"/>
      <c r="X259" s="64"/>
      <c r="Y259" s="63"/>
      <c r="Z259" s="63"/>
    </row>
    <row r="260" customFormat="false" ht="12.8" hidden="false" customHeight="false" outlineLevel="0" collapsed="false">
      <c r="D260" s="7" t="s">
        <v>33</v>
      </c>
      <c r="E260" s="7" t="s">
        <v>34</v>
      </c>
      <c r="F260" s="7" t="s">
        <v>35</v>
      </c>
      <c r="G260" s="7" t="s">
        <v>1</v>
      </c>
      <c r="H260" s="7" t="s">
        <v>2</v>
      </c>
      <c r="I260" s="7" t="s">
        <v>3</v>
      </c>
      <c r="J260" s="7" t="s">
        <v>4</v>
      </c>
      <c r="K260" s="7" t="s">
        <v>5</v>
      </c>
      <c r="L260" s="7" t="s">
        <v>6</v>
      </c>
      <c r="M260" s="7" t="s">
        <v>7</v>
      </c>
      <c r="N260" s="7" t="s">
        <v>8</v>
      </c>
      <c r="O260" s="7" t="s">
        <v>9</v>
      </c>
      <c r="P260" s="7" t="s">
        <v>10</v>
      </c>
      <c r="Q260" s="7" t="s">
        <v>11</v>
      </c>
      <c r="R260" s="8" t="s">
        <v>12</v>
      </c>
      <c r="S260" s="7" t="s">
        <v>13</v>
      </c>
      <c r="T260" s="8" t="s">
        <v>14</v>
      </c>
      <c r="U260" s="7" t="s">
        <v>15</v>
      </c>
      <c r="V260" s="8" t="s">
        <v>16</v>
      </c>
      <c r="W260" s="7" t="s">
        <v>17</v>
      </c>
      <c r="X260" s="8" t="s">
        <v>18</v>
      </c>
      <c r="Y260" s="7" t="s">
        <v>19</v>
      </c>
      <c r="Z260" s="7" t="s">
        <v>20</v>
      </c>
    </row>
    <row r="261" customFormat="false" ht="12.8" hidden="false" customHeight="false" outlineLevel="0" collapsed="false">
      <c r="A261" s="1" t="n">
        <v>4</v>
      </c>
      <c r="B261" s="1" t="n">
        <v>4</v>
      </c>
      <c r="D261" s="36" t="s">
        <v>183</v>
      </c>
      <c r="E261" s="10" t="n">
        <v>630</v>
      </c>
      <c r="F261" s="10" t="s">
        <v>126</v>
      </c>
      <c r="G261" s="11" t="n">
        <v>2600</v>
      </c>
      <c r="H261" s="11" t="n">
        <v>0</v>
      </c>
      <c r="I261" s="11" t="n">
        <v>1000</v>
      </c>
      <c r="J261" s="11" t="n">
        <v>0</v>
      </c>
      <c r="K261" s="11" t="n">
        <f aca="false">I261</f>
        <v>1000</v>
      </c>
      <c r="L261" s="11"/>
      <c r="M261" s="11"/>
      <c r="N261" s="11" t="n">
        <v>-979</v>
      </c>
      <c r="O261" s="11"/>
      <c r="P261" s="11" t="n">
        <f aca="false">K261+SUM(L261:O261)</f>
        <v>21</v>
      </c>
      <c r="Q261" s="11" t="n">
        <v>0</v>
      </c>
      <c r="R261" s="12" t="n">
        <f aca="false">Q261/$P261</f>
        <v>0</v>
      </c>
      <c r="S261" s="11" t="n">
        <v>20.68</v>
      </c>
      <c r="T261" s="12" t="n">
        <f aca="false">S261/$P261</f>
        <v>0.984761904761905</v>
      </c>
      <c r="U261" s="11" t="n">
        <v>20.68</v>
      </c>
      <c r="V261" s="12" t="n">
        <f aca="false">U261/$P261</f>
        <v>0.984761904761905</v>
      </c>
      <c r="W261" s="11" t="n">
        <v>20.68</v>
      </c>
      <c r="X261" s="12" t="n">
        <f aca="false">W261/$P261</f>
        <v>0.984761904761905</v>
      </c>
      <c r="Y261" s="11" t="n">
        <f aca="false">K261</f>
        <v>1000</v>
      </c>
      <c r="Z261" s="11" t="n">
        <f aca="false">Y261</f>
        <v>1000</v>
      </c>
    </row>
    <row r="262" customFormat="false" ht="12.8" hidden="false" customHeight="false" outlineLevel="0" collapsed="false">
      <c r="A262" s="1" t="n">
        <v>4</v>
      </c>
      <c r="B262" s="1" t="n">
        <v>4</v>
      </c>
      <c r="D262" s="70" t="s">
        <v>21</v>
      </c>
      <c r="E262" s="13" t="n">
        <v>41</v>
      </c>
      <c r="F262" s="13" t="s">
        <v>23</v>
      </c>
      <c r="G262" s="14" t="n">
        <f aca="false">SUM(G261:G261)</f>
        <v>2600</v>
      </c>
      <c r="H262" s="14" t="n">
        <f aca="false">SUM(H261:H261)</f>
        <v>0</v>
      </c>
      <c r="I262" s="14" t="n">
        <f aca="false">SUM(I261:I261)</f>
        <v>1000</v>
      </c>
      <c r="J262" s="14" t="n">
        <f aca="false">SUM(J261:J261)</f>
        <v>0</v>
      </c>
      <c r="K262" s="14" t="n">
        <f aca="false">SUM(K261:K261)</f>
        <v>1000</v>
      </c>
      <c r="L262" s="14" t="n">
        <f aca="false">SUM(L261:L261)</f>
        <v>0</v>
      </c>
      <c r="M262" s="14" t="n">
        <f aca="false">SUM(M261:M261)</f>
        <v>0</v>
      </c>
      <c r="N262" s="14" t="n">
        <f aca="false">SUM(N261:N261)</f>
        <v>-979</v>
      </c>
      <c r="O262" s="14" t="n">
        <f aca="false">SUM(O261:O261)</f>
        <v>0</v>
      </c>
      <c r="P262" s="14" t="n">
        <f aca="false">SUM(P261:P261)</f>
        <v>21</v>
      </c>
      <c r="Q262" s="14" t="n">
        <f aca="false">SUM(Q261:Q261)</f>
        <v>0</v>
      </c>
      <c r="R262" s="15" t="n">
        <f aca="false">Q262/$P262</f>
        <v>0</v>
      </c>
      <c r="S262" s="14" t="n">
        <f aca="false">SUM(S261:S261)</f>
        <v>20.68</v>
      </c>
      <c r="T262" s="15" t="n">
        <f aca="false">S262/$P262</f>
        <v>0.984761904761905</v>
      </c>
      <c r="U262" s="14" t="n">
        <f aca="false">SUM(U261:U261)</f>
        <v>20.68</v>
      </c>
      <c r="V262" s="15" t="n">
        <f aca="false">U262/$P262</f>
        <v>0.984761904761905</v>
      </c>
      <c r="W262" s="14" t="n">
        <f aca="false">SUM(W261:W261)</f>
        <v>20.68</v>
      </c>
      <c r="X262" s="15" t="n">
        <f aca="false">W262/$P262</f>
        <v>0.984761904761905</v>
      </c>
      <c r="Y262" s="14" t="n">
        <f aca="false">SUM(Y261:Y261)</f>
        <v>1000</v>
      </c>
      <c r="Z262" s="14" t="n">
        <f aca="false">SUM(Z261:Z261)</f>
        <v>1000</v>
      </c>
    </row>
    <row r="264" customFormat="false" ht="12.8" hidden="false" customHeight="false" outlineLevel="0" collapsed="false">
      <c r="D264" s="18" t="s">
        <v>189</v>
      </c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9"/>
      <c r="S264" s="18"/>
      <c r="T264" s="19"/>
      <c r="U264" s="18"/>
      <c r="V264" s="19"/>
      <c r="W264" s="18"/>
      <c r="X264" s="19"/>
      <c r="Y264" s="18"/>
      <c r="Z264" s="18"/>
    </row>
    <row r="265" customFormat="false" ht="12.8" hidden="false" customHeight="false" outlineLevel="0" collapsed="false">
      <c r="D265" s="6"/>
      <c r="E265" s="6"/>
      <c r="F265" s="6"/>
      <c r="G265" s="7" t="s">
        <v>1</v>
      </c>
      <c r="H265" s="7" t="s">
        <v>2</v>
      </c>
      <c r="I265" s="7" t="s">
        <v>3</v>
      </c>
      <c r="J265" s="7" t="s">
        <v>4</v>
      </c>
      <c r="K265" s="7" t="s">
        <v>5</v>
      </c>
      <c r="L265" s="7" t="s">
        <v>6</v>
      </c>
      <c r="M265" s="7" t="s">
        <v>7</v>
      </c>
      <c r="N265" s="7" t="s">
        <v>8</v>
      </c>
      <c r="O265" s="7" t="s">
        <v>9</v>
      </c>
      <c r="P265" s="7" t="s">
        <v>10</v>
      </c>
      <c r="Q265" s="7" t="s">
        <v>11</v>
      </c>
      <c r="R265" s="8" t="s">
        <v>12</v>
      </c>
      <c r="S265" s="7" t="s">
        <v>13</v>
      </c>
      <c r="T265" s="8" t="s">
        <v>14</v>
      </c>
      <c r="U265" s="7" t="s">
        <v>15</v>
      </c>
      <c r="V265" s="8" t="s">
        <v>16</v>
      </c>
      <c r="W265" s="7" t="s">
        <v>17</v>
      </c>
      <c r="X265" s="8" t="s">
        <v>18</v>
      </c>
      <c r="Y265" s="7" t="s">
        <v>19</v>
      </c>
      <c r="Z265" s="7" t="s">
        <v>20</v>
      </c>
    </row>
    <row r="266" customFormat="false" ht="12.8" hidden="false" customHeight="false" outlineLevel="0" collapsed="false">
      <c r="A266" s="1" t="n">
        <v>5</v>
      </c>
      <c r="D266" s="20" t="s">
        <v>21</v>
      </c>
      <c r="E266" s="21" t="n">
        <v>111</v>
      </c>
      <c r="F266" s="21" t="s">
        <v>47</v>
      </c>
      <c r="G266" s="22" t="n">
        <f aca="false">G274+G314</f>
        <v>25481.15</v>
      </c>
      <c r="H266" s="22" t="n">
        <f aca="false">H274+H314</f>
        <v>37906.3</v>
      </c>
      <c r="I266" s="22" t="n">
        <f aca="false">I274+I314</f>
        <v>19232</v>
      </c>
      <c r="J266" s="22" t="n">
        <f aca="false">J274+J314</f>
        <v>2893.7</v>
      </c>
      <c r="K266" s="22" t="n">
        <f aca="false">K274+K314</f>
        <v>18696</v>
      </c>
      <c r="L266" s="22" t="n">
        <f aca="false">L274+L314</f>
        <v>0</v>
      </c>
      <c r="M266" s="22" t="n">
        <f aca="false">M274+M314</f>
        <v>0</v>
      </c>
      <c r="N266" s="22" t="n">
        <f aca="false">N274+N314</f>
        <v>0</v>
      </c>
      <c r="O266" s="22" t="n">
        <f aca="false">O274+O314</f>
        <v>0</v>
      </c>
      <c r="P266" s="22" t="n">
        <f aca="false">P274+P314</f>
        <v>18696</v>
      </c>
      <c r="Q266" s="22" t="n">
        <f aca="false">Q274+Q314</f>
        <v>664.35</v>
      </c>
      <c r="R266" s="23" t="n">
        <f aca="false">Q266/$P266</f>
        <v>0.0355343388960205</v>
      </c>
      <c r="S266" s="22" t="n">
        <f aca="false">S274+S314</f>
        <v>6410.43</v>
      </c>
      <c r="T266" s="23" t="n">
        <f aca="false">S266/$P266</f>
        <v>0.342877086007702</v>
      </c>
      <c r="U266" s="22" t="n">
        <f aca="false">U274+U314</f>
        <v>13341.56</v>
      </c>
      <c r="V266" s="23" t="n">
        <f aca="false">U266/$P266</f>
        <v>0.713605049208387</v>
      </c>
      <c r="W266" s="22" t="n">
        <f aca="false">W274+W314</f>
        <v>15776.08</v>
      </c>
      <c r="X266" s="23" t="n">
        <f aca="false">W266/$P266</f>
        <v>0.843821138211382</v>
      </c>
      <c r="Y266" s="22" t="n">
        <f aca="false">Y274+Y314</f>
        <v>5824</v>
      </c>
      <c r="Z266" s="22" t="n">
        <f aca="false">Z274+Z314</f>
        <v>210</v>
      </c>
    </row>
    <row r="267" customFormat="false" ht="12.8" hidden="false" customHeight="false" outlineLevel="0" collapsed="false">
      <c r="A267" s="1" t="n">
        <v>5</v>
      </c>
      <c r="D267" s="20"/>
      <c r="E267" s="21" t="n">
        <v>41</v>
      </c>
      <c r="F267" s="21" t="s">
        <v>23</v>
      </c>
      <c r="G267" s="22" t="n">
        <f aca="false">G275+G315</f>
        <v>57093.59</v>
      </c>
      <c r="H267" s="22" t="n">
        <f aca="false">H275+H315</f>
        <v>49652.08</v>
      </c>
      <c r="I267" s="22" t="n">
        <f aca="false">I275+I315</f>
        <v>39934</v>
      </c>
      <c r="J267" s="22" t="n">
        <f aca="false">J275+J315</f>
        <v>51437.72</v>
      </c>
      <c r="K267" s="22" t="n">
        <f aca="false">K275+K315</f>
        <v>52301</v>
      </c>
      <c r="L267" s="22" t="n">
        <f aca="false">L275+L315</f>
        <v>450</v>
      </c>
      <c r="M267" s="22" t="n">
        <f aca="false">M275+M315</f>
        <v>-2538</v>
      </c>
      <c r="N267" s="22" t="n">
        <f aca="false">N275+N315</f>
        <v>-1670</v>
      </c>
      <c r="O267" s="22" t="n">
        <f aca="false">O275+O315</f>
        <v>-3074</v>
      </c>
      <c r="P267" s="22" t="n">
        <f aca="false">P275+P315</f>
        <v>45469</v>
      </c>
      <c r="Q267" s="22" t="n">
        <f aca="false">Q275+Q315</f>
        <v>12401.39</v>
      </c>
      <c r="R267" s="23" t="n">
        <f aca="false">Q267/$P267</f>
        <v>0.272743847456509</v>
      </c>
      <c r="S267" s="22" t="n">
        <f aca="false">S275+S315</f>
        <v>20830.84</v>
      </c>
      <c r="T267" s="23" t="n">
        <f aca="false">S267/$P267</f>
        <v>0.458132793771581</v>
      </c>
      <c r="U267" s="22" t="n">
        <f aca="false">U275+U315</f>
        <v>28389.26</v>
      </c>
      <c r="V267" s="23" t="n">
        <f aca="false">U267/$P267</f>
        <v>0.624365171875344</v>
      </c>
      <c r="W267" s="22" t="n">
        <f aca="false">W275+W315</f>
        <v>40057.09</v>
      </c>
      <c r="X267" s="23" t="n">
        <f aca="false">W267/$P267</f>
        <v>0.88097582968616</v>
      </c>
      <c r="Y267" s="22" t="n">
        <f aca="false">Y275+Y315</f>
        <v>28314</v>
      </c>
      <c r="Z267" s="22" t="n">
        <f aca="false">Z275+Z315</f>
        <v>26480</v>
      </c>
    </row>
    <row r="268" customFormat="false" ht="12.8" hidden="false" customHeight="false" outlineLevel="0" collapsed="false">
      <c r="D268" s="20"/>
      <c r="E268" s="21" t="n">
        <v>71</v>
      </c>
      <c r="F268" s="21" t="s">
        <v>24</v>
      </c>
      <c r="G268" s="22" t="n">
        <f aca="false">G276</f>
        <v>0</v>
      </c>
      <c r="H268" s="22" t="n">
        <f aca="false">H276</f>
        <v>700</v>
      </c>
      <c r="I268" s="22" t="n">
        <f aca="false">I276</f>
        <v>0</v>
      </c>
      <c r="J268" s="22" t="n">
        <f aca="false">J276</f>
        <v>1400</v>
      </c>
      <c r="K268" s="22" t="n">
        <f aca="false">K276</f>
        <v>1400</v>
      </c>
      <c r="L268" s="22" t="n">
        <f aca="false">L276</f>
        <v>0</v>
      </c>
      <c r="M268" s="22" t="n">
        <f aca="false">M276</f>
        <v>0</v>
      </c>
      <c r="N268" s="22" t="n">
        <f aca="false">N276</f>
        <v>0</v>
      </c>
      <c r="O268" s="22" t="n">
        <f aca="false">O276</f>
        <v>0</v>
      </c>
      <c r="P268" s="22" t="n">
        <f aca="false">P276</f>
        <v>1400</v>
      </c>
      <c r="Q268" s="22" t="n">
        <f aca="false">Q276</f>
        <v>0</v>
      </c>
      <c r="R268" s="23" t="n">
        <f aca="false">Q268/$P268</f>
        <v>0</v>
      </c>
      <c r="S268" s="22" t="n">
        <f aca="false">S276</f>
        <v>395</v>
      </c>
      <c r="T268" s="23" t="n">
        <f aca="false">S268/$P268</f>
        <v>0.282142857142857</v>
      </c>
      <c r="U268" s="22" t="n">
        <f aca="false">U276</f>
        <v>1400</v>
      </c>
      <c r="V268" s="23" t="n">
        <f aca="false">U268/$P268</f>
        <v>1</v>
      </c>
      <c r="W268" s="22" t="n">
        <f aca="false">W276</f>
        <v>1400</v>
      </c>
      <c r="X268" s="23" t="n">
        <f aca="false">W268/$P268</f>
        <v>1</v>
      </c>
      <c r="Y268" s="22" t="n">
        <f aca="false">Y276</f>
        <v>1400</v>
      </c>
      <c r="Z268" s="22" t="n">
        <f aca="false">Z276</f>
        <v>1400</v>
      </c>
    </row>
    <row r="269" customFormat="false" ht="12.8" hidden="false" customHeight="false" outlineLevel="0" collapsed="false">
      <c r="D269" s="20"/>
      <c r="E269" s="21" t="n">
        <v>72</v>
      </c>
      <c r="F269" s="21" t="s">
        <v>25</v>
      </c>
      <c r="G269" s="22" t="n">
        <f aca="false">G316</f>
        <v>0</v>
      </c>
      <c r="H269" s="22" t="n">
        <f aca="false">H316</f>
        <v>0</v>
      </c>
      <c r="I269" s="22" t="n">
        <f aca="false">I316</f>
        <v>0</v>
      </c>
      <c r="J269" s="22" t="n">
        <f aca="false">J316</f>
        <v>0</v>
      </c>
      <c r="K269" s="22" t="n">
        <f aca="false">K316</f>
        <v>180</v>
      </c>
      <c r="L269" s="22" t="n">
        <f aca="false">L316</f>
        <v>0</v>
      </c>
      <c r="M269" s="22" t="n">
        <f aca="false">M316</f>
        <v>0</v>
      </c>
      <c r="N269" s="22" t="n">
        <f aca="false">N316</f>
        <v>0</v>
      </c>
      <c r="O269" s="22" t="n">
        <f aca="false">O316</f>
        <v>179</v>
      </c>
      <c r="P269" s="22" t="n">
        <f aca="false">P316</f>
        <v>359</v>
      </c>
      <c r="Q269" s="22" t="n">
        <f aca="false">Q316</f>
        <v>0</v>
      </c>
      <c r="R269" s="23" t="n">
        <f aca="false">Q269/$P269</f>
        <v>0</v>
      </c>
      <c r="S269" s="22" t="n">
        <f aca="false">S316</f>
        <v>0</v>
      </c>
      <c r="T269" s="23" t="n">
        <f aca="false">S269/$P269</f>
        <v>0</v>
      </c>
      <c r="U269" s="22" t="n">
        <f aca="false">U316</f>
        <v>0</v>
      </c>
      <c r="V269" s="23" t="n">
        <f aca="false">U269/$P269</f>
        <v>0</v>
      </c>
      <c r="W269" s="22" t="n">
        <f aca="false">W316</f>
        <v>358.78</v>
      </c>
      <c r="X269" s="23" t="n">
        <f aca="false">W269/$P269</f>
        <v>0.999387186629526</v>
      </c>
      <c r="Y269" s="22" t="n">
        <f aca="false">Y316</f>
        <v>180</v>
      </c>
      <c r="Z269" s="22" t="n">
        <f aca="false">Z316</f>
        <v>0</v>
      </c>
    </row>
    <row r="270" customFormat="false" ht="12.8" hidden="false" customHeight="false" outlineLevel="0" collapsed="false">
      <c r="A270" s="1" t="n">
        <v>5</v>
      </c>
      <c r="D270" s="16"/>
      <c r="E270" s="17"/>
      <c r="F270" s="24" t="s">
        <v>119</v>
      </c>
      <c r="G270" s="25" t="n">
        <f aca="false">SUM(G266:G269)</f>
        <v>82574.74</v>
      </c>
      <c r="H270" s="25" t="n">
        <f aca="false">SUM(H266:H269)</f>
        <v>88258.38</v>
      </c>
      <c r="I270" s="25" t="n">
        <f aca="false">SUM(I266:I269)</f>
        <v>59166</v>
      </c>
      <c r="J270" s="25" t="n">
        <f aca="false">SUM(J266:J269)</f>
        <v>55731.42</v>
      </c>
      <c r="K270" s="25" t="n">
        <f aca="false">SUM(K266:K269)</f>
        <v>72577</v>
      </c>
      <c r="L270" s="25" t="n">
        <f aca="false">SUM(L266:L269)</f>
        <v>450</v>
      </c>
      <c r="M270" s="25" t="n">
        <f aca="false">SUM(M266:M269)</f>
        <v>-2538</v>
      </c>
      <c r="N270" s="25" t="n">
        <f aca="false">SUM(N266:N269)</f>
        <v>-1670</v>
      </c>
      <c r="O270" s="25" t="n">
        <f aca="false">SUM(O266:O269)</f>
        <v>-2895</v>
      </c>
      <c r="P270" s="25" t="n">
        <f aca="false">SUM(P266:P269)</f>
        <v>65924</v>
      </c>
      <c r="Q270" s="25" t="n">
        <f aca="false">SUM(Q266:Q269)</f>
        <v>13065.74</v>
      </c>
      <c r="R270" s="26" t="n">
        <f aca="false">Q270/$P270</f>
        <v>0.198193980947758</v>
      </c>
      <c r="S270" s="25" t="n">
        <f aca="false">SUM(S266:S269)</f>
        <v>27636.27</v>
      </c>
      <c r="T270" s="26" t="n">
        <f aca="false">S270/$P270</f>
        <v>0.419214095018506</v>
      </c>
      <c r="U270" s="25" t="n">
        <f aca="false">SUM(U266:U269)</f>
        <v>43130.82</v>
      </c>
      <c r="V270" s="26" t="n">
        <f aca="false">U270/$P270</f>
        <v>0.654250652266246</v>
      </c>
      <c r="W270" s="25" t="n">
        <f aca="false">SUM(W266:W269)</f>
        <v>57591.95</v>
      </c>
      <c r="X270" s="26" t="n">
        <f aca="false">W270/$P270</f>
        <v>0.873611279655361</v>
      </c>
      <c r="Y270" s="25" t="n">
        <f aca="false">SUM(Y266:Y269)</f>
        <v>35718</v>
      </c>
      <c r="Z270" s="25" t="n">
        <f aca="false">SUM(Z266:Z269)</f>
        <v>28090</v>
      </c>
    </row>
    <row r="272" customFormat="false" ht="12.8" hidden="false" customHeight="false" outlineLevel="0" collapsed="false">
      <c r="D272" s="27" t="s">
        <v>190</v>
      </c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8"/>
      <c r="S272" s="27"/>
      <c r="T272" s="28"/>
      <c r="U272" s="27"/>
      <c r="V272" s="28"/>
      <c r="W272" s="27"/>
      <c r="X272" s="28"/>
      <c r="Y272" s="27"/>
      <c r="Z272" s="27"/>
    </row>
    <row r="273" customFormat="false" ht="12.8" hidden="false" customHeight="false" outlineLevel="0" collapsed="false">
      <c r="D273" s="103"/>
      <c r="E273" s="103"/>
      <c r="F273" s="103"/>
      <c r="G273" s="7" t="s">
        <v>1</v>
      </c>
      <c r="H273" s="7" t="s">
        <v>2</v>
      </c>
      <c r="I273" s="7" t="s">
        <v>3</v>
      </c>
      <c r="J273" s="7" t="s">
        <v>4</v>
      </c>
      <c r="K273" s="7" t="s">
        <v>5</v>
      </c>
      <c r="L273" s="7" t="s">
        <v>6</v>
      </c>
      <c r="M273" s="7" t="s">
        <v>7</v>
      </c>
      <c r="N273" s="7" t="s">
        <v>8</v>
      </c>
      <c r="O273" s="7" t="s">
        <v>9</v>
      </c>
      <c r="P273" s="7" t="s">
        <v>10</v>
      </c>
      <c r="Q273" s="7" t="s">
        <v>11</v>
      </c>
      <c r="R273" s="8" t="s">
        <v>12</v>
      </c>
      <c r="S273" s="7" t="s">
        <v>13</v>
      </c>
      <c r="T273" s="8" t="s">
        <v>14</v>
      </c>
      <c r="U273" s="7" t="s">
        <v>15</v>
      </c>
      <c r="V273" s="8" t="s">
        <v>16</v>
      </c>
      <c r="W273" s="7" t="s">
        <v>17</v>
      </c>
      <c r="X273" s="8" t="s">
        <v>18</v>
      </c>
      <c r="Y273" s="7" t="s">
        <v>19</v>
      </c>
      <c r="Z273" s="7" t="s">
        <v>20</v>
      </c>
    </row>
    <row r="274" customFormat="false" ht="12.8" hidden="false" customHeight="false" outlineLevel="0" collapsed="false">
      <c r="A274" s="1" t="n">
        <v>5</v>
      </c>
      <c r="B274" s="1" t="n">
        <v>1</v>
      </c>
      <c r="D274" s="29" t="s">
        <v>21</v>
      </c>
      <c r="E274" s="10" t="n">
        <v>111</v>
      </c>
      <c r="F274" s="10" t="s">
        <v>47</v>
      </c>
      <c r="G274" s="11" t="n">
        <f aca="false">G292</f>
        <v>241.23</v>
      </c>
      <c r="H274" s="11" t="n">
        <f aca="false">H292</f>
        <v>0</v>
      </c>
      <c r="I274" s="11" t="n">
        <f aca="false">I292</f>
        <v>210</v>
      </c>
      <c r="J274" s="11" t="n">
        <f aca="false">J292</f>
        <v>210.77</v>
      </c>
      <c r="K274" s="11" t="n">
        <f aca="false">K292</f>
        <v>210</v>
      </c>
      <c r="L274" s="11" t="n">
        <f aca="false">L292</f>
        <v>0</v>
      </c>
      <c r="M274" s="11" t="n">
        <f aca="false">M292</f>
        <v>0</v>
      </c>
      <c r="N274" s="11" t="n">
        <f aca="false">N292</f>
        <v>0</v>
      </c>
      <c r="O274" s="11" t="n">
        <f aca="false">O292</f>
        <v>0</v>
      </c>
      <c r="P274" s="11" t="n">
        <f aca="false">P292</f>
        <v>210</v>
      </c>
      <c r="Q274" s="11" t="n">
        <f aca="false">Q292</f>
        <v>210</v>
      </c>
      <c r="R274" s="12" t="n">
        <f aca="false">Q274/$P274</f>
        <v>1</v>
      </c>
      <c r="S274" s="11" t="n">
        <f aca="false">S292</f>
        <v>210</v>
      </c>
      <c r="T274" s="12" t="n">
        <f aca="false">S274/$P274</f>
        <v>1</v>
      </c>
      <c r="U274" s="11" t="n">
        <f aca="false">U292</f>
        <v>210</v>
      </c>
      <c r="V274" s="12" t="n">
        <f aca="false">U274/$P274</f>
        <v>1</v>
      </c>
      <c r="W274" s="11" t="n">
        <f aca="false">W292</f>
        <v>210</v>
      </c>
      <c r="X274" s="12" t="n">
        <f aca="false">W274/$P274</f>
        <v>1</v>
      </c>
      <c r="Y274" s="11" t="n">
        <f aca="false">Y292</f>
        <v>210</v>
      </c>
      <c r="Z274" s="11" t="n">
        <f aca="false">Y274</f>
        <v>210</v>
      </c>
    </row>
    <row r="275" customFormat="false" ht="12.8" hidden="false" customHeight="false" outlineLevel="0" collapsed="false">
      <c r="A275" s="1" t="n">
        <v>5</v>
      </c>
      <c r="B275" s="1" t="n">
        <v>1</v>
      </c>
      <c r="D275" s="29"/>
      <c r="E275" s="10" t="n">
        <v>41</v>
      </c>
      <c r="F275" s="10" t="s">
        <v>23</v>
      </c>
      <c r="G275" s="11" t="n">
        <f aca="false">G283+G294+G301+G310</f>
        <v>19873.78</v>
      </c>
      <c r="H275" s="11" t="n">
        <f aca="false">H283+H294+H301+H310</f>
        <v>17915.92</v>
      </c>
      <c r="I275" s="11" t="n">
        <f aca="false">I283+I294+I301+I310</f>
        <v>17539</v>
      </c>
      <c r="J275" s="11" t="n">
        <f aca="false">J283+J294+J301+J310</f>
        <v>19252.2</v>
      </c>
      <c r="K275" s="11" t="n">
        <f aca="false">K283+K294+K301+K310</f>
        <v>22830</v>
      </c>
      <c r="L275" s="11" t="n">
        <f aca="false">L283+L294+L301+L310</f>
        <v>450</v>
      </c>
      <c r="M275" s="11" t="n">
        <f aca="false">M283+M294+M301+M310</f>
        <v>-2538</v>
      </c>
      <c r="N275" s="11" t="n">
        <f aca="false">N283+N294+N301+N310</f>
        <v>-1670</v>
      </c>
      <c r="O275" s="11" t="n">
        <f aca="false">O283+O294+O301+O310</f>
        <v>107</v>
      </c>
      <c r="P275" s="11" t="n">
        <f aca="false">P283+P294+P301+P310</f>
        <v>19179</v>
      </c>
      <c r="Q275" s="11" t="n">
        <f aca="false">Q283+Q294+Q301+Q310</f>
        <v>3564.48</v>
      </c>
      <c r="R275" s="12" t="n">
        <f aca="false">Q275/$P275</f>
        <v>0.185853277021743</v>
      </c>
      <c r="S275" s="11" t="n">
        <f aca="false">S283+S294+S301+S310</f>
        <v>9996.95</v>
      </c>
      <c r="T275" s="12" t="n">
        <f aca="false">S275/$P275</f>
        <v>0.521244590437458</v>
      </c>
      <c r="U275" s="11" t="n">
        <f aca="false">U283+U294+U301+U310</f>
        <v>14107.48</v>
      </c>
      <c r="V275" s="12" t="n">
        <f aca="false">U275/$P275</f>
        <v>0.735569112049638</v>
      </c>
      <c r="W275" s="11" t="n">
        <f aca="false">W283+W294+W301+W310</f>
        <v>18580.23</v>
      </c>
      <c r="X275" s="12" t="n">
        <f aca="false">W275/$P275</f>
        <v>0.968779915532614</v>
      </c>
      <c r="Y275" s="11" t="n">
        <f aca="false">Y283+Y294+Y301+Y310</f>
        <v>17830</v>
      </c>
      <c r="Z275" s="11" t="n">
        <f aca="false">Z283+Z294+Z301+Z310</f>
        <v>17830</v>
      </c>
    </row>
    <row r="276" customFormat="false" ht="12.8" hidden="false" customHeight="false" outlineLevel="0" collapsed="false">
      <c r="D276" s="29"/>
      <c r="E276" s="10" t="n">
        <v>71</v>
      </c>
      <c r="F276" s="10" t="s">
        <v>24</v>
      </c>
      <c r="G276" s="11" t="n">
        <f aca="false">G285</f>
        <v>0</v>
      </c>
      <c r="H276" s="11" t="n">
        <f aca="false">H285</f>
        <v>700</v>
      </c>
      <c r="I276" s="11" t="n">
        <f aca="false">I285</f>
        <v>0</v>
      </c>
      <c r="J276" s="11" t="n">
        <f aca="false">J285</f>
        <v>1400</v>
      </c>
      <c r="K276" s="11" t="n">
        <f aca="false">K285</f>
        <v>1400</v>
      </c>
      <c r="L276" s="11" t="n">
        <f aca="false">L285</f>
        <v>0</v>
      </c>
      <c r="M276" s="11" t="n">
        <f aca="false">M285</f>
        <v>0</v>
      </c>
      <c r="N276" s="11" t="n">
        <f aca="false">N285</f>
        <v>0</v>
      </c>
      <c r="O276" s="11" t="n">
        <f aca="false">O285</f>
        <v>0</v>
      </c>
      <c r="P276" s="11" t="n">
        <f aca="false">P285</f>
        <v>1400</v>
      </c>
      <c r="Q276" s="11" t="n">
        <f aca="false">Q285</f>
        <v>0</v>
      </c>
      <c r="R276" s="12" t="n">
        <f aca="false">Q276/$P276</f>
        <v>0</v>
      </c>
      <c r="S276" s="11" t="n">
        <f aca="false">S285</f>
        <v>395</v>
      </c>
      <c r="T276" s="12" t="n">
        <f aca="false">S276/$P276</f>
        <v>0.282142857142857</v>
      </c>
      <c r="U276" s="11" t="n">
        <f aca="false">U285</f>
        <v>1400</v>
      </c>
      <c r="V276" s="12" t="n">
        <f aca="false">U276/$P276</f>
        <v>1</v>
      </c>
      <c r="W276" s="11" t="n">
        <f aca="false">W285</f>
        <v>1400</v>
      </c>
      <c r="X276" s="12" t="n">
        <f aca="false">W276/$P276</f>
        <v>1</v>
      </c>
      <c r="Y276" s="11" t="n">
        <f aca="false">Y285</f>
        <v>1400</v>
      </c>
      <c r="Z276" s="11" t="n">
        <f aca="false">Z285</f>
        <v>1400</v>
      </c>
    </row>
    <row r="277" customFormat="false" ht="12.8" hidden="false" customHeight="false" outlineLevel="0" collapsed="false">
      <c r="A277" s="1" t="n">
        <v>5</v>
      </c>
      <c r="B277" s="1" t="n">
        <v>1</v>
      </c>
      <c r="D277" s="16"/>
      <c r="E277" s="17"/>
      <c r="F277" s="13" t="s">
        <v>119</v>
      </c>
      <c r="G277" s="14" t="n">
        <f aca="false">SUM(G274:G276)</f>
        <v>20115.01</v>
      </c>
      <c r="H277" s="14" t="n">
        <f aca="false">SUM(H274:H276)</f>
        <v>18615.92</v>
      </c>
      <c r="I277" s="14" t="n">
        <f aca="false">SUM(I274:I276)</f>
        <v>17749</v>
      </c>
      <c r="J277" s="14" t="n">
        <f aca="false">SUM(J274:J276)</f>
        <v>20862.97</v>
      </c>
      <c r="K277" s="14" t="n">
        <f aca="false">SUM(K274:K276)</f>
        <v>24440</v>
      </c>
      <c r="L277" s="14" t="n">
        <f aca="false">SUM(L274:L276)</f>
        <v>450</v>
      </c>
      <c r="M277" s="14" t="n">
        <f aca="false">SUM(M274:M276)</f>
        <v>-2538</v>
      </c>
      <c r="N277" s="14" t="n">
        <f aca="false">SUM(N274:N276)</f>
        <v>-1670</v>
      </c>
      <c r="O277" s="14" t="n">
        <f aca="false">SUM(O274:O276)</f>
        <v>107</v>
      </c>
      <c r="P277" s="14" t="n">
        <f aca="false">SUM(P274:P276)</f>
        <v>20789</v>
      </c>
      <c r="Q277" s="14" t="n">
        <f aca="false">SUM(Q274:Q276)</f>
        <v>3774.48</v>
      </c>
      <c r="R277" s="15" t="n">
        <f aca="false">Q277/$P277</f>
        <v>0.181561402664871</v>
      </c>
      <c r="S277" s="14" t="n">
        <f aca="false">SUM(S274:S276)</f>
        <v>10601.95</v>
      </c>
      <c r="T277" s="15" t="n">
        <f aca="false">S277/$P277</f>
        <v>0.509978834960797</v>
      </c>
      <c r="U277" s="14" t="n">
        <f aca="false">SUM(U274:U276)</f>
        <v>15717.48</v>
      </c>
      <c r="V277" s="15" t="n">
        <f aca="false">U277/$P277</f>
        <v>0.756047909952379</v>
      </c>
      <c r="W277" s="14" t="n">
        <f aca="false">SUM(W274:W276)</f>
        <v>20190.23</v>
      </c>
      <c r="X277" s="15" t="n">
        <f aca="false">W277/$P277</f>
        <v>0.971197748809466</v>
      </c>
      <c r="Y277" s="14" t="n">
        <f aca="false">SUM(Y274:Y276)</f>
        <v>19440</v>
      </c>
      <c r="Z277" s="14" t="n">
        <f aca="false">SUM(Z274:Z276)</f>
        <v>19440</v>
      </c>
    </row>
    <row r="279" customFormat="false" ht="12.8" hidden="false" customHeight="false" outlineLevel="0" collapsed="false">
      <c r="D279" s="63" t="s">
        <v>191</v>
      </c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4"/>
      <c r="S279" s="63"/>
      <c r="T279" s="64"/>
      <c r="U279" s="63"/>
      <c r="V279" s="64"/>
      <c r="W279" s="63"/>
      <c r="X279" s="64"/>
      <c r="Y279" s="63"/>
      <c r="Z279" s="63"/>
    </row>
    <row r="280" customFormat="false" ht="12.8" hidden="false" customHeight="false" outlineLevel="0" collapsed="false">
      <c r="D280" s="7" t="s">
        <v>33</v>
      </c>
      <c r="E280" s="7" t="s">
        <v>34</v>
      </c>
      <c r="F280" s="7" t="s">
        <v>35</v>
      </c>
      <c r="G280" s="7" t="s">
        <v>1</v>
      </c>
      <c r="H280" s="7" t="s">
        <v>2</v>
      </c>
      <c r="I280" s="7" t="s">
        <v>3</v>
      </c>
      <c r="J280" s="7" t="s">
        <v>4</v>
      </c>
      <c r="K280" s="7" t="s">
        <v>5</v>
      </c>
      <c r="L280" s="7" t="s">
        <v>6</v>
      </c>
      <c r="M280" s="7" t="s">
        <v>7</v>
      </c>
      <c r="N280" s="7" t="s">
        <v>8</v>
      </c>
      <c r="O280" s="7" t="s">
        <v>9</v>
      </c>
      <c r="P280" s="7" t="s">
        <v>10</v>
      </c>
      <c r="Q280" s="7" t="s">
        <v>11</v>
      </c>
      <c r="R280" s="8" t="s">
        <v>12</v>
      </c>
      <c r="S280" s="7" t="s">
        <v>13</v>
      </c>
      <c r="T280" s="8" t="s">
        <v>14</v>
      </c>
      <c r="U280" s="7" t="s">
        <v>15</v>
      </c>
      <c r="V280" s="8" t="s">
        <v>16</v>
      </c>
      <c r="W280" s="7" t="s">
        <v>17</v>
      </c>
      <c r="X280" s="8" t="s">
        <v>18</v>
      </c>
      <c r="Y280" s="7" t="s">
        <v>19</v>
      </c>
      <c r="Z280" s="7" t="s">
        <v>20</v>
      </c>
    </row>
    <row r="281" customFormat="false" ht="12.8" hidden="false" customHeight="false" outlineLevel="0" collapsed="false">
      <c r="A281" s="1" t="n">
        <v>5</v>
      </c>
      <c r="B281" s="1" t="n">
        <v>1</v>
      </c>
      <c r="C281" s="1" t="n">
        <v>1</v>
      </c>
      <c r="D281" s="36" t="s">
        <v>192</v>
      </c>
      <c r="E281" s="10" t="n">
        <v>630</v>
      </c>
      <c r="F281" s="10" t="s">
        <v>126</v>
      </c>
      <c r="G281" s="11" t="n">
        <v>6373.5</v>
      </c>
      <c r="H281" s="11" t="n">
        <v>751.34</v>
      </c>
      <c r="I281" s="11" t="n">
        <v>1350</v>
      </c>
      <c r="J281" s="11" t="n">
        <v>1676</v>
      </c>
      <c r="K281" s="11" t="n">
        <f aca="false">1350</f>
        <v>1350</v>
      </c>
      <c r="L281" s="11" t="n">
        <v>450</v>
      </c>
      <c r="M281" s="11"/>
      <c r="N281" s="11"/>
      <c r="O281" s="11"/>
      <c r="P281" s="11" t="n">
        <f aca="false">K281+SUM(L281:O281)</f>
        <v>1800</v>
      </c>
      <c r="Q281" s="11" t="n">
        <v>631.32</v>
      </c>
      <c r="R281" s="12" t="n">
        <f aca="false">Q281/$P281</f>
        <v>0.350733333333333</v>
      </c>
      <c r="S281" s="11" t="n">
        <v>1082.23</v>
      </c>
      <c r="T281" s="12" t="n">
        <f aca="false">S281/$P281</f>
        <v>0.601238888888889</v>
      </c>
      <c r="U281" s="11" t="n">
        <v>1372.88</v>
      </c>
      <c r="V281" s="12" t="n">
        <f aca="false">U281/$P281</f>
        <v>0.762711111111111</v>
      </c>
      <c r="W281" s="11" t="n">
        <v>1645.54</v>
      </c>
      <c r="X281" s="12" t="n">
        <f aca="false">W281/$P281</f>
        <v>0.914188888888889</v>
      </c>
      <c r="Y281" s="11" t="n">
        <f aca="false">K281</f>
        <v>1350</v>
      </c>
      <c r="Z281" s="11" t="n">
        <f aca="false">Y281</f>
        <v>1350</v>
      </c>
    </row>
    <row r="282" customFormat="false" ht="12.8" hidden="false" customHeight="false" outlineLevel="0" collapsed="false">
      <c r="A282" s="1" t="n">
        <v>5</v>
      </c>
      <c r="B282" s="1" t="n">
        <v>1</v>
      </c>
      <c r="C282" s="1" t="n">
        <v>1</v>
      </c>
      <c r="D282" s="36"/>
      <c r="E282" s="10" t="n">
        <v>640</v>
      </c>
      <c r="F282" s="10" t="s">
        <v>127</v>
      </c>
      <c r="G282" s="11" t="n">
        <v>0</v>
      </c>
      <c r="H282" s="11" t="n">
        <v>3700</v>
      </c>
      <c r="I282" s="11" t="n">
        <v>3000</v>
      </c>
      <c r="J282" s="11" t="n">
        <v>2915</v>
      </c>
      <c r="K282" s="37" t="n">
        <v>2000</v>
      </c>
      <c r="L282" s="11"/>
      <c r="M282" s="11"/>
      <c r="N282" s="11"/>
      <c r="O282" s="11"/>
      <c r="P282" s="11" t="n">
        <f aca="false">K282+SUM(L282:O282)</f>
        <v>2000</v>
      </c>
      <c r="Q282" s="11" t="n">
        <v>0</v>
      </c>
      <c r="R282" s="12" t="n">
        <f aca="false">Q282/$P282</f>
        <v>0</v>
      </c>
      <c r="S282" s="11" t="n">
        <v>2000</v>
      </c>
      <c r="T282" s="12" t="n">
        <f aca="false">S282/$P282</f>
        <v>1</v>
      </c>
      <c r="U282" s="11" t="n">
        <v>2000</v>
      </c>
      <c r="V282" s="12" t="n">
        <f aca="false">U282/$P282</f>
        <v>1</v>
      </c>
      <c r="W282" s="11" t="n">
        <v>2000</v>
      </c>
      <c r="X282" s="12" t="n">
        <f aca="false">W282/$P282</f>
        <v>1</v>
      </c>
      <c r="Y282" s="11" t="n">
        <f aca="false">K282</f>
        <v>2000</v>
      </c>
      <c r="Z282" s="11" t="n">
        <f aca="false">Y282</f>
        <v>2000</v>
      </c>
    </row>
    <row r="283" customFormat="false" ht="12.8" hidden="false" customHeight="false" outlineLevel="0" collapsed="false">
      <c r="A283" s="1" t="n">
        <v>5</v>
      </c>
      <c r="B283" s="1" t="n">
        <v>1</v>
      </c>
      <c r="C283" s="1" t="n">
        <v>1</v>
      </c>
      <c r="D283" s="75" t="s">
        <v>21</v>
      </c>
      <c r="E283" s="32" t="n">
        <v>41</v>
      </c>
      <c r="F283" s="32" t="s">
        <v>23</v>
      </c>
      <c r="G283" s="33" t="n">
        <f aca="false">SUM(G281:G282)</f>
        <v>6373.5</v>
      </c>
      <c r="H283" s="33" t="n">
        <f aca="false">SUM(H281:H282)</f>
        <v>4451.34</v>
      </c>
      <c r="I283" s="33" t="n">
        <f aca="false">SUM(I281:I282)</f>
        <v>4350</v>
      </c>
      <c r="J283" s="33" t="n">
        <f aca="false">SUM(J281:J282)</f>
        <v>4591</v>
      </c>
      <c r="K283" s="33" t="n">
        <f aca="false">SUM(K281:K282)</f>
        <v>3350</v>
      </c>
      <c r="L283" s="33" t="n">
        <f aca="false">SUM(L281:L282)</f>
        <v>450</v>
      </c>
      <c r="M283" s="33" t="n">
        <f aca="false">SUM(M281:M282)</f>
        <v>0</v>
      </c>
      <c r="N283" s="33" t="n">
        <f aca="false">SUM(N281:N282)</f>
        <v>0</v>
      </c>
      <c r="O283" s="33" t="n">
        <f aca="false">SUM(O281:O282)</f>
        <v>0</v>
      </c>
      <c r="P283" s="33" t="n">
        <f aca="false">SUM(P281:P282)</f>
        <v>3800</v>
      </c>
      <c r="Q283" s="33" t="n">
        <f aca="false">SUM(Q281:Q282)</f>
        <v>631.32</v>
      </c>
      <c r="R283" s="34" t="n">
        <f aca="false">Q283/$P283</f>
        <v>0.166136842105263</v>
      </c>
      <c r="S283" s="33" t="n">
        <f aca="false">SUM(S281:S282)</f>
        <v>3082.23</v>
      </c>
      <c r="T283" s="34" t="n">
        <f aca="false">S283/$P283</f>
        <v>0.811113157894737</v>
      </c>
      <c r="U283" s="33" t="n">
        <f aca="false">SUM(U281:U282)</f>
        <v>3372.88</v>
      </c>
      <c r="V283" s="34" t="n">
        <f aca="false">U283/$P283</f>
        <v>0.8876</v>
      </c>
      <c r="W283" s="33" t="n">
        <f aca="false">SUM(W281:W282)</f>
        <v>3645.54</v>
      </c>
      <c r="X283" s="34" t="n">
        <f aca="false">W283/$P283</f>
        <v>0.959352631578947</v>
      </c>
      <c r="Y283" s="33" t="n">
        <f aca="false">SUM(Y281:Y282)</f>
        <v>3350</v>
      </c>
      <c r="Z283" s="33" t="n">
        <f aca="false">SUM(Z281:Z282)</f>
        <v>3350</v>
      </c>
    </row>
    <row r="284" customFormat="false" ht="12.8" hidden="false" customHeight="false" outlineLevel="0" collapsed="false">
      <c r="D284" s="71" t="s">
        <v>192</v>
      </c>
      <c r="E284" s="10" t="n">
        <v>630</v>
      </c>
      <c r="F284" s="10" t="s">
        <v>126</v>
      </c>
      <c r="G284" s="11" t="n">
        <v>0</v>
      </c>
      <c r="H284" s="11" t="n">
        <v>700</v>
      </c>
      <c r="I284" s="11" t="n">
        <v>0</v>
      </c>
      <c r="J284" s="11" t="n">
        <v>1400</v>
      </c>
      <c r="K284" s="11" t="n">
        <v>1400</v>
      </c>
      <c r="L284" s="11"/>
      <c r="M284" s="11"/>
      <c r="N284" s="11"/>
      <c r="O284" s="11"/>
      <c r="P284" s="11" t="n">
        <f aca="false">K284+SUM(L284:O284)</f>
        <v>1400</v>
      </c>
      <c r="Q284" s="11" t="n">
        <v>0</v>
      </c>
      <c r="R284" s="12" t="n">
        <f aca="false">Q284/$P284</f>
        <v>0</v>
      </c>
      <c r="S284" s="11" t="n">
        <v>395</v>
      </c>
      <c r="T284" s="12" t="n">
        <f aca="false">S284/$P284</f>
        <v>0.282142857142857</v>
      </c>
      <c r="U284" s="11" t="n">
        <v>1400</v>
      </c>
      <c r="V284" s="12" t="n">
        <f aca="false">U284/$P284</f>
        <v>1</v>
      </c>
      <c r="W284" s="11" t="n">
        <v>1400</v>
      </c>
      <c r="X284" s="12" t="n">
        <f aca="false">W284/$P284</f>
        <v>1</v>
      </c>
      <c r="Y284" s="11" t="n">
        <f aca="false">K284</f>
        <v>1400</v>
      </c>
      <c r="Z284" s="11" t="n">
        <f aca="false">Y284</f>
        <v>1400</v>
      </c>
    </row>
    <row r="285" customFormat="false" ht="12.8" hidden="false" customHeight="false" outlineLevel="0" collapsed="false">
      <c r="D285" s="75" t="s">
        <v>21</v>
      </c>
      <c r="E285" s="32" t="n">
        <v>71</v>
      </c>
      <c r="F285" s="32" t="s">
        <v>24</v>
      </c>
      <c r="G285" s="33" t="n">
        <f aca="false">SUM(G284:G284)</f>
        <v>0</v>
      </c>
      <c r="H285" s="33" t="n">
        <f aca="false">SUM(H284:H284)</f>
        <v>700</v>
      </c>
      <c r="I285" s="33" t="n">
        <f aca="false">SUM(I284:I284)</f>
        <v>0</v>
      </c>
      <c r="J285" s="33" t="n">
        <f aca="false">SUM(J284:J284)</f>
        <v>1400</v>
      </c>
      <c r="K285" s="33" t="n">
        <f aca="false">SUM(K284:K284)</f>
        <v>1400</v>
      </c>
      <c r="L285" s="33" t="n">
        <f aca="false">SUM(L284:L284)</f>
        <v>0</v>
      </c>
      <c r="M285" s="33" t="n">
        <f aca="false">SUM(M284:M284)</f>
        <v>0</v>
      </c>
      <c r="N285" s="33" t="n">
        <f aca="false">SUM(N284:N284)</f>
        <v>0</v>
      </c>
      <c r="O285" s="33" t="n">
        <f aca="false">SUM(O284:O284)</f>
        <v>0</v>
      </c>
      <c r="P285" s="33" t="n">
        <f aca="false">SUM(P284:P284)</f>
        <v>1400</v>
      </c>
      <c r="Q285" s="33" t="n">
        <f aca="false">SUM(Q284:Q284)</f>
        <v>0</v>
      </c>
      <c r="R285" s="34" t="n">
        <f aca="false">Q285/$P285</f>
        <v>0</v>
      </c>
      <c r="S285" s="33" t="n">
        <f aca="false">SUM(S284:S284)</f>
        <v>395</v>
      </c>
      <c r="T285" s="34" t="n">
        <f aca="false">S285/$P285</f>
        <v>0.282142857142857</v>
      </c>
      <c r="U285" s="33" t="n">
        <f aca="false">SUM(U284:U284)</f>
        <v>1400</v>
      </c>
      <c r="V285" s="34" t="n">
        <f aca="false">U285/$P285</f>
        <v>1</v>
      </c>
      <c r="W285" s="33" t="n">
        <f aca="false">SUM(W284:W284)</f>
        <v>1400</v>
      </c>
      <c r="X285" s="34" t="n">
        <f aca="false">W285/$P285</f>
        <v>1</v>
      </c>
      <c r="Y285" s="33" t="n">
        <f aca="false">SUM(Y284:Y284)</f>
        <v>1400</v>
      </c>
      <c r="Z285" s="33" t="n">
        <f aca="false">SUM(Z284:Z284)</f>
        <v>1400</v>
      </c>
    </row>
    <row r="286" customFormat="false" ht="12.8" hidden="false" customHeight="false" outlineLevel="0" collapsed="false">
      <c r="D286" s="100"/>
      <c r="E286" s="17"/>
      <c r="F286" s="13" t="s">
        <v>119</v>
      </c>
      <c r="G286" s="14" t="n">
        <f aca="false">G283+G285</f>
        <v>6373.5</v>
      </c>
      <c r="H286" s="14" t="n">
        <f aca="false">H283+H285</f>
        <v>5151.34</v>
      </c>
      <c r="I286" s="14" t="n">
        <f aca="false">I283+I285</f>
        <v>4350</v>
      </c>
      <c r="J286" s="14" t="n">
        <f aca="false">J283+J285</f>
        <v>5991</v>
      </c>
      <c r="K286" s="14" t="n">
        <f aca="false">K283+K285</f>
        <v>4750</v>
      </c>
      <c r="L286" s="14" t="n">
        <f aca="false">L283+L285</f>
        <v>450</v>
      </c>
      <c r="M286" s="14" t="n">
        <f aca="false">M283+M285</f>
        <v>0</v>
      </c>
      <c r="N286" s="14" t="n">
        <f aca="false">N283+N285</f>
        <v>0</v>
      </c>
      <c r="O286" s="14" t="n">
        <f aca="false">O283+O285</f>
        <v>0</v>
      </c>
      <c r="P286" s="14" t="n">
        <f aca="false">P283+P285</f>
        <v>5200</v>
      </c>
      <c r="Q286" s="14" t="n">
        <f aca="false">Q283+Q285</f>
        <v>631.32</v>
      </c>
      <c r="R286" s="15" t="n">
        <f aca="false">Q286/$P286</f>
        <v>0.121407692307692</v>
      </c>
      <c r="S286" s="14" t="n">
        <f aca="false">S283+S285</f>
        <v>3477.23</v>
      </c>
      <c r="T286" s="15" t="n">
        <f aca="false">S286/$P286</f>
        <v>0.668698076923077</v>
      </c>
      <c r="U286" s="14" t="n">
        <f aca="false">U283+U285</f>
        <v>4772.88</v>
      </c>
      <c r="V286" s="15" t="n">
        <f aca="false">U286/$P286</f>
        <v>0.917861538461538</v>
      </c>
      <c r="W286" s="14" t="n">
        <f aca="false">W283+W285</f>
        <v>5045.54</v>
      </c>
      <c r="X286" s="15" t="n">
        <f aca="false">W286/$P286</f>
        <v>0.970296153846154</v>
      </c>
      <c r="Y286" s="14" t="n">
        <f aca="false">Y283+Y285</f>
        <v>4750</v>
      </c>
      <c r="Z286" s="14" t="n">
        <f aca="false">Z283+Z285</f>
        <v>4750</v>
      </c>
    </row>
    <row r="288" customFormat="false" ht="12.8" hidden="false" customHeight="false" outlineLevel="0" collapsed="false">
      <c r="D288" s="63" t="s">
        <v>193</v>
      </c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4"/>
      <c r="S288" s="63"/>
      <c r="T288" s="64"/>
      <c r="U288" s="63"/>
      <c r="V288" s="64"/>
      <c r="W288" s="63"/>
      <c r="X288" s="64"/>
      <c r="Y288" s="63"/>
      <c r="Z288" s="63"/>
    </row>
    <row r="289" customFormat="false" ht="12.8" hidden="false" customHeight="false" outlineLevel="0" collapsed="false">
      <c r="D289" s="7" t="s">
        <v>33</v>
      </c>
      <c r="E289" s="7" t="s">
        <v>34</v>
      </c>
      <c r="F289" s="7" t="s">
        <v>35</v>
      </c>
      <c r="G289" s="7" t="s">
        <v>1</v>
      </c>
      <c r="H289" s="7" t="s">
        <v>2</v>
      </c>
      <c r="I289" s="7" t="s">
        <v>3</v>
      </c>
      <c r="J289" s="7" t="s">
        <v>4</v>
      </c>
      <c r="K289" s="7" t="s">
        <v>5</v>
      </c>
      <c r="L289" s="7" t="s">
        <v>6</v>
      </c>
      <c r="M289" s="7" t="s">
        <v>7</v>
      </c>
      <c r="N289" s="7" t="s">
        <v>8</v>
      </c>
      <c r="O289" s="7" t="s">
        <v>9</v>
      </c>
      <c r="P289" s="7" t="s">
        <v>10</v>
      </c>
      <c r="Q289" s="7" t="s">
        <v>11</v>
      </c>
      <c r="R289" s="8" t="s">
        <v>12</v>
      </c>
      <c r="S289" s="7" t="s">
        <v>13</v>
      </c>
      <c r="T289" s="8" t="s">
        <v>14</v>
      </c>
      <c r="U289" s="7" t="s">
        <v>15</v>
      </c>
      <c r="V289" s="8" t="s">
        <v>16</v>
      </c>
      <c r="W289" s="7" t="s">
        <v>17</v>
      </c>
      <c r="X289" s="8" t="s">
        <v>18</v>
      </c>
      <c r="Y289" s="7" t="s">
        <v>19</v>
      </c>
      <c r="Z289" s="7" t="s">
        <v>20</v>
      </c>
    </row>
    <row r="290" customFormat="false" ht="12.8" hidden="false" customHeight="false" outlineLevel="0" collapsed="false">
      <c r="A290" s="1" t="n">
        <v>5</v>
      </c>
      <c r="B290" s="1" t="n">
        <v>1</v>
      </c>
      <c r="C290" s="1" t="n">
        <v>2</v>
      </c>
      <c r="D290" s="36" t="s">
        <v>194</v>
      </c>
      <c r="E290" s="10" t="n">
        <v>620</v>
      </c>
      <c r="F290" s="10" t="s">
        <v>125</v>
      </c>
      <c r="G290" s="11" t="n">
        <v>59.23</v>
      </c>
      <c r="H290" s="11" t="n">
        <v>0</v>
      </c>
      <c r="I290" s="11" t="n">
        <v>35</v>
      </c>
      <c r="J290" s="11" t="n">
        <v>51.75</v>
      </c>
      <c r="K290" s="11" t="n">
        <v>52</v>
      </c>
      <c r="L290" s="11"/>
      <c r="M290" s="11"/>
      <c r="N290" s="11"/>
      <c r="O290" s="11"/>
      <c r="P290" s="11" t="n">
        <f aca="false">K290+SUM(L290:O290)</f>
        <v>52</v>
      </c>
      <c r="Q290" s="11" t="n">
        <v>51.55</v>
      </c>
      <c r="R290" s="12" t="n">
        <f aca="false">Q290/$P290</f>
        <v>0.991346153846154</v>
      </c>
      <c r="S290" s="11" t="n">
        <v>51.55</v>
      </c>
      <c r="T290" s="12" t="n">
        <f aca="false">S290/$P290</f>
        <v>0.991346153846154</v>
      </c>
      <c r="U290" s="11" t="n">
        <v>51.55</v>
      </c>
      <c r="V290" s="12" t="n">
        <f aca="false">U290/$P290</f>
        <v>0.991346153846154</v>
      </c>
      <c r="W290" s="11" t="n">
        <v>51.55</v>
      </c>
      <c r="X290" s="12" t="n">
        <f aca="false">W290/$P290</f>
        <v>0.991346153846154</v>
      </c>
      <c r="Y290" s="11" t="n">
        <f aca="false">K290</f>
        <v>52</v>
      </c>
      <c r="Z290" s="11" t="n">
        <f aca="false">Y290</f>
        <v>52</v>
      </c>
    </row>
    <row r="291" customFormat="false" ht="12.8" hidden="false" customHeight="false" outlineLevel="0" collapsed="false">
      <c r="A291" s="1" t="n">
        <v>5</v>
      </c>
      <c r="B291" s="1" t="n">
        <v>1</v>
      </c>
      <c r="C291" s="1" t="n">
        <v>2</v>
      </c>
      <c r="D291" s="36"/>
      <c r="E291" s="10" t="n">
        <v>630</v>
      </c>
      <c r="F291" s="10" t="s">
        <v>126</v>
      </c>
      <c r="G291" s="11" t="n">
        <v>182</v>
      </c>
      <c r="H291" s="11" t="n">
        <v>0</v>
      </c>
      <c r="I291" s="11" t="n">
        <v>175</v>
      </c>
      <c r="J291" s="11" t="n">
        <v>159.02</v>
      </c>
      <c r="K291" s="11" t="n">
        <v>158</v>
      </c>
      <c r="L291" s="11"/>
      <c r="M291" s="11"/>
      <c r="N291" s="11"/>
      <c r="O291" s="11"/>
      <c r="P291" s="11" t="n">
        <f aca="false">K291+SUM(L291:O291)</f>
        <v>158</v>
      </c>
      <c r="Q291" s="11" t="n">
        <v>158.45</v>
      </c>
      <c r="R291" s="12" t="n">
        <f aca="false">Q291/$P291</f>
        <v>1.00284810126582</v>
      </c>
      <c r="S291" s="11" t="n">
        <v>158.45</v>
      </c>
      <c r="T291" s="12" t="n">
        <f aca="false">S291/$P291</f>
        <v>1.00284810126582</v>
      </c>
      <c r="U291" s="11" t="n">
        <v>158.45</v>
      </c>
      <c r="V291" s="12" t="n">
        <f aca="false">U291/$P291</f>
        <v>1.00284810126582</v>
      </c>
      <c r="W291" s="11" t="n">
        <v>158.45</v>
      </c>
      <c r="X291" s="12" t="n">
        <f aca="false">W291/$P291</f>
        <v>1.00284810126582</v>
      </c>
      <c r="Y291" s="11" t="n">
        <f aca="false">K291</f>
        <v>158</v>
      </c>
      <c r="Z291" s="11" t="n">
        <f aca="false">Y291</f>
        <v>158</v>
      </c>
    </row>
    <row r="292" customFormat="false" ht="12.8" hidden="false" customHeight="false" outlineLevel="0" collapsed="false">
      <c r="A292" s="1" t="n">
        <v>5</v>
      </c>
      <c r="B292" s="1" t="n">
        <v>1</v>
      </c>
      <c r="C292" s="1" t="n">
        <v>2</v>
      </c>
      <c r="D292" s="75" t="s">
        <v>21</v>
      </c>
      <c r="E292" s="32" t="n">
        <v>111</v>
      </c>
      <c r="F292" s="32" t="s">
        <v>130</v>
      </c>
      <c r="G292" s="33" t="n">
        <f aca="false">SUM(G290:G291)</f>
        <v>241.23</v>
      </c>
      <c r="H292" s="33" t="n">
        <f aca="false">SUM(H290:H291)</f>
        <v>0</v>
      </c>
      <c r="I292" s="33" t="n">
        <f aca="false">SUM(I290:I291)</f>
        <v>210</v>
      </c>
      <c r="J292" s="33" t="n">
        <f aca="false">SUM(J290:J291)</f>
        <v>210.77</v>
      </c>
      <c r="K292" s="33" t="n">
        <f aca="false">SUM(K290:K291)</f>
        <v>210</v>
      </c>
      <c r="L292" s="33" t="n">
        <f aca="false">SUM(L290:L291)</f>
        <v>0</v>
      </c>
      <c r="M292" s="33" t="n">
        <f aca="false">SUM(M290:M291)</f>
        <v>0</v>
      </c>
      <c r="N292" s="33" t="n">
        <f aca="false">SUM(N290:N291)</f>
        <v>0</v>
      </c>
      <c r="O292" s="33" t="n">
        <f aca="false">SUM(O290:O291)</f>
        <v>0</v>
      </c>
      <c r="P292" s="33" t="n">
        <f aca="false">SUM(P290:P291)</f>
        <v>210</v>
      </c>
      <c r="Q292" s="33" t="n">
        <f aca="false">SUM(Q290:Q291)</f>
        <v>210</v>
      </c>
      <c r="R292" s="34" t="n">
        <f aca="false">Q292/$P292</f>
        <v>1</v>
      </c>
      <c r="S292" s="33" t="n">
        <f aca="false">SUM(S290:S291)</f>
        <v>210</v>
      </c>
      <c r="T292" s="34" t="n">
        <f aca="false">S292/$P292</f>
        <v>1</v>
      </c>
      <c r="U292" s="33" t="n">
        <f aca="false">SUM(U290:U291)</f>
        <v>210</v>
      </c>
      <c r="V292" s="34" t="n">
        <f aca="false">U292/$P292</f>
        <v>1</v>
      </c>
      <c r="W292" s="33" t="n">
        <f aca="false">SUM(W290:W291)</f>
        <v>210</v>
      </c>
      <c r="X292" s="34" t="n">
        <f aca="false">W292/$P292</f>
        <v>1</v>
      </c>
      <c r="Y292" s="33" t="n">
        <f aca="false">SUM(Y290:Y291)</f>
        <v>210</v>
      </c>
      <c r="Z292" s="33" t="n">
        <f aca="false">SUM(Z290:Z291)</f>
        <v>210</v>
      </c>
    </row>
    <row r="293" customFormat="false" ht="12.8" hidden="false" customHeight="false" outlineLevel="0" collapsed="false">
      <c r="A293" s="1" t="n">
        <v>5</v>
      </c>
      <c r="B293" s="1" t="n">
        <v>1</v>
      </c>
      <c r="C293" s="1" t="n">
        <v>2</v>
      </c>
      <c r="D293" s="36" t="s">
        <v>194</v>
      </c>
      <c r="E293" s="10" t="n">
        <v>630</v>
      </c>
      <c r="F293" s="10" t="s">
        <v>126</v>
      </c>
      <c r="G293" s="11" t="n">
        <v>144.4</v>
      </c>
      <c r="H293" s="11" t="n">
        <v>0</v>
      </c>
      <c r="I293" s="11" t="n">
        <v>0</v>
      </c>
      <c r="J293" s="11" t="n">
        <v>144.73</v>
      </c>
      <c r="K293" s="11" t="n">
        <v>0</v>
      </c>
      <c r="L293" s="11"/>
      <c r="M293" s="11"/>
      <c r="N293" s="11"/>
      <c r="O293" s="11"/>
      <c r="P293" s="11" t="n">
        <f aca="false">K293+SUM(L293:O293)</f>
        <v>0</v>
      </c>
      <c r="Q293" s="11" t="n">
        <v>0</v>
      </c>
      <c r="R293" s="12" t="e">
        <f aca="false">Q293/$P293</f>
        <v>#DIV/0!</v>
      </c>
      <c r="S293" s="11" t="n">
        <v>0</v>
      </c>
      <c r="T293" s="12" t="e">
        <f aca="false">S293/$P293</f>
        <v>#DIV/0!</v>
      </c>
      <c r="U293" s="11" t="n">
        <v>0</v>
      </c>
      <c r="V293" s="12" t="e">
        <f aca="false">U293/$P293</f>
        <v>#DIV/0!</v>
      </c>
      <c r="W293" s="11" t="n">
        <v>0</v>
      </c>
      <c r="X293" s="12" t="e">
        <f aca="false">W293/$P293</f>
        <v>#DIV/0!</v>
      </c>
      <c r="Y293" s="11" t="n">
        <f aca="false">K293</f>
        <v>0</v>
      </c>
      <c r="Z293" s="11" t="n">
        <f aca="false">Y293</f>
        <v>0</v>
      </c>
    </row>
    <row r="294" customFormat="false" ht="12.8" hidden="false" customHeight="false" outlineLevel="0" collapsed="false">
      <c r="A294" s="1" t="n">
        <v>5</v>
      </c>
      <c r="B294" s="1" t="n">
        <v>1</v>
      </c>
      <c r="C294" s="1" t="n">
        <v>2</v>
      </c>
      <c r="D294" s="75" t="s">
        <v>21</v>
      </c>
      <c r="E294" s="32" t="n">
        <v>41</v>
      </c>
      <c r="F294" s="32" t="s">
        <v>23</v>
      </c>
      <c r="G294" s="33" t="n">
        <f aca="false">SUM(G293:G293)</f>
        <v>144.4</v>
      </c>
      <c r="H294" s="33" t="n">
        <f aca="false">SUM(H293)</f>
        <v>0</v>
      </c>
      <c r="I294" s="33" t="n">
        <f aca="false">SUM(I293)</f>
        <v>0</v>
      </c>
      <c r="J294" s="33" t="n">
        <f aca="false">SUM(J293)</f>
        <v>144.73</v>
      </c>
      <c r="K294" s="33" t="n">
        <f aca="false">SUM(K293)</f>
        <v>0</v>
      </c>
      <c r="L294" s="33" t="n">
        <f aca="false">SUM(L293)</f>
        <v>0</v>
      </c>
      <c r="M294" s="33" t="n">
        <f aca="false">SUM(M293)</f>
        <v>0</v>
      </c>
      <c r="N294" s="33" t="n">
        <f aca="false">SUM(N293)</f>
        <v>0</v>
      </c>
      <c r="O294" s="33" t="n">
        <f aca="false">SUM(O293)</f>
        <v>0</v>
      </c>
      <c r="P294" s="33" t="n">
        <f aca="false">SUM(P293)</f>
        <v>0</v>
      </c>
      <c r="Q294" s="33" t="n">
        <f aca="false">SUM(Q293)</f>
        <v>0</v>
      </c>
      <c r="R294" s="34" t="e">
        <f aca="false">Q294/$P294</f>
        <v>#DIV/0!</v>
      </c>
      <c r="S294" s="33" t="n">
        <f aca="false">SUM(S293)</f>
        <v>0</v>
      </c>
      <c r="T294" s="34" t="e">
        <f aca="false">S294/$P294</f>
        <v>#DIV/0!</v>
      </c>
      <c r="U294" s="33" t="n">
        <f aca="false">SUM(U293)</f>
        <v>0</v>
      </c>
      <c r="V294" s="34" t="e">
        <f aca="false">U294/$P294</f>
        <v>#DIV/0!</v>
      </c>
      <c r="W294" s="33" t="n">
        <f aca="false">SUM(W293)</f>
        <v>0</v>
      </c>
      <c r="X294" s="34" t="e">
        <f aca="false">W294/$P294</f>
        <v>#DIV/0!</v>
      </c>
      <c r="Y294" s="33" t="n">
        <f aca="false">SUM(Y293:Y293)</f>
        <v>0</v>
      </c>
      <c r="Z294" s="33" t="n">
        <f aca="false">SUM(Z293:Z293)</f>
        <v>0</v>
      </c>
    </row>
    <row r="295" customFormat="false" ht="12.8" hidden="false" customHeight="false" outlineLevel="0" collapsed="false">
      <c r="D295" s="16"/>
      <c r="E295" s="17"/>
      <c r="F295" s="13" t="s">
        <v>119</v>
      </c>
      <c r="G295" s="14" t="n">
        <f aca="false">G292+G294</f>
        <v>385.63</v>
      </c>
      <c r="H295" s="14" t="n">
        <f aca="false">H292+H294</f>
        <v>0</v>
      </c>
      <c r="I295" s="14" t="n">
        <f aca="false">I292+I294</f>
        <v>210</v>
      </c>
      <c r="J295" s="14" t="n">
        <f aca="false">J292+J294</f>
        <v>355.5</v>
      </c>
      <c r="K295" s="14" t="n">
        <f aca="false">K292+K294</f>
        <v>210</v>
      </c>
      <c r="L295" s="14" t="n">
        <f aca="false">L292+L294</f>
        <v>0</v>
      </c>
      <c r="M295" s="14" t="n">
        <f aca="false">M292+M294</f>
        <v>0</v>
      </c>
      <c r="N295" s="14" t="n">
        <f aca="false">N292+N294</f>
        <v>0</v>
      </c>
      <c r="O295" s="14" t="n">
        <f aca="false">O292+O294</f>
        <v>0</v>
      </c>
      <c r="P295" s="14" t="n">
        <f aca="false">P292+P294</f>
        <v>210</v>
      </c>
      <c r="Q295" s="14" t="n">
        <f aca="false">Q292+Q294</f>
        <v>210</v>
      </c>
      <c r="R295" s="15" t="n">
        <f aca="false">Q295/$P295</f>
        <v>1</v>
      </c>
      <c r="S295" s="14" t="n">
        <f aca="false">S292+S294</f>
        <v>210</v>
      </c>
      <c r="T295" s="15" t="n">
        <f aca="false">S295/$P295</f>
        <v>1</v>
      </c>
      <c r="U295" s="14" t="n">
        <f aca="false">U292+U294</f>
        <v>210</v>
      </c>
      <c r="V295" s="15" t="n">
        <f aca="false">U295/$P295</f>
        <v>1</v>
      </c>
      <c r="W295" s="14" t="n">
        <f aca="false">W292+W294</f>
        <v>210</v>
      </c>
      <c r="X295" s="15" t="n">
        <f aca="false">W295/$P295</f>
        <v>1</v>
      </c>
      <c r="Y295" s="14" t="n">
        <f aca="false">Y292+Y294</f>
        <v>210</v>
      </c>
      <c r="Z295" s="14" t="n">
        <f aca="false">Z292+Z294</f>
        <v>210</v>
      </c>
    </row>
    <row r="297" customFormat="false" ht="12.8" hidden="false" customHeight="false" outlineLevel="0" collapsed="false">
      <c r="D297" s="63" t="s">
        <v>195</v>
      </c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4"/>
      <c r="S297" s="63"/>
      <c r="T297" s="64"/>
      <c r="U297" s="63"/>
      <c r="V297" s="64"/>
      <c r="W297" s="63"/>
      <c r="X297" s="64"/>
      <c r="Y297" s="63"/>
      <c r="Z297" s="63"/>
    </row>
    <row r="298" customFormat="false" ht="12.8" hidden="false" customHeight="false" outlineLevel="0" collapsed="false">
      <c r="D298" s="7" t="s">
        <v>33</v>
      </c>
      <c r="E298" s="7" t="s">
        <v>34</v>
      </c>
      <c r="F298" s="7" t="s">
        <v>35</v>
      </c>
      <c r="G298" s="7" t="s">
        <v>1</v>
      </c>
      <c r="H298" s="7" t="s">
        <v>2</v>
      </c>
      <c r="I298" s="7" t="s">
        <v>3</v>
      </c>
      <c r="J298" s="7" t="s">
        <v>4</v>
      </c>
      <c r="K298" s="7" t="s">
        <v>5</v>
      </c>
      <c r="L298" s="7" t="s">
        <v>6</v>
      </c>
      <c r="M298" s="7" t="s">
        <v>7</v>
      </c>
      <c r="N298" s="7" t="s">
        <v>8</v>
      </c>
      <c r="O298" s="7" t="s">
        <v>9</v>
      </c>
      <c r="P298" s="7" t="s">
        <v>10</v>
      </c>
      <c r="Q298" s="7" t="s">
        <v>11</v>
      </c>
      <c r="R298" s="8" t="s">
        <v>12</v>
      </c>
      <c r="S298" s="7" t="s">
        <v>13</v>
      </c>
      <c r="T298" s="8" t="s">
        <v>14</v>
      </c>
      <c r="U298" s="7" t="s">
        <v>15</v>
      </c>
      <c r="V298" s="8" t="s">
        <v>16</v>
      </c>
      <c r="W298" s="7" t="s">
        <v>17</v>
      </c>
      <c r="X298" s="8" t="s">
        <v>18</v>
      </c>
      <c r="Y298" s="7" t="s">
        <v>19</v>
      </c>
      <c r="Z298" s="7" t="s">
        <v>20</v>
      </c>
    </row>
    <row r="299" customFormat="false" ht="12.8" hidden="false" customHeight="false" outlineLevel="0" collapsed="false">
      <c r="A299" s="1" t="n">
        <v>5</v>
      </c>
      <c r="B299" s="1" t="n">
        <v>1</v>
      </c>
      <c r="C299" s="1" t="n">
        <v>3</v>
      </c>
      <c r="D299" s="36" t="s">
        <v>196</v>
      </c>
      <c r="E299" s="10" t="n">
        <v>620</v>
      </c>
      <c r="F299" s="10" t="s">
        <v>125</v>
      </c>
      <c r="G299" s="11" t="n">
        <v>712.92</v>
      </c>
      <c r="H299" s="11" t="n">
        <v>828.31</v>
      </c>
      <c r="I299" s="11" t="n">
        <v>840</v>
      </c>
      <c r="J299" s="11" t="n">
        <v>892.48</v>
      </c>
      <c r="K299" s="11" t="n">
        <v>840</v>
      </c>
      <c r="L299" s="11"/>
      <c r="M299" s="11"/>
      <c r="N299" s="11" t="n">
        <v>330</v>
      </c>
      <c r="O299" s="11"/>
      <c r="P299" s="11" t="n">
        <f aca="false">K299+SUM(L299:O299)</f>
        <v>1170</v>
      </c>
      <c r="Q299" s="11" t="n">
        <v>274.04</v>
      </c>
      <c r="R299" s="12" t="n">
        <f aca="false">Q299/$P299</f>
        <v>0.234222222222222</v>
      </c>
      <c r="S299" s="11" t="n">
        <v>572.93</v>
      </c>
      <c r="T299" s="12" t="n">
        <f aca="false">S299/$P299</f>
        <v>0.489683760683761</v>
      </c>
      <c r="U299" s="11" t="n">
        <v>871.82</v>
      </c>
      <c r="V299" s="12" t="n">
        <f aca="false">U299/$P299</f>
        <v>0.745145299145299</v>
      </c>
      <c r="W299" s="11" t="n">
        <v>1170.71</v>
      </c>
      <c r="X299" s="12" t="n">
        <f aca="false">W299/$P299</f>
        <v>1.00060683760684</v>
      </c>
      <c r="Y299" s="11" t="n">
        <f aca="false">K299</f>
        <v>840</v>
      </c>
      <c r="Z299" s="11" t="n">
        <f aca="false">Y299</f>
        <v>840</v>
      </c>
    </row>
    <row r="300" customFormat="false" ht="12.8" hidden="false" customHeight="false" outlineLevel="0" collapsed="false">
      <c r="A300" s="1" t="n">
        <v>5</v>
      </c>
      <c r="B300" s="1" t="n">
        <v>1</v>
      </c>
      <c r="C300" s="1" t="n">
        <v>3</v>
      </c>
      <c r="D300" s="36"/>
      <c r="E300" s="10" t="n">
        <v>630</v>
      </c>
      <c r="F300" s="10" t="s">
        <v>126</v>
      </c>
      <c r="G300" s="11" t="n">
        <v>12337.96</v>
      </c>
      <c r="H300" s="11" t="n">
        <v>12581.27</v>
      </c>
      <c r="I300" s="11" t="n">
        <v>12249</v>
      </c>
      <c r="J300" s="11" t="n">
        <v>12346.19</v>
      </c>
      <c r="K300" s="11" t="n">
        <f aca="false">13140+5000</f>
        <v>18140</v>
      </c>
      <c r="L300" s="11"/>
      <c r="M300" s="11" t="n">
        <f aca="false">462-3000</f>
        <v>-2538</v>
      </c>
      <c r="N300" s="11" t="n">
        <v>-2000</v>
      </c>
      <c r="O300" s="11" t="n">
        <v>107</v>
      </c>
      <c r="P300" s="11" t="n">
        <f aca="false">K300+SUM(L300:O300)</f>
        <v>13709</v>
      </c>
      <c r="Q300" s="11" t="n">
        <v>2659.12</v>
      </c>
      <c r="R300" s="12" t="n">
        <f aca="false">Q300/$P300</f>
        <v>0.193968925523379</v>
      </c>
      <c r="S300" s="11" t="n">
        <v>6286.79</v>
      </c>
      <c r="T300" s="12" t="n">
        <f aca="false">S300/$P300</f>
        <v>0.458588518491502</v>
      </c>
      <c r="U300" s="11" t="n">
        <v>9807.78</v>
      </c>
      <c r="V300" s="12" t="n">
        <f aca="false">U300/$P300</f>
        <v>0.715426362243782</v>
      </c>
      <c r="W300" s="11" t="n">
        <v>13708.98</v>
      </c>
      <c r="X300" s="12" t="n">
        <f aca="false">W300/$P300</f>
        <v>0.999998541104384</v>
      </c>
      <c r="Y300" s="11" t="n">
        <f aca="false">K300-5000</f>
        <v>13140</v>
      </c>
      <c r="Z300" s="11" t="n">
        <f aca="false">Y300</f>
        <v>13140</v>
      </c>
    </row>
    <row r="301" customFormat="false" ht="12.8" hidden="false" customHeight="false" outlineLevel="0" collapsed="false">
      <c r="A301" s="1" t="n">
        <v>5</v>
      </c>
      <c r="B301" s="1" t="n">
        <v>1</v>
      </c>
      <c r="C301" s="1" t="n">
        <v>3</v>
      </c>
      <c r="D301" s="70" t="s">
        <v>21</v>
      </c>
      <c r="E301" s="13" t="n">
        <v>41</v>
      </c>
      <c r="F301" s="13" t="s">
        <v>23</v>
      </c>
      <c r="G301" s="14" t="n">
        <f aca="false">SUM(G299:G300)</f>
        <v>13050.88</v>
      </c>
      <c r="H301" s="14" t="n">
        <f aca="false">SUM(H299:H300)</f>
        <v>13409.58</v>
      </c>
      <c r="I301" s="14" t="n">
        <f aca="false">SUM(I299:I300)</f>
        <v>13089</v>
      </c>
      <c r="J301" s="14" t="n">
        <f aca="false">SUM(J299:J300)</f>
        <v>13238.67</v>
      </c>
      <c r="K301" s="14" t="n">
        <f aca="false">SUM(K299:K300)</f>
        <v>18980</v>
      </c>
      <c r="L301" s="14" t="n">
        <f aca="false">SUM(L299:L300)</f>
        <v>0</v>
      </c>
      <c r="M301" s="14" t="n">
        <f aca="false">SUM(M299:M300)</f>
        <v>-2538</v>
      </c>
      <c r="N301" s="14" t="n">
        <f aca="false">SUM(N299:N300)</f>
        <v>-1670</v>
      </c>
      <c r="O301" s="14" t="n">
        <f aca="false">SUM(O299:O300)</f>
        <v>107</v>
      </c>
      <c r="P301" s="14" t="n">
        <f aca="false">SUM(P299:P300)</f>
        <v>14879</v>
      </c>
      <c r="Q301" s="14" t="n">
        <f aca="false">SUM(Q299:Q300)</f>
        <v>2933.16</v>
      </c>
      <c r="R301" s="15" t="n">
        <f aca="false">Q301/$P301</f>
        <v>0.19713421600914</v>
      </c>
      <c r="S301" s="14" t="n">
        <f aca="false">SUM(S299:S300)</f>
        <v>6859.72</v>
      </c>
      <c r="T301" s="15" t="n">
        <f aca="false">S301/$P301</f>
        <v>0.461033671617716</v>
      </c>
      <c r="U301" s="14" t="n">
        <f aca="false">SUM(U299:U300)</f>
        <v>10679.6</v>
      </c>
      <c r="V301" s="15" t="n">
        <f aca="false">U301/$P301</f>
        <v>0.717763290543719</v>
      </c>
      <c r="W301" s="14" t="n">
        <f aca="false">SUM(W299:W300)</f>
        <v>14879.69</v>
      </c>
      <c r="X301" s="15" t="n">
        <f aca="false">W301/$P301</f>
        <v>1.00004637408428</v>
      </c>
      <c r="Y301" s="14" t="n">
        <f aca="false">SUM(Y299:Y300)</f>
        <v>13980</v>
      </c>
      <c r="Z301" s="14" t="n">
        <f aca="false">SUM(Z299:Z300)</f>
        <v>13980</v>
      </c>
    </row>
    <row r="303" customFormat="false" ht="12.8" hidden="false" customHeight="false" outlineLevel="0" collapsed="false">
      <c r="E303" s="39" t="s">
        <v>57</v>
      </c>
      <c r="F303" s="16" t="s">
        <v>144</v>
      </c>
      <c r="G303" s="40" t="n">
        <v>9317</v>
      </c>
      <c r="H303" s="40" t="n">
        <v>9525.85</v>
      </c>
      <c r="I303" s="40" t="n">
        <v>9251</v>
      </c>
      <c r="J303" s="40" t="n">
        <v>9251</v>
      </c>
      <c r="K303" s="40" t="n">
        <f aca="false">(326+261+193+61)*11</f>
        <v>9251</v>
      </c>
      <c r="L303" s="40"/>
      <c r="M303" s="40" t="n">
        <v>462</v>
      </c>
      <c r="N303" s="40"/>
      <c r="O303" s="40"/>
      <c r="P303" s="40" t="n">
        <f aca="false">K303+SUM(L303:O303)</f>
        <v>9713</v>
      </c>
      <c r="Q303" s="40" t="n">
        <v>1766</v>
      </c>
      <c r="R303" s="41" t="n">
        <f aca="false">Q303/$P303</f>
        <v>0.181818181818182</v>
      </c>
      <c r="S303" s="40" t="n">
        <v>4415</v>
      </c>
      <c r="T303" s="41" t="n">
        <f aca="false">S303/$P303</f>
        <v>0.454545454545455</v>
      </c>
      <c r="U303" s="40" t="n">
        <v>7064</v>
      </c>
      <c r="V303" s="41" t="n">
        <f aca="false">U303/$P303</f>
        <v>0.727272727272727</v>
      </c>
      <c r="W303" s="40" t="n">
        <v>9713</v>
      </c>
      <c r="X303" s="42" t="n">
        <f aca="false">W303/$P303</f>
        <v>1</v>
      </c>
      <c r="Y303" s="40" t="n">
        <f aca="false">K303</f>
        <v>9251</v>
      </c>
      <c r="Z303" s="44" t="n">
        <f aca="false">Y303</f>
        <v>9251</v>
      </c>
    </row>
    <row r="304" customFormat="false" ht="12.8" hidden="false" customHeight="false" outlineLevel="0" collapsed="false">
      <c r="E304" s="45"/>
      <c r="F304" s="88" t="s">
        <v>197</v>
      </c>
      <c r="G304" s="89" t="n">
        <f aca="false">2040+G299</f>
        <v>2752.92</v>
      </c>
      <c r="H304" s="89" t="n">
        <f aca="false">2370+H299</f>
        <v>3198.31</v>
      </c>
      <c r="I304" s="89" t="n">
        <f aca="false">2400+I299</f>
        <v>3240</v>
      </c>
      <c r="J304" s="89" t="n">
        <f aca="false">2554+J299</f>
        <v>3446.48</v>
      </c>
      <c r="K304" s="89" t="n">
        <v>4190</v>
      </c>
      <c r="L304" s="89"/>
      <c r="M304" s="89"/>
      <c r="N304" s="89" t="n">
        <v>330</v>
      </c>
      <c r="O304" s="89"/>
      <c r="P304" s="89" t="n">
        <f aca="false">K304+SUM(L304:O304)</f>
        <v>4520</v>
      </c>
      <c r="Q304" s="89" t="n">
        <f aca="false">Q299+784.2</f>
        <v>1058.24</v>
      </c>
      <c r="R304" s="90" t="n">
        <f aca="false">Q304/$P304</f>
        <v>0.23412389380531</v>
      </c>
      <c r="S304" s="89" t="n">
        <f aca="false">S299+1639.5</f>
        <v>2212.43</v>
      </c>
      <c r="T304" s="90" t="n">
        <f aca="false">S304/$P304</f>
        <v>0.489475663716814</v>
      </c>
      <c r="U304" s="89" t="n">
        <f aca="false">U299+2494.8</f>
        <v>3366.62</v>
      </c>
      <c r="V304" s="90" t="n">
        <f aca="false">U304/$P304</f>
        <v>0.744827433628319</v>
      </c>
      <c r="W304" s="89" t="n">
        <f aca="false">W299+3350.1</f>
        <v>4520.81</v>
      </c>
      <c r="X304" s="48" t="n">
        <f aca="false">W304/$P304</f>
        <v>1.00017920353982</v>
      </c>
      <c r="Y304" s="89" t="n">
        <f aca="false">K304</f>
        <v>4190</v>
      </c>
      <c r="Z304" s="50" t="n">
        <f aca="false">Y304</f>
        <v>4190</v>
      </c>
    </row>
    <row r="305" customFormat="false" ht="12.8" hidden="false" customHeight="false" outlineLevel="0" collapsed="false">
      <c r="E305" s="54"/>
      <c r="F305" s="72" t="s">
        <v>198</v>
      </c>
      <c r="G305" s="56"/>
      <c r="H305" s="56"/>
      <c r="I305" s="56"/>
      <c r="J305" s="56"/>
      <c r="K305" s="56" t="n">
        <v>5000</v>
      </c>
      <c r="L305" s="56"/>
      <c r="M305" s="56" t="n">
        <v>-3000</v>
      </c>
      <c r="N305" s="56" t="n">
        <v>-2000</v>
      </c>
      <c r="O305" s="56"/>
      <c r="P305" s="56" t="n">
        <f aca="false">K305+SUM(L305:O305)</f>
        <v>0</v>
      </c>
      <c r="Q305" s="56" t="n">
        <v>0</v>
      </c>
      <c r="R305" s="57" t="e">
        <f aca="false">Q305/$P305</f>
        <v>#DIV/0!</v>
      </c>
      <c r="S305" s="56" t="n">
        <v>0</v>
      </c>
      <c r="T305" s="57" t="e">
        <f aca="false">S305/$P305</f>
        <v>#DIV/0!</v>
      </c>
      <c r="U305" s="56" t="n">
        <v>0</v>
      </c>
      <c r="V305" s="57" t="e">
        <f aca="false">U305/$P305</f>
        <v>#DIV/0!</v>
      </c>
      <c r="W305" s="56" t="n">
        <v>0</v>
      </c>
      <c r="X305" s="58" t="e">
        <f aca="false">W305/$P305</f>
        <v>#DIV/0!</v>
      </c>
      <c r="Y305" s="56"/>
      <c r="Z305" s="60"/>
    </row>
    <row r="307" customFormat="false" ht="12.8" hidden="false" customHeight="false" outlineLevel="0" collapsed="false">
      <c r="D307" s="63" t="s">
        <v>199</v>
      </c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4"/>
      <c r="S307" s="63"/>
      <c r="T307" s="64"/>
      <c r="U307" s="63"/>
      <c r="V307" s="64"/>
      <c r="W307" s="63"/>
      <c r="X307" s="64"/>
      <c r="Y307" s="63"/>
      <c r="Z307" s="63"/>
    </row>
    <row r="308" customFormat="false" ht="12.8" hidden="false" customHeight="false" outlineLevel="0" collapsed="false">
      <c r="D308" s="7" t="s">
        <v>33</v>
      </c>
      <c r="E308" s="7" t="s">
        <v>34</v>
      </c>
      <c r="F308" s="7" t="s">
        <v>35</v>
      </c>
      <c r="G308" s="7" t="s">
        <v>1</v>
      </c>
      <c r="H308" s="7" t="s">
        <v>2</v>
      </c>
      <c r="I308" s="7" t="s">
        <v>3</v>
      </c>
      <c r="J308" s="7" t="s">
        <v>4</v>
      </c>
      <c r="K308" s="7" t="s">
        <v>5</v>
      </c>
      <c r="L308" s="7" t="s">
        <v>6</v>
      </c>
      <c r="M308" s="7" t="s">
        <v>7</v>
      </c>
      <c r="N308" s="7" t="s">
        <v>8</v>
      </c>
      <c r="O308" s="7" t="s">
        <v>9</v>
      </c>
      <c r="P308" s="7" t="s">
        <v>10</v>
      </c>
      <c r="Q308" s="7" t="s">
        <v>11</v>
      </c>
      <c r="R308" s="8" t="s">
        <v>12</v>
      </c>
      <c r="S308" s="7" t="s">
        <v>13</v>
      </c>
      <c r="T308" s="8" t="s">
        <v>14</v>
      </c>
      <c r="U308" s="7" t="s">
        <v>15</v>
      </c>
      <c r="V308" s="8" t="s">
        <v>16</v>
      </c>
      <c r="W308" s="7" t="s">
        <v>17</v>
      </c>
      <c r="X308" s="8" t="s">
        <v>18</v>
      </c>
      <c r="Y308" s="7" t="s">
        <v>19</v>
      </c>
      <c r="Z308" s="7" t="s">
        <v>20</v>
      </c>
    </row>
    <row r="309" customFormat="false" ht="12.8" hidden="false" customHeight="false" outlineLevel="0" collapsed="false">
      <c r="A309" s="1" t="n">
        <v>5</v>
      </c>
      <c r="B309" s="1" t="n">
        <v>1</v>
      </c>
      <c r="C309" s="1" t="n">
        <v>4</v>
      </c>
      <c r="D309" s="36" t="s">
        <v>200</v>
      </c>
      <c r="E309" s="10" t="n">
        <v>630</v>
      </c>
      <c r="F309" s="10" t="s">
        <v>126</v>
      </c>
      <c r="G309" s="11" t="n">
        <v>305</v>
      </c>
      <c r="H309" s="11" t="n">
        <v>55</v>
      </c>
      <c r="I309" s="11" t="n">
        <v>100</v>
      </c>
      <c r="J309" s="11" t="n">
        <v>1277.8</v>
      </c>
      <c r="K309" s="11" t="n">
        <v>500</v>
      </c>
      <c r="L309" s="11"/>
      <c r="M309" s="11"/>
      <c r="N309" s="11"/>
      <c r="O309" s="11"/>
      <c r="P309" s="11" t="n">
        <f aca="false">K309+SUM(L309:O309)</f>
        <v>500</v>
      </c>
      <c r="Q309" s="11" t="n">
        <v>0</v>
      </c>
      <c r="R309" s="12" t="n">
        <f aca="false">Q309/$P309</f>
        <v>0</v>
      </c>
      <c r="S309" s="11" t="n">
        <v>55</v>
      </c>
      <c r="T309" s="12" t="n">
        <f aca="false">S309/$P309</f>
        <v>0.11</v>
      </c>
      <c r="U309" s="11" t="n">
        <v>55</v>
      </c>
      <c r="V309" s="12" t="n">
        <f aca="false">U309/$P309</f>
        <v>0.11</v>
      </c>
      <c r="W309" s="11" t="n">
        <v>55</v>
      </c>
      <c r="X309" s="12" t="n">
        <f aca="false">W309/$P309</f>
        <v>0.11</v>
      </c>
      <c r="Y309" s="11" t="n">
        <f aca="false">K309</f>
        <v>500</v>
      </c>
      <c r="Z309" s="11" t="n">
        <f aca="false">Y309</f>
        <v>500</v>
      </c>
    </row>
    <row r="310" customFormat="false" ht="12.8" hidden="false" customHeight="false" outlineLevel="0" collapsed="false">
      <c r="A310" s="1" t="n">
        <v>5</v>
      </c>
      <c r="B310" s="1" t="n">
        <v>1</v>
      </c>
      <c r="C310" s="1" t="n">
        <v>4</v>
      </c>
      <c r="D310" s="70" t="s">
        <v>21</v>
      </c>
      <c r="E310" s="13" t="n">
        <v>41</v>
      </c>
      <c r="F310" s="13" t="s">
        <v>23</v>
      </c>
      <c r="G310" s="14" t="n">
        <f aca="false">SUM(G309:G309)</f>
        <v>305</v>
      </c>
      <c r="H310" s="14" t="n">
        <f aca="false">SUM(H309:H309)</f>
        <v>55</v>
      </c>
      <c r="I310" s="14" t="n">
        <f aca="false">SUM(I309:I309)</f>
        <v>100</v>
      </c>
      <c r="J310" s="14" t="n">
        <f aca="false">SUM(J309:J309)</f>
        <v>1277.8</v>
      </c>
      <c r="K310" s="14" t="n">
        <f aca="false">SUM(K309:K309)</f>
        <v>500</v>
      </c>
      <c r="L310" s="14" t="n">
        <f aca="false">SUM(L309:L309)</f>
        <v>0</v>
      </c>
      <c r="M310" s="14" t="n">
        <f aca="false">SUM(M309:M309)</f>
        <v>0</v>
      </c>
      <c r="N310" s="14" t="n">
        <f aca="false">SUM(N309:N309)</f>
        <v>0</v>
      </c>
      <c r="O310" s="14" t="n">
        <f aca="false">SUM(O309:O309)</f>
        <v>0</v>
      </c>
      <c r="P310" s="14" t="n">
        <f aca="false">SUM(P309:P309)</f>
        <v>500</v>
      </c>
      <c r="Q310" s="14" t="n">
        <f aca="false">SUM(Q309:Q309)</f>
        <v>0</v>
      </c>
      <c r="R310" s="15" t="n">
        <f aca="false">Q310/$P310</f>
        <v>0</v>
      </c>
      <c r="S310" s="14" t="n">
        <f aca="false">SUM(S309:S309)</f>
        <v>55</v>
      </c>
      <c r="T310" s="15" t="n">
        <f aca="false">S310/$P310</f>
        <v>0.11</v>
      </c>
      <c r="U310" s="14" t="n">
        <f aca="false">SUM(U309:U309)</f>
        <v>55</v>
      </c>
      <c r="V310" s="15" t="n">
        <f aca="false">U310/$P310</f>
        <v>0.11</v>
      </c>
      <c r="W310" s="14" t="n">
        <f aca="false">SUM(W309:W309)</f>
        <v>55</v>
      </c>
      <c r="X310" s="15" t="n">
        <f aca="false">W310/$P310</f>
        <v>0.11</v>
      </c>
      <c r="Y310" s="14" t="n">
        <f aca="false">SUM(Y309:Y309)</f>
        <v>500</v>
      </c>
      <c r="Z310" s="14" t="n">
        <f aca="false">SUM(Z309:Z309)</f>
        <v>500</v>
      </c>
    </row>
    <row r="312" customFormat="false" ht="12.8" hidden="false" customHeight="false" outlineLevel="0" collapsed="false">
      <c r="D312" s="27" t="s">
        <v>201</v>
      </c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8"/>
      <c r="S312" s="27"/>
      <c r="T312" s="28"/>
      <c r="U312" s="27"/>
      <c r="V312" s="28"/>
      <c r="W312" s="27"/>
      <c r="X312" s="28"/>
      <c r="Y312" s="27"/>
      <c r="Z312" s="27"/>
    </row>
    <row r="313" customFormat="false" ht="12.8" hidden="false" customHeight="false" outlineLevel="0" collapsed="false">
      <c r="D313" s="103"/>
      <c r="E313" s="103"/>
      <c r="F313" s="103"/>
      <c r="G313" s="7" t="s">
        <v>1</v>
      </c>
      <c r="H313" s="7" t="s">
        <v>2</v>
      </c>
      <c r="I313" s="7" t="s">
        <v>3</v>
      </c>
      <c r="J313" s="7" t="s">
        <v>4</v>
      </c>
      <c r="K313" s="7" t="s">
        <v>5</v>
      </c>
      <c r="L313" s="7" t="s">
        <v>6</v>
      </c>
      <c r="M313" s="7" t="s">
        <v>7</v>
      </c>
      <c r="N313" s="7" t="s">
        <v>8</v>
      </c>
      <c r="O313" s="7" t="s">
        <v>9</v>
      </c>
      <c r="P313" s="7" t="s">
        <v>10</v>
      </c>
      <c r="Q313" s="7" t="s">
        <v>11</v>
      </c>
      <c r="R313" s="8" t="s">
        <v>12</v>
      </c>
      <c r="S313" s="7" t="s">
        <v>13</v>
      </c>
      <c r="T313" s="8" t="s">
        <v>14</v>
      </c>
      <c r="U313" s="7" t="s">
        <v>15</v>
      </c>
      <c r="V313" s="8" t="s">
        <v>16</v>
      </c>
      <c r="W313" s="7" t="s">
        <v>17</v>
      </c>
      <c r="X313" s="8" t="s">
        <v>18</v>
      </c>
      <c r="Y313" s="7" t="s">
        <v>19</v>
      </c>
      <c r="Z313" s="7" t="s">
        <v>20</v>
      </c>
    </row>
    <row r="314" customFormat="false" ht="12.8" hidden="false" customHeight="true" outlineLevel="0" collapsed="false">
      <c r="A314" s="1" t="n">
        <v>5</v>
      </c>
      <c r="B314" s="1" t="n">
        <v>2</v>
      </c>
      <c r="D314" s="9" t="s">
        <v>21</v>
      </c>
      <c r="E314" s="104" t="s">
        <v>134</v>
      </c>
      <c r="F314" s="10" t="s">
        <v>47</v>
      </c>
      <c r="G314" s="11" t="n">
        <f aca="false">G340</f>
        <v>25239.92</v>
      </c>
      <c r="H314" s="11" t="n">
        <f aca="false">H340</f>
        <v>37906.3</v>
      </c>
      <c r="I314" s="11" t="n">
        <f aca="false">I340</f>
        <v>19022</v>
      </c>
      <c r="J314" s="11" t="n">
        <f aca="false">J340</f>
        <v>2682.93</v>
      </c>
      <c r="K314" s="11" t="n">
        <f aca="false">K340</f>
        <v>18486</v>
      </c>
      <c r="L314" s="11" t="n">
        <f aca="false">L340</f>
        <v>0</v>
      </c>
      <c r="M314" s="11" t="n">
        <f aca="false">M340</f>
        <v>0</v>
      </c>
      <c r="N314" s="11" t="n">
        <f aca="false">N340</f>
        <v>0</v>
      </c>
      <c r="O314" s="11" t="n">
        <f aca="false">O340</f>
        <v>0</v>
      </c>
      <c r="P314" s="11" t="n">
        <f aca="false">P340</f>
        <v>18486</v>
      </c>
      <c r="Q314" s="11" t="n">
        <f aca="false">Q340</f>
        <v>454.35</v>
      </c>
      <c r="R314" s="12" t="n">
        <f aca="false">Q314/$P314</f>
        <v>0.02457805907173</v>
      </c>
      <c r="S314" s="11" t="n">
        <f aca="false">S340</f>
        <v>6200.43</v>
      </c>
      <c r="T314" s="12" t="n">
        <f aca="false">S314/$P314</f>
        <v>0.335412203829925</v>
      </c>
      <c r="U314" s="11" t="n">
        <f aca="false">U340</f>
        <v>13131.56</v>
      </c>
      <c r="V314" s="12" t="n">
        <f aca="false">U314/$P314</f>
        <v>0.710351617440225</v>
      </c>
      <c r="W314" s="11" t="n">
        <f aca="false">W340</f>
        <v>15566.08</v>
      </c>
      <c r="X314" s="12" t="n">
        <f aca="false">W314/$P314</f>
        <v>0.842046954452018</v>
      </c>
      <c r="Y314" s="11" t="n">
        <f aca="false">Y340</f>
        <v>5614</v>
      </c>
      <c r="Z314" s="11" t="n">
        <f aca="false">Z340</f>
        <v>0</v>
      </c>
    </row>
    <row r="315" customFormat="false" ht="12.8" hidden="false" customHeight="false" outlineLevel="0" collapsed="false">
      <c r="A315" s="1" t="n">
        <v>5</v>
      </c>
      <c r="B315" s="1" t="n">
        <v>2</v>
      </c>
      <c r="D315" s="9" t="s">
        <v>21</v>
      </c>
      <c r="E315" s="10" t="n">
        <v>41</v>
      </c>
      <c r="F315" s="10" t="s">
        <v>23</v>
      </c>
      <c r="G315" s="11" t="n">
        <f aca="false">G322+G333+G345</f>
        <v>37219.81</v>
      </c>
      <c r="H315" s="11" t="n">
        <f aca="false">H322+H333+H345</f>
        <v>31736.16</v>
      </c>
      <c r="I315" s="11" t="n">
        <f aca="false">I322+I333+I345</f>
        <v>22395</v>
      </c>
      <c r="J315" s="11" t="n">
        <f aca="false">J322+J333+J345</f>
        <v>32185.52</v>
      </c>
      <c r="K315" s="11" t="n">
        <f aca="false">K322+K333+K345</f>
        <v>29471</v>
      </c>
      <c r="L315" s="11" t="n">
        <f aca="false">L322+L333+L345</f>
        <v>0</v>
      </c>
      <c r="M315" s="11" t="n">
        <f aca="false">M322+M333+M345</f>
        <v>0</v>
      </c>
      <c r="N315" s="11" t="n">
        <f aca="false">N322+N333+N345</f>
        <v>0</v>
      </c>
      <c r="O315" s="11" t="n">
        <f aca="false">O322+O333+O345</f>
        <v>-3181</v>
      </c>
      <c r="P315" s="11" t="n">
        <f aca="false">P322+P333+P345</f>
        <v>26290</v>
      </c>
      <c r="Q315" s="11" t="n">
        <f aca="false">Q322+Q333+Q345</f>
        <v>8836.91</v>
      </c>
      <c r="R315" s="12" t="n">
        <f aca="false">Q315/$P315</f>
        <v>0.336131989349563</v>
      </c>
      <c r="S315" s="11" t="n">
        <f aca="false">S322+S333+S345</f>
        <v>10833.89</v>
      </c>
      <c r="T315" s="12" t="n">
        <f aca="false">S315/$P315</f>
        <v>0.41209166983644</v>
      </c>
      <c r="U315" s="11" t="n">
        <f aca="false">U322+U333+U345</f>
        <v>14281.78</v>
      </c>
      <c r="V315" s="12" t="n">
        <f aca="false">U315/$P315</f>
        <v>0.543240015214911</v>
      </c>
      <c r="W315" s="11" t="n">
        <f aca="false">W322+W333+W345</f>
        <v>21476.86</v>
      </c>
      <c r="X315" s="12" t="n">
        <f aca="false">W315/$P315</f>
        <v>0.816921262837581</v>
      </c>
      <c r="Y315" s="11" t="n">
        <f aca="false">Y322+Y333+Y345</f>
        <v>10484</v>
      </c>
      <c r="Z315" s="11" t="n">
        <f aca="false">Z322+Z333+Z345</f>
        <v>8650</v>
      </c>
    </row>
    <row r="316" customFormat="false" ht="12.8" hidden="false" customHeight="false" outlineLevel="0" collapsed="false">
      <c r="D316" s="9" t="s">
        <v>21</v>
      </c>
      <c r="E316" s="10" t="n">
        <v>72</v>
      </c>
      <c r="F316" s="10" t="s">
        <v>25</v>
      </c>
      <c r="G316" s="11" t="n">
        <f aca="false">G347</f>
        <v>0</v>
      </c>
      <c r="H316" s="11" t="n">
        <f aca="false">H347</f>
        <v>0</v>
      </c>
      <c r="I316" s="11" t="n">
        <f aca="false">I347</f>
        <v>0</v>
      </c>
      <c r="J316" s="11" t="n">
        <f aca="false">J347</f>
        <v>0</v>
      </c>
      <c r="K316" s="11" t="n">
        <f aca="false">K347</f>
        <v>180</v>
      </c>
      <c r="L316" s="11" t="n">
        <f aca="false">L347</f>
        <v>0</v>
      </c>
      <c r="M316" s="11" t="n">
        <f aca="false">M347</f>
        <v>0</v>
      </c>
      <c r="N316" s="11" t="n">
        <f aca="false">N347</f>
        <v>0</v>
      </c>
      <c r="O316" s="11" t="n">
        <f aca="false">O347</f>
        <v>179</v>
      </c>
      <c r="P316" s="11" t="n">
        <f aca="false">P347</f>
        <v>359</v>
      </c>
      <c r="Q316" s="11" t="n">
        <f aca="false">Q347</f>
        <v>0</v>
      </c>
      <c r="R316" s="12" t="n">
        <f aca="false">Q316/$P316</f>
        <v>0</v>
      </c>
      <c r="S316" s="11" t="n">
        <f aca="false">S347</f>
        <v>0</v>
      </c>
      <c r="T316" s="12" t="n">
        <f aca="false">S316/$P316</f>
        <v>0</v>
      </c>
      <c r="U316" s="11" t="n">
        <f aca="false">U347</f>
        <v>0</v>
      </c>
      <c r="V316" s="12" t="n">
        <f aca="false">U316/$P316</f>
        <v>0</v>
      </c>
      <c r="W316" s="11" t="n">
        <f aca="false">W347</f>
        <v>358.78</v>
      </c>
      <c r="X316" s="12" t="n">
        <f aca="false">W316/$P316</f>
        <v>0.999387186629526</v>
      </c>
      <c r="Y316" s="11" t="n">
        <f aca="false">Y347</f>
        <v>180</v>
      </c>
      <c r="Z316" s="11" t="n">
        <f aca="false">Z347</f>
        <v>0</v>
      </c>
    </row>
    <row r="317" customFormat="false" ht="12.8" hidden="false" customHeight="false" outlineLevel="0" collapsed="false">
      <c r="D317" s="16"/>
      <c r="E317" s="17"/>
      <c r="F317" s="13" t="s">
        <v>119</v>
      </c>
      <c r="G317" s="14" t="n">
        <f aca="false">SUM(G314:G316)</f>
        <v>62459.73</v>
      </c>
      <c r="H317" s="14" t="n">
        <f aca="false">SUM(H314:H316)</f>
        <v>69642.46</v>
      </c>
      <c r="I317" s="14" t="n">
        <f aca="false">SUM(I314:I316)</f>
        <v>41417</v>
      </c>
      <c r="J317" s="14" t="n">
        <f aca="false">SUM(J314:J316)</f>
        <v>34868.45</v>
      </c>
      <c r="K317" s="14" t="n">
        <f aca="false">SUM(K314:K316)</f>
        <v>48137</v>
      </c>
      <c r="L317" s="14" t="n">
        <f aca="false">SUM(L314:L316)</f>
        <v>0</v>
      </c>
      <c r="M317" s="14" t="n">
        <f aca="false">SUM(M314:M316)</f>
        <v>0</v>
      </c>
      <c r="N317" s="14" t="n">
        <f aca="false">SUM(N314:N316)</f>
        <v>0</v>
      </c>
      <c r="O317" s="14" t="n">
        <f aca="false">SUM(O314:O316)</f>
        <v>-3002</v>
      </c>
      <c r="P317" s="14" t="n">
        <f aca="false">SUM(P314:P316)</f>
        <v>45135</v>
      </c>
      <c r="Q317" s="14" t="n">
        <f aca="false">SUM(Q314:Q316)</f>
        <v>9291.26</v>
      </c>
      <c r="R317" s="15" t="n">
        <f aca="false">Q317/$P317</f>
        <v>0.205854879805029</v>
      </c>
      <c r="S317" s="14" t="n">
        <f aca="false">SUM(S314:S316)</f>
        <v>17034.32</v>
      </c>
      <c r="T317" s="15" t="n">
        <f aca="false">S317/$P317</f>
        <v>0.377408219785089</v>
      </c>
      <c r="U317" s="14" t="n">
        <f aca="false">SUM(U314:U316)</f>
        <v>27413.34</v>
      </c>
      <c r="V317" s="15" t="n">
        <f aca="false">U317/$P317</f>
        <v>0.607363243602526</v>
      </c>
      <c r="W317" s="14" t="n">
        <f aca="false">SUM(W314:W316)</f>
        <v>37401.72</v>
      </c>
      <c r="X317" s="15" t="n">
        <f aca="false">W317/$P317</f>
        <v>0.828663343303423</v>
      </c>
      <c r="Y317" s="14" t="n">
        <f aca="false">SUM(Y314:Y316)</f>
        <v>16278</v>
      </c>
      <c r="Z317" s="14" t="n">
        <f aca="false">SUM(Z314:Z316)</f>
        <v>8650</v>
      </c>
    </row>
    <row r="319" customFormat="false" ht="12.8" hidden="false" customHeight="false" outlineLevel="0" collapsed="false">
      <c r="D319" s="63" t="s">
        <v>202</v>
      </c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4"/>
      <c r="S319" s="63"/>
      <c r="T319" s="64"/>
      <c r="U319" s="63"/>
      <c r="V319" s="64"/>
      <c r="W319" s="63"/>
      <c r="X319" s="64"/>
      <c r="Y319" s="63"/>
      <c r="Z319" s="63"/>
    </row>
    <row r="320" customFormat="false" ht="12.8" hidden="false" customHeight="false" outlineLevel="0" collapsed="false">
      <c r="D320" s="7" t="s">
        <v>33</v>
      </c>
      <c r="E320" s="7" t="s">
        <v>34</v>
      </c>
      <c r="F320" s="7" t="s">
        <v>35</v>
      </c>
      <c r="G320" s="7" t="s">
        <v>1</v>
      </c>
      <c r="H320" s="7" t="s">
        <v>2</v>
      </c>
      <c r="I320" s="7" t="s">
        <v>3</v>
      </c>
      <c r="J320" s="7" t="s">
        <v>4</v>
      </c>
      <c r="K320" s="7" t="s">
        <v>5</v>
      </c>
      <c r="L320" s="7" t="s">
        <v>6</v>
      </c>
      <c r="M320" s="7" t="s">
        <v>7</v>
      </c>
      <c r="N320" s="7" t="s">
        <v>8</v>
      </c>
      <c r="O320" s="7" t="s">
        <v>9</v>
      </c>
      <c r="P320" s="7" t="s">
        <v>10</v>
      </c>
      <c r="Q320" s="7" t="s">
        <v>11</v>
      </c>
      <c r="R320" s="8" t="s">
        <v>12</v>
      </c>
      <c r="S320" s="7" t="s">
        <v>13</v>
      </c>
      <c r="T320" s="8" t="s">
        <v>14</v>
      </c>
      <c r="U320" s="7" t="s">
        <v>15</v>
      </c>
      <c r="V320" s="8" t="s">
        <v>16</v>
      </c>
      <c r="W320" s="7" t="s">
        <v>17</v>
      </c>
      <c r="X320" s="8" t="s">
        <v>18</v>
      </c>
      <c r="Y320" s="7" t="s">
        <v>19</v>
      </c>
      <c r="Z320" s="7" t="s">
        <v>20</v>
      </c>
    </row>
    <row r="321" customFormat="false" ht="12.8" hidden="false" customHeight="false" outlineLevel="0" collapsed="false">
      <c r="A321" s="1" t="n">
        <v>5</v>
      </c>
      <c r="B321" s="1" t="n">
        <v>2</v>
      </c>
      <c r="C321" s="1" t="n">
        <v>1</v>
      </c>
      <c r="D321" s="87" t="s">
        <v>203</v>
      </c>
      <c r="E321" s="10" t="n">
        <v>630</v>
      </c>
      <c r="F321" s="10" t="s">
        <v>126</v>
      </c>
      <c r="G321" s="11" t="n">
        <v>14295.99</v>
      </c>
      <c r="H321" s="11" t="n">
        <v>3959.21</v>
      </c>
      <c r="I321" s="11" t="n">
        <v>7000</v>
      </c>
      <c r="J321" s="11" t="n">
        <v>7936.38</v>
      </c>
      <c r="K321" s="11" t="n">
        <v>13250</v>
      </c>
      <c r="L321" s="11"/>
      <c r="M321" s="11"/>
      <c r="N321" s="11" t="n">
        <v>-2000</v>
      </c>
      <c r="O321" s="11" t="n">
        <f aca="false">-2000-2000</f>
        <v>-4000</v>
      </c>
      <c r="P321" s="11" t="n">
        <f aca="false">K321+SUM(L321:O321)</f>
        <v>7250</v>
      </c>
      <c r="Q321" s="11" t="n">
        <v>2026.26</v>
      </c>
      <c r="R321" s="12" t="n">
        <f aca="false">Q321/$P321</f>
        <v>0.279484137931034</v>
      </c>
      <c r="S321" s="11" t="n">
        <v>3229.79</v>
      </c>
      <c r="T321" s="12" t="n">
        <f aca="false">S321/$P321</f>
        <v>0.445488275862069</v>
      </c>
      <c r="U321" s="11" t="n">
        <v>3533.39</v>
      </c>
      <c r="V321" s="12" t="n">
        <f aca="false">U321/$P321</f>
        <v>0.487364137931034</v>
      </c>
      <c r="W321" s="11" t="n">
        <v>4368.31</v>
      </c>
      <c r="X321" s="12" t="n">
        <f aca="false">W321/$P321</f>
        <v>0.602525517241379</v>
      </c>
      <c r="Y321" s="11" t="n">
        <f aca="false">K321-7000</f>
        <v>6250</v>
      </c>
      <c r="Z321" s="11" t="n">
        <f aca="false">Y321</f>
        <v>6250</v>
      </c>
    </row>
    <row r="322" customFormat="false" ht="12.8" hidden="false" customHeight="false" outlineLevel="0" collapsed="false">
      <c r="A322" s="1" t="n">
        <v>5</v>
      </c>
      <c r="B322" s="1" t="n">
        <v>2</v>
      </c>
      <c r="C322" s="1" t="n">
        <v>1</v>
      </c>
      <c r="D322" s="70" t="s">
        <v>21</v>
      </c>
      <c r="E322" s="13" t="n">
        <v>41</v>
      </c>
      <c r="F322" s="13" t="s">
        <v>23</v>
      </c>
      <c r="G322" s="14" t="n">
        <f aca="false">SUM(G321:G321)</f>
        <v>14295.99</v>
      </c>
      <c r="H322" s="14" t="n">
        <f aca="false">SUM(H321:H321)</f>
        <v>3959.21</v>
      </c>
      <c r="I322" s="14" t="n">
        <f aca="false">SUM(I321:I321)</f>
        <v>7000</v>
      </c>
      <c r="J322" s="14" t="n">
        <f aca="false">SUM(J321:J321)</f>
        <v>7936.38</v>
      </c>
      <c r="K322" s="14" t="n">
        <f aca="false">SUM(K321:K321)</f>
        <v>13250</v>
      </c>
      <c r="L322" s="14" t="n">
        <f aca="false">SUM(L321:L321)</f>
        <v>0</v>
      </c>
      <c r="M322" s="14" t="n">
        <f aca="false">SUM(M321:M321)</f>
        <v>0</v>
      </c>
      <c r="N322" s="14" t="n">
        <f aca="false">SUM(N321:N321)</f>
        <v>-2000</v>
      </c>
      <c r="O322" s="14" t="n">
        <f aca="false">SUM(O321:O321)</f>
        <v>-4000</v>
      </c>
      <c r="P322" s="14" t="n">
        <f aca="false">SUM(P321:P321)</f>
        <v>7250</v>
      </c>
      <c r="Q322" s="14" t="n">
        <f aca="false">SUM(Q321:Q321)</f>
        <v>2026.26</v>
      </c>
      <c r="R322" s="15" t="n">
        <f aca="false">Q322/$P322</f>
        <v>0.279484137931034</v>
      </c>
      <c r="S322" s="14" t="n">
        <f aca="false">SUM(S321:S321)</f>
        <v>3229.79</v>
      </c>
      <c r="T322" s="15" t="n">
        <f aca="false">S322/$P322</f>
        <v>0.445488275862069</v>
      </c>
      <c r="U322" s="14" t="n">
        <f aca="false">SUM(U321:U321)</f>
        <v>3533.39</v>
      </c>
      <c r="V322" s="15" t="n">
        <f aca="false">U322/$P322</f>
        <v>0.487364137931034</v>
      </c>
      <c r="W322" s="14" t="n">
        <f aca="false">SUM(W321:W321)</f>
        <v>4368.31</v>
      </c>
      <c r="X322" s="15" t="n">
        <f aca="false">W322/$P322</f>
        <v>0.602525517241379</v>
      </c>
      <c r="Y322" s="14" t="n">
        <f aca="false">SUM(Y321:Y321)</f>
        <v>6250</v>
      </c>
      <c r="Z322" s="14" t="n">
        <f aca="false">SUM(Z321:Z321)</f>
        <v>6250</v>
      </c>
    </row>
    <row r="324" customFormat="false" ht="12.8" hidden="false" customHeight="false" outlineLevel="0" collapsed="false">
      <c r="E324" s="39" t="s">
        <v>57</v>
      </c>
      <c r="F324" s="16" t="s">
        <v>204</v>
      </c>
      <c r="G324" s="40" t="n">
        <v>1584.1</v>
      </c>
      <c r="H324" s="40" t="n">
        <f aca="false">462+642.36</f>
        <v>1104.36</v>
      </c>
      <c r="I324" s="40" t="n">
        <v>4500</v>
      </c>
      <c r="J324" s="40" t="n">
        <v>2148.73</v>
      </c>
      <c r="K324" s="40" t="n">
        <v>2500</v>
      </c>
      <c r="L324" s="40"/>
      <c r="M324" s="40"/>
      <c r="N324" s="40"/>
      <c r="O324" s="40" t="n">
        <v>-1000</v>
      </c>
      <c r="P324" s="40" t="n">
        <f aca="false">K324+SUM(L324:O324)</f>
        <v>1500</v>
      </c>
      <c r="Q324" s="40" t="n">
        <v>491.32</v>
      </c>
      <c r="R324" s="41" t="n">
        <f aca="false">Q324/$P324</f>
        <v>0.327546666666667</v>
      </c>
      <c r="S324" s="40" t="n">
        <v>545.68</v>
      </c>
      <c r="T324" s="41" t="n">
        <f aca="false">S324/$P324</f>
        <v>0.363786666666667</v>
      </c>
      <c r="U324" s="40" t="n">
        <v>545.68</v>
      </c>
      <c r="V324" s="41" t="n">
        <f aca="false">U324/$P324</f>
        <v>0.363786666666667</v>
      </c>
      <c r="W324" s="40" t="n">
        <v>1219.15</v>
      </c>
      <c r="X324" s="42" t="n">
        <f aca="false">W324/$P324</f>
        <v>0.812766666666667</v>
      </c>
      <c r="Y324" s="40" t="n">
        <f aca="false">K324</f>
        <v>2500</v>
      </c>
      <c r="Z324" s="44" t="n">
        <f aca="false">Y324</f>
        <v>2500</v>
      </c>
    </row>
    <row r="325" customFormat="false" ht="12.8" hidden="false" customHeight="false" outlineLevel="0" collapsed="false">
      <c r="E325" s="45"/>
      <c r="F325" s="46" t="s">
        <v>205</v>
      </c>
      <c r="G325" s="47" t="n">
        <v>6791.76</v>
      </c>
      <c r="H325" s="47" t="n">
        <v>1415.59</v>
      </c>
      <c r="I325" s="47" t="n">
        <v>1500</v>
      </c>
      <c r="J325" s="47" t="n">
        <v>1014.35</v>
      </c>
      <c r="K325" s="47" t="n">
        <v>1500</v>
      </c>
      <c r="L325" s="47"/>
      <c r="M325" s="47"/>
      <c r="N325" s="47" t="n">
        <v>-230</v>
      </c>
      <c r="O325" s="47" t="n">
        <v>-1000</v>
      </c>
      <c r="P325" s="47" t="n">
        <f aca="false">K325+SUM(L325:O325)</f>
        <v>270</v>
      </c>
      <c r="Q325" s="47" t="n">
        <v>0</v>
      </c>
      <c r="R325" s="2" t="n">
        <f aca="false">Q325/$P325</f>
        <v>0</v>
      </c>
      <c r="S325" s="47" t="n">
        <v>53.53</v>
      </c>
      <c r="T325" s="2" t="n">
        <f aca="false">S325/$P325</f>
        <v>0.198259259259259</v>
      </c>
      <c r="U325" s="47" t="n">
        <v>53.53</v>
      </c>
      <c r="V325" s="2" t="n">
        <f aca="false">U325/$P325</f>
        <v>0.198259259259259</v>
      </c>
      <c r="W325" s="47" t="n">
        <v>53.53</v>
      </c>
      <c r="X325" s="48" t="n">
        <f aca="false">W325/$P325</f>
        <v>0.198259259259259</v>
      </c>
      <c r="Y325" s="47" t="n">
        <f aca="false">K325</f>
        <v>1500</v>
      </c>
      <c r="Z325" s="50" t="n">
        <f aca="false">Y325</f>
        <v>1500</v>
      </c>
    </row>
    <row r="326" customFormat="false" ht="12.8" hidden="false" customHeight="false" outlineLevel="0" collapsed="false">
      <c r="E326" s="54"/>
      <c r="F326" s="72" t="s">
        <v>206</v>
      </c>
      <c r="G326" s="56" t="n">
        <v>3727.48</v>
      </c>
      <c r="H326" s="56" t="n">
        <v>358.42</v>
      </c>
      <c r="I326" s="56" t="n">
        <v>1000</v>
      </c>
      <c r="J326" s="56" t="n">
        <v>4083.58</v>
      </c>
      <c r="K326" s="56" t="n">
        <v>8000</v>
      </c>
      <c r="L326" s="56"/>
      <c r="M326" s="56"/>
      <c r="N326" s="56" t="n">
        <v>-2000</v>
      </c>
      <c r="O326" s="56" t="n">
        <v>-2000</v>
      </c>
      <c r="P326" s="56" t="n">
        <f aca="false">K326+SUM(L326:O326)</f>
        <v>4000</v>
      </c>
      <c r="Q326" s="56" t="n">
        <v>788.3</v>
      </c>
      <c r="R326" s="57" t="n">
        <f aca="false">Q326/$P326</f>
        <v>0.197075</v>
      </c>
      <c r="S326" s="56" t="n">
        <v>1838.23</v>
      </c>
      <c r="T326" s="57" t="n">
        <f aca="false">S326/$P326</f>
        <v>0.4595575</v>
      </c>
      <c r="U326" s="56" t="n">
        <v>1838.23</v>
      </c>
      <c r="V326" s="57" t="n">
        <f aca="false">U326/$P326</f>
        <v>0.4595575</v>
      </c>
      <c r="W326" s="56" t="n">
        <v>1999.68</v>
      </c>
      <c r="X326" s="58" t="n">
        <f aca="false">W326/$P326</f>
        <v>0.49992</v>
      </c>
      <c r="Y326" s="56" t="n">
        <v>1000</v>
      </c>
      <c r="Z326" s="60" t="n">
        <f aca="false">Y326</f>
        <v>1000</v>
      </c>
    </row>
    <row r="327" customFormat="false" ht="12.8" hidden="false" customHeight="false" outlineLevel="0" collapsed="false"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S327" s="47"/>
      <c r="U327" s="47"/>
      <c r="W327" s="47"/>
      <c r="Y327" s="47"/>
      <c r="Z327" s="47"/>
    </row>
    <row r="328" customFormat="false" ht="12.8" hidden="false" customHeight="false" outlineLevel="0" collapsed="false">
      <c r="D328" s="63" t="s">
        <v>207</v>
      </c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4"/>
      <c r="S328" s="63"/>
      <c r="T328" s="64"/>
      <c r="U328" s="63"/>
      <c r="V328" s="64"/>
      <c r="W328" s="63"/>
      <c r="X328" s="64"/>
      <c r="Y328" s="63"/>
      <c r="Z328" s="63"/>
    </row>
    <row r="329" customFormat="false" ht="12.8" hidden="false" customHeight="false" outlineLevel="0" collapsed="false">
      <c r="D329" s="7" t="s">
        <v>33</v>
      </c>
      <c r="E329" s="7" t="s">
        <v>34</v>
      </c>
      <c r="F329" s="7" t="s">
        <v>35</v>
      </c>
      <c r="G329" s="7" t="s">
        <v>1</v>
      </c>
      <c r="H329" s="7" t="s">
        <v>2</v>
      </c>
      <c r="I329" s="7" t="s">
        <v>3</v>
      </c>
      <c r="J329" s="7" t="s">
        <v>4</v>
      </c>
      <c r="K329" s="7" t="s">
        <v>5</v>
      </c>
      <c r="L329" s="7" t="s">
        <v>6</v>
      </c>
      <c r="M329" s="7" t="s">
        <v>7</v>
      </c>
      <c r="N329" s="7" t="s">
        <v>8</v>
      </c>
      <c r="O329" s="7" t="s">
        <v>9</v>
      </c>
      <c r="P329" s="7" t="s">
        <v>10</v>
      </c>
      <c r="Q329" s="7" t="s">
        <v>11</v>
      </c>
      <c r="R329" s="8" t="s">
        <v>12</v>
      </c>
      <c r="S329" s="7" t="s">
        <v>13</v>
      </c>
      <c r="T329" s="8" t="s">
        <v>14</v>
      </c>
      <c r="U329" s="7" t="s">
        <v>15</v>
      </c>
      <c r="V329" s="8" t="s">
        <v>16</v>
      </c>
      <c r="W329" s="7" t="s">
        <v>17</v>
      </c>
      <c r="X329" s="8" t="s">
        <v>18</v>
      </c>
      <c r="Y329" s="7" t="s">
        <v>19</v>
      </c>
      <c r="Z329" s="7" t="s">
        <v>20</v>
      </c>
    </row>
    <row r="330" customFormat="false" ht="12.8" hidden="true" customHeight="false" outlineLevel="0" collapsed="false">
      <c r="D330" s="87" t="s">
        <v>208</v>
      </c>
      <c r="E330" s="10" t="n">
        <v>610</v>
      </c>
      <c r="F330" s="10" t="s">
        <v>126</v>
      </c>
      <c r="G330" s="11" t="n">
        <v>6323.5</v>
      </c>
      <c r="H330" s="11" t="n">
        <v>0</v>
      </c>
      <c r="I330" s="11" t="n">
        <v>0</v>
      </c>
      <c r="J330" s="11" t="n">
        <v>0</v>
      </c>
      <c r="K330" s="11" t="n">
        <v>0</v>
      </c>
      <c r="L330" s="11"/>
      <c r="M330" s="11"/>
      <c r="N330" s="11"/>
      <c r="O330" s="11"/>
      <c r="P330" s="11" t="n">
        <f aca="false">K330+SUM(L330:O330)</f>
        <v>0</v>
      </c>
      <c r="Q330" s="11"/>
      <c r="R330" s="12" t="e">
        <f aca="false">Q330/$P330</f>
        <v>#DIV/0!</v>
      </c>
      <c r="S330" s="11"/>
      <c r="T330" s="12" t="e">
        <f aca="false">S330/$P330</f>
        <v>#DIV/0!</v>
      </c>
      <c r="U330" s="11"/>
      <c r="V330" s="12" t="e">
        <f aca="false">U330/$P330</f>
        <v>#DIV/0!</v>
      </c>
      <c r="W330" s="11"/>
      <c r="X330" s="12" t="e">
        <f aca="false">W330/$P330</f>
        <v>#DIV/0!</v>
      </c>
      <c r="Y330" s="11" t="n">
        <f aca="false">K330</f>
        <v>0</v>
      </c>
      <c r="Z330" s="11" t="n">
        <f aca="false">Y330</f>
        <v>0</v>
      </c>
    </row>
    <row r="331" customFormat="false" ht="12.8" hidden="true" customHeight="false" outlineLevel="0" collapsed="false">
      <c r="D331" s="36" t="s">
        <v>208</v>
      </c>
      <c r="E331" s="10" t="n">
        <v>620</v>
      </c>
      <c r="F331" s="10" t="s">
        <v>126</v>
      </c>
      <c r="G331" s="11" t="n">
        <v>2122.5</v>
      </c>
      <c r="H331" s="11" t="n">
        <v>0</v>
      </c>
      <c r="I331" s="11" t="n">
        <v>0</v>
      </c>
      <c r="J331" s="11" t="n">
        <v>0</v>
      </c>
      <c r="K331" s="11" t="n">
        <v>0</v>
      </c>
      <c r="L331" s="11"/>
      <c r="M331" s="11"/>
      <c r="N331" s="11"/>
      <c r="O331" s="11"/>
      <c r="P331" s="11" t="n">
        <f aca="false">K331+SUM(L331:O331)</f>
        <v>0</v>
      </c>
      <c r="Q331" s="11"/>
      <c r="R331" s="12" t="e">
        <f aca="false">Q331/$P331</f>
        <v>#DIV/0!</v>
      </c>
      <c r="S331" s="11"/>
      <c r="T331" s="12" t="e">
        <f aca="false">S331/$P331</f>
        <v>#DIV/0!</v>
      </c>
      <c r="U331" s="11"/>
      <c r="V331" s="12" t="e">
        <f aca="false">U331/$P331</f>
        <v>#DIV/0!</v>
      </c>
      <c r="W331" s="11"/>
      <c r="X331" s="12" t="e">
        <f aca="false">W331/$P331</f>
        <v>#DIV/0!</v>
      </c>
      <c r="Y331" s="11" t="n">
        <f aca="false">K331</f>
        <v>0</v>
      </c>
      <c r="Z331" s="11" t="n">
        <f aca="false">Y331</f>
        <v>0</v>
      </c>
    </row>
    <row r="332" customFormat="false" ht="12.8" hidden="false" customHeight="false" outlineLevel="0" collapsed="false">
      <c r="A332" s="1" t="n">
        <v>5</v>
      </c>
      <c r="B332" s="1" t="n">
        <v>2</v>
      </c>
      <c r="C332" s="1" t="n">
        <v>2</v>
      </c>
      <c r="D332" s="36" t="s">
        <v>208</v>
      </c>
      <c r="E332" s="10" t="n">
        <v>630</v>
      </c>
      <c r="F332" s="10" t="s">
        <v>126</v>
      </c>
      <c r="G332" s="11" t="n">
        <f aca="false">761.78+1339.34</f>
        <v>2101.12</v>
      </c>
      <c r="H332" s="11" t="n">
        <f aca="false">2933.5+105.54</f>
        <v>3039.04</v>
      </c>
      <c r="I332" s="11" t="n">
        <v>3000</v>
      </c>
      <c r="J332" s="11" t="n">
        <v>3231.61</v>
      </c>
      <c r="K332" s="11" t="n">
        <v>2400</v>
      </c>
      <c r="L332" s="11"/>
      <c r="M332" s="11"/>
      <c r="N332" s="11"/>
      <c r="O332" s="11"/>
      <c r="P332" s="11" t="n">
        <f aca="false">K332+SUM(L332:O332)</f>
        <v>2400</v>
      </c>
      <c r="Q332" s="11" t="n">
        <v>0</v>
      </c>
      <c r="R332" s="12" t="n">
        <f aca="false">Q332/$P332</f>
        <v>0</v>
      </c>
      <c r="S332" s="11" t="n">
        <v>255.65</v>
      </c>
      <c r="T332" s="12" t="n">
        <f aca="false">S332/$P332</f>
        <v>0.106520833333333</v>
      </c>
      <c r="U332" s="11" t="n">
        <v>255.65</v>
      </c>
      <c r="V332" s="12" t="n">
        <f aca="false">U332/$P332</f>
        <v>0.106520833333333</v>
      </c>
      <c r="W332" s="11" t="n">
        <v>467.84</v>
      </c>
      <c r="X332" s="12" t="n">
        <f aca="false">W332/$P332</f>
        <v>0.194933333333333</v>
      </c>
      <c r="Y332" s="11" t="n">
        <f aca="false">K332</f>
        <v>2400</v>
      </c>
      <c r="Z332" s="11" t="n">
        <f aca="false">Y332</f>
        <v>2400</v>
      </c>
    </row>
    <row r="333" customFormat="false" ht="12.8" hidden="false" customHeight="false" outlineLevel="0" collapsed="false">
      <c r="A333" s="1" t="n">
        <v>5</v>
      </c>
      <c r="B333" s="1" t="n">
        <v>2</v>
      </c>
      <c r="C333" s="1" t="n">
        <v>2</v>
      </c>
      <c r="D333" s="70" t="s">
        <v>21</v>
      </c>
      <c r="E333" s="13" t="n">
        <v>41</v>
      </c>
      <c r="F333" s="13" t="s">
        <v>23</v>
      </c>
      <c r="G333" s="14" t="n">
        <f aca="false">SUM(G330:G332)</f>
        <v>10547.12</v>
      </c>
      <c r="H333" s="14" t="n">
        <f aca="false">SUM(H330:H332)</f>
        <v>3039.04</v>
      </c>
      <c r="I333" s="14" t="n">
        <f aca="false">SUM(I330:I332)</f>
        <v>3000</v>
      </c>
      <c r="J333" s="14" t="n">
        <f aca="false">SUM(J330:J332)</f>
        <v>3231.61</v>
      </c>
      <c r="K333" s="14" t="n">
        <f aca="false">SUM(K330:K332)</f>
        <v>2400</v>
      </c>
      <c r="L333" s="14" t="n">
        <f aca="false">SUM(L330:L332)</f>
        <v>0</v>
      </c>
      <c r="M333" s="14" t="n">
        <f aca="false">SUM(M330:M332)</f>
        <v>0</v>
      </c>
      <c r="N333" s="14" t="n">
        <f aca="false">SUM(N330:N332)</f>
        <v>0</v>
      </c>
      <c r="O333" s="14" t="n">
        <f aca="false">SUM(O330:O332)</f>
        <v>0</v>
      </c>
      <c r="P333" s="14" t="n">
        <f aca="false">SUM(P330:P332)</f>
        <v>2400</v>
      </c>
      <c r="Q333" s="14" t="n">
        <f aca="false">SUM(Q330:Q332)</f>
        <v>0</v>
      </c>
      <c r="R333" s="15" t="n">
        <f aca="false">Q333/$P333</f>
        <v>0</v>
      </c>
      <c r="S333" s="14" t="n">
        <f aca="false">SUM(S330:S332)</f>
        <v>255.65</v>
      </c>
      <c r="T333" s="15" t="n">
        <f aca="false">S333/$P333</f>
        <v>0.106520833333333</v>
      </c>
      <c r="U333" s="14" t="n">
        <f aca="false">SUM(U330:U332)</f>
        <v>255.65</v>
      </c>
      <c r="V333" s="15" t="n">
        <f aca="false">U333/$P333</f>
        <v>0.106520833333333</v>
      </c>
      <c r="W333" s="14" t="n">
        <f aca="false">SUM(W330:W332)</f>
        <v>467.84</v>
      </c>
      <c r="X333" s="15" t="n">
        <f aca="false">W333/$P333</f>
        <v>0.194933333333333</v>
      </c>
      <c r="Y333" s="14" t="n">
        <f aca="false">SUM(Y330:Y332)</f>
        <v>2400</v>
      </c>
      <c r="Z333" s="14" t="n">
        <f aca="false">SUM(Z330:Z332)</f>
        <v>2400</v>
      </c>
    </row>
    <row r="335" customFormat="false" ht="12.8" hidden="false" customHeight="false" outlineLevel="0" collapsed="false">
      <c r="D335" s="63" t="s">
        <v>209</v>
      </c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4"/>
      <c r="S335" s="63"/>
      <c r="T335" s="64"/>
      <c r="U335" s="63"/>
      <c r="V335" s="64"/>
      <c r="W335" s="63"/>
      <c r="X335" s="64"/>
      <c r="Y335" s="63"/>
      <c r="Z335" s="63"/>
    </row>
    <row r="336" customFormat="false" ht="12.8" hidden="false" customHeight="false" outlineLevel="0" collapsed="false">
      <c r="D336" s="7" t="s">
        <v>33</v>
      </c>
      <c r="E336" s="7" t="s">
        <v>34</v>
      </c>
      <c r="F336" s="7" t="s">
        <v>35</v>
      </c>
      <c r="G336" s="7" t="s">
        <v>1</v>
      </c>
      <c r="H336" s="7" t="s">
        <v>2</v>
      </c>
      <c r="I336" s="7" t="s">
        <v>3</v>
      </c>
      <c r="J336" s="7" t="s">
        <v>4</v>
      </c>
      <c r="K336" s="7" t="s">
        <v>5</v>
      </c>
      <c r="L336" s="7" t="s">
        <v>6</v>
      </c>
      <c r="M336" s="7" t="s">
        <v>7</v>
      </c>
      <c r="N336" s="7" t="s">
        <v>8</v>
      </c>
      <c r="O336" s="7" t="s">
        <v>9</v>
      </c>
      <c r="P336" s="7" t="s">
        <v>10</v>
      </c>
      <c r="Q336" s="7" t="s">
        <v>11</v>
      </c>
      <c r="R336" s="8" t="s">
        <v>12</v>
      </c>
      <c r="S336" s="7" t="s">
        <v>13</v>
      </c>
      <c r="T336" s="8" t="s">
        <v>14</v>
      </c>
      <c r="U336" s="7" t="s">
        <v>15</v>
      </c>
      <c r="V336" s="8" t="s">
        <v>16</v>
      </c>
      <c r="W336" s="7" t="s">
        <v>17</v>
      </c>
      <c r="X336" s="8" t="s">
        <v>18</v>
      </c>
      <c r="Y336" s="7" t="s">
        <v>19</v>
      </c>
      <c r="Z336" s="7" t="s">
        <v>20</v>
      </c>
    </row>
    <row r="337" customFormat="false" ht="12.8" hidden="false" customHeight="false" outlineLevel="0" collapsed="false">
      <c r="A337" s="1" t="n">
        <v>5</v>
      </c>
      <c r="B337" s="1" t="n">
        <v>2</v>
      </c>
      <c r="C337" s="1" t="n">
        <v>3</v>
      </c>
      <c r="D337" s="105" t="s">
        <v>208</v>
      </c>
      <c r="E337" s="10" t="n">
        <v>610</v>
      </c>
      <c r="F337" s="10" t="s">
        <v>124</v>
      </c>
      <c r="G337" s="11" t="n">
        <v>18703.16</v>
      </c>
      <c r="H337" s="11" t="n">
        <v>27712.89</v>
      </c>
      <c r="I337" s="11" t="n">
        <v>12169</v>
      </c>
      <c r="J337" s="11" t="n">
        <v>0</v>
      </c>
      <c r="K337" s="11" t="n">
        <v>12688</v>
      </c>
      <c r="L337" s="11"/>
      <c r="M337" s="11"/>
      <c r="N337" s="11"/>
      <c r="O337" s="11"/>
      <c r="P337" s="11" t="n">
        <f aca="false">K337+SUM(L337:O337)</f>
        <v>12688</v>
      </c>
      <c r="Q337" s="11" t="n">
        <v>0</v>
      </c>
      <c r="R337" s="12" t="n">
        <f aca="false">Q337/$P337</f>
        <v>0</v>
      </c>
      <c r="S337" s="11" t="n">
        <v>3328</v>
      </c>
      <c r="T337" s="12" t="n">
        <f aca="false">S337/$P337</f>
        <v>0.262295081967213</v>
      </c>
      <c r="U337" s="11" t="n">
        <v>8464.08</v>
      </c>
      <c r="V337" s="12" t="n">
        <f aca="false">U337/$P337</f>
        <v>0.667093316519546</v>
      </c>
      <c r="W337" s="11" t="n">
        <v>10268.1</v>
      </c>
      <c r="X337" s="12" t="n">
        <f aca="false">W337/$P337</f>
        <v>0.809276481715006</v>
      </c>
      <c r="Y337" s="11" t="n">
        <v>4160</v>
      </c>
      <c r="Z337" s="11" t="n">
        <v>0</v>
      </c>
    </row>
    <row r="338" customFormat="false" ht="12.8" hidden="false" customHeight="false" outlineLevel="0" collapsed="false">
      <c r="A338" s="1" t="n">
        <v>5</v>
      </c>
      <c r="B338" s="1" t="n">
        <v>2</v>
      </c>
      <c r="C338" s="1" t="n">
        <v>3</v>
      </c>
      <c r="D338" s="105"/>
      <c r="E338" s="10" t="n">
        <v>620</v>
      </c>
      <c r="F338" s="10" t="s">
        <v>125</v>
      </c>
      <c r="G338" s="11" t="n">
        <v>6536.76</v>
      </c>
      <c r="H338" s="11" t="n">
        <v>9788.5</v>
      </c>
      <c r="I338" s="11" t="n">
        <v>6853</v>
      </c>
      <c r="J338" s="11" t="n">
        <v>2682.93</v>
      </c>
      <c r="K338" s="11" t="n">
        <v>5798</v>
      </c>
      <c r="L338" s="11"/>
      <c r="M338" s="11"/>
      <c r="N338" s="11"/>
      <c r="O338" s="11"/>
      <c r="P338" s="11" t="n">
        <f aca="false">K338+SUM(L338:O338)</f>
        <v>5798</v>
      </c>
      <c r="Q338" s="11" t="n">
        <v>454.35</v>
      </c>
      <c r="R338" s="12" t="n">
        <f aca="false">Q338/$P338</f>
        <v>0.0783632286995516</v>
      </c>
      <c r="S338" s="11" t="n">
        <v>2872.43</v>
      </c>
      <c r="T338" s="12" t="n">
        <f aca="false">S338/$P338</f>
        <v>0.495417385305278</v>
      </c>
      <c r="U338" s="11" t="n">
        <v>4667.48</v>
      </c>
      <c r="V338" s="12" t="n">
        <f aca="false">U338/$P338</f>
        <v>0.805015522593998</v>
      </c>
      <c r="W338" s="11" t="n">
        <v>5297.98</v>
      </c>
      <c r="X338" s="12" t="n">
        <f aca="false">W338/$P338</f>
        <v>0.913759917212832</v>
      </c>
      <c r="Y338" s="11" t="n">
        <v>1454</v>
      </c>
      <c r="Z338" s="11" t="n">
        <v>0</v>
      </c>
    </row>
    <row r="339" customFormat="false" ht="12.8" hidden="false" customHeight="false" outlineLevel="0" collapsed="false">
      <c r="A339" s="1" t="n">
        <v>5</v>
      </c>
      <c r="B339" s="1" t="n">
        <v>2</v>
      </c>
      <c r="C339" s="1" t="n">
        <v>3</v>
      </c>
      <c r="D339" s="105"/>
      <c r="E339" s="10" t="n">
        <v>630</v>
      </c>
      <c r="F339" s="10" t="s">
        <v>126</v>
      </c>
      <c r="G339" s="11" t="n">
        <v>0</v>
      </c>
      <c r="H339" s="11" t="n">
        <v>404.91</v>
      </c>
      <c r="I339" s="11" t="n">
        <v>0</v>
      </c>
      <c r="J339" s="11" t="n">
        <v>0</v>
      </c>
      <c r="K339" s="11" t="n">
        <v>0</v>
      </c>
      <c r="L339" s="11"/>
      <c r="M339" s="11"/>
      <c r="N339" s="11"/>
      <c r="O339" s="11"/>
      <c r="P339" s="11" t="n">
        <f aca="false">K339+SUM(L339:O339)</f>
        <v>0</v>
      </c>
      <c r="Q339" s="11" t="n">
        <v>0</v>
      </c>
      <c r="R339" s="12" t="e">
        <f aca="false">Q339/$P339</f>
        <v>#DIV/0!</v>
      </c>
      <c r="S339" s="11" t="n">
        <v>0</v>
      </c>
      <c r="T339" s="12" t="e">
        <f aca="false">S339/$P339</f>
        <v>#DIV/0!</v>
      </c>
      <c r="U339" s="11" t="n">
        <v>0</v>
      </c>
      <c r="V339" s="12" t="e">
        <f aca="false">U339/$P339</f>
        <v>#DIV/0!</v>
      </c>
      <c r="W339" s="11" t="n">
        <v>0</v>
      </c>
      <c r="X339" s="12" t="e">
        <f aca="false">W339/$P339</f>
        <v>#DIV/0!</v>
      </c>
      <c r="Y339" s="11" t="n">
        <f aca="false">K339</f>
        <v>0</v>
      </c>
      <c r="Z339" s="11" t="n">
        <f aca="false">Y339</f>
        <v>0</v>
      </c>
    </row>
    <row r="340" customFormat="false" ht="12.8" hidden="false" customHeight="false" outlineLevel="0" collapsed="false">
      <c r="A340" s="1" t="n">
        <v>5</v>
      </c>
      <c r="B340" s="1" t="n">
        <v>2</v>
      </c>
      <c r="C340" s="1" t="n">
        <v>3</v>
      </c>
      <c r="D340" s="106" t="s">
        <v>21</v>
      </c>
      <c r="E340" s="76" t="s">
        <v>134</v>
      </c>
      <c r="F340" s="32" t="s">
        <v>210</v>
      </c>
      <c r="G340" s="33" t="n">
        <f aca="false">SUM(G337:G339)</f>
        <v>25239.92</v>
      </c>
      <c r="H340" s="33" t="n">
        <f aca="false">SUM(H337:H339)</f>
        <v>37906.3</v>
      </c>
      <c r="I340" s="33" t="n">
        <f aca="false">SUM(I337:I339)</f>
        <v>19022</v>
      </c>
      <c r="J340" s="33" t="n">
        <f aca="false">SUM(J337:J339)</f>
        <v>2682.93</v>
      </c>
      <c r="K340" s="33" t="n">
        <f aca="false">SUM(K337:K339)</f>
        <v>18486</v>
      </c>
      <c r="L340" s="33" t="n">
        <f aca="false">SUM(L337:L339)</f>
        <v>0</v>
      </c>
      <c r="M340" s="33" t="n">
        <f aca="false">SUM(M337:M339)</f>
        <v>0</v>
      </c>
      <c r="N340" s="33" t="n">
        <f aca="false">SUM(N337:N339)</f>
        <v>0</v>
      </c>
      <c r="O340" s="33" t="n">
        <f aca="false">SUM(O337:O339)</f>
        <v>0</v>
      </c>
      <c r="P340" s="33" t="n">
        <f aca="false">SUM(P337:P339)</f>
        <v>18486</v>
      </c>
      <c r="Q340" s="33" t="n">
        <f aca="false">SUM(Q337:Q339)</f>
        <v>454.35</v>
      </c>
      <c r="R340" s="34" t="n">
        <f aca="false">Q340/$P340</f>
        <v>0.02457805907173</v>
      </c>
      <c r="S340" s="33" t="n">
        <f aca="false">SUM(S337:S339)</f>
        <v>6200.43</v>
      </c>
      <c r="T340" s="34" t="n">
        <f aca="false">S340/$P340</f>
        <v>0.335412203829925</v>
      </c>
      <c r="U340" s="33" t="n">
        <f aca="false">SUM(U337:U339)</f>
        <v>13131.56</v>
      </c>
      <c r="V340" s="34" t="n">
        <f aca="false">U340/$P340</f>
        <v>0.710351617440225</v>
      </c>
      <c r="W340" s="33" t="n">
        <f aca="false">SUM(W337:W339)</f>
        <v>15566.08</v>
      </c>
      <c r="X340" s="34" t="n">
        <f aca="false">W340/$P340</f>
        <v>0.842046954452018</v>
      </c>
      <c r="Y340" s="33" t="n">
        <f aca="false">SUM(Y337:Y339)</f>
        <v>5614</v>
      </c>
      <c r="Z340" s="33" t="n">
        <f aca="false">SUM(Z337:Z339)</f>
        <v>0</v>
      </c>
    </row>
    <row r="341" customFormat="false" ht="12.8" hidden="false" customHeight="false" outlineLevel="0" collapsed="false">
      <c r="A341" s="1" t="n">
        <v>5</v>
      </c>
      <c r="B341" s="1" t="n">
        <v>2</v>
      </c>
      <c r="C341" s="1" t="n">
        <v>3</v>
      </c>
      <c r="D341" s="105" t="s">
        <v>208</v>
      </c>
      <c r="E341" s="10" t="n">
        <v>610</v>
      </c>
      <c r="F341" s="10" t="s">
        <v>124</v>
      </c>
      <c r="G341" s="11" t="n">
        <v>7034.37</v>
      </c>
      <c r="H341" s="11" t="n">
        <v>14361.67</v>
      </c>
      <c r="I341" s="11" t="n">
        <v>9296</v>
      </c>
      <c r="J341" s="11" t="n">
        <v>16310.54</v>
      </c>
      <c r="K341" s="11" t="n">
        <v>8402</v>
      </c>
      <c r="L341" s="11"/>
      <c r="M341" s="11"/>
      <c r="N341" s="11" t="n">
        <v>2000</v>
      </c>
      <c r="O341" s="11" t="n">
        <v>1297</v>
      </c>
      <c r="P341" s="11" t="n">
        <f aca="false">K341+SUM(L341:O341)</f>
        <v>11699</v>
      </c>
      <c r="Q341" s="11" t="n">
        <v>4940.76</v>
      </c>
      <c r="R341" s="12" t="n">
        <f aca="false">Q341/$P341</f>
        <v>0.422323275493632</v>
      </c>
      <c r="S341" s="11" t="n">
        <v>5873.68</v>
      </c>
      <c r="T341" s="12" t="n">
        <f aca="false">S341/$P341</f>
        <v>0.502066843319942</v>
      </c>
      <c r="U341" s="11" t="n">
        <v>7477.6</v>
      </c>
      <c r="V341" s="12" t="n">
        <f aca="false">U341/$P341</f>
        <v>0.639165740661595</v>
      </c>
      <c r="W341" s="11" t="n">
        <v>11699.58</v>
      </c>
      <c r="X341" s="12" t="n">
        <f aca="false">W341/$P341</f>
        <v>1.00004957688691</v>
      </c>
      <c r="Y341" s="11" t="n">
        <v>1040</v>
      </c>
      <c r="Z341" s="11" t="n">
        <v>0</v>
      </c>
    </row>
    <row r="342" customFormat="false" ht="12.8" hidden="false" customHeight="false" outlineLevel="0" collapsed="false">
      <c r="A342" s="1" t="n">
        <v>5</v>
      </c>
      <c r="B342" s="1" t="n">
        <v>2</v>
      </c>
      <c r="C342" s="1" t="n">
        <v>3</v>
      </c>
      <c r="D342" s="105"/>
      <c r="E342" s="10" t="n">
        <v>620</v>
      </c>
      <c r="F342" s="10" t="s">
        <v>125</v>
      </c>
      <c r="G342" s="11" t="n">
        <v>2496.76</v>
      </c>
      <c r="H342" s="11" t="n">
        <v>4903.17</v>
      </c>
      <c r="I342" s="11" t="n">
        <v>649</v>
      </c>
      <c r="J342" s="11" t="n">
        <v>3083.15</v>
      </c>
      <c r="K342" s="11" t="n">
        <v>2936</v>
      </c>
      <c r="L342" s="11"/>
      <c r="M342" s="11"/>
      <c r="N342" s="11"/>
      <c r="O342" s="11" t="n">
        <v>-609</v>
      </c>
      <c r="P342" s="11" t="n">
        <f aca="false">K342+SUM(L342:O342)</f>
        <v>2327</v>
      </c>
      <c r="Q342" s="11" t="n">
        <v>1237.23</v>
      </c>
      <c r="R342" s="12" t="n">
        <f aca="false">Q342/$P342</f>
        <v>0.531684572410829</v>
      </c>
      <c r="S342" s="11" t="n">
        <v>290.8</v>
      </c>
      <c r="T342" s="12" t="n">
        <f aca="false">S342/$P342</f>
        <v>0.124967769660507</v>
      </c>
      <c r="U342" s="11" t="n">
        <v>851.38</v>
      </c>
      <c r="V342" s="12" t="n">
        <f aca="false">U342/$P342</f>
        <v>0.365870219166309</v>
      </c>
      <c r="W342" s="11" t="n">
        <v>2326.95</v>
      </c>
      <c r="X342" s="12" t="n">
        <f aca="false">W342/$P342</f>
        <v>0.999978513107005</v>
      </c>
      <c r="Y342" s="11" t="n">
        <v>363</v>
      </c>
      <c r="Z342" s="11" t="n">
        <v>0</v>
      </c>
    </row>
    <row r="343" customFormat="false" ht="12.8" hidden="false" customHeight="false" outlineLevel="0" collapsed="false">
      <c r="A343" s="1" t="n">
        <v>5</v>
      </c>
      <c r="B343" s="1" t="n">
        <v>2</v>
      </c>
      <c r="C343" s="1" t="n">
        <v>3</v>
      </c>
      <c r="D343" s="105"/>
      <c r="E343" s="10" t="n">
        <v>630</v>
      </c>
      <c r="F343" s="10" t="s">
        <v>126</v>
      </c>
      <c r="G343" s="11" t="n">
        <v>2845.57</v>
      </c>
      <c r="H343" s="11" t="n">
        <v>5336.29</v>
      </c>
      <c r="I343" s="11" t="n">
        <v>2450</v>
      </c>
      <c r="J343" s="11" t="n">
        <v>1437.46</v>
      </c>
      <c r="K343" s="11" t="n">
        <v>2483</v>
      </c>
      <c r="L343" s="11"/>
      <c r="M343" s="11"/>
      <c r="N343" s="11"/>
      <c r="O343" s="11" t="n">
        <v>131</v>
      </c>
      <c r="P343" s="11" t="n">
        <f aca="false">K343+SUM(L343:O343)</f>
        <v>2614</v>
      </c>
      <c r="Q343" s="11" t="n">
        <v>632.66</v>
      </c>
      <c r="R343" s="12" t="n">
        <f aca="false">Q343/$P343</f>
        <v>0.242027543993879</v>
      </c>
      <c r="S343" s="11" t="n">
        <v>1183.97</v>
      </c>
      <c r="T343" s="12" t="n">
        <f aca="false">S343/$P343</f>
        <v>0.452934200459067</v>
      </c>
      <c r="U343" s="11" t="n">
        <v>2163.76</v>
      </c>
      <c r="V343" s="12" t="n">
        <f aca="false">U343/$P343</f>
        <v>0.827758224942617</v>
      </c>
      <c r="W343" s="11" t="n">
        <v>2614.18</v>
      </c>
      <c r="X343" s="12" t="n">
        <f aca="false">W343/$P343</f>
        <v>1.0000688599847</v>
      </c>
      <c r="Y343" s="11" t="n">
        <v>431</v>
      </c>
      <c r="Z343" s="11" t="n">
        <v>0</v>
      </c>
    </row>
    <row r="344" customFormat="false" ht="12.8" hidden="false" customHeight="false" outlineLevel="0" collapsed="false">
      <c r="A344" s="1" t="n">
        <v>5</v>
      </c>
      <c r="B344" s="1" t="n">
        <v>2</v>
      </c>
      <c r="C344" s="1" t="n">
        <v>3</v>
      </c>
      <c r="D344" s="105"/>
      <c r="E344" s="10" t="n">
        <v>640</v>
      </c>
      <c r="F344" s="10" t="s">
        <v>127</v>
      </c>
      <c r="G344" s="11" t="n">
        <v>0</v>
      </c>
      <c r="H344" s="11" t="n">
        <v>136.78</v>
      </c>
      <c r="I344" s="11" t="n">
        <v>0</v>
      </c>
      <c r="J344" s="11" t="n">
        <v>186.38</v>
      </c>
      <c r="K344" s="11" t="n">
        <v>0</v>
      </c>
      <c r="L344" s="11"/>
      <c r="M344" s="11"/>
      <c r="N344" s="11"/>
      <c r="O344" s="11"/>
      <c r="P344" s="11" t="n">
        <f aca="false">K344+SUM(L344:O344)</f>
        <v>0</v>
      </c>
      <c r="Q344" s="11" t="n">
        <v>0</v>
      </c>
      <c r="R344" s="12" t="e">
        <f aca="false">Q344/$P344</f>
        <v>#DIV/0!</v>
      </c>
      <c r="S344" s="11" t="n">
        <v>0</v>
      </c>
      <c r="T344" s="12" t="e">
        <f aca="false">S344/$P344</f>
        <v>#DIV/0!</v>
      </c>
      <c r="U344" s="11" t="n">
        <v>0</v>
      </c>
      <c r="V344" s="12" t="e">
        <f aca="false">U344/$P344</f>
        <v>#DIV/0!</v>
      </c>
      <c r="W344" s="11" t="n">
        <v>0</v>
      </c>
      <c r="X344" s="12" t="e">
        <f aca="false">W344/$P344</f>
        <v>#DIV/0!</v>
      </c>
      <c r="Y344" s="11" t="n">
        <v>0</v>
      </c>
      <c r="Z344" s="11" t="n">
        <v>0</v>
      </c>
    </row>
    <row r="345" customFormat="false" ht="12.8" hidden="false" customHeight="false" outlineLevel="0" collapsed="false">
      <c r="A345" s="1" t="n">
        <v>5</v>
      </c>
      <c r="B345" s="1" t="n">
        <v>2</v>
      </c>
      <c r="C345" s="1" t="n">
        <v>3</v>
      </c>
      <c r="D345" s="106" t="s">
        <v>21</v>
      </c>
      <c r="E345" s="32" t="n">
        <v>41</v>
      </c>
      <c r="F345" s="32" t="s">
        <v>23</v>
      </c>
      <c r="G345" s="33" t="n">
        <f aca="false">SUM(G341:G344)</f>
        <v>12376.7</v>
      </c>
      <c r="H345" s="33" t="n">
        <f aca="false">SUM(H341:H344)</f>
        <v>24737.91</v>
      </c>
      <c r="I345" s="33" t="n">
        <f aca="false">SUM(I341:I344)</f>
        <v>12395</v>
      </c>
      <c r="J345" s="33" t="n">
        <f aca="false">SUM(J341:J344)</f>
        <v>21017.53</v>
      </c>
      <c r="K345" s="33" t="n">
        <f aca="false">SUM(K341:K344)</f>
        <v>13821</v>
      </c>
      <c r="L345" s="33" t="n">
        <f aca="false">SUM(L341:L344)</f>
        <v>0</v>
      </c>
      <c r="M345" s="33" t="n">
        <f aca="false">SUM(M341:M344)</f>
        <v>0</v>
      </c>
      <c r="N345" s="33" t="n">
        <f aca="false">SUM(N341:N344)</f>
        <v>2000</v>
      </c>
      <c r="O345" s="33" t="n">
        <f aca="false">SUM(O341:O344)</f>
        <v>819</v>
      </c>
      <c r="P345" s="33" t="n">
        <f aca="false">SUM(P341:P344)</f>
        <v>16640</v>
      </c>
      <c r="Q345" s="33" t="n">
        <f aca="false">SUM(Q341:Q344)</f>
        <v>6810.65</v>
      </c>
      <c r="R345" s="34" t="n">
        <f aca="false">Q345/$P345</f>
        <v>0.409293870192308</v>
      </c>
      <c r="S345" s="33" t="n">
        <f aca="false">SUM(S341:S344)</f>
        <v>7348.45</v>
      </c>
      <c r="T345" s="34" t="n">
        <f aca="false">S345/$P345</f>
        <v>0.441613581730769</v>
      </c>
      <c r="U345" s="33" t="n">
        <f aca="false">SUM(U341:U344)</f>
        <v>10492.74</v>
      </c>
      <c r="V345" s="34" t="n">
        <f aca="false">U345/$P345</f>
        <v>0.630573317307692</v>
      </c>
      <c r="W345" s="33" t="n">
        <f aca="false">SUM(W341:W344)</f>
        <v>16640.71</v>
      </c>
      <c r="X345" s="34" t="n">
        <f aca="false">W345/$P345</f>
        <v>1.00004266826923</v>
      </c>
      <c r="Y345" s="33" t="n">
        <f aca="false">SUM(Y341:Y344)</f>
        <v>1834</v>
      </c>
      <c r="Z345" s="33" t="n">
        <f aca="false">SUM(Z341:Z344)</f>
        <v>0</v>
      </c>
    </row>
    <row r="346" customFormat="false" ht="12.8" hidden="false" customHeight="false" outlineLevel="0" collapsed="false">
      <c r="D346" s="107" t="s">
        <v>208</v>
      </c>
      <c r="E346" s="10" t="n">
        <v>640</v>
      </c>
      <c r="F346" s="10" t="s">
        <v>127</v>
      </c>
      <c r="G346" s="11" t="n">
        <v>0</v>
      </c>
      <c r="H346" s="11" t="n">
        <v>0</v>
      </c>
      <c r="I346" s="11" t="n">
        <v>0</v>
      </c>
      <c r="J346" s="11" t="n">
        <v>0</v>
      </c>
      <c r="K346" s="11" t="n">
        <v>180</v>
      </c>
      <c r="L346" s="11"/>
      <c r="M346" s="11"/>
      <c r="N346" s="11"/>
      <c r="O346" s="11" t="n">
        <v>179</v>
      </c>
      <c r="P346" s="11" t="n">
        <f aca="false">K346+SUM(L346:O346)</f>
        <v>359</v>
      </c>
      <c r="Q346" s="11" t="n">
        <v>0</v>
      </c>
      <c r="R346" s="12" t="n">
        <f aca="false">Q346/$P346</f>
        <v>0</v>
      </c>
      <c r="S346" s="11" t="n">
        <v>0</v>
      </c>
      <c r="T346" s="12" t="n">
        <f aca="false">S346/$P346</f>
        <v>0</v>
      </c>
      <c r="U346" s="11" t="n">
        <v>0</v>
      </c>
      <c r="V346" s="12" t="n">
        <f aca="false">U346/$P346</f>
        <v>0</v>
      </c>
      <c r="W346" s="11" t="n">
        <v>358.78</v>
      </c>
      <c r="X346" s="12" t="n">
        <f aca="false">W346/$P346</f>
        <v>0.999387186629526</v>
      </c>
      <c r="Y346" s="11" t="n">
        <f aca="false">K346</f>
        <v>180</v>
      </c>
      <c r="Z346" s="11" t="n">
        <v>0</v>
      </c>
    </row>
    <row r="347" customFormat="false" ht="12.8" hidden="false" customHeight="false" outlineLevel="0" collapsed="false">
      <c r="D347" s="106" t="s">
        <v>21</v>
      </c>
      <c r="E347" s="32" t="n">
        <v>72</v>
      </c>
      <c r="F347" s="32" t="s">
        <v>25</v>
      </c>
      <c r="G347" s="33" t="n">
        <f aca="false">SUM(G346:G346)</f>
        <v>0</v>
      </c>
      <c r="H347" s="33" t="n">
        <f aca="false">SUM(H346:H346)</f>
        <v>0</v>
      </c>
      <c r="I347" s="33" t="n">
        <f aca="false">SUM(I346:I346)</f>
        <v>0</v>
      </c>
      <c r="J347" s="33" t="n">
        <f aca="false">SUM(J346:J346)</f>
        <v>0</v>
      </c>
      <c r="K347" s="33" t="n">
        <f aca="false">SUM(K346:K346)</f>
        <v>180</v>
      </c>
      <c r="L347" s="33" t="n">
        <f aca="false">SUM(L346:L346)</f>
        <v>0</v>
      </c>
      <c r="M347" s="33" t="n">
        <f aca="false">SUM(M346:M346)</f>
        <v>0</v>
      </c>
      <c r="N347" s="33" t="n">
        <f aca="false">SUM(N346:N346)</f>
        <v>0</v>
      </c>
      <c r="O347" s="33" t="n">
        <f aca="false">SUM(O346:O346)</f>
        <v>179</v>
      </c>
      <c r="P347" s="33" t="n">
        <f aca="false">SUM(P346:P346)</f>
        <v>359</v>
      </c>
      <c r="Q347" s="33" t="n">
        <f aca="false">SUM(Q346:Q346)</f>
        <v>0</v>
      </c>
      <c r="R347" s="34" t="n">
        <f aca="false">Q347/$P347</f>
        <v>0</v>
      </c>
      <c r="S347" s="33" t="n">
        <f aca="false">SUM(S346:S346)</f>
        <v>0</v>
      </c>
      <c r="T347" s="34" t="n">
        <f aca="false">S347/$P347</f>
        <v>0</v>
      </c>
      <c r="U347" s="33" t="n">
        <f aca="false">SUM(U346:U346)</f>
        <v>0</v>
      </c>
      <c r="V347" s="34" t="n">
        <f aca="false">U347/$P347</f>
        <v>0</v>
      </c>
      <c r="W347" s="33" t="n">
        <f aca="false">SUM(W346:W346)</f>
        <v>358.78</v>
      </c>
      <c r="X347" s="34" t="n">
        <f aca="false">W347/$P347</f>
        <v>0.999387186629526</v>
      </c>
      <c r="Y347" s="33" t="n">
        <f aca="false">SUM(Y346:Y346)</f>
        <v>180</v>
      </c>
      <c r="Z347" s="33" t="n">
        <f aca="false">SUM(Z346:Z346)</f>
        <v>0</v>
      </c>
    </row>
    <row r="348" customFormat="false" ht="12.8" hidden="false" customHeight="false" outlineLevel="0" collapsed="false">
      <c r="D348" s="16"/>
      <c r="E348" s="17"/>
      <c r="F348" s="13" t="s">
        <v>119</v>
      </c>
      <c r="G348" s="14" t="n">
        <f aca="false">G340+G345+G347</f>
        <v>37616.62</v>
      </c>
      <c r="H348" s="14" t="n">
        <f aca="false">H340+H345+H347</f>
        <v>62644.21</v>
      </c>
      <c r="I348" s="14" t="n">
        <f aca="false">I340+I345+I347</f>
        <v>31417</v>
      </c>
      <c r="J348" s="14" t="n">
        <f aca="false">J340+J345+J347</f>
        <v>23700.46</v>
      </c>
      <c r="K348" s="14" t="n">
        <f aca="false">K340+K345+K347</f>
        <v>32487</v>
      </c>
      <c r="L348" s="14" t="n">
        <f aca="false">L340+L345+L347</f>
        <v>0</v>
      </c>
      <c r="M348" s="14" t="n">
        <f aca="false">M340+M345+M347</f>
        <v>0</v>
      </c>
      <c r="N348" s="14" t="n">
        <f aca="false">N340+N345+N347</f>
        <v>2000</v>
      </c>
      <c r="O348" s="14" t="n">
        <f aca="false">O340+O345+O347</f>
        <v>998</v>
      </c>
      <c r="P348" s="14" t="n">
        <f aca="false">P340+P345+P347</f>
        <v>35485</v>
      </c>
      <c r="Q348" s="14" t="n">
        <f aca="false">Q340+Q345+Q347</f>
        <v>7265</v>
      </c>
      <c r="R348" s="15" t="n">
        <f aca="false">Q348/$P348</f>
        <v>0.20473439481471</v>
      </c>
      <c r="S348" s="14" t="n">
        <f aca="false">S340+S345+S347</f>
        <v>13548.88</v>
      </c>
      <c r="T348" s="15" t="n">
        <f aca="false">S348/$P348</f>
        <v>0.381819923911512</v>
      </c>
      <c r="U348" s="14" t="n">
        <f aca="false">U340+U345+U347</f>
        <v>23624.3</v>
      </c>
      <c r="V348" s="15" t="n">
        <f aca="false">U348/$P348</f>
        <v>0.665754544173595</v>
      </c>
      <c r="W348" s="14" t="n">
        <f aca="false">W340+W345+W347</f>
        <v>32565.57</v>
      </c>
      <c r="X348" s="15" t="n">
        <f aca="false">W348/$P348</f>
        <v>0.917727772298154</v>
      </c>
      <c r="Y348" s="14" t="n">
        <f aca="false">Y340+Y345+Y347</f>
        <v>7628</v>
      </c>
      <c r="Z348" s="14" t="n">
        <f aca="false">Z340+Z345+Z347</f>
        <v>0</v>
      </c>
    </row>
    <row r="350" customFormat="false" ht="12.8" hidden="false" customHeight="false" outlineLevel="0" collapsed="false">
      <c r="D350" s="18" t="s">
        <v>211</v>
      </c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9"/>
      <c r="S350" s="18"/>
      <c r="T350" s="19"/>
      <c r="U350" s="18"/>
      <c r="V350" s="19"/>
      <c r="W350" s="18"/>
      <c r="X350" s="19"/>
      <c r="Y350" s="18"/>
      <c r="Z350" s="18"/>
    </row>
    <row r="351" customFormat="false" ht="12.8" hidden="false" customHeight="false" outlineLevel="0" collapsed="false">
      <c r="D351" s="6"/>
      <c r="E351" s="6"/>
      <c r="F351" s="6"/>
      <c r="G351" s="7" t="s">
        <v>1</v>
      </c>
      <c r="H351" s="7" t="s">
        <v>2</v>
      </c>
      <c r="I351" s="7" t="s">
        <v>3</v>
      </c>
      <c r="J351" s="7" t="s">
        <v>4</v>
      </c>
      <c r="K351" s="7" t="s">
        <v>5</v>
      </c>
      <c r="L351" s="7" t="s">
        <v>6</v>
      </c>
      <c r="M351" s="7" t="s">
        <v>7</v>
      </c>
      <c r="N351" s="7" t="s">
        <v>8</v>
      </c>
      <c r="O351" s="7" t="s">
        <v>9</v>
      </c>
      <c r="P351" s="7" t="s">
        <v>10</v>
      </c>
      <c r="Q351" s="7" t="s">
        <v>11</v>
      </c>
      <c r="R351" s="8" t="s">
        <v>12</v>
      </c>
      <c r="S351" s="7" t="s">
        <v>13</v>
      </c>
      <c r="T351" s="8" t="s">
        <v>14</v>
      </c>
      <c r="U351" s="7" t="s">
        <v>15</v>
      </c>
      <c r="V351" s="8" t="s">
        <v>16</v>
      </c>
      <c r="W351" s="7" t="s">
        <v>17</v>
      </c>
      <c r="X351" s="8" t="s">
        <v>18</v>
      </c>
      <c r="Y351" s="7" t="s">
        <v>19</v>
      </c>
      <c r="Z351" s="7" t="s">
        <v>20</v>
      </c>
    </row>
    <row r="352" customFormat="false" ht="12.8" hidden="false" customHeight="false" outlineLevel="0" collapsed="false">
      <c r="A352" s="1" t="n">
        <v>6</v>
      </c>
      <c r="D352" s="20" t="s">
        <v>21</v>
      </c>
      <c r="E352" s="21" t="n">
        <v>41</v>
      </c>
      <c r="F352" s="21" t="s">
        <v>23</v>
      </c>
      <c r="G352" s="22" t="n">
        <f aca="false">G358+G380+G415</f>
        <v>50038.47</v>
      </c>
      <c r="H352" s="22" t="n">
        <f aca="false">H358+H380+H415</f>
        <v>34403.53</v>
      </c>
      <c r="I352" s="22" t="n">
        <f aca="false">I358+I380+I415</f>
        <v>46590</v>
      </c>
      <c r="J352" s="22" t="n">
        <f aca="false">J358+J380+J415</f>
        <v>45905.89</v>
      </c>
      <c r="K352" s="22" t="n">
        <f aca="false">K358+K380+K415</f>
        <v>42583</v>
      </c>
      <c r="L352" s="22" t="n">
        <f aca="false">L358+L380+L415</f>
        <v>0</v>
      </c>
      <c r="M352" s="22" t="n">
        <f aca="false">M358+M380+M415</f>
        <v>-279</v>
      </c>
      <c r="N352" s="22" t="n">
        <f aca="false">N358+N380+N415</f>
        <v>50</v>
      </c>
      <c r="O352" s="22" t="n">
        <f aca="false">O358+O380+O415</f>
        <v>398</v>
      </c>
      <c r="P352" s="22" t="n">
        <f aca="false">P358+P380+P415</f>
        <v>42752</v>
      </c>
      <c r="Q352" s="22" t="n">
        <f aca="false">Q358+Q380+Q415</f>
        <v>13271.47</v>
      </c>
      <c r="R352" s="23" t="n">
        <f aca="false">Q352/$P352</f>
        <v>0.310429219685629</v>
      </c>
      <c r="S352" s="22" t="n">
        <f aca="false">S358+S380+S415</f>
        <v>21317.51</v>
      </c>
      <c r="T352" s="23" t="n">
        <f aca="false">S352/$P352</f>
        <v>0.498631876871258</v>
      </c>
      <c r="U352" s="22" t="n">
        <f aca="false">U358+U380+U415</f>
        <v>35717.06</v>
      </c>
      <c r="V352" s="23" t="n">
        <f aca="false">U352/$P352</f>
        <v>0.835447698353293</v>
      </c>
      <c r="W352" s="22" t="n">
        <f aca="false">W358+W380+W415</f>
        <v>42079.43</v>
      </c>
      <c r="X352" s="23" t="n">
        <f aca="false">W352/$P352</f>
        <v>0.984268104416168</v>
      </c>
      <c r="Y352" s="22" t="n">
        <f aca="false">Y358+Y380+Y415</f>
        <v>37683</v>
      </c>
      <c r="Z352" s="22" t="n">
        <f aca="false">Z358+Z380+Z415</f>
        <v>37683</v>
      </c>
    </row>
    <row r="353" customFormat="false" ht="12.8" hidden="false" customHeight="false" outlineLevel="0" collapsed="false">
      <c r="D353" s="16"/>
      <c r="E353" s="17"/>
      <c r="F353" s="24" t="s">
        <v>119</v>
      </c>
      <c r="G353" s="25" t="n">
        <f aca="false">SUM(G352:G352)</f>
        <v>50038.47</v>
      </c>
      <c r="H353" s="25" t="n">
        <f aca="false">SUM(H352:H352)</f>
        <v>34403.53</v>
      </c>
      <c r="I353" s="25" t="n">
        <f aca="false">SUM(I352:I352)</f>
        <v>46590</v>
      </c>
      <c r="J353" s="25" t="n">
        <f aca="false">SUM(J352:J352)</f>
        <v>45905.89</v>
      </c>
      <c r="K353" s="25" t="n">
        <f aca="false">SUM(K352:K352)</f>
        <v>42583</v>
      </c>
      <c r="L353" s="25" t="n">
        <f aca="false">SUM(L352:L352)</f>
        <v>0</v>
      </c>
      <c r="M353" s="25" t="n">
        <f aca="false">SUM(M352:M352)</f>
        <v>-279</v>
      </c>
      <c r="N353" s="25" t="n">
        <f aca="false">SUM(N352:N352)</f>
        <v>50</v>
      </c>
      <c r="O353" s="25" t="n">
        <f aca="false">SUM(O352:O352)</f>
        <v>398</v>
      </c>
      <c r="P353" s="25" t="n">
        <f aca="false">SUM(P352:P352)</f>
        <v>42752</v>
      </c>
      <c r="Q353" s="25" t="n">
        <f aca="false">SUM(Q352:Q352)</f>
        <v>13271.47</v>
      </c>
      <c r="R353" s="26" t="n">
        <f aca="false">Q353/$P353</f>
        <v>0.310429219685629</v>
      </c>
      <c r="S353" s="25" t="n">
        <f aca="false">SUM(S352:S352)</f>
        <v>21317.51</v>
      </c>
      <c r="T353" s="26" t="n">
        <f aca="false">S353/$P353</f>
        <v>0.498631876871258</v>
      </c>
      <c r="U353" s="25" t="n">
        <f aca="false">SUM(U352:U352)</f>
        <v>35717.06</v>
      </c>
      <c r="V353" s="26" t="n">
        <f aca="false">U353/$P353</f>
        <v>0.835447698353293</v>
      </c>
      <c r="W353" s="25" t="n">
        <f aca="false">SUM(W352:W352)</f>
        <v>42079.43</v>
      </c>
      <c r="X353" s="26" t="n">
        <f aca="false">W353/$P353</f>
        <v>0.984268104416168</v>
      </c>
      <c r="Y353" s="25" t="n">
        <f aca="false">SUM(Y352:Y352)</f>
        <v>37683</v>
      </c>
      <c r="Z353" s="25" t="n">
        <f aca="false">SUM(Z352:Z352)</f>
        <v>37683</v>
      </c>
    </row>
    <row r="355" customFormat="false" ht="12.8" hidden="false" customHeight="false" outlineLevel="0" collapsed="false">
      <c r="D355" s="27" t="s">
        <v>212</v>
      </c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8"/>
      <c r="S355" s="27"/>
      <c r="T355" s="28"/>
      <c r="U355" s="27"/>
      <c r="V355" s="28"/>
      <c r="W355" s="27"/>
      <c r="X355" s="28"/>
      <c r="Y355" s="27"/>
      <c r="Z355" s="27"/>
    </row>
    <row r="356" customFormat="false" ht="12.8" hidden="false" customHeight="false" outlineLevel="0" collapsed="false">
      <c r="D356" s="103"/>
      <c r="E356" s="103"/>
      <c r="F356" s="103"/>
      <c r="G356" s="7" t="s">
        <v>1</v>
      </c>
      <c r="H356" s="7" t="s">
        <v>2</v>
      </c>
      <c r="I356" s="7" t="s">
        <v>3</v>
      </c>
      <c r="J356" s="7" t="s">
        <v>4</v>
      </c>
      <c r="K356" s="7" t="s">
        <v>5</v>
      </c>
      <c r="L356" s="7" t="s">
        <v>6</v>
      </c>
      <c r="M356" s="7" t="s">
        <v>7</v>
      </c>
      <c r="N356" s="7" t="s">
        <v>8</v>
      </c>
      <c r="O356" s="7" t="s">
        <v>9</v>
      </c>
      <c r="P356" s="7" t="s">
        <v>10</v>
      </c>
      <c r="Q356" s="7" t="s">
        <v>11</v>
      </c>
      <c r="R356" s="8" t="s">
        <v>12</v>
      </c>
      <c r="S356" s="7" t="s">
        <v>13</v>
      </c>
      <c r="T356" s="8" t="s">
        <v>14</v>
      </c>
      <c r="U356" s="7" t="s">
        <v>15</v>
      </c>
      <c r="V356" s="8" t="s">
        <v>16</v>
      </c>
      <c r="W356" s="7" t="s">
        <v>17</v>
      </c>
      <c r="X356" s="8" t="s">
        <v>18</v>
      </c>
      <c r="Y356" s="7" t="s">
        <v>19</v>
      </c>
      <c r="Z356" s="7" t="s">
        <v>20</v>
      </c>
    </row>
    <row r="357" customFormat="false" ht="12.8" hidden="false" customHeight="false" outlineLevel="0" collapsed="false">
      <c r="A357" s="1" t="n">
        <v>6</v>
      </c>
      <c r="B357" s="1" t="n">
        <v>1</v>
      </c>
      <c r="D357" s="29" t="s">
        <v>21</v>
      </c>
      <c r="E357" s="10" t="n">
        <v>41</v>
      </c>
      <c r="F357" s="10" t="s">
        <v>23</v>
      </c>
      <c r="G357" s="11" t="n">
        <f aca="false">G366+G371</f>
        <v>23164.29</v>
      </c>
      <c r="H357" s="11" t="n">
        <f aca="false">H366+H371</f>
        <v>10380.96</v>
      </c>
      <c r="I357" s="11" t="n">
        <f aca="false">I366+I371</f>
        <v>9159</v>
      </c>
      <c r="J357" s="11" t="n">
        <f aca="false">J366+J371</f>
        <v>8284.26</v>
      </c>
      <c r="K357" s="11" t="n">
        <f aca="false">K366+K371</f>
        <v>9240</v>
      </c>
      <c r="L357" s="11" t="n">
        <f aca="false">L366+L371</f>
        <v>0</v>
      </c>
      <c r="M357" s="11" t="n">
        <f aca="false">M366+M371</f>
        <v>0</v>
      </c>
      <c r="N357" s="11" t="n">
        <f aca="false">N366+N371</f>
        <v>50</v>
      </c>
      <c r="O357" s="11" t="n">
        <f aca="false">O366+O371</f>
        <v>0</v>
      </c>
      <c r="P357" s="11" t="n">
        <f aca="false">P366+P371</f>
        <v>9290</v>
      </c>
      <c r="Q357" s="11" t="n">
        <f aca="false">Q366+Q371</f>
        <v>6906</v>
      </c>
      <c r="R357" s="12" t="n">
        <f aca="false">Q357/$P357</f>
        <v>0.743379978471475</v>
      </c>
      <c r="S357" s="11" t="n">
        <f aca="false">S366+S371</f>
        <v>8395.48</v>
      </c>
      <c r="T357" s="12" t="n">
        <f aca="false">S357/$P357</f>
        <v>0.903711517761033</v>
      </c>
      <c r="U357" s="11" t="n">
        <f aca="false">U366+U371</f>
        <v>9133.69</v>
      </c>
      <c r="V357" s="12" t="n">
        <f aca="false">U357/$P357</f>
        <v>0.983174381054898</v>
      </c>
      <c r="W357" s="11" t="n">
        <f aca="false">W366+W371</f>
        <v>9275.47</v>
      </c>
      <c r="X357" s="12" t="n">
        <f aca="false">W357/$P357</f>
        <v>0.998435952637244</v>
      </c>
      <c r="Y357" s="11" t="n">
        <f aca="false">Y366+Y371</f>
        <v>9240</v>
      </c>
      <c r="Z357" s="11" t="n">
        <f aca="false">Z366+Z371</f>
        <v>9240</v>
      </c>
    </row>
    <row r="358" customFormat="false" ht="12.8" hidden="false" customHeight="false" outlineLevel="0" collapsed="false">
      <c r="A358" s="1" t="n">
        <v>6</v>
      </c>
      <c r="B358" s="1" t="n">
        <v>1</v>
      </c>
      <c r="D358" s="16"/>
      <c r="E358" s="17"/>
      <c r="F358" s="13" t="s">
        <v>119</v>
      </c>
      <c r="G358" s="14" t="n">
        <f aca="false">SUM(G357:G357)</f>
        <v>23164.29</v>
      </c>
      <c r="H358" s="14" t="n">
        <f aca="false">SUM(H357:H357)</f>
        <v>10380.96</v>
      </c>
      <c r="I358" s="14" t="n">
        <f aca="false">SUM(I357:I357)</f>
        <v>9159</v>
      </c>
      <c r="J358" s="14" t="n">
        <f aca="false">SUM(J357:J357)</f>
        <v>8284.26</v>
      </c>
      <c r="K358" s="14" t="n">
        <f aca="false">SUM(K357:K357)</f>
        <v>9240</v>
      </c>
      <c r="L358" s="14" t="n">
        <f aca="false">SUM(L357:L357)</f>
        <v>0</v>
      </c>
      <c r="M358" s="14" t="n">
        <f aca="false">SUM(M357:M357)</f>
        <v>0</v>
      </c>
      <c r="N358" s="14" t="n">
        <f aca="false">SUM(N357:N357)</f>
        <v>50</v>
      </c>
      <c r="O358" s="14" t="n">
        <f aca="false">SUM(O357:O357)</f>
        <v>0</v>
      </c>
      <c r="P358" s="14" t="n">
        <f aca="false">SUM(P357:P357)</f>
        <v>9290</v>
      </c>
      <c r="Q358" s="14" t="n">
        <f aca="false">SUM(Q357:Q357)</f>
        <v>6906</v>
      </c>
      <c r="R358" s="15" t="n">
        <f aca="false">Q358/$P358</f>
        <v>0.743379978471475</v>
      </c>
      <c r="S358" s="14" t="n">
        <f aca="false">SUM(S357:S357)</f>
        <v>8395.48</v>
      </c>
      <c r="T358" s="15" t="n">
        <f aca="false">S358/$P358</f>
        <v>0.903711517761033</v>
      </c>
      <c r="U358" s="14" t="n">
        <f aca="false">SUM(U357:U357)</f>
        <v>9133.69</v>
      </c>
      <c r="V358" s="15" t="n">
        <f aca="false">U358/$P358</f>
        <v>0.983174381054898</v>
      </c>
      <c r="W358" s="14" t="n">
        <f aca="false">SUM(W357:W357)</f>
        <v>9275.47</v>
      </c>
      <c r="X358" s="15" t="n">
        <f aca="false">W358/$P358</f>
        <v>0.998435952637244</v>
      </c>
      <c r="Y358" s="14" t="n">
        <f aca="false">SUM(Y357:Y357)</f>
        <v>9240</v>
      </c>
      <c r="Z358" s="14" t="n">
        <f aca="false">SUM(Z357:Z357)</f>
        <v>9240</v>
      </c>
    </row>
    <row r="360" customFormat="false" ht="12.8" hidden="false" customHeight="false" outlineLevel="0" collapsed="false">
      <c r="D360" s="63" t="s">
        <v>213</v>
      </c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4"/>
      <c r="S360" s="63"/>
      <c r="T360" s="64"/>
      <c r="U360" s="63"/>
      <c r="V360" s="64"/>
      <c r="W360" s="63"/>
      <c r="X360" s="64"/>
      <c r="Y360" s="63"/>
      <c r="Z360" s="63"/>
    </row>
    <row r="361" customFormat="false" ht="12.8" hidden="false" customHeight="false" outlineLevel="0" collapsed="false">
      <c r="D361" s="7" t="s">
        <v>33</v>
      </c>
      <c r="E361" s="7" t="s">
        <v>34</v>
      </c>
      <c r="F361" s="7" t="s">
        <v>35</v>
      </c>
      <c r="G361" s="7" t="s">
        <v>1</v>
      </c>
      <c r="H361" s="7" t="s">
        <v>2</v>
      </c>
      <c r="I361" s="7" t="s">
        <v>3</v>
      </c>
      <c r="J361" s="7" t="s">
        <v>4</v>
      </c>
      <c r="K361" s="7" t="s">
        <v>5</v>
      </c>
      <c r="L361" s="7" t="s">
        <v>6</v>
      </c>
      <c r="M361" s="7" t="s">
        <v>7</v>
      </c>
      <c r="N361" s="7" t="s">
        <v>8</v>
      </c>
      <c r="O361" s="7" t="s">
        <v>9</v>
      </c>
      <c r="P361" s="7" t="s">
        <v>10</v>
      </c>
      <c r="Q361" s="7" t="s">
        <v>11</v>
      </c>
      <c r="R361" s="8" t="s">
        <v>12</v>
      </c>
      <c r="S361" s="7" t="s">
        <v>13</v>
      </c>
      <c r="T361" s="8" t="s">
        <v>14</v>
      </c>
      <c r="U361" s="7" t="s">
        <v>15</v>
      </c>
      <c r="V361" s="8" t="s">
        <v>16</v>
      </c>
      <c r="W361" s="7" t="s">
        <v>17</v>
      </c>
      <c r="X361" s="8" t="s">
        <v>18</v>
      </c>
      <c r="Y361" s="7" t="s">
        <v>19</v>
      </c>
      <c r="Z361" s="7" t="s">
        <v>20</v>
      </c>
    </row>
    <row r="362" customFormat="false" ht="12.8" hidden="true" customHeight="false" outlineLevel="0" collapsed="false">
      <c r="A362" s="1" t="n">
        <v>6</v>
      </c>
      <c r="B362" s="1" t="n">
        <v>1</v>
      </c>
      <c r="C362" s="1" t="n">
        <v>1</v>
      </c>
      <c r="D362" s="36" t="s">
        <v>214</v>
      </c>
      <c r="E362" s="10" t="n">
        <v>610</v>
      </c>
      <c r="F362" s="10" t="s">
        <v>124</v>
      </c>
      <c r="G362" s="11" t="n">
        <v>2414.62</v>
      </c>
      <c r="H362" s="11" t="n">
        <v>0</v>
      </c>
      <c r="I362" s="11" t="n">
        <v>0</v>
      </c>
      <c r="J362" s="11" t="n">
        <v>0</v>
      </c>
      <c r="K362" s="11" t="n">
        <v>0</v>
      </c>
      <c r="L362" s="11"/>
      <c r="M362" s="11"/>
      <c r="N362" s="11"/>
      <c r="O362" s="11"/>
      <c r="P362" s="11" t="n">
        <f aca="false">K362+SUM(L362:O362)</f>
        <v>0</v>
      </c>
      <c r="Q362" s="11" t="n">
        <v>0</v>
      </c>
      <c r="R362" s="12" t="e">
        <f aca="false">Q362/$P362</f>
        <v>#DIV/0!</v>
      </c>
      <c r="S362" s="11" t="n">
        <v>0</v>
      </c>
      <c r="T362" s="12" t="e">
        <f aca="false">S362/$P362</f>
        <v>#DIV/0!</v>
      </c>
      <c r="U362" s="11" t="n">
        <v>0</v>
      </c>
      <c r="V362" s="12" t="e">
        <f aca="false">U362/$P362</f>
        <v>#DIV/0!</v>
      </c>
      <c r="W362" s="11" t="n">
        <v>0</v>
      </c>
      <c r="X362" s="12" t="e">
        <f aca="false">W362/$P362</f>
        <v>#DIV/0!</v>
      </c>
      <c r="Y362" s="11" t="n">
        <f aca="false">I362</f>
        <v>0</v>
      </c>
      <c r="Z362" s="11" t="n">
        <f aca="false">Y362</f>
        <v>0</v>
      </c>
    </row>
    <row r="363" customFormat="false" ht="12.8" hidden="true" customHeight="false" outlineLevel="0" collapsed="false">
      <c r="A363" s="1" t="n">
        <v>6</v>
      </c>
      <c r="B363" s="1" t="n">
        <v>1</v>
      </c>
      <c r="C363" s="1" t="n">
        <v>1</v>
      </c>
      <c r="E363" s="10" t="n">
        <v>620</v>
      </c>
      <c r="F363" s="10" t="s">
        <v>125</v>
      </c>
      <c r="G363" s="11" t="n">
        <v>1550.51</v>
      </c>
      <c r="H363" s="11" t="n">
        <v>108.36</v>
      </c>
      <c r="I363" s="11" t="n">
        <v>0</v>
      </c>
      <c r="J363" s="11" t="n">
        <v>0</v>
      </c>
      <c r="K363" s="11" t="n">
        <v>0</v>
      </c>
      <c r="L363" s="11"/>
      <c r="M363" s="11"/>
      <c r="N363" s="11"/>
      <c r="O363" s="11"/>
      <c r="P363" s="11" t="n">
        <f aca="false">K363+SUM(L363:O363)</f>
        <v>0</v>
      </c>
      <c r="Q363" s="11" t="n">
        <v>0</v>
      </c>
      <c r="R363" s="12" t="e">
        <f aca="false">Q363/$P363</f>
        <v>#DIV/0!</v>
      </c>
      <c r="S363" s="11" t="n">
        <v>0</v>
      </c>
      <c r="T363" s="12" t="e">
        <f aca="false">S363/$P363</f>
        <v>#DIV/0!</v>
      </c>
      <c r="U363" s="11" t="n">
        <v>0</v>
      </c>
      <c r="V363" s="12" t="e">
        <f aca="false">U363/$P363</f>
        <v>#DIV/0!</v>
      </c>
      <c r="W363" s="11" t="n">
        <v>0</v>
      </c>
      <c r="X363" s="12" t="e">
        <f aca="false">W363/$P363</f>
        <v>#DIV/0!</v>
      </c>
      <c r="Y363" s="11" t="n">
        <f aca="false">I363</f>
        <v>0</v>
      </c>
      <c r="Z363" s="11" t="n">
        <f aca="false">Y363</f>
        <v>0</v>
      </c>
    </row>
    <row r="364" customFormat="false" ht="12.8" hidden="false" customHeight="false" outlineLevel="0" collapsed="false">
      <c r="A364" s="1" t="n">
        <v>6</v>
      </c>
      <c r="B364" s="1" t="n">
        <v>1</v>
      </c>
      <c r="C364" s="1" t="n">
        <v>1</v>
      </c>
      <c r="D364" s="36" t="s">
        <v>214</v>
      </c>
      <c r="E364" s="10" t="n">
        <v>630</v>
      </c>
      <c r="F364" s="10" t="s">
        <v>126</v>
      </c>
      <c r="G364" s="11" t="n">
        <v>14318.22</v>
      </c>
      <c r="H364" s="11" t="n">
        <v>4964.81</v>
      </c>
      <c r="I364" s="11" t="n">
        <v>3109</v>
      </c>
      <c r="J364" s="11" t="n">
        <v>2234.26</v>
      </c>
      <c r="K364" s="11" t="n">
        <v>2240</v>
      </c>
      <c r="L364" s="11"/>
      <c r="M364" s="11"/>
      <c r="N364" s="11" t="n">
        <v>50</v>
      </c>
      <c r="O364" s="11"/>
      <c r="P364" s="11" t="n">
        <f aca="false">K364+SUM(L364:O364)</f>
        <v>2290</v>
      </c>
      <c r="Q364" s="11" t="n">
        <v>506</v>
      </c>
      <c r="R364" s="12" t="n">
        <f aca="false">Q364/$P364</f>
        <v>0.220960698689956</v>
      </c>
      <c r="S364" s="11" t="n">
        <v>1995.48</v>
      </c>
      <c r="T364" s="12" t="n">
        <f aca="false">S364/$P364</f>
        <v>0.87138864628821</v>
      </c>
      <c r="U364" s="11" t="n">
        <v>2133.69</v>
      </c>
      <c r="V364" s="12" t="n">
        <f aca="false">U364/$P364</f>
        <v>0.931742358078603</v>
      </c>
      <c r="W364" s="11" t="n">
        <v>2275.47</v>
      </c>
      <c r="X364" s="12" t="n">
        <f aca="false">W364/$P364</f>
        <v>0.993655021834061</v>
      </c>
      <c r="Y364" s="11" t="n">
        <f aca="false">K364</f>
        <v>2240</v>
      </c>
      <c r="Z364" s="11" t="n">
        <f aca="false">Y364</f>
        <v>2240</v>
      </c>
    </row>
    <row r="365" customFormat="false" ht="12.8" hidden="false" customHeight="false" outlineLevel="0" collapsed="false">
      <c r="A365" s="1" t="n">
        <v>6</v>
      </c>
      <c r="B365" s="1" t="n">
        <v>1</v>
      </c>
      <c r="C365" s="1" t="n">
        <v>1</v>
      </c>
      <c r="D365" s="36"/>
      <c r="E365" s="10" t="n">
        <v>640</v>
      </c>
      <c r="F365" s="10" t="s">
        <v>127</v>
      </c>
      <c r="G365" s="11" t="n">
        <v>1421.96</v>
      </c>
      <c r="H365" s="11" t="n">
        <v>3117.79</v>
      </c>
      <c r="I365" s="11" t="n">
        <v>4200</v>
      </c>
      <c r="J365" s="11" t="n">
        <v>4200</v>
      </c>
      <c r="K365" s="11" t="n">
        <v>5800</v>
      </c>
      <c r="L365" s="11"/>
      <c r="M365" s="11"/>
      <c r="N365" s="11"/>
      <c r="O365" s="11"/>
      <c r="P365" s="11" t="n">
        <f aca="false">K365+SUM(L365:O365)</f>
        <v>5800</v>
      </c>
      <c r="Q365" s="11" t="n">
        <v>5800</v>
      </c>
      <c r="R365" s="12" t="n">
        <f aca="false">Q365/$P365</f>
        <v>1</v>
      </c>
      <c r="S365" s="11" t="n">
        <v>5800</v>
      </c>
      <c r="T365" s="12" t="n">
        <f aca="false">S365/$P365</f>
        <v>1</v>
      </c>
      <c r="U365" s="11" t="n">
        <v>5800</v>
      </c>
      <c r="V365" s="12" t="n">
        <f aca="false">U365/$P365</f>
        <v>1</v>
      </c>
      <c r="W365" s="11" t="n">
        <v>5800</v>
      </c>
      <c r="X365" s="12" t="n">
        <f aca="false">W365/$P365</f>
        <v>1</v>
      </c>
      <c r="Y365" s="11" t="n">
        <f aca="false">K365</f>
        <v>5800</v>
      </c>
      <c r="Z365" s="11" t="n">
        <f aca="false">Y365</f>
        <v>5800</v>
      </c>
    </row>
    <row r="366" customFormat="false" ht="12.8" hidden="false" customHeight="false" outlineLevel="0" collapsed="false">
      <c r="A366" s="1" t="n">
        <v>6</v>
      </c>
      <c r="B366" s="1" t="n">
        <v>1</v>
      </c>
      <c r="C366" s="1" t="n">
        <v>1</v>
      </c>
      <c r="D366" s="70" t="s">
        <v>21</v>
      </c>
      <c r="E366" s="13" t="n">
        <v>41</v>
      </c>
      <c r="F366" s="13" t="s">
        <v>23</v>
      </c>
      <c r="G366" s="14" t="n">
        <f aca="false">SUM(G362:G365)</f>
        <v>19705.31</v>
      </c>
      <c r="H366" s="14" t="n">
        <f aca="false">SUM(H362:H365)</f>
        <v>8190.96</v>
      </c>
      <c r="I366" s="14" t="n">
        <f aca="false">SUM(I362:I365)</f>
        <v>7309</v>
      </c>
      <c r="J366" s="14" t="n">
        <f aca="false">SUM(J362:J365)</f>
        <v>6434.26</v>
      </c>
      <c r="K366" s="14" t="n">
        <f aca="false">SUM(K362:K365)</f>
        <v>8040</v>
      </c>
      <c r="L366" s="14" t="n">
        <f aca="false">SUM(L362:L365)</f>
        <v>0</v>
      </c>
      <c r="M366" s="14" t="n">
        <f aca="false">SUM(M362:M365)</f>
        <v>0</v>
      </c>
      <c r="N366" s="14" t="n">
        <f aca="false">SUM(N362:N365)</f>
        <v>50</v>
      </c>
      <c r="O366" s="14" t="n">
        <f aca="false">SUM(O362:O365)</f>
        <v>0</v>
      </c>
      <c r="P366" s="14" t="n">
        <f aca="false">SUM(P362:P365)</f>
        <v>8090</v>
      </c>
      <c r="Q366" s="14" t="n">
        <f aca="false">SUM(Q362:Q365)</f>
        <v>6306</v>
      </c>
      <c r="R366" s="15" t="n">
        <f aca="false">Q366/$P366</f>
        <v>0.779480840543881</v>
      </c>
      <c r="S366" s="14" t="n">
        <f aca="false">SUM(S362:S365)</f>
        <v>7795.48</v>
      </c>
      <c r="T366" s="15" t="n">
        <f aca="false">S366/$P366</f>
        <v>0.96359456118665</v>
      </c>
      <c r="U366" s="14" t="n">
        <f aca="false">SUM(U362:U365)</f>
        <v>7933.69</v>
      </c>
      <c r="V366" s="15" t="n">
        <f aca="false">U366/$P366</f>
        <v>0.980678615574784</v>
      </c>
      <c r="W366" s="14" t="n">
        <f aca="false">SUM(W362:W365)</f>
        <v>8075.47</v>
      </c>
      <c r="X366" s="15" t="n">
        <f aca="false">W366/$P366</f>
        <v>0.998203955500618</v>
      </c>
      <c r="Y366" s="14" t="n">
        <f aca="false">SUM(Y362:Y365)</f>
        <v>8040</v>
      </c>
      <c r="Z366" s="14" t="n">
        <f aca="false">SUM(Z362:Z365)</f>
        <v>8040</v>
      </c>
    </row>
    <row r="368" customFormat="false" ht="12.8" hidden="false" customHeight="false" outlineLevel="0" collapsed="false">
      <c r="D368" s="63" t="s">
        <v>215</v>
      </c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4"/>
      <c r="S368" s="63"/>
      <c r="T368" s="64"/>
      <c r="U368" s="63"/>
      <c r="V368" s="64"/>
      <c r="W368" s="63"/>
      <c r="X368" s="64"/>
      <c r="Y368" s="63"/>
      <c r="Z368" s="63"/>
    </row>
    <row r="369" customFormat="false" ht="12.8" hidden="false" customHeight="false" outlineLevel="0" collapsed="false">
      <c r="D369" s="7" t="s">
        <v>33</v>
      </c>
      <c r="E369" s="7" t="s">
        <v>34</v>
      </c>
      <c r="F369" s="7" t="s">
        <v>35</v>
      </c>
      <c r="G369" s="7" t="s">
        <v>1</v>
      </c>
      <c r="H369" s="7" t="s">
        <v>2</v>
      </c>
      <c r="I369" s="7" t="s">
        <v>3</v>
      </c>
      <c r="J369" s="7" t="s">
        <v>4</v>
      </c>
      <c r="K369" s="7" t="s">
        <v>5</v>
      </c>
      <c r="L369" s="7" t="s">
        <v>6</v>
      </c>
      <c r="M369" s="7" t="s">
        <v>7</v>
      </c>
      <c r="N369" s="7" t="s">
        <v>8</v>
      </c>
      <c r="O369" s="7" t="s">
        <v>9</v>
      </c>
      <c r="P369" s="7" t="s">
        <v>10</v>
      </c>
      <c r="Q369" s="7" t="s">
        <v>11</v>
      </c>
      <c r="R369" s="8" t="s">
        <v>12</v>
      </c>
      <c r="S369" s="7" t="s">
        <v>13</v>
      </c>
      <c r="T369" s="8" t="s">
        <v>14</v>
      </c>
      <c r="U369" s="7" t="s">
        <v>15</v>
      </c>
      <c r="V369" s="8" t="s">
        <v>16</v>
      </c>
      <c r="W369" s="7" t="s">
        <v>17</v>
      </c>
      <c r="X369" s="8" t="s">
        <v>18</v>
      </c>
      <c r="Y369" s="7" t="s">
        <v>19</v>
      </c>
      <c r="Z369" s="7" t="s">
        <v>20</v>
      </c>
    </row>
    <row r="370" customFormat="false" ht="12.8" hidden="false" customHeight="false" outlineLevel="0" collapsed="false">
      <c r="A370" s="1" t="n">
        <v>6</v>
      </c>
      <c r="B370" s="1" t="n">
        <v>1</v>
      </c>
      <c r="C370" s="1" t="n">
        <v>2</v>
      </c>
      <c r="D370" s="36" t="s">
        <v>214</v>
      </c>
      <c r="E370" s="10" t="n">
        <v>640</v>
      </c>
      <c r="F370" s="10" t="s">
        <v>127</v>
      </c>
      <c r="G370" s="11" t="n">
        <v>3458.98</v>
      </c>
      <c r="H370" s="11" t="n">
        <v>2190</v>
      </c>
      <c r="I370" s="11" t="n">
        <v>1850</v>
      </c>
      <c r="J370" s="11" t="n">
        <v>1850</v>
      </c>
      <c r="K370" s="11" t="n">
        <v>1200</v>
      </c>
      <c r="L370" s="11"/>
      <c r="M370" s="11"/>
      <c r="N370" s="11"/>
      <c r="O370" s="11"/>
      <c r="P370" s="11" t="n">
        <f aca="false">K370+SUM(L370:O370)</f>
        <v>1200</v>
      </c>
      <c r="Q370" s="11" t="n">
        <v>600</v>
      </c>
      <c r="R370" s="12" t="n">
        <f aca="false">Q370/$P370</f>
        <v>0.5</v>
      </c>
      <c r="S370" s="11" t="n">
        <v>600</v>
      </c>
      <c r="T370" s="12" t="n">
        <f aca="false">S370/$P370</f>
        <v>0.5</v>
      </c>
      <c r="U370" s="11" t="n">
        <v>1200</v>
      </c>
      <c r="V370" s="12" t="n">
        <f aca="false">U370/$P370</f>
        <v>1</v>
      </c>
      <c r="W370" s="11" t="n">
        <v>1200</v>
      </c>
      <c r="X370" s="12" t="n">
        <f aca="false">W370/$P370</f>
        <v>1</v>
      </c>
      <c r="Y370" s="11" t="n">
        <v>1200</v>
      </c>
      <c r="Z370" s="11" t="n">
        <f aca="false">Y370</f>
        <v>1200</v>
      </c>
    </row>
    <row r="371" customFormat="false" ht="12.8" hidden="false" customHeight="false" outlineLevel="0" collapsed="false">
      <c r="A371" s="1" t="n">
        <v>6</v>
      </c>
      <c r="B371" s="1" t="n">
        <v>1</v>
      </c>
      <c r="C371" s="1" t="n">
        <v>2</v>
      </c>
      <c r="D371" s="70" t="s">
        <v>21</v>
      </c>
      <c r="E371" s="13" t="n">
        <v>41</v>
      </c>
      <c r="F371" s="13" t="s">
        <v>23</v>
      </c>
      <c r="G371" s="14" t="n">
        <f aca="false">SUM(G370:G370)</f>
        <v>3458.98</v>
      </c>
      <c r="H371" s="14" t="n">
        <f aca="false">SUM(H370:H370)</f>
        <v>2190</v>
      </c>
      <c r="I371" s="14" t="n">
        <f aca="false">SUM(I370:I370)</f>
        <v>1850</v>
      </c>
      <c r="J371" s="14" t="n">
        <f aca="false">SUM(J370:J370)</f>
        <v>1850</v>
      </c>
      <c r="K371" s="14" t="n">
        <f aca="false">SUM(K370:K370)</f>
        <v>1200</v>
      </c>
      <c r="L371" s="14" t="n">
        <f aca="false">SUM(L370:L370)</f>
        <v>0</v>
      </c>
      <c r="M371" s="14" t="n">
        <f aca="false">SUM(M370:M370)</f>
        <v>0</v>
      </c>
      <c r="N371" s="14" t="n">
        <f aca="false">SUM(N370:N370)</f>
        <v>0</v>
      </c>
      <c r="O371" s="14" t="n">
        <f aca="false">SUM(O370:O370)</f>
        <v>0</v>
      </c>
      <c r="P371" s="14" t="n">
        <f aca="false">SUM(P370:P370)</f>
        <v>1200</v>
      </c>
      <c r="Q371" s="14" t="n">
        <f aca="false">SUM(Q370:Q370)</f>
        <v>600</v>
      </c>
      <c r="R371" s="15" t="n">
        <f aca="false">Q371/$P371</f>
        <v>0.5</v>
      </c>
      <c r="S371" s="14" t="n">
        <f aca="false">SUM(S370:S370)</f>
        <v>600</v>
      </c>
      <c r="T371" s="15" t="n">
        <f aca="false">S371/$P371</f>
        <v>0.5</v>
      </c>
      <c r="U371" s="14" t="n">
        <f aca="false">SUM(U370:U370)</f>
        <v>1200</v>
      </c>
      <c r="V371" s="15" t="n">
        <f aca="false">U371/$P371</f>
        <v>1</v>
      </c>
      <c r="W371" s="14" t="n">
        <f aca="false">SUM(W370:W370)</f>
        <v>1200</v>
      </c>
      <c r="X371" s="15" t="n">
        <f aca="false">W371/$P371</f>
        <v>1</v>
      </c>
      <c r="Y371" s="14" t="n">
        <f aca="false">SUM(Y370:Y370)</f>
        <v>1200</v>
      </c>
      <c r="Z371" s="14" t="n">
        <f aca="false">SUM(Z370:Z370)</f>
        <v>1200</v>
      </c>
    </row>
    <row r="373" customFormat="false" ht="12.8" hidden="false" customHeight="false" outlineLevel="0" collapsed="false">
      <c r="E373" s="82" t="s">
        <v>57</v>
      </c>
      <c r="F373" s="83" t="s">
        <v>216</v>
      </c>
      <c r="G373" s="84" t="n">
        <v>1558.98</v>
      </c>
      <c r="H373" s="84" t="n">
        <v>1100</v>
      </c>
      <c r="I373" s="84" t="n">
        <v>1000</v>
      </c>
      <c r="J373" s="84" t="n">
        <v>1000</v>
      </c>
      <c r="K373" s="84" t="n">
        <v>1200</v>
      </c>
      <c r="L373" s="84"/>
      <c r="M373" s="84"/>
      <c r="N373" s="84"/>
      <c r="O373" s="84"/>
      <c r="P373" s="84" t="n">
        <f aca="false">K373+SUM(L373:O373)</f>
        <v>1200</v>
      </c>
      <c r="Q373" s="84" t="n">
        <v>600</v>
      </c>
      <c r="R373" s="85" t="n">
        <f aca="false">Q373/$P373</f>
        <v>0.5</v>
      </c>
      <c r="S373" s="84" t="n">
        <v>600</v>
      </c>
      <c r="T373" s="85" t="n">
        <f aca="false">S373/$P373</f>
        <v>0.5</v>
      </c>
      <c r="U373" s="84" t="n">
        <v>1200</v>
      </c>
      <c r="V373" s="85" t="n">
        <f aca="false">U373/$P373</f>
        <v>1</v>
      </c>
      <c r="W373" s="84" t="n">
        <v>1200</v>
      </c>
      <c r="X373" s="102" t="n">
        <f aca="false">W373/$P373</f>
        <v>1</v>
      </c>
      <c r="Y373" s="40" t="n">
        <v>1200</v>
      </c>
      <c r="Z373" s="44" t="n">
        <v>1200</v>
      </c>
    </row>
    <row r="374" customFormat="false" ht="12.8" hidden="true" customHeight="false" outlineLevel="0" collapsed="false">
      <c r="E374" s="45"/>
      <c r="F374" s="46" t="s">
        <v>217</v>
      </c>
      <c r="G374" s="47" t="n">
        <v>900</v>
      </c>
      <c r="H374" s="47" t="n">
        <v>450</v>
      </c>
      <c r="I374" s="47" t="n">
        <v>850</v>
      </c>
      <c r="J374" s="47" t="n">
        <v>850</v>
      </c>
      <c r="K374" s="47"/>
      <c r="L374" s="47"/>
      <c r="M374" s="47"/>
      <c r="N374" s="47"/>
      <c r="O374" s="47"/>
      <c r="P374" s="47" t="n">
        <f aca="false">K374+SUM(L374:O374)</f>
        <v>0</v>
      </c>
      <c r="Q374" s="47"/>
      <c r="R374" s="2" t="e">
        <f aca="false">Q374/$P374</f>
        <v>#DIV/0!</v>
      </c>
      <c r="S374" s="47"/>
      <c r="T374" s="2" t="e">
        <f aca="false">S374/$P374</f>
        <v>#DIV/0!</v>
      </c>
      <c r="U374" s="47"/>
      <c r="V374" s="2" t="e">
        <f aca="false">U374/$P374</f>
        <v>#DIV/0!</v>
      </c>
      <c r="W374" s="47"/>
      <c r="X374" s="2" t="e">
        <f aca="false">W374/$P374</f>
        <v>#DIV/0!</v>
      </c>
      <c r="Y374" s="47"/>
      <c r="Z374" s="50"/>
    </row>
    <row r="375" customFormat="false" ht="12.8" hidden="true" customHeight="false" outlineLevel="0" collapsed="false">
      <c r="E375" s="54"/>
      <c r="F375" s="55" t="s">
        <v>218</v>
      </c>
      <c r="G375" s="56" t="n">
        <v>1000</v>
      </c>
      <c r="H375" s="56" t="n">
        <v>640</v>
      </c>
      <c r="I375" s="56"/>
      <c r="J375" s="56"/>
      <c r="K375" s="56"/>
      <c r="L375" s="56"/>
      <c r="M375" s="56"/>
      <c r="N375" s="56"/>
      <c r="O375" s="56"/>
      <c r="P375" s="56" t="n">
        <f aca="false">K375+SUM(L375:O375)</f>
        <v>0</v>
      </c>
      <c r="Q375" s="56"/>
      <c r="R375" s="57" t="e">
        <f aca="false">Q375/$P375</f>
        <v>#DIV/0!</v>
      </c>
      <c r="S375" s="56"/>
      <c r="T375" s="57" t="e">
        <f aca="false">S375/$P375</f>
        <v>#DIV/0!</v>
      </c>
      <c r="U375" s="56"/>
      <c r="V375" s="57" t="e">
        <f aca="false">U375/$P375</f>
        <v>#DIV/0!</v>
      </c>
      <c r="W375" s="56"/>
      <c r="X375" s="57" t="e">
        <f aca="false">W375/$P375</f>
        <v>#DIV/0!</v>
      </c>
      <c r="Y375" s="56"/>
      <c r="Z375" s="60"/>
    </row>
    <row r="377" customFormat="false" ht="12.8" hidden="false" customHeight="false" outlineLevel="0" collapsed="false">
      <c r="D377" s="27" t="s">
        <v>219</v>
      </c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8"/>
      <c r="S377" s="27"/>
      <c r="T377" s="28"/>
      <c r="U377" s="27"/>
      <c r="V377" s="28"/>
      <c r="W377" s="27"/>
      <c r="X377" s="28"/>
      <c r="Y377" s="27"/>
      <c r="Z377" s="27"/>
    </row>
    <row r="378" customFormat="false" ht="12.8" hidden="false" customHeight="false" outlineLevel="0" collapsed="false">
      <c r="D378" s="103"/>
      <c r="E378" s="103"/>
      <c r="F378" s="103"/>
      <c r="G378" s="7" t="s">
        <v>1</v>
      </c>
      <c r="H378" s="7" t="s">
        <v>2</v>
      </c>
      <c r="I378" s="7" t="s">
        <v>3</v>
      </c>
      <c r="J378" s="7" t="s">
        <v>4</v>
      </c>
      <c r="K378" s="7" t="s">
        <v>5</v>
      </c>
      <c r="L378" s="7" t="s">
        <v>6</v>
      </c>
      <c r="M378" s="7" t="s">
        <v>7</v>
      </c>
      <c r="N378" s="7" t="s">
        <v>8</v>
      </c>
      <c r="O378" s="7" t="s">
        <v>9</v>
      </c>
      <c r="P378" s="7" t="s">
        <v>10</v>
      </c>
      <c r="Q378" s="7" t="s">
        <v>11</v>
      </c>
      <c r="R378" s="8" t="s">
        <v>12</v>
      </c>
      <c r="S378" s="7" t="s">
        <v>13</v>
      </c>
      <c r="T378" s="8" t="s">
        <v>14</v>
      </c>
      <c r="U378" s="7" t="s">
        <v>15</v>
      </c>
      <c r="V378" s="8" t="s">
        <v>16</v>
      </c>
      <c r="W378" s="7" t="s">
        <v>17</v>
      </c>
      <c r="X378" s="8" t="s">
        <v>18</v>
      </c>
      <c r="Y378" s="7" t="s">
        <v>19</v>
      </c>
      <c r="Z378" s="7" t="s">
        <v>20</v>
      </c>
    </row>
    <row r="379" customFormat="false" ht="12.8" hidden="false" customHeight="false" outlineLevel="0" collapsed="false">
      <c r="A379" s="1" t="n">
        <v>6</v>
      </c>
      <c r="B379" s="1" t="n">
        <v>2</v>
      </c>
      <c r="D379" s="108" t="s">
        <v>21</v>
      </c>
      <c r="E379" s="109" t="n">
        <v>41</v>
      </c>
      <c r="F379" s="109" t="s">
        <v>23</v>
      </c>
      <c r="G379" s="11" t="n">
        <f aca="false">G386+G397+G410</f>
        <v>16390.24</v>
      </c>
      <c r="H379" s="11" t="n">
        <f aca="false">H386+H397+H410</f>
        <v>15189.14</v>
      </c>
      <c r="I379" s="11" t="n">
        <f aca="false">I386+I397+I410</f>
        <v>26856</v>
      </c>
      <c r="J379" s="11" t="n">
        <f aca="false">J386+J397+J410</f>
        <v>27176.07</v>
      </c>
      <c r="K379" s="11" t="n">
        <f aca="false">K386+K397+K410</f>
        <v>22878</v>
      </c>
      <c r="L379" s="11" t="n">
        <f aca="false">L386+L397+L410</f>
        <v>0</v>
      </c>
      <c r="M379" s="11" t="n">
        <f aca="false">M386+M397+M410</f>
        <v>-279</v>
      </c>
      <c r="N379" s="11" t="n">
        <f aca="false">N386+N397+N410</f>
        <v>0</v>
      </c>
      <c r="O379" s="11" t="n">
        <f aca="false">O386+O397+O410</f>
        <v>398</v>
      </c>
      <c r="P379" s="11" t="n">
        <f aca="false">P386+P397+P410</f>
        <v>22997</v>
      </c>
      <c r="Q379" s="11" t="n">
        <f aca="false">Q386+Q397+Q410</f>
        <v>3333.11</v>
      </c>
      <c r="R379" s="12" t="n">
        <f aca="false">Q379/$P379</f>
        <v>0.144936730877941</v>
      </c>
      <c r="S379" s="11" t="n">
        <f aca="false">S386+S397+S410</f>
        <v>7539.67</v>
      </c>
      <c r="T379" s="12" t="n">
        <f aca="false">S379/$P379</f>
        <v>0.32785450276123</v>
      </c>
      <c r="U379" s="11" t="n">
        <f aca="false">U386+U397+U410</f>
        <v>18468.65</v>
      </c>
      <c r="V379" s="12" t="n">
        <f aca="false">U379/$P379</f>
        <v>0.803089533417402</v>
      </c>
      <c r="W379" s="11" t="n">
        <f aca="false">W386+W397+W410</f>
        <v>22839.24</v>
      </c>
      <c r="X379" s="12" t="n">
        <f aca="false">W379/$P379</f>
        <v>0.993139974779319</v>
      </c>
      <c r="Y379" s="11" t="n">
        <f aca="false">Y386+Y397+Y410</f>
        <v>18878</v>
      </c>
      <c r="Z379" s="11" t="n">
        <f aca="false">Z386+Z397+Z410</f>
        <v>18878</v>
      </c>
    </row>
    <row r="380" customFormat="false" ht="12.8" hidden="false" customHeight="false" outlineLevel="0" collapsed="false">
      <c r="A380" s="1" t="n">
        <v>6</v>
      </c>
      <c r="B380" s="1" t="n">
        <v>2</v>
      </c>
      <c r="D380" s="16"/>
      <c r="E380" s="17"/>
      <c r="F380" s="13" t="s">
        <v>119</v>
      </c>
      <c r="G380" s="14" t="n">
        <f aca="false">SUM(G379:G379)</f>
        <v>16390.24</v>
      </c>
      <c r="H380" s="14" t="n">
        <f aca="false">SUM(H379:H379)</f>
        <v>15189.14</v>
      </c>
      <c r="I380" s="14" t="n">
        <f aca="false">SUM(I379:I379)</f>
        <v>26856</v>
      </c>
      <c r="J380" s="14" t="n">
        <f aca="false">SUM(J379:J379)</f>
        <v>27176.07</v>
      </c>
      <c r="K380" s="14" t="n">
        <f aca="false">SUM(K379:K379)</f>
        <v>22878</v>
      </c>
      <c r="L380" s="14" t="n">
        <f aca="false">SUM(L379:L379)</f>
        <v>0</v>
      </c>
      <c r="M380" s="14" t="n">
        <f aca="false">SUM(M379:M379)</f>
        <v>-279</v>
      </c>
      <c r="N380" s="14" t="n">
        <f aca="false">SUM(N379:N379)</f>
        <v>0</v>
      </c>
      <c r="O380" s="14" t="n">
        <f aca="false">SUM(O379:O379)</f>
        <v>398</v>
      </c>
      <c r="P380" s="14" t="n">
        <f aca="false">SUM(P379:P379)</f>
        <v>22997</v>
      </c>
      <c r="Q380" s="14" t="n">
        <f aca="false">SUM(Q379:Q379)</f>
        <v>3333.11</v>
      </c>
      <c r="R380" s="15" t="n">
        <f aca="false">Q380/$P380</f>
        <v>0.144936730877941</v>
      </c>
      <c r="S380" s="14" t="n">
        <f aca="false">SUM(S379:S379)</f>
        <v>7539.67</v>
      </c>
      <c r="T380" s="15" t="n">
        <f aca="false">S380/$P380</f>
        <v>0.32785450276123</v>
      </c>
      <c r="U380" s="14" t="n">
        <f aca="false">SUM(U379:U379)</f>
        <v>18468.65</v>
      </c>
      <c r="V380" s="15" t="n">
        <f aca="false">U380/$P380</f>
        <v>0.803089533417402</v>
      </c>
      <c r="W380" s="14" t="n">
        <f aca="false">SUM(W379:W379)</f>
        <v>22839.24</v>
      </c>
      <c r="X380" s="15" t="n">
        <f aca="false">W380/$P380</f>
        <v>0.993139974779319</v>
      </c>
      <c r="Y380" s="14" t="n">
        <f aca="false">SUM(Y379:Y379)</f>
        <v>18878</v>
      </c>
      <c r="Z380" s="14" t="n">
        <f aca="false">SUM(Z379:Z379)</f>
        <v>18878</v>
      </c>
    </row>
    <row r="382" customFormat="false" ht="12.8" hidden="false" customHeight="false" outlineLevel="0" collapsed="false">
      <c r="D382" s="63" t="s">
        <v>220</v>
      </c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4"/>
      <c r="S382" s="63"/>
      <c r="T382" s="64"/>
      <c r="U382" s="63"/>
      <c r="V382" s="64"/>
      <c r="W382" s="63"/>
      <c r="X382" s="64"/>
      <c r="Y382" s="63"/>
      <c r="Z382" s="63"/>
    </row>
    <row r="383" customFormat="false" ht="12.8" hidden="false" customHeight="false" outlineLevel="0" collapsed="false">
      <c r="D383" s="7" t="s">
        <v>33</v>
      </c>
      <c r="E383" s="7" t="s">
        <v>34</v>
      </c>
      <c r="F383" s="7" t="s">
        <v>35</v>
      </c>
      <c r="G383" s="7" t="s">
        <v>1</v>
      </c>
      <c r="H383" s="7" t="s">
        <v>2</v>
      </c>
      <c r="I383" s="7" t="s">
        <v>3</v>
      </c>
      <c r="J383" s="7" t="s">
        <v>4</v>
      </c>
      <c r="K383" s="7" t="s">
        <v>5</v>
      </c>
      <c r="L383" s="7" t="s">
        <v>6</v>
      </c>
      <c r="M383" s="7" t="s">
        <v>7</v>
      </c>
      <c r="N383" s="7" t="s">
        <v>8</v>
      </c>
      <c r="O383" s="7" t="s">
        <v>9</v>
      </c>
      <c r="P383" s="7" t="s">
        <v>10</v>
      </c>
      <c r="Q383" s="7" t="s">
        <v>11</v>
      </c>
      <c r="R383" s="8" t="s">
        <v>12</v>
      </c>
      <c r="S383" s="7" t="s">
        <v>13</v>
      </c>
      <c r="T383" s="8" t="s">
        <v>14</v>
      </c>
      <c r="U383" s="7" t="s">
        <v>15</v>
      </c>
      <c r="V383" s="8" t="s">
        <v>16</v>
      </c>
      <c r="W383" s="7" t="s">
        <v>17</v>
      </c>
      <c r="X383" s="8" t="s">
        <v>18</v>
      </c>
      <c r="Y383" s="7" t="s">
        <v>19</v>
      </c>
      <c r="Z383" s="7" t="s">
        <v>20</v>
      </c>
    </row>
    <row r="384" customFormat="false" ht="12.8" hidden="false" customHeight="false" outlineLevel="0" collapsed="false">
      <c r="A384" s="1" t="n">
        <v>6</v>
      </c>
      <c r="B384" s="1" t="n">
        <v>2</v>
      </c>
      <c r="C384" s="1" t="n">
        <v>1</v>
      </c>
      <c r="D384" s="36" t="s">
        <v>221</v>
      </c>
      <c r="E384" s="10" t="n">
        <v>620</v>
      </c>
      <c r="F384" s="10" t="s">
        <v>125</v>
      </c>
      <c r="G384" s="11" t="n">
        <v>600.88</v>
      </c>
      <c r="H384" s="11" t="n">
        <v>452.64</v>
      </c>
      <c r="I384" s="11" t="n">
        <v>316</v>
      </c>
      <c r="J384" s="11" t="n">
        <v>315.03</v>
      </c>
      <c r="K384" s="11" t="n">
        <v>316</v>
      </c>
      <c r="L384" s="11"/>
      <c r="M384" s="11"/>
      <c r="N384" s="11"/>
      <c r="O384" s="11" t="n">
        <v>-14</v>
      </c>
      <c r="P384" s="11" t="n">
        <f aca="false">K384+SUM(L384:O384)</f>
        <v>302</v>
      </c>
      <c r="Q384" s="11" t="n">
        <v>75.63</v>
      </c>
      <c r="R384" s="12" t="n">
        <f aca="false">Q384/$P384</f>
        <v>0.250430463576159</v>
      </c>
      <c r="S384" s="11" t="n">
        <v>151.26</v>
      </c>
      <c r="T384" s="12" t="n">
        <f aca="false">S384/$P384</f>
        <v>0.500860927152318</v>
      </c>
      <c r="U384" s="11" t="n">
        <v>226.89</v>
      </c>
      <c r="V384" s="12" t="n">
        <f aca="false">U384/$P384</f>
        <v>0.751291390728477</v>
      </c>
      <c r="W384" s="11" t="n">
        <v>302.52</v>
      </c>
      <c r="X384" s="12" t="n">
        <f aca="false">W384/$P384</f>
        <v>1.00172185430464</v>
      </c>
      <c r="Y384" s="11" t="n">
        <f aca="false">K384</f>
        <v>316</v>
      </c>
      <c r="Z384" s="11" t="n">
        <f aca="false">Y384</f>
        <v>316</v>
      </c>
    </row>
    <row r="385" customFormat="false" ht="12.8" hidden="false" customHeight="false" outlineLevel="0" collapsed="false">
      <c r="A385" s="1" t="n">
        <v>6</v>
      </c>
      <c r="B385" s="1" t="n">
        <v>2</v>
      </c>
      <c r="C385" s="1" t="n">
        <v>1</v>
      </c>
      <c r="D385" s="36"/>
      <c r="E385" s="10" t="n">
        <v>630</v>
      </c>
      <c r="F385" s="10" t="s">
        <v>126</v>
      </c>
      <c r="G385" s="11" t="n">
        <v>8012.75</v>
      </c>
      <c r="H385" s="11" t="n">
        <v>5628.05</v>
      </c>
      <c r="I385" s="11" t="n">
        <v>3940</v>
      </c>
      <c r="J385" s="11" t="n">
        <v>4562.12</v>
      </c>
      <c r="K385" s="37" t="n">
        <v>4500</v>
      </c>
      <c r="L385" s="11"/>
      <c r="M385" s="11" t="n">
        <v>-279</v>
      </c>
      <c r="N385" s="11"/>
      <c r="O385" s="11" t="n">
        <v>412</v>
      </c>
      <c r="P385" s="11" t="n">
        <f aca="false">K385+SUM(L385:O385)</f>
        <v>4633</v>
      </c>
      <c r="Q385" s="11" t="n">
        <v>1164.94</v>
      </c>
      <c r="R385" s="12" t="n">
        <f aca="false">Q385/$P385</f>
        <v>0.251443988776171</v>
      </c>
      <c r="S385" s="11" t="n">
        <v>2172.94</v>
      </c>
      <c r="T385" s="12" t="n">
        <f aca="false">S385/$P385</f>
        <v>0.469013598100583</v>
      </c>
      <c r="U385" s="11" t="n">
        <v>3180.94</v>
      </c>
      <c r="V385" s="12" t="n">
        <f aca="false">U385/$P385</f>
        <v>0.686583207424995</v>
      </c>
      <c r="W385" s="11" t="n">
        <v>4632.76</v>
      </c>
      <c r="X385" s="12" t="n">
        <f aca="false">W385/$P385</f>
        <v>0.999948197712066</v>
      </c>
      <c r="Y385" s="11" t="n">
        <f aca="false">K385</f>
        <v>4500</v>
      </c>
      <c r="Z385" s="11" t="n">
        <f aca="false">Y385</f>
        <v>4500</v>
      </c>
    </row>
    <row r="386" customFormat="false" ht="12.8" hidden="false" customHeight="false" outlineLevel="0" collapsed="false">
      <c r="A386" s="1" t="n">
        <v>6</v>
      </c>
      <c r="B386" s="1" t="n">
        <v>2</v>
      </c>
      <c r="C386" s="1" t="n">
        <v>1</v>
      </c>
      <c r="D386" s="70" t="s">
        <v>21</v>
      </c>
      <c r="E386" s="13" t="n">
        <v>41</v>
      </c>
      <c r="F386" s="13" t="s">
        <v>23</v>
      </c>
      <c r="G386" s="14" t="n">
        <f aca="false">SUM(G384:G385)</f>
        <v>8613.63</v>
      </c>
      <c r="H386" s="14" t="n">
        <f aca="false">SUM(H384:H385)</f>
        <v>6080.69</v>
      </c>
      <c r="I386" s="14" t="n">
        <f aca="false">SUM(I384:I385)</f>
        <v>4256</v>
      </c>
      <c r="J386" s="14" t="n">
        <f aca="false">SUM(J384:J385)</f>
        <v>4877.15</v>
      </c>
      <c r="K386" s="14" t="n">
        <f aca="false">SUM(K384:K385)</f>
        <v>4816</v>
      </c>
      <c r="L386" s="14" t="n">
        <f aca="false">SUM(L384:L385)</f>
        <v>0</v>
      </c>
      <c r="M386" s="14" t="n">
        <f aca="false">SUM(M384:M385)</f>
        <v>-279</v>
      </c>
      <c r="N386" s="14" t="n">
        <f aca="false">SUM(N384:N385)</f>
        <v>0</v>
      </c>
      <c r="O386" s="14" t="n">
        <f aca="false">SUM(O384:O385)</f>
        <v>398</v>
      </c>
      <c r="P386" s="14" t="n">
        <f aca="false">SUM(P384:P385)</f>
        <v>4935</v>
      </c>
      <c r="Q386" s="14" t="n">
        <f aca="false">SUM(Q384:Q385)</f>
        <v>1240.57</v>
      </c>
      <c r="R386" s="15" t="n">
        <f aca="false">Q386/$P386</f>
        <v>0.251381965552178</v>
      </c>
      <c r="S386" s="14" t="n">
        <f aca="false">SUM(S384:S385)</f>
        <v>2324.2</v>
      </c>
      <c r="T386" s="15" t="n">
        <f aca="false">S386/$P386</f>
        <v>0.47096251266464</v>
      </c>
      <c r="U386" s="14" t="n">
        <f aca="false">SUM(U384:U385)</f>
        <v>3407.83</v>
      </c>
      <c r="V386" s="15" t="n">
        <f aca="false">U386/$P386</f>
        <v>0.690543059777102</v>
      </c>
      <c r="W386" s="14" t="n">
        <f aca="false">SUM(W384:W385)</f>
        <v>4935.28</v>
      </c>
      <c r="X386" s="15" t="n">
        <f aca="false">W386/$P386</f>
        <v>1.00005673758865</v>
      </c>
      <c r="Y386" s="14" t="n">
        <f aca="false">SUM(Y384:Y385)</f>
        <v>4816</v>
      </c>
      <c r="Z386" s="14" t="n">
        <f aca="false">SUM(Z384:Z385)</f>
        <v>4816</v>
      </c>
    </row>
    <row r="388" customFormat="false" ht="12.8" hidden="false" customHeight="false" outlineLevel="0" collapsed="false">
      <c r="E388" s="39" t="s">
        <v>57</v>
      </c>
      <c r="F388" s="16" t="s">
        <v>144</v>
      </c>
      <c r="G388" s="40" t="n">
        <v>1210</v>
      </c>
      <c r="H388" s="40" t="n">
        <v>869</v>
      </c>
      <c r="I388" s="40" t="n">
        <v>869</v>
      </c>
      <c r="J388" s="40" t="n">
        <v>869</v>
      </c>
      <c r="K388" s="40" t="n">
        <v>869</v>
      </c>
      <c r="L388" s="40" t="n">
        <v>-10</v>
      </c>
      <c r="M388" s="40" t="n">
        <v>-56</v>
      </c>
      <c r="N388" s="40"/>
      <c r="O388" s="40"/>
      <c r="P388" s="40" t="n">
        <f aca="false">K388+SUM(L388:O388)</f>
        <v>803</v>
      </c>
      <c r="Q388" s="40" t="n">
        <v>146</v>
      </c>
      <c r="R388" s="41" t="n">
        <f aca="false">Q388/$P388</f>
        <v>0.181818181818182</v>
      </c>
      <c r="S388" s="40" t="n">
        <v>365</v>
      </c>
      <c r="T388" s="41" t="n">
        <f aca="false">S388/$P388</f>
        <v>0.454545454545455</v>
      </c>
      <c r="U388" s="40" t="n">
        <v>584</v>
      </c>
      <c r="V388" s="41" t="n">
        <f aca="false">U388/$P388</f>
        <v>0.727272727272727</v>
      </c>
      <c r="W388" s="40" t="n">
        <v>803</v>
      </c>
      <c r="X388" s="42" t="n">
        <f aca="false">W388/$P388</f>
        <v>1</v>
      </c>
      <c r="Y388" s="40" t="n">
        <f aca="false">K388</f>
        <v>869</v>
      </c>
      <c r="Z388" s="44" t="n">
        <f aca="false">Y388</f>
        <v>869</v>
      </c>
    </row>
    <row r="389" customFormat="false" ht="12.8" hidden="false" customHeight="false" outlineLevel="0" collapsed="false">
      <c r="E389" s="45"/>
      <c r="F389" s="46" t="s">
        <v>145</v>
      </c>
      <c r="G389" s="47" t="n">
        <v>2932</v>
      </c>
      <c r="H389" s="47" t="n">
        <v>2268</v>
      </c>
      <c r="I389" s="47" t="n">
        <v>1771</v>
      </c>
      <c r="J389" s="47" t="n">
        <v>1830.74</v>
      </c>
      <c r="K389" s="47" t="n">
        <v>1831</v>
      </c>
      <c r="L389" s="47"/>
      <c r="M389" s="47" t="n">
        <v>-223</v>
      </c>
      <c r="N389" s="47"/>
      <c r="O389" s="47"/>
      <c r="P389" s="47" t="n">
        <f aca="false">K389+SUM(L389:O389)</f>
        <v>1608</v>
      </c>
      <c r="Q389" s="47" t="n">
        <v>402</v>
      </c>
      <c r="R389" s="2" t="n">
        <f aca="false">Q389/$P389</f>
        <v>0.25</v>
      </c>
      <c r="S389" s="47" t="n">
        <v>804</v>
      </c>
      <c r="T389" s="2" t="n">
        <f aca="false">S389/$P389</f>
        <v>0.5</v>
      </c>
      <c r="U389" s="47" t="n">
        <v>1206</v>
      </c>
      <c r="V389" s="2" t="n">
        <f aca="false">U389/$P389</f>
        <v>0.75</v>
      </c>
      <c r="W389" s="47" t="n">
        <v>1608</v>
      </c>
      <c r="X389" s="48" t="n">
        <f aca="false">W389/$P389</f>
        <v>1</v>
      </c>
      <c r="Y389" s="47" t="n">
        <f aca="false">K389</f>
        <v>1831</v>
      </c>
      <c r="Z389" s="50" t="n">
        <f aca="false">Y389</f>
        <v>1831</v>
      </c>
    </row>
    <row r="390" customFormat="false" ht="12.8" hidden="false" customHeight="false" outlineLevel="0" collapsed="false">
      <c r="E390" s="54"/>
      <c r="F390" s="72" t="s">
        <v>222</v>
      </c>
      <c r="G390" s="56" t="n">
        <v>3170.88</v>
      </c>
      <c r="H390" s="56" t="n">
        <f aca="false">2316+H384</f>
        <v>2768.64</v>
      </c>
      <c r="I390" s="56" t="n">
        <f aca="false">1612+I384</f>
        <v>1928</v>
      </c>
      <c r="J390" s="56" t="n">
        <f aca="false">1612+J384</f>
        <v>1927.03</v>
      </c>
      <c r="K390" s="56" t="n">
        <v>1864</v>
      </c>
      <c r="L390" s="56"/>
      <c r="M390" s="56"/>
      <c r="N390" s="56"/>
      <c r="O390" s="56" t="n">
        <v>-14</v>
      </c>
      <c r="P390" s="56" t="n">
        <f aca="false">K390+SUM(L390:O390)</f>
        <v>1850</v>
      </c>
      <c r="Q390" s="56" t="n">
        <f aca="false">Q384+387</f>
        <v>462.63</v>
      </c>
      <c r="R390" s="57" t="n">
        <f aca="false">Q390/$P390</f>
        <v>0.25007027027027</v>
      </c>
      <c r="S390" s="56" t="n">
        <f aca="false">S384+774</f>
        <v>925.26</v>
      </c>
      <c r="T390" s="57" t="n">
        <f aca="false">S390/$P390</f>
        <v>0.500140540540541</v>
      </c>
      <c r="U390" s="56" t="n">
        <f aca="false">U384+1161</f>
        <v>1387.89</v>
      </c>
      <c r="V390" s="57" t="n">
        <f aca="false">U390/$P390</f>
        <v>0.750210810810811</v>
      </c>
      <c r="W390" s="56" t="n">
        <f aca="false">W384+1548</f>
        <v>1850.52</v>
      </c>
      <c r="X390" s="58" t="n">
        <f aca="false">W390/$P390</f>
        <v>1.00028108108108</v>
      </c>
      <c r="Y390" s="56" t="n">
        <f aca="false">K390</f>
        <v>1864</v>
      </c>
      <c r="Z390" s="60" t="n">
        <f aca="false">Y390</f>
        <v>1864</v>
      </c>
    </row>
    <row r="392" customFormat="false" ht="12.8" hidden="false" customHeight="false" outlineLevel="0" collapsed="false">
      <c r="D392" s="63" t="s">
        <v>223</v>
      </c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4"/>
      <c r="S392" s="63"/>
      <c r="T392" s="64"/>
      <c r="U392" s="63"/>
      <c r="V392" s="64"/>
      <c r="W392" s="63"/>
      <c r="X392" s="64"/>
      <c r="Y392" s="63"/>
      <c r="Z392" s="63"/>
    </row>
    <row r="393" customFormat="false" ht="12.8" hidden="false" customHeight="false" outlineLevel="0" collapsed="false">
      <c r="D393" s="7" t="s">
        <v>33</v>
      </c>
      <c r="E393" s="7" t="s">
        <v>34</v>
      </c>
      <c r="F393" s="7" t="s">
        <v>35</v>
      </c>
      <c r="G393" s="7" t="s">
        <v>1</v>
      </c>
      <c r="H393" s="7" t="s">
        <v>2</v>
      </c>
      <c r="I393" s="7" t="s">
        <v>3</v>
      </c>
      <c r="J393" s="7" t="s">
        <v>4</v>
      </c>
      <c r="K393" s="7" t="s">
        <v>5</v>
      </c>
      <c r="L393" s="7" t="s">
        <v>6</v>
      </c>
      <c r="M393" s="7" t="s">
        <v>7</v>
      </c>
      <c r="N393" s="7" t="s">
        <v>8</v>
      </c>
      <c r="O393" s="7" t="s">
        <v>9</v>
      </c>
      <c r="P393" s="7" t="s">
        <v>10</v>
      </c>
      <c r="Q393" s="7" t="s">
        <v>11</v>
      </c>
      <c r="R393" s="8" t="s">
        <v>12</v>
      </c>
      <c r="S393" s="7" t="s">
        <v>13</v>
      </c>
      <c r="T393" s="8" t="s">
        <v>14</v>
      </c>
      <c r="U393" s="7" t="s">
        <v>15</v>
      </c>
      <c r="V393" s="8" t="s">
        <v>16</v>
      </c>
      <c r="W393" s="7" t="s">
        <v>17</v>
      </c>
      <c r="X393" s="8" t="s">
        <v>18</v>
      </c>
      <c r="Y393" s="7" t="s">
        <v>19</v>
      </c>
      <c r="Z393" s="7" t="s">
        <v>20</v>
      </c>
    </row>
    <row r="394" customFormat="false" ht="12.8" hidden="false" customHeight="false" outlineLevel="0" collapsed="false">
      <c r="A394" s="1" t="n">
        <v>6</v>
      </c>
      <c r="B394" s="1" t="n">
        <v>2</v>
      </c>
      <c r="C394" s="1" t="n">
        <v>2</v>
      </c>
      <c r="D394" s="36" t="s">
        <v>221</v>
      </c>
      <c r="E394" s="10" t="n">
        <v>620</v>
      </c>
      <c r="F394" s="10" t="s">
        <v>125</v>
      </c>
      <c r="G394" s="11" t="n">
        <v>201.09</v>
      </c>
      <c r="H394" s="11" t="n">
        <v>143.57</v>
      </c>
      <c r="I394" s="11" t="n">
        <v>0</v>
      </c>
      <c r="J394" s="11" t="n">
        <v>283.87</v>
      </c>
      <c r="K394" s="11" t="n">
        <v>0</v>
      </c>
      <c r="L394" s="11" t="n">
        <v>67</v>
      </c>
      <c r="M394" s="11"/>
      <c r="N394" s="11"/>
      <c r="O394" s="11" t="n">
        <v>47</v>
      </c>
      <c r="P394" s="11" t="n">
        <f aca="false">K394+SUM(L394:O394)</f>
        <v>114</v>
      </c>
      <c r="Q394" s="11" t="n">
        <v>65.75</v>
      </c>
      <c r="R394" s="12" t="n">
        <f aca="false">Q394/$P394</f>
        <v>0.576754385964912</v>
      </c>
      <c r="S394" s="11" t="n">
        <v>65.75</v>
      </c>
      <c r="T394" s="12" t="n">
        <f aca="false">S394/$P394</f>
        <v>0.576754385964912</v>
      </c>
      <c r="U394" s="11" t="n">
        <v>65.75</v>
      </c>
      <c r="V394" s="12" t="n">
        <f aca="false">U394/$P394</f>
        <v>0.576754385964912</v>
      </c>
      <c r="W394" s="11" t="n">
        <v>113.17</v>
      </c>
      <c r="X394" s="12" t="n">
        <f aca="false">W394/$P394</f>
        <v>0.992719298245614</v>
      </c>
      <c r="Y394" s="11" t="n">
        <f aca="false">K394</f>
        <v>0</v>
      </c>
      <c r="Z394" s="11" t="n">
        <f aca="false">Y394</f>
        <v>0</v>
      </c>
    </row>
    <row r="395" customFormat="false" ht="12.8" hidden="false" customHeight="false" outlineLevel="0" collapsed="false">
      <c r="A395" s="1" t="n">
        <v>6</v>
      </c>
      <c r="B395" s="1" t="n">
        <v>2</v>
      </c>
      <c r="C395" s="1" t="n">
        <v>2</v>
      </c>
      <c r="D395" s="36"/>
      <c r="E395" s="10" t="n">
        <v>630</v>
      </c>
      <c r="F395" s="10" t="s">
        <v>126</v>
      </c>
      <c r="G395" s="11" t="n">
        <v>4058.5</v>
      </c>
      <c r="H395" s="11" t="n">
        <v>4368.38</v>
      </c>
      <c r="I395" s="11" t="n">
        <v>14000</v>
      </c>
      <c r="J395" s="11" t="n">
        <v>12322.91</v>
      </c>
      <c r="K395" s="11" t="n">
        <v>8500</v>
      </c>
      <c r="L395" s="11" t="n">
        <v>-67</v>
      </c>
      <c r="M395" s="11" t="n">
        <v>-500</v>
      </c>
      <c r="N395" s="11"/>
      <c r="O395" s="11" t="n">
        <v>-47</v>
      </c>
      <c r="P395" s="11" t="n">
        <f aca="false">K395+SUM(L395:O395)</f>
        <v>7886</v>
      </c>
      <c r="Q395" s="11" t="n">
        <v>849.42</v>
      </c>
      <c r="R395" s="12" t="n">
        <f aca="false">Q395/$P395</f>
        <v>0.107712401724575</v>
      </c>
      <c r="S395" s="11" t="n">
        <v>2607.04</v>
      </c>
      <c r="T395" s="12" t="n">
        <f aca="false">S395/$P395</f>
        <v>0.330590920618818</v>
      </c>
      <c r="U395" s="11" t="n">
        <v>6444.44</v>
      </c>
      <c r="V395" s="12" t="n">
        <f aca="false">U395/$P395</f>
        <v>0.8172001014456</v>
      </c>
      <c r="W395" s="11" t="n">
        <v>7878.75</v>
      </c>
      <c r="X395" s="12" t="n">
        <f aca="false">W395/$P395</f>
        <v>0.999080649251839</v>
      </c>
      <c r="Y395" s="11" t="n">
        <v>4500</v>
      </c>
      <c r="Z395" s="11" t="n">
        <f aca="false">Y395</f>
        <v>4500</v>
      </c>
    </row>
    <row r="396" customFormat="false" ht="12.8" hidden="false" customHeight="false" outlineLevel="0" collapsed="false">
      <c r="A396" s="1" t="n">
        <v>6</v>
      </c>
      <c r="B396" s="1" t="n">
        <v>2</v>
      </c>
      <c r="C396" s="1" t="n">
        <v>2</v>
      </c>
      <c r="D396" s="36"/>
      <c r="E396" s="10" t="n">
        <v>640</v>
      </c>
      <c r="F396" s="10" t="s">
        <v>127</v>
      </c>
      <c r="G396" s="11" t="n">
        <v>2500</v>
      </c>
      <c r="H396" s="11" t="n">
        <v>4000</v>
      </c>
      <c r="I396" s="11" t="n">
        <v>8000</v>
      </c>
      <c r="J396" s="11" t="n">
        <v>8350</v>
      </c>
      <c r="K396" s="11" t="n">
        <v>4350</v>
      </c>
      <c r="L396" s="11"/>
      <c r="M396" s="11" t="n">
        <v>500</v>
      </c>
      <c r="N396" s="11"/>
      <c r="O396" s="11"/>
      <c r="P396" s="11" t="n">
        <f aca="false">K396+SUM(L396:O396)</f>
        <v>4850</v>
      </c>
      <c r="Q396" s="11" t="n">
        <v>0</v>
      </c>
      <c r="R396" s="12" t="n">
        <f aca="false">Q396/$P396</f>
        <v>0</v>
      </c>
      <c r="S396" s="11" t="n">
        <v>0</v>
      </c>
      <c r="T396" s="12" t="n">
        <f aca="false">S396/$P396</f>
        <v>0</v>
      </c>
      <c r="U396" s="11" t="n">
        <v>4850</v>
      </c>
      <c r="V396" s="12" t="n">
        <f aca="false">U396/$P396</f>
        <v>1</v>
      </c>
      <c r="W396" s="11" t="n">
        <v>4850</v>
      </c>
      <c r="X396" s="12" t="n">
        <f aca="false">W396/$P396</f>
        <v>1</v>
      </c>
      <c r="Y396" s="11" t="n">
        <f aca="false">K396</f>
        <v>4350</v>
      </c>
      <c r="Z396" s="11" t="n">
        <f aca="false">Y396</f>
        <v>4350</v>
      </c>
    </row>
    <row r="397" customFormat="false" ht="12.8" hidden="false" customHeight="false" outlineLevel="0" collapsed="false">
      <c r="A397" s="1" t="n">
        <v>6</v>
      </c>
      <c r="B397" s="1" t="n">
        <v>2</v>
      </c>
      <c r="C397" s="1" t="n">
        <v>2</v>
      </c>
      <c r="D397" s="70" t="s">
        <v>21</v>
      </c>
      <c r="E397" s="13" t="n">
        <v>41</v>
      </c>
      <c r="F397" s="13" t="s">
        <v>23</v>
      </c>
      <c r="G397" s="14" t="n">
        <f aca="false">SUM(G394:G396)</f>
        <v>6759.59</v>
      </c>
      <c r="H397" s="14" t="n">
        <f aca="false">SUM(H394:H396)</f>
        <v>8511.95</v>
      </c>
      <c r="I397" s="14" t="n">
        <f aca="false">SUM(I394:I396)</f>
        <v>22000</v>
      </c>
      <c r="J397" s="14" t="n">
        <f aca="false">SUM(J394:J396)</f>
        <v>20956.78</v>
      </c>
      <c r="K397" s="14" t="n">
        <f aca="false">SUM(K394:K396)</f>
        <v>12850</v>
      </c>
      <c r="L397" s="14" t="n">
        <f aca="false">SUM(L394:L396)</f>
        <v>0</v>
      </c>
      <c r="M397" s="14" t="n">
        <f aca="false">SUM(M394:M396)</f>
        <v>0</v>
      </c>
      <c r="N397" s="14" t="n">
        <f aca="false">SUM(N394:N396)</f>
        <v>0</v>
      </c>
      <c r="O397" s="14" t="n">
        <f aca="false">SUM(O394:O396)</f>
        <v>0</v>
      </c>
      <c r="P397" s="14" t="n">
        <f aca="false">SUM(P394:P396)</f>
        <v>12850</v>
      </c>
      <c r="Q397" s="14" t="n">
        <f aca="false">SUM(Q394:Q396)</f>
        <v>915.17</v>
      </c>
      <c r="R397" s="15" t="n">
        <f aca="false">Q397/$P397</f>
        <v>0.0712194552529183</v>
      </c>
      <c r="S397" s="14" t="n">
        <f aca="false">SUM(S394:S396)</f>
        <v>2672.79</v>
      </c>
      <c r="T397" s="15" t="n">
        <f aca="false">S397/$P397</f>
        <v>0.207999221789883</v>
      </c>
      <c r="U397" s="14" t="n">
        <f aca="false">SUM(U394:U396)</f>
        <v>11360.19</v>
      </c>
      <c r="V397" s="15" t="n">
        <f aca="false">U397/$P397</f>
        <v>0.884061478599222</v>
      </c>
      <c r="W397" s="14" t="n">
        <f aca="false">SUM(W394:W396)</f>
        <v>12841.92</v>
      </c>
      <c r="X397" s="15" t="n">
        <f aca="false">W397/$P397</f>
        <v>0.999371206225681</v>
      </c>
      <c r="Y397" s="14" t="n">
        <f aca="false">SUM(Y394:Y396)</f>
        <v>8850</v>
      </c>
      <c r="Z397" s="14" t="n">
        <f aca="false">SUM(Z394:Z396)</f>
        <v>8850</v>
      </c>
    </row>
    <row r="399" customFormat="false" ht="12.8" hidden="true" customHeight="false" outlineLevel="0" collapsed="false">
      <c r="E399" s="39" t="s">
        <v>57</v>
      </c>
      <c r="F399" s="16" t="s">
        <v>224</v>
      </c>
      <c r="G399" s="40" t="n">
        <v>2500</v>
      </c>
      <c r="H399" s="40"/>
      <c r="I399" s="40" t="n">
        <v>3000</v>
      </c>
      <c r="J399" s="40" t="n">
        <v>4000</v>
      </c>
      <c r="K399" s="40"/>
      <c r="L399" s="40"/>
      <c r="M399" s="40"/>
      <c r="N399" s="40"/>
      <c r="O399" s="40"/>
      <c r="P399" s="40" t="n">
        <f aca="false">K399+SUM(L399:O399)</f>
        <v>0</v>
      </c>
      <c r="Q399" s="40"/>
      <c r="R399" s="41" t="e">
        <f aca="false">Q399/$P399</f>
        <v>#DIV/0!</v>
      </c>
      <c r="S399" s="40"/>
      <c r="T399" s="41" t="e">
        <f aca="false">S399/$P399</f>
        <v>#DIV/0!</v>
      </c>
      <c r="U399" s="40"/>
      <c r="V399" s="41" t="e">
        <f aca="false">U399/$P399</f>
        <v>#DIV/0!</v>
      </c>
      <c r="W399" s="40"/>
      <c r="X399" s="41" t="e">
        <f aca="false">W399/$P399</f>
        <v>#DIV/0!</v>
      </c>
      <c r="Y399" s="40"/>
      <c r="Z399" s="44"/>
    </row>
    <row r="400" customFormat="false" ht="12.8" hidden="false" customHeight="false" outlineLevel="0" collapsed="false">
      <c r="E400" s="39" t="s">
        <v>57</v>
      </c>
      <c r="F400" s="16" t="s">
        <v>225</v>
      </c>
      <c r="G400" s="110"/>
      <c r="H400" s="40" t="n">
        <v>4000</v>
      </c>
      <c r="I400" s="40" t="n">
        <v>4000</v>
      </c>
      <c r="J400" s="40" t="n">
        <v>4000</v>
      </c>
      <c r="K400" s="40" t="n">
        <v>4000</v>
      </c>
      <c r="L400" s="40"/>
      <c r="M400" s="40"/>
      <c r="N400" s="40"/>
      <c r="O400" s="40"/>
      <c r="P400" s="40" t="n">
        <f aca="false">K400+SUM(L400:O400)</f>
        <v>4000</v>
      </c>
      <c r="Q400" s="40" t="n">
        <v>0</v>
      </c>
      <c r="R400" s="41" t="n">
        <f aca="false">Q400/$P400</f>
        <v>0</v>
      </c>
      <c r="S400" s="40" t="n">
        <v>0</v>
      </c>
      <c r="T400" s="41" t="n">
        <f aca="false">S400/$P400</f>
        <v>0</v>
      </c>
      <c r="U400" s="40" t="n">
        <v>4000</v>
      </c>
      <c r="V400" s="41" t="n">
        <f aca="false">U400/$P400</f>
        <v>1</v>
      </c>
      <c r="W400" s="40" t="n">
        <v>4000</v>
      </c>
      <c r="X400" s="42" t="n">
        <f aca="false">W400/$P400</f>
        <v>1</v>
      </c>
      <c r="Y400" s="47"/>
      <c r="Z400" s="50"/>
    </row>
    <row r="401" customFormat="false" ht="12.8" hidden="false" customHeight="false" outlineLevel="0" collapsed="false">
      <c r="E401" s="45"/>
      <c r="F401" s="1" t="s">
        <v>226</v>
      </c>
      <c r="G401" s="51"/>
      <c r="H401" s="47"/>
      <c r="I401" s="47"/>
      <c r="J401" s="47" t="n">
        <v>350</v>
      </c>
      <c r="K401" s="47" t="n">
        <v>350</v>
      </c>
      <c r="L401" s="47"/>
      <c r="M401" s="47" t="n">
        <v>500</v>
      </c>
      <c r="N401" s="47"/>
      <c r="O401" s="47"/>
      <c r="P401" s="47" t="n">
        <f aca="false">K401+SUM(L401:O401)</f>
        <v>850</v>
      </c>
      <c r="Q401" s="47" t="n">
        <v>0</v>
      </c>
      <c r="R401" s="2" t="n">
        <f aca="false">Q401/$P401</f>
        <v>0</v>
      </c>
      <c r="S401" s="47" t="n">
        <v>0</v>
      </c>
      <c r="T401" s="2" t="n">
        <f aca="false">S401/$P401</f>
        <v>0</v>
      </c>
      <c r="U401" s="47" t="n">
        <v>850</v>
      </c>
      <c r="V401" s="2" t="n">
        <f aca="false">U401/$P401</f>
        <v>1</v>
      </c>
      <c r="W401" s="47" t="n">
        <v>850</v>
      </c>
      <c r="X401" s="48" t="n">
        <f aca="false">W401/$P401</f>
        <v>1</v>
      </c>
      <c r="Y401" s="47"/>
      <c r="Z401" s="50"/>
    </row>
    <row r="402" customFormat="false" ht="12.8" hidden="false" customHeight="false" outlineLevel="0" collapsed="false">
      <c r="E402" s="45"/>
      <c r="F402" s="1" t="s">
        <v>227</v>
      </c>
      <c r="G402" s="51"/>
      <c r="H402" s="47"/>
      <c r="I402" s="47" t="n">
        <v>10000</v>
      </c>
      <c r="J402" s="47" t="n">
        <v>8024.46</v>
      </c>
      <c r="K402" s="47" t="n">
        <v>4000</v>
      </c>
      <c r="L402" s="47"/>
      <c r="M402" s="47" t="n">
        <v>104</v>
      </c>
      <c r="N402" s="47"/>
      <c r="O402" s="47"/>
      <c r="P402" s="47" t="n">
        <f aca="false">K402+SUM(L402:O402)</f>
        <v>4104</v>
      </c>
      <c r="Q402" s="47" t="n">
        <v>0</v>
      </c>
      <c r="R402" s="2" t="n">
        <f aca="false">Q402/$P402</f>
        <v>0</v>
      </c>
      <c r="S402" s="47" t="n">
        <v>505</v>
      </c>
      <c r="T402" s="2" t="n">
        <f aca="false">S402/$P402</f>
        <v>0.123050682261209</v>
      </c>
      <c r="U402" s="47" t="n">
        <v>4104.4</v>
      </c>
      <c r="V402" s="2" t="n">
        <f aca="false">U402/$P402</f>
        <v>1.00009746588694</v>
      </c>
      <c r="W402" s="47" t="n">
        <v>4104.4</v>
      </c>
      <c r="X402" s="48" t="n">
        <f aca="false">W402/$P402</f>
        <v>1.00009746588694</v>
      </c>
      <c r="Y402" s="47"/>
      <c r="Z402" s="50"/>
    </row>
    <row r="403" customFormat="false" ht="12.8" hidden="false" customHeight="false" outlineLevel="0" collapsed="false">
      <c r="E403" s="54"/>
      <c r="F403" s="72" t="s">
        <v>228</v>
      </c>
      <c r="G403" s="91" t="n">
        <v>3408</v>
      </c>
      <c r="H403" s="91" t="n">
        <v>4511.95</v>
      </c>
      <c r="I403" s="91" t="n">
        <v>4000</v>
      </c>
      <c r="J403" s="91" t="n">
        <v>4298.45</v>
      </c>
      <c r="K403" s="91" t="n">
        <v>4500</v>
      </c>
      <c r="L403" s="91"/>
      <c r="M403" s="91" t="n">
        <v>-604</v>
      </c>
      <c r="N403" s="91"/>
      <c r="O403" s="91"/>
      <c r="P403" s="91" t="n">
        <f aca="false">K403+SUM(L403:O403)</f>
        <v>3896</v>
      </c>
      <c r="Q403" s="91" t="n">
        <f aca="false">792+57.42+Q394</f>
        <v>915.17</v>
      </c>
      <c r="R403" s="111" t="n">
        <f aca="false">Q403/$P403</f>
        <v>0.234899897330595</v>
      </c>
      <c r="S403" s="91" t="n">
        <f aca="false">2044.62+57.42+S394</f>
        <v>2167.79</v>
      </c>
      <c r="T403" s="111" t="n">
        <f aca="false">S403/$P403</f>
        <v>0.556414271047228</v>
      </c>
      <c r="U403" s="91" t="n">
        <f aca="false">2244.62+57.42+38+U394</f>
        <v>2405.79</v>
      </c>
      <c r="V403" s="111" t="n">
        <f aca="false">U403/$P403</f>
        <v>0.617502566735113</v>
      </c>
      <c r="W403" s="91" t="n">
        <f aca="false">2872.62+863.73+38+W394</f>
        <v>3887.52</v>
      </c>
      <c r="X403" s="112" t="n">
        <f aca="false">W403/$P403</f>
        <v>0.99782340862423</v>
      </c>
      <c r="Y403" s="51" t="n">
        <v>4500</v>
      </c>
      <c r="Z403" s="50" t="n">
        <v>4500</v>
      </c>
    </row>
    <row r="404" customFormat="false" ht="12.8" hidden="true" customHeight="false" outlineLevel="0" collapsed="false">
      <c r="E404" s="54"/>
      <c r="F404" s="72" t="s">
        <v>229</v>
      </c>
      <c r="G404" s="56"/>
      <c r="H404" s="56"/>
      <c r="I404" s="56"/>
      <c r="J404" s="56"/>
      <c r="K404" s="56"/>
      <c r="L404" s="56"/>
      <c r="M404" s="56"/>
      <c r="N404" s="56"/>
      <c r="O404" s="56"/>
      <c r="P404" s="56" t="n">
        <f aca="false">K404+SUM(L404:O404)</f>
        <v>0</v>
      </c>
      <c r="Q404" s="56"/>
      <c r="R404" s="57" t="e">
        <f aca="false">Q404/$P404</f>
        <v>#DIV/0!</v>
      </c>
      <c r="S404" s="56"/>
      <c r="T404" s="57" t="e">
        <f aca="false">S404/$P404</f>
        <v>#DIV/0!</v>
      </c>
      <c r="U404" s="56"/>
      <c r="V404" s="57" t="e">
        <f aca="false">U404/$P404</f>
        <v>#DIV/0!</v>
      </c>
      <c r="W404" s="56"/>
      <c r="X404" s="57" t="e">
        <f aca="false">W404/$P404</f>
        <v>#DIV/0!</v>
      </c>
      <c r="Y404" s="56" t="n">
        <v>3350</v>
      </c>
      <c r="Z404" s="60" t="n">
        <v>3350</v>
      </c>
    </row>
    <row r="406" customFormat="false" ht="12.8" hidden="false" customHeight="false" outlineLevel="0" collapsed="false">
      <c r="D406" s="63" t="s">
        <v>230</v>
      </c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  <c r="R406" s="64"/>
      <c r="S406" s="63"/>
      <c r="T406" s="64"/>
      <c r="U406" s="63"/>
      <c r="V406" s="64"/>
      <c r="W406" s="63"/>
      <c r="X406" s="64"/>
      <c r="Y406" s="63"/>
      <c r="Z406" s="63"/>
    </row>
    <row r="407" customFormat="false" ht="12.8" hidden="false" customHeight="false" outlineLevel="0" collapsed="false">
      <c r="D407" s="7" t="s">
        <v>33</v>
      </c>
      <c r="E407" s="7" t="s">
        <v>34</v>
      </c>
      <c r="F407" s="7" t="s">
        <v>35</v>
      </c>
      <c r="G407" s="7" t="s">
        <v>1</v>
      </c>
      <c r="H407" s="7" t="s">
        <v>2</v>
      </c>
      <c r="I407" s="7" t="s">
        <v>3</v>
      </c>
      <c r="J407" s="7" t="s">
        <v>4</v>
      </c>
      <c r="K407" s="7" t="s">
        <v>5</v>
      </c>
      <c r="L407" s="7" t="s">
        <v>6</v>
      </c>
      <c r="M407" s="7" t="s">
        <v>7</v>
      </c>
      <c r="N407" s="7" t="s">
        <v>8</v>
      </c>
      <c r="O407" s="7" t="s">
        <v>9</v>
      </c>
      <c r="P407" s="7" t="s">
        <v>10</v>
      </c>
      <c r="Q407" s="7" t="s">
        <v>11</v>
      </c>
      <c r="R407" s="8" t="s">
        <v>12</v>
      </c>
      <c r="S407" s="7" t="s">
        <v>13</v>
      </c>
      <c r="T407" s="8" t="s">
        <v>14</v>
      </c>
      <c r="U407" s="7" t="s">
        <v>15</v>
      </c>
      <c r="V407" s="8" t="s">
        <v>16</v>
      </c>
      <c r="W407" s="7" t="s">
        <v>17</v>
      </c>
      <c r="X407" s="8" t="s">
        <v>18</v>
      </c>
      <c r="Y407" s="7" t="s">
        <v>19</v>
      </c>
      <c r="Z407" s="7" t="s">
        <v>20</v>
      </c>
    </row>
    <row r="408" customFormat="false" ht="12.8" hidden="false" customHeight="false" outlineLevel="0" collapsed="false">
      <c r="D408" s="87" t="s">
        <v>221</v>
      </c>
      <c r="E408" s="10" t="n">
        <v>620</v>
      </c>
      <c r="F408" s="10" t="s">
        <v>125</v>
      </c>
      <c r="G408" s="11" t="n">
        <v>0</v>
      </c>
      <c r="H408" s="11" t="n">
        <v>0</v>
      </c>
      <c r="I408" s="11" t="n">
        <v>0</v>
      </c>
      <c r="J408" s="11" t="n">
        <v>125.7</v>
      </c>
      <c r="K408" s="11" t="n">
        <v>754</v>
      </c>
      <c r="L408" s="11"/>
      <c r="M408" s="11"/>
      <c r="N408" s="11" t="n">
        <v>-109</v>
      </c>
      <c r="O408" s="11"/>
      <c r="P408" s="11" t="n">
        <f aca="false">K408+SUM(L408:O408)</f>
        <v>645</v>
      </c>
      <c r="Q408" s="11" t="n">
        <v>188.55</v>
      </c>
      <c r="R408" s="12" t="n">
        <f aca="false">Q408/$P408</f>
        <v>0.292325581395349</v>
      </c>
      <c r="S408" s="11" t="n">
        <v>377.1</v>
      </c>
      <c r="T408" s="12" t="n">
        <f aca="false">S408/$P408</f>
        <v>0.584651162790698</v>
      </c>
      <c r="U408" s="11" t="n">
        <v>490.65</v>
      </c>
      <c r="V408" s="12" t="n">
        <f aca="false">U408/$P408</f>
        <v>0.760697674418605</v>
      </c>
      <c r="W408" s="11" t="n">
        <v>566.7</v>
      </c>
      <c r="X408" s="12" t="n">
        <f aca="false">W408/$P408</f>
        <v>0.878604651162791</v>
      </c>
      <c r="Y408" s="11" t="n">
        <f aca="false">K408</f>
        <v>754</v>
      </c>
      <c r="Z408" s="11" t="n">
        <f aca="false">Y408</f>
        <v>754</v>
      </c>
    </row>
    <row r="409" customFormat="false" ht="12.8" hidden="false" customHeight="false" outlineLevel="0" collapsed="false">
      <c r="A409" s="1" t="n">
        <v>6</v>
      </c>
      <c r="B409" s="1" t="n">
        <v>2</v>
      </c>
      <c r="C409" s="1" t="n">
        <v>3</v>
      </c>
      <c r="D409" s="87" t="s">
        <v>221</v>
      </c>
      <c r="E409" s="10" t="n">
        <v>630</v>
      </c>
      <c r="F409" s="10" t="s">
        <v>126</v>
      </c>
      <c r="G409" s="11" t="n">
        <v>1017.02</v>
      </c>
      <c r="H409" s="11" t="n">
        <v>596.5</v>
      </c>
      <c r="I409" s="11" t="n">
        <v>600</v>
      </c>
      <c r="J409" s="11" t="n">
        <v>1216.44</v>
      </c>
      <c r="K409" s="11" t="n">
        <v>4458</v>
      </c>
      <c r="L409" s="11"/>
      <c r="M409" s="11"/>
      <c r="N409" s="11" t="n">
        <v>109</v>
      </c>
      <c r="O409" s="11"/>
      <c r="P409" s="11" t="n">
        <f aca="false">K409+SUM(L409:O409)</f>
        <v>4567</v>
      </c>
      <c r="Q409" s="11" t="n">
        <v>988.82</v>
      </c>
      <c r="R409" s="12" t="n">
        <f aca="false">Q409/$P409</f>
        <v>0.216514123056711</v>
      </c>
      <c r="S409" s="11" t="n">
        <v>2165.58</v>
      </c>
      <c r="T409" s="12" t="n">
        <f aca="false">S409/$P409</f>
        <v>0.474179986862273</v>
      </c>
      <c r="U409" s="11" t="n">
        <v>3209.98</v>
      </c>
      <c r="V409" s="12" t="n">
        <f aca="false">U409/$P409</f>
        <v>0.702864024523757</v>
      </c>
      <c r="W409" s="11" t="n">
        <v>4495.34</v>
      </c>
      <c r="X409" s="12" t="n">
        <f aca="false">W409/$P409</f>
        <v>0.984309174512809</v>
      </c>
      <c r="Y409" s="11" t="n">
        <f aca="false">K409</f>
        <v>4458</v>
      </c>
      <c r="Z409" s="11" t="n">
        <f aca="false">Y409</f>
        <v>4458</v>
      </c>
    </row>
    <row r="410" customFormat="false" ht="12.8" hidden="false" customHeight="false" outlineLevel="0" collapsed="false">
      <c r="A410" s="1" t="n">
        <v>6</v>
      </c>
      <c r="B410" s="1" t="n">
        <v>2</v>
      </c>
      <c r="C410" s="1" t="n">
        <v>3</v>
      </c>
      <c r="D410" s="70" t="s">
        <v>21</v>
      </c>
      <c r="E410" s="13" t="n">
        <v>41</v>
      </c>
      <c r="F410" s="13" t="s">
        <v>23</v>
      </c>
      <c r="G410" s="14" t="n">
        <f aca="false">SUM(G408:G409)</f>
        <v>1017.02</v>
      </c>
      <c r="H410" s="14" t="n">
        <f aca="false">SUM(H408:H409)</f>
        <v>596.5</v>
      </c>
      <c r="I410" s="14" t="n">
        <f aca="false">SUM(I408:I409)</f>
        <v>600</v>
      </c>
      <c r="J410" s="14" t="n">
        <f aca="false">SUM(J408:J409)</f>
        <v>1342.14</v>
      </c>
      <c r="K410" s="14" t="n">
        <f aca="false">SUM(K408:K409)</f>
        <v>5212</v>
      </c>
      <c r="L410" s="14" t="n">
        <f aca="false">SUM(L408:L409)</f>
        <v>0</v>
      </c>
      <c r="M410" s="14" t="n">
        <f aca="false">SUM(M408:M409)</f>
        <v>0</v>
      </c>
      <c r="N410" s="14" t="n">
        <f aca="false">SUM(N408:N409)</f>
        <v>0</v>
      </c>
      <c r="O410" s="14" t="n">
        <f aca="false">SUM(O408:O409)</f>
        <v>0</v>
      </c>
      <c r="P410" s="14" t="n">
        <f aca="false">SUM(P408:P409)</f>
        <v>5212</v>
      </c>
      <c r="Q410" s="14" t="n">
        <f aca="false">SUM(Q408:Q409)</f>
        <v>1177.37</v>
      </c>
      <c r="R410" s="15" t="n">
        <f aca="false">Q410/$P410</f>
        <v>0.225896009209516</v>
      </c>
      <c r="S410" s="14" t="n">
        <f aca="false">SUM(S408:S409)</f>
        <v>2542.68</v>
      </c>
      <c r="T410" s="15" t="n">
        <f aca="false">S410/$P410</f>
        <v>0.487851112816577</v>
      </c>
      <c r="U410" s="14" t="n">
        <f aca="false">SUM(U408:U409)</f>
        <v>3700.63</v>
      </c>
      <c r="V410" s="15" t="n">
        <f aca="false">U410/$P410</f>
        <v>0.71002110514198</v>
      </c>
      <c r="W410" s="14" t="n">
        <f aca="false">SUM(W408:W409)</f>
        <v>5062.04</v>
      </c>
      <c r="X410" s="15" t="n">
        <f aca="false">W410/$P410</f>
        <v>0.971227935533385</v>
      </c>
      <c r="Y410" s="14" t="n">
        <f aca="false">SUM(Y408:Y409)</f>
        <v>5212</v>
      </c>
      <c r="Z410" s="14" t="n">
        <f aca="false">SUM(Z408:Z409)</f>
        <v>5212</v>
      </c>
    </row>
    <row r="412" customFormat="false" ht="12.8" hidden="false" customHeight="false" outlineLevel="0" collapsed="false">
      <c r="D412" s="27" t="s">
        <v>231</v>
      </c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8"/>
      <c r="S412" s="27"/>
      <c r="T412" s="28"/>
      <c r="U412" s="27"/>
      <c r="V412" s="28"/>
      <c r="W412" s="27"/>
      <c r="X412" s="28"/>
      <c r="Y412" s="27"/>
      <c r="Z412" s="27"/>
    </row>
    <row r="413" customFormat="false" ht="12.8" hidden="false" customHeight="false" outlineLevel="0" collapsed="false">
      <c r="D413" s="7"/>
      <c r="E413" s="7"/>
      <c r="F413" s="7"/>
      <c r="G413" s="7" t="s">
        <v>1</v>
      </c>
      <c r="H413" s="7" t="s">
        <v>2</v>
      </c>
      <c r="I413" s="7" t="s">
        <v>3</v>
      </c>
      <c r="J413" s="7" t="s">
        <v>4</v>
      </c>
      <c r="K413" s="7" t="s">
        <v>5</v>
      </c>
      <c r="L413" s="7" t="s">
        <v>6</v>
      </c>
      <c r="M413" s="7" t="s">
        <v>7</v>
      </c>
      <c r="N413" s="7" t="s">
        <v>8</v>
      </c>
      <c r="O413" s="7" t="s">
        <v>9</v>
      </c>
      <c r="P413" s="7" t="s">
        <v>10</v>
      </c>
      <c r="Q413" s="7" t="s">
        <v>11</v>
      </c>
      <c r="R413" s="8" t="s">
        <v>12</v>
      </c>
      <c r="S413" s="7" t="s">
        <v>13</v>
      </c>
      <c r="T413" s="8" t="s">
        <v>14</v>
      </c>
      <c r="U413" s="7" t="s">
        <v>15</v>
      </c>
      <c r="V413" s="8" t="s">
        <v>16</v>
      </c>
      <c r="W413" s="7" t="s">
        <v>17</v>
      </c>
      <c r="X413" s="8" t="s">
        <v>18</v>
      </c>
      <c r="Y413" s="7" t="s">
        <v>19</v>
      </c>
      <c r="Z413" s="7" t="s">
        <v>20</v>
      </c>
    </row>
    <row r="414" customFormat="false" ht="12.8" hidden="false" customHeight="false" outlineLevel="0" collapsed="false">
      <c r="A414" s="1" t="n">
        <v>6</v>
      </c>
      <c r="B414" s="1" t="n">
        <v>3</v>
      </c>
      <c r="D414" s="29" t="s">
        <v>21</v>
      </c>
      <c r="E414" s="10" t="n">
        <v>41</v>
      </c>
      <c r="F414" s="10" t="s">
        <v>23</v>
      </c>
      <c r="G414" s="11" t="n">
        <f aca="false">G420+G427</f>
        <v>10483.94</v>
      </c>
      <c r="H414" s="11" t="n">
        <f aca="false">H420+H427</f>
        <v>8833.43</v>
      </c>
      <c r="I414" s="11" t="n">
        <f aca="false">I420+I427</f>
        <v>10575</v>
      </c>
      <c r="J414" s="11" t="n">
        <v>10445.56</v>
      </c>
      <c r="K414" s="11" t="n">
        <f aca="false">K420+K427</f>
        <v>10465</v>
      </c>
      <c r="L414" s="11" t="n">
        <f aca="false">L420+L427</f>
        <v>0</v>
      </c>
      <c r="M414" s="11" t="n">
        <f aca="false">M420+M427</f>
        <v>0</v>
      </c>
      <c r="N414" s="11" t="n">
        <f aca="false">N420+N427</f>
        <v>0</v>
      </c>
      <c r="O414" s="11" t="n">
        <f aca="false">O420+O427</f>
        <v>0</v>
      </c>
      <c r="P414" s="11" t="n">
        <f aca="false">P420+P427</f>
        <v>10465</v>
      </c>
      <c r="Q414" s="11" t="n">
        <f aca="false">Q420+Q427</f>
        <v>3032.36</v>
      </c>
      <c r="R414" s="12" t="n">
        <f aca="false">Q414/$P414</f>
        <v>0.289762064022933</v>
      </c>
      <c r="S414" s="11" t="n">
        <f aca="false">S420+S427</f>
        <v>5382.36</v>
      </c>
      <c r="T414" s="12" t="n">
        <f aca="false">S414/$P414</f>
        <v>0.514320114667941</v>
      </c>
      <c r="U414" s="11" t="n">
        <f aca="false">U420+U427</f>
        <v>8114.72</v>
      </c>
      <c r="V414" s="12" t="n">
        <f aca="false">U414/$P414</f>
        <v>0.77541519350215</v>
      </c>
      <c r="W414" s="11" t="n">
        <f aca="false">W420+W427</f>
        <v>9964.72</v>
      </c>
      <c r="X414" s="12" t="n">
        <f aca="false">W414/$P414</f>
        <v>0.952194935499283</v>
      </c>
      <c r="Y414" s="11" t="n">
        <f aca="false">Y420+Y427</f>
        <v>9565</v>
      </c>
      <c r="Z414" s="11" t="n">
        <f aca="false">Z420+Z427</f>
        <v>9565</v>
      </c>
    </row>
    <row r="415" customFormat="false" ht="12.8" hidden="false" customHeight="false" outlineLevel="0" collapsed="false">
      <c r="D415" s="16"/>
      <c r="E415" s="17"/>
      <c r="F415" s="13" t="s">
        <v>119</v>
      </c>
      <c r="G415" s="14" t="n">
        <f aca="false">SUM(G414:G414)</f>
        <v>10483.94</v>
      </c>
      <c r="H415" s="14" t="n">
        <f aca="false">SUM(H414:H414)</f>
        <v>8833.43</v>
      </c>
      <c r="I415" s="14" t="n">
        <f aca="false">SUM(I414:I414)</f>
        <v>10575</v>
      </c>
      <c r="J415" s="14" t="n">
        <f aca="false">SUM(J414:J414)</f>
        <v>10445.56</v>
      </c>
      <c r="K415" s="14" t="n">
        <f aca="false">SUM(K414:K414)</f>
        <v>10465</v>
      </c>
      <c r="L415" s="14" t="n">
        <f aca="false">SUM(L414:L414)</f>
        <v>0</v>
      </c>
      <c r="M415" s="14" t="n">
        <f aca="false">SUM(M414:M414)</f>
        <v>0</v>
      </c>
      <c r="N415" s="14" t="n">
        <f aca="false">SUM(N414:N414)</f>
        <v>0</v>
      </c>
      <c r="O415" s="14" t="n">
        <f aca="false">SUM(O414:O414)</f>
        <v>0</v>
      </c>
      <c r="P415" s="14" t="n">
        <f aca="false">SUM(P414:P414)</f>
        <v>10465</v>
      </c>
      <c r="Q415" s="14" t="n">
        <f aca="false">SUM(Q414:Q414)</f>
        <v>3032.36</v>
      </c>
      <c r="R415" s="15" t="n">
        <f aca="false">Q415/$P415</f>
        <v>0.289762064022933</v>
      </c>
      <c r="S415" s="14" t="n">
        <f aca="false">SUM(S414:S414)</f>
        <v>5382.36</v>
      </c>
      <c r="T415" s="15" t="n">
        <f aca="false">S415/$P415</f>
        <v>0.514320114667941</v>
      </c>
      <c r="U415" s="14" t="n">
        <f aca="false">SUM(U414:U414)</f>
        <v>8114.72</v>
      </c>
      <c r="V415" s="15" t="n">
        <f aca="false">U415/$P415</f>
        <v>0.77541519350215</v>
      </c>
      <c r="W415" s="14" t="n">
        <f aca="false">SUM(W414:W414)</f>
        <v>9964.72</v>
      </c>
      <c r="X415" s="15" t="n">
        <f aca="false">W415/$P415</f>
        <v>0.952194935499283</v>
      </c>
      <c r="Y415" s="14" t="n">
        <f aca="false">SUM(Y414:Y414)</f>
        <v>9565</v>
      </c>
      <c r="Z415" s="14" t="n">
        <f aca="false">SUM(Z414:Z414)</f>
        <v>9565</v>
      </c>
    </row>
    <row r="417" customFormat="false" ht="12.8" hidden="false" customHeight="false" outlineLevel="0" collapsed="false">
      <c r="D417" s="63" t="s">
        <v>232</v>
      </c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  <c r="R417" s="64"/>
      <c r="S417" s="63"/>
      <c r="T417" s="64"/>
      <c r="U417" s="63"/>
      <c r="V417" s="64"/>
      <c r="W417" s="63"/>
      <c r="X417" s="64"/>
      <c r="Y417" s="63"/>
      <c r="Z417" s="63"/>
    </row>
    <row r="418" customFormat="false" ht="12.8" hidden="false" customHeight="false" outlineLevel="0" collapsed="false">
      <c r="D418" s="7" t="s">
        <v>33</v>
      </c>
      <c r="E418" s="7" t="s">
        <v>34</v>
      </c>
      <c r="F418" s="7" t="s">
        <v>35</v>
      </c>
      <c r="G418" s="7" t="s">
        <v>1</v>
      </c>
      <c r="H418" s="7" t="s">
        <v>2</v>
      </c>
      <c r="I418" s="7" t="s">
        <v>3</v>
      </c>
      <c r="J418" s="7" t="s">
        <v>4</v>
      </c>
      <c r="K418" s="7" t="s">
        <v>5</v>
      </c>
      <c r="L418" s="7" t="s">
        <v>6</v>
      </c>
      <c r="M418" s="7" t="s">
        <v>7</v>
      </c>
      <c r="N418" s="7" t="s">
        <v>8</v>
      </c>
      <c r="O418" s="7" t="s">
        <v>9</v>
      </c>
      <c r="P418" s="7" t="s">
        <v>10</v>
      </c>
      <c r="Q418" s="7" t="s">
        <v>11</v>
      </c>
      <c r="R418" s="8" t="s">
        <v>12</v>
      </c>
      <c r="S418" s="7" t="s">
        <v>13</v>
      </c>
      <c r="T418" s="8" t="s">
        <v>14</v>
      </c>
      <c r="U418" s="7" t="s">
        <v>15</v>
      </c>
      <c r="V418" s="8" t="s">
        <v>16</v>
      </c>
      <c r="W418" s="7" t="s">
        <v>17</v>
      </c>
      <c r="X418" s="8" t="s">
        <v>18</v>
      </c>
      <c r="Y418" s="7" t="s">
        <v>19</v>
      </c>
      <c r="Z418" s="7" t="s">
        <v>20</v>
      </c>
    </row>
    <row r="419" customFormat="false" ht="12.8" hidden="false" customHeight="false" outlineLevel="0" collapsed="false">
      <c r="A419" s="1" t="n">
        <v>6</v>
      </c>
      <c r="B419" s="1" t="n">
        <v>3</v>
      </c>
      <c r="C419" s="1" t="n">
        <v>1</v>
      </c>
      <c r="D419" s="36" t="s">
        <v>233</v>
      </c>
      <c r="E419" s="10" t="n">
        <v>630</v>
      </c>
      <c r="F419" s="10" t="s">
        <v>126</v>
      </c>
      <c r="G419" s="11" t="n">
        <v>7483.94</v>
      </c>
      <c r="H419" s="11" t="n">
        <v>5564.72</v>
      </c>
      <c r="I419" s="11" t="n">
        <v>6175</v>
      </c>
      <c r="J419" s="11" t="n">
        <v>6175.73</v>
      </c>
      <c r="K419" s="11" t="n">
        <f aca="false">5565</f>
        <v>5565</v>
      </c>
      <c r="L419" s="11"/>
      <c r="M419" s="11"/>
      <c r="N419" s="11"/>
      <c r="O419" s="11"/>
      <c r="P419" s="11" t="n">
        <f aca="false">K419+SUM(L419:O419)</f>
        <v>5565</v>
      </c>
      <c r="Q419" s="11" t="n">
        <v>1432.36</v>
      </c>
      <c r="R419" s="12" t="n">
        <f aca="false">Q419/$P419</f>
        <v>0.257387241689128</v>
      </c>
      <c r="S419" s="11" t="n">
        <v>2782.36</v>
      </c>
      <c r="T419" s="12" t="n">
        <f aca="false">S419/$P419</f>
        <v>0.499974842767296</v>
      </c>
      <c r="U419" s="11" t="n">
        <v>4214.72</v>
      </c>
      <c r="V419" s="12" t="n">
        <f aca="false">U419/$P419</f>
        <v>0.757362084456424</v>
      </c>
      <c r="W419" s="11" t="n">
        <v>5564.72</v>
      </c>
      <c r="X419" s="12" t="n">
        <f aca="false">W419/$P419</f>
        <v>0.999949685534591</v>
      </c>
      <c r="Y419" s="11" t="n">
        <v>5565</v>
      </c>
      <c r="Z419" s="11" t="n">
        <f aca="false">Y419</f>
        <v>5565</v>
      </c>
    </row>
    <row r="420" customFormat="false" ht="12.8" hidden="false" customHeight="false" outlineLevel="0" collapsed="false">
      <c r="A420" s="1" t="n">
        <v>6</v>
      </c>
      <c r="B420" s="1" t="n">
        <v>3</v>
      </c>
      <c r="C420" s="1" t="n">
        <v>1</v>
      </c>
      <c r="D420" s="70" t="s">
        <v>21</v>
      </c>
      <c r="E420" s="13" t="n">
        <v>41</v>
      </c>
      <c r="F420" s="13" t="s">
        <v>23</v>
      </c>
      <c r="G420" s="14" t="n">
        <f aca="false">SUM(G419:G419)</f>
        <v>7483.94</v>
      </c>
      <c r="H420" s="14" t="n">
        <f aca="false">SUM(H419:H419)</f>
        <v>5564.72</v>
      </c>
      <c r="I420" s="14" t="n">
        <f aca="false">SUM(I419:I419)</f>
        <v>6175</v>
      </c>
      <c r="J420" s="14" t="n">
        <f aca="false">SUM(J419:J419)</f>
        <v>6175.73</v>
      </c>
      <c r="K420" s="14" t="n">
        <f aca="false">SUM(K419:K419)</f>
        <v>5565</v>
      </c>
      <c r="L420" s="14" t="n">
        <f aca="false">SUM(L419:L419)</f>
        <v>0</v>
      </c>
      <c r="M420" s="14" t="n">
        <f aca="false">SUM(M419:M419)</f>
        <v>0</v>
      </c>
      <c r="N420" s="14" t="n">
        <f aca="false">SUM(N419:N419)</f>
        <v>0</v>
      </c>
      <c r="O420" s="14" t="n">
        <f aca="false">SUM(O419:O419)</f>
        <v>0</v>
      </c>
      <c r="P420" s="14" t="n">
        <f aca="false">SUM(P419:P419)</f>
        <v>5565</v>
      </c>
      <c r="Q420" s="14" t="n">
        <f aca="false">SUM(Q419:Q419)</f>
        <v>1432.36</v>
      </c>
      <c r="R420" s="15" t="n">
        <f aca="false">Q420/$P420</f>
        <v>0.257387241689128</v>
      </c>
      <c r="S420" s="14" t="n">
        <f aca="false">SUM(S419:S419)</f>
        <v>2782.36</v>
      </c>
      <c r="T420" s="15" t="n">
        <f aca="false">S420/$P420</f>
        <v>0.499974842767296</v>
      </c>
      <c r="U420" s="14" t="n">
        <f aca="false">SUM(U419:U419)</f>
        <v>4214.72</v>
      </c>
      <c r="V420" s="15" t="n">
        <f aca="false">U420/$P420</f>
        <v>0.757362084456424</v>
      </c>
      <c r="W420" s="14" t="n">
        <f aca="false">SUM(W419:W419)</f>
        <v>5564.72</v>
      </c>
      <c r="X420" s="15" t="n">
        <f aca="false">W420/$P420</f>
        <v>0.999949685534591</v>
      </c>
      <c r="Y420" s="14" t="n">
        <f aca="false">SUM(Y419:Y419)</f>
        <v>5565</v>
      </c>
      <c r="Z420" s="14" t="n">
        <f aca="false">SUM(Z419:Z419)</f>
        <v>5565</v>
      </c>
    </row>
    <row r="422" customFormat="false" ht="12.8" hidden="false" customHeight="false" outlineLevel="0" collapsed="false">
      <c r="E422" s="82" t="s">
        <v>57</v>
      </c>
      <c r="F422" s="83" t="s">
        <v>234</v>
      </c>
      <c r="G422" s="84" t="n">
        <v>5400</v>
      </c>
      <c r="H422" s="84" t="n">
        <v>5400</v>
      </c>
      <c r="I422" s="84" t="n">
        <v>5400</v>
      </c>
      <c r="J422" s="84" t="n">
        <v>5400</v>
      </c>
      <c r="K422" s="84" t="n">
        <v>5400</v>
      </c>
      <c r="L422" s="84"/>
      <c r="M422" s="84"/>
      <c r="N422" s="84"/>
      <c r="O422" s="84"/>
      <c r="P422" s="84" t="n">
        <f aca="false">K422+SUM(L422:O422)</f>
        <v>5400</v>
      </c>
      <c r="Q422" s="84" t="n">
        <v>1350</v>
      </c>
      <c r="R422" s="85" t="n">
        <f aca="false">Q422/$P422</f>
        <v>0.25</v>
      </c>
      <c r="S422" s="84" t="n">
        <v>2700</v>
      </c>
      <c r="T422" s="85" t="n">
        <f aca="false">S422/$P422</f>
        <v>0.5</v>
      </c>
      <c r="U422" s="84" t="n">
        <v>4050</v>
      </c>
      <c r="V422" s="85" t="n">
        <f aca="false">U422/$P422</f>
        <v>0.75</v>
      </c>
      <c r="W422" s="84" t="n">
        <v>5400</v>
      </c>
      <c r="X422" s="85" t="n">
        <f aca="false">W422/$P422</f>
        <v>1</v>
      </c>
      <c r="Y422" s="84" t="n">
        <v>5400</v>
      </c>
      <c r="Z422" s="86" t="n">
        <v>5400</v>
      </c>
    </row>
    <row r="424" customFormat="false" ht="12.8" hidden="false" customHeight="false" outlineLevel="0" collapsed="false">
      <c r="D424" s="63" t="s">
        <v>235</v>
      </c>
      <c r="E424" s="63"/>
      <c r="F424" s="63"/>
      <c r="G424" s="63"/>
      <c r="H424" s="63"/>
      <c r="I424" s="63"/>
      <c r="J424" s="63"/>
      <c r="K424" s="63"/>
      <c r="L424" s="63"/>
      <c r="M424" s="63"/>
      <c r="N424" s="63"/>
      <c r="O424" s="63"/>
      <c r="P424" s="63"/>
      <c r="Q424" s="63"/>
      <c r="R424" s="64"/>
      <c r="S424" s="63"/>
      <c r="T424" s="64"/>
      <c r="U424" s="63"/>
      <c r="V424" s="64"/>
      <c r="W424" s="63"/>
      <c r="X424" s="64"/>
      <c r="Y424" s="63"/>
      <c r="Z424" s="63"/>
    </row>
    <row r="425" customFormat="false" ht="12.8" hidden="false" customHeight="false" outlineLevel="0" collapsed="false">
      <c r="D425" s="7" t="s">
        <v>33</v>
      </c>
      <c r="E425" s="7" t="s">
        <v>34</v>
      </c>
      <c r="F425" s="7" t="s">
        <v>35</v>
      </c>
      <c r="G425" s="7" t="s">
        <v>1</v>
      </c>
      <c r="H425" s="7" t="s">
        <v>2</v>
      </c>
      <c r="I425" s="7" t="s">
        <v>3</v>
      </c>
      <c r="J425" s="7" t="s">
        <v>4</v>
      </c>
      <c r="K425" s="7" t="s">
        <v>5</v>
      </c>
      <c r="L425" s="7" t="s">
        <v>6</v>
      </c>
      <c r="M425" s="7" t="s">
        <v>7</v>
      </c>
      <c r="N425" s="7" t="s">
        <v>8</v>
      </c>
      <c r="O425" s="7" t="s">
        <v>9</v>
      </c>
      <c r="P425" s="7" t="s">
        <v>10</v>
      </c>
      <c r="Q425" s="7" t="s">
        <v>11</v>
      </c>
      <c r="R425" s="8" t="s">
        <v>12</v>
      </c>
      <c r="S425" s="7" t="s">
        <v>13</v>
      </c>
      <c r="T425" s="8" t="s">
        <v>14</v>
      </c>
      <c r="U425" s="7" t="s">
        <v>15</v>
      </c>
      <c r="V425" s="8" t="s">
        <v>16</v>
      </c>
      <c r="W425" s="7" t="s">
        <v>17</v>
      </c>
      <c r="X425" s="8" t="s">
        <v>18</v>
      </c>
      <c r="Y425" s="7" t="s">
        <v>19</v>
      </c>
      <c r="Z425" s="7" t="s">
        <v>20</v>
      </c>
    </row>
    <row r="426" customFormat="false" ht="12.8" hidden="false" customHeight="false" outlineLevel="0" collapsed="false">
      <c r="A426" s="1" t="n">
        <v>6</v>
      </c>
      <c r="B426" s="1" t="n">
        <v>3</v>
      </c>
      <c r="C426" s="1" t="n">
        <v>2</v>
      </c>
      <c r="D426" s="36" t="s">
        <v>233</v>
      </c>
      <c r="E426" s="10" t="n">
        <v>640</v>
      </c>
      <c r="F426" s="10" t="s">
        <v>127</v>
      </c>
      <c r="G426" s="11" t="n">
        <v>3000</v>
      </c>
      <c r="H426" s="11" t="n">
        <v>3268.71</v>
      </c>
      <c r="I426" s="11" t="n">
        <v>4400</v>
      </c>
      <c r="J426" s="11" t="n">
        <v>4269.83</v>
      </c>
      <c r="K426" s="11" t="n">
        <f aca="false">SUM(K429:K433)</f>
        <v>4900</v>
      </c>
      <c r="L426" s="11"/>
      <c r="M426" s="11"/>
      <c r="N426" s="11"/>
      <c r="O426" s="11"/>
      <c r="P426" s="11" t="n">
        <f aca="false">K426+SUM(L426:O426)</f>
        <v>4900</v>
      </c>
      <c r="Q426" s="11" t="n">
        <v>1600</v>
      </c>
      <c r="R426" s="12" t="n">
        <f aca="false">Q426/$P426</f>
        <v>0.326530612244898</v>
      </c>
      <c r="S426" s="11" t="n">
        <v>2600</v>
      </c>
      <c r="T426" s="12" t="n">
        <f aca="false">S426/$P426</f>
        <v>0.530612244897959</v>
      </c>
      <c r="U426" s="11" t="n">
        <v>3900</v>
      </c>
      <c r="V426" s="12" t="n">
        <f aca="false">U426/$P426</f>
        <v>0.795918367346939</v>
      </c>
      <c r="W426" s="11" t="n">
        <v>4400</v>
      </c>
      <c r="X426" s="12" t="n">
        <f aca="false">W426/$P426</f>
        <v>0.897959183673469</v>
      </c>
      <c r="Y426" s="11" t="n">
        <v>4000</v>
      </c>
      <c r="Z426" s="11" t="n">
        <f aca="false">Y426</f>
        <v>4000</v>
      </c>
    </row>
    <row r="427" customFormat="false" ht="12.8" hidden="false" customHeight="false" outlineLevel="0" collapsed="false">
      <c r="A427" s="1" t="n">
        <v>6</v>
      </c>
      <c r="B427" s="1" t="n">
        <v>3</v>
      </c>
      <c r="C427" s="1" t="n">
        <v>2</v>
      </c>
      <c r="D427" s="70" t="s">
        <v>21</v>
      </c>
      <c r="E427" s="13" t="n">
        <v>41</v>
      </c>
      <c r="F427" s="13" t="s">
        <v>23</v>
      </c>
      <c r="G427" s="14" t="n">
        <f aca="false">SUM(G426:G426)</f>
        <v>3000</v>
      </c>
      <c r="H427" s="14" t="n">
        <f aca="false">SUM(H426:H426)</f>
        <v>3268.71</v>
      </c>
      <c r="I427" s="14" t="n">
        <f aca="false">SUM(I426:I426)</f>
        <v>4400</v>
      </c>
      <c r="J427" s="14" t="n">
        <f aca="false">SUM(J426:J426)</f>
        <v>4269.83</v>
      </c>
      <c r="K427" s="14" t="n">
        <f aca="false">SUM(K426:K426)</f>
        <v>4900</v>
      </c>
      <c r="L427" s="14" t="n">
        <f aca="false">SUM(L426:L426)</f>
        <v>0</v>
      </c>
      <c r="M427" s="14" t="n">
        <f aca="false">SUM(M426:M426)</f>
        <v>0</v>
      </c>
      <c r="N427" s="14" t="n">
        <f aca="false">SUM(N426:N426)</f>
        <v>0</v>
      </c>
      <c r="O427" s="14" t="n">
        <f aca="false">SUM(O426:O426)</f>
        <v>0</v>
      </c>
      <c r="P427" s="14" t="n">
        <f aca="false">SUM(P426:P426)</f>
        <v>4900</v>
      </c>
      <c r="Q427" s="14" t="n">
        <f aca="false">SUM(Q426:Q426)</f>
        <v>1600</v>
      </c>
      <c r="R427" s="15" t="n">
        <f aca="false">Q427/$P427</f>
        <v>0.326530612244898</v>
      </c>
      <c r="S427" s="14" t="n">
        <f aca="false">SUM(S426:S426)</f>
        <v>2600</v>
      </c>
      <c r="T427" s="15" t="n">
        <f aca="false">S427/$P427</f>
        <v>0.530612244897959</v>
      </c>
      <c r="U427" s="14" t="n">
        <f aca="false">SUM(U426:U426)</f>
        <v>3900</v>
      </c>
      <c r="V427" s="15" t="n">
        <f aca="false">U427/$P427</f>
        <v>0.795918367346939</v>
      </c>
      <c r="W427" s="14" t="n">
        <f aca="false">SUM(W426:W426)</f>
        <v>4400</v>
      </c>
      <c r="X427" s="15" t="n">
        <f aca="false">W427/$P427</f>
        <v>0.897959183673469</v>
      </c>
      <c r="Y427" s="14" t="n">
        <f aca="false">SUM(Y426:Y426)</f>
        <v>4000</v>
      </c>
      <c r="Z427" s="14" t="n">
        <f aca="false">SUM(Z426:Z426)</f>
        <v>4000</v>
      </c>
    </row>
    <row r="429" customFormat="false" ht="12.8" hidden="false" customHeight="false" outlineLevel="0" collapsed="false">
      <c r="E429" s="39" t="s">
        <v>57</v>
      </c>
      <c r="F429" s="16" t="s">
        <v>236</v>
      </c>
      <c r="G429" s="40" t="n">
        <v>1000</v>
      </c>
      <c r="H429" s="40" t="n">
        <v>1100</v>
      </c>
      <c r="I429" s="40" t="n">
        <v>1100</v>
      </c>
      <c r="J429" s="40" t="n">
        <v>1100</v>
      </c>
      <c r="K429" s="40" t="n">
        <v>1100</v>
      </c>
      <c r="L429" s="40"/>
      <c r="M429" s="40"/>
      <c r="N429" s="40"/>
      <c r="O429" s="40"/>
      <c r="P429" s="40" t="n">
        <f aca="false">K429+SUM(L429:O429)</f>
        <v>1100</v>
      </c>
      <c r="Q429" s="40" t="n">
        <v>600</v>
      </c>
      <c r="R429" s="41" t="n">
        <f aca="false">Q429/$P429</f>
        <v>0.545454545454545</v>
      </c>
      <c r="S429" s="40" t="n">
        <v>110</v>
      </c>
      <c r="T429" s="41" t="n">
        <f aca="false">S429/$P429</f>
        <v>0.1</v>
      </c>
      <c r="U429" s="40" t="n">
        <v>1100</v>
      </c>
      <c r="V429" s="41" t="n">
        <f aca="false">U429/$P429</f>
        <v>1</v>
      </c>
      <c r="W429" s="40" t="n">
        <v>1100</v>
      </c>
      <c r="X429" s="42" t="n">
        <f aca="false">W429/$P429</f>
        <v>1</v>
      </c>
      <c r="Y429" s="40"/>
      <c r="Z429" s="44"/>
    </row>
    <row r="430" customFormat="false" ht="12.8" hidden="false" customHeight="false" outlineLevel="0" collapsed="false">
      <c r="E430" s="45"/>
      <c r="F430" s="1" t="s">
        <v>237</v>
      </c>
      <c r="G430" s="51" t="n">
        <v>2000</v>
      </c>
      <c r="H430" s="47" t="n">
        <v>1168.71</v>
      </c>
      <c r="I430" s="47" t="n">
        <v>1800</v>
      </c>
      <c r="J430" s="47" t="n">
        <v>1669.83</v>
      </c>
      <c r="K430" s="47" t="n">
        <v>1500</v>
      </c>
      <c r="L430" s="47"/>
      <c r="M430" s="47"/>
      <c r="N430" s="47"/>
      <c r="O430" s="47"/>
      <c r="P430" s="47" t="n">
        <f aca="false">K430+SUM(L430:O430)</f>
        <v>1500</v>
      </c>
      <c r="Q430" s="47" t="n">
        <v>0</v>
      </c>
      <c r="R430" s="2" t="n">
        <f aca="false">Q430/$P430</f>
        <v>0</v>
      </c>
      <c r="S430" s="47" t="n">
        <v>500</v>
      </c>
      <c r="T430" s="2" t="n">
        <f aca="false">S430/$P430</f>
        <v>0.333333333333333</v>
      </c>
      <c r="U430" s="47" t="n">
        <v>500</v>
      </c>
      <c r="V430" s="2" t="n">
        <f aca="false">U430/$P430</f>
        <v>0.333333333333333</v>
      </c>
      <c r="W430" s="47" t="n">
        <v>1000</v>
      </c>
      <c r="X430" s="48" t="n">
        <f aca="false">W430/$P430</f>
        <v>0.666666666666667</v>
      </c>
      <c r="Y430" s="47"/>
      <c r="Z430" s="50"/>
    </row>
    <row r="431" customFormat="false" ht="12.8" hidden="false" customHeight="false" outlineLevel="0" collapsed="false">
      <c r="E431" s="45"/>
      <c r="F431" s="46" t="s">
        <v>238</v>
      </c>
      <c r="G431" s="51"/>
      <c r="H431" s="47" t="n">
        <v>1000</v>
      </c>
      <c r="I431" s="47" t="n">
        <v>1000</v>
      </c>
      <c r="J431" s="47" t="n">
        <v>1000</v>
      </c>
      <c r="K431" s="47" t="n">
        <v>1300</v>
      </c>
      <c r="L431" s="47"/>
      <c r="M431" s="47"/>
      <c r="N431" s="47"/>
      <c r="O431" s="47"/>
      <c r="P431" s="47" t="n">
        <f aca="false">K431+SUM(L431:O431)</f>
        <v>1300</v>
      </c>
      <c r="Q431" s="47" t="n">
        <v>0</v>
      </c>
      <c r="R431" s="2" t="n">
        <f aca="false">Q431/$P431</f>
        <v>0</v>
      </c>
      <c r="S431" s="47" t="n">
        <v>0</v>
      </c>
      <c r="T431" s="2" t="n">
        <f aca="false">S431/$P431</f>
        <v>0</v>
      </c>
      <c r="U431" s="47" t="n">
        <v>1300</v>
      </c>
      <c r="V431" s="2" t="n">
        <f aca="false">U431/$P431</f>
        <v>1</v>
      </c>
      <c r="W431" s="47" t="n">
        <v>1300</v>
      </c>
      <c r="X431" s="48" t="n">
        <f aca="false">W431/$P431</f>
        <v>1</v>
      </c>
      <c r="Y431" s="47"/>
      <c r="Z431" s="50"/>
    </row>
    <row r="432" customFormat="false" ht="12.8" hidden="false" customHeight="false" outlineLevel="0" collapsed="false">
      <c r="E432" s="54"/>
      <c r="F432" s="55" t="s">
        <v>239</v>
      </c>
      <c r="G432" s="91"/>
      <c r="H432" s="56"/>
      <c r="I432" s="56" t="n">
        <v>500</v>
      </c>
      <c r="J432" s="56" t="n">
        <v>500</v>
      </c>
      <c r="K432" s="56" t="n">
        <v>1000</v>
      </c>
      <c r="L432" s="56"/>
      <c r="M432" s="56"/>
      <c r="N432" s="56"/>
      <c r="O432" s="56"/>
      <c r="P432" s="56" t="n">
        <f aca="false">K432+SUM(L432:O432)</f>
        <v>1000</v>
      </c>
      <c r="Q432" s="56" t="n">
        <v>1000</v>
      </c>
      <c r="R432" s="57" t="n">
        <f aca="false">Q432/$P432</f>
        <v>1</v>
      </c>
      <c r="S432" s="56" t="n">
        <v>1000</v>
      </c>
      <c r="T432" s="57" t="n">
        <f aca="false">S432/$P432</f>
        <v>1</v>
      </c>
      <c r="U432" s="56" t="n">
        <v>1000</v>
      </c>
      <c r="V432" s="57" t="n">
        <f aca="false">U432/$P432</f>
        <v>1</v>
      </c>
      <c r="W432" s="56" t="n">
        <v>1000</v>
      </c>
      <c r="X432" s="58" t="n">
        <f aca="false">W432/$P432</f>
        <v>1</v>
      </c>
      <c r="Y432" s="47"/>
      <c r="Z432" s="50"/>
    </row>
    <row r="433" customFormat="false" ht="12.8" hidden="true" customHeight="false" outlineLevel="0" collapsed="false">
      <c r="E433" s="54"/>
      <c r="F433" s="72" t="s">
        <v>229</v>
      </c>
      <c r="G433" s="91"/>
      <c r="H433" s="91"/>
      <c r="I433" s="91"/>
      <c r="J433" s="91"/>
      <c r="K433" s="91"/>
      <c r="L433" s="91"/>
      <c r="M433" s="91"/>
      <c r="N433" s="91"/>
      <c r="O433" s="91"/>
      <c r="P433" s="91" t="n">
        <f aca="false">K433+SUM(L433:O433)</f>
        <v>0</v>
      </c>
      <c r="Q433" s="91"/>
      <c r="R433" s="111" t="e">
        <f aca="false">Q433/$P433</f>
        <v>#DIV/0!</v>
      </c>
      <c r="S433" s="91"/>
      <c r="T433" s="111" t="e">
        <f aca="false">S433/$P433</f>
        <v>#DIV/0!</v>
      </c>
      <c r="U433" s="91"/>
      <c r="V433" s="111" t="e">
        <f aca="false">U433/$P433</f>
        <v>#DIV/0!</v>
      </c>
      <c r="W433" s="91"/>
      <c r="X433" s="111" t="e">
        <f aca="false">W433/$P433</f>
        <v>#DIV/0!</v>
      </c>
      <c r="Y433" s="91" t="n">
        <v>4000</v>
      </c>
      <c r="Z433" s="60" t="n">
        <v>4000</v>
      </c>
    </row>
    <row r="435" customFormat="false" ht="12.8" hidden="false" customHeight="false" outlineLevel="0" collapsed="false">
      <c r="D435" s="18" t="s">
        <v>240</v>
      </c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9"/>
      <c r="S435" s="18"/>
      <c r="T435" s="19"/>
      <c r="U435" s="18"/>
      <c r="V435" s="19"/>
      <c r="W435" s="18"/>
      <c r="X435" s="19"/>
      <c r="Y435" s="18"/>
      <c r="Z435" s="18"/>
    </row>
    <row r="436" customFormat="false" ht="12.8" hidden="false" customHeight="false" outlineLevel="0" collapsed="false">
      <c r="D436" s="6"/>
      <c r="E436" s="6"/>
      <c r="F436" s="6"/>
      <c r="G436" s="7" t="s">
        <v>1</v>
      </c>
      <c r="H436" s="7" t="s">
        <v>2</v>
      </c>
      <c r="I436" s="7" t="s">
        <v>3</v>
      </c>
      <c r="J436" s="7" t="s">
        <v>4</v>
      </c>
      <c r="K436" s="7" t="s">
        <v>5</v>
      </c>
      <c r="L436" s="7" t="s">
        <v>6</v>
      </c>
      <c r="M436" s="7" t="s">
        <v>7</v>
      </c>
      <c r="N436" s="7" t="s">
        <v>8</v>
      </c>
      <c r="O436" s="7" t="s">
        <v>9</v>
      </c>
      <c r="P436" s="7" t="s">
        <v>10</v>
      </c>
      <c r="Q436" s="7" t="s">
        <v>11</v>
      </c>
      <c r="R436" s="8" t="s">
        <v>12</v>
      </c>
      <c r="S436" s="7" t="s">
        <v>13</v>
      </c>
      <c r="T436" s="8" t="s">
        <v>14</v>
      </c>
      <c r="U436" s="7" t="s">
        <v>15</v>
      </c>
      <c r="V436" s="8" t="s">
        <v>16</v>
      </c>
      <c r="W436" s="7" t="s">
        <v>17</v>
      </c>
      <c r="X436" s="8" t="s">
        <v>18</v>
      </c>
      <c r="Y436" s="7" t="s">
        <v>19</v>
      </c>
      <c r="Z436" s="7" t="s">
        <v>20</v>
      </c>
    </row>
    <row r="437" customFormat="false" ht="12.8" hidden="false" customHeight="false" outlineLevel="0" collapsed="false">
      <c r="A437" s="1" t="n">
        <v>7</v>
      </c>
      <c r="D437" s="20" t="s">
        <v>21</v>
      </c>
      <c r="E437" s="21" t="n">
        <v>111</v>
      </c>
      <c r="F437" s="21" t="s">
        <v>47</v>
      </c>
      <c r="G437" s="22" t="n">
        <f aca="false">G444+G482</f>
        <v>52248.66</v>
      </c>
      <c r="H437" s="22" t="n">
        <f aca="false">H444+H482</f>
        <v>39381.36</v>
      </c>
      <c r="I437" s="22" t="n">
        <f aca="false">I444+I482</f>
        <v>39200</v>
      </c>
      <c r="J437" s="22" t="n">
        <f aca="false">J444+J482</f>
        <v>40325.07</v>
      </c>
      <c r="K437" s="22" t="n">
        <f aca="false">K444+K482</f>
        <v>34596</v>
      </c>
      <c r="L437" s="22" t="n">
        <f aca="false">L444+L482</f>
        <v>541</v>
      </c>
      <c r="M437" s="22" t="n">
        <f aca="false">M444+M482</f>
        <v>0</v>
      </c>
      <c r="N437" s="22" t="n">
        <f aca="false">N444+N482</f>
        <v>0</v>
      </c>
      <c r="O437" s="22" t="n">
        <f aca="false">O444+O482</f>
        <v>1615</v>
      </c>
      <c r="P437" s="22" t="n">
        <f aca="false">P444+P482</f>
        <v>36752</v>
      </c>
      <c r="Q437" s="22" t="n">
        <f aca="false">Q444+Q482</f>
        <v>9116.13</v>
      </c>
      <c r="R437" s="23" t="n">
        <f aca="false">Q437/$P437</f>
        <v>0.248044460165433</v>
      </c>
      <c r="S437" s="22" t="n">
        <f aca="false">S444+S482</f>
        <v>18053.2</v>
      </c>
      <c r="T437" s="23" t="n">
        <f aca="false">S437/$P437</f>
        <v>0.491216804527645</v>
      </c>
      <c r="U437" s="22" t="n">
        <f aca="false">U444+U482</f>
        <v>26622.65</v>
      </c>
      <c r="V437" s="23" t="n">
        <f aca="false">U437/$P437</f>
        <v>0.724386427949499</v>
      </c>
      <c r="W437" s="22" t="n">
        <f aca="false">W444+W482</f>
        <v>36752.41</v>
      </c>
      <c r="X437" s="23" t="n">
        <f aca="false">W437/$P437</f>
        <v>1.00001115585546</v>
      </c>
      <c r="Y437" s="22" t="n">
        <f aca="false">Y444+Y482</f>
        <v>33660</v>
      </c>
      <c r="Z437" s="22" t="n">
        <f aca="false">Z444+Z482</f>
        <v>33660</v>
      </c>
    </row>
    <row r="438" customFormat="false" ht="12.8" hidden="false" customHeight="false" outlineLevel="0" collapsed="false">
      <c r="A438" s="1" t="n">
        <v>7</v>
      </c>
      <c r="D438" s="20"/>
      <c r="E438" s="21" t="n">
        <v>41</v>
      </c>
      <c r="F438" s="21" t="s">
        <v>23</v>
      </c>
      <c r="G438" s="22" t="n">
        <f aca="false">G445+G485</f>
        <v>47699.55</v>
      </c>
      <c r="H438" s="22" t="n">
        <f aca="false">H445+H485</f>
        <v>51830.06</v>
      </c>
      <c r="I438" s="22" t="n">
        <f aca="false">I445+I485</f>
        <v>56418</v>
      </c>
      <c r="J438" s="22" t="n">
        <f aca="false">J445+J485</f>
        <v>51813.01</v>
      </c>
      <c r="K438" s="22" t="n">
        <f aca="false">K445+K485</f>
        <v>65077</v>
      </c>
      <c r="L438" s="22" t="n">
        <f aca="false">L445+L485</f>
        <v>-541</v>
      </c>
      <c r="M438" s="22" t="n">
        <f aca="false">M445+M485</f>
        <v>0</v>
      </c>
      <c r="N438" s="22" t="n">
        <f aca="false">N445+N485</f>
        <v>0</v>
      </c>
      <c r="O438" s="22" t="n">
        <f aca="false">O445+O485</f>
        <v>-866</v>
      </c>
      <c r="P438" s="22" t="n">
        <f aca="false">P445+P485</f>
        <v>63670</v>
      </c>
      <c r="Q438" s="22" t="n">
        <f aca="false">Q445+Q485</f>
        <v>14936.04</v>
      </c>
      <c r="R438" s="23" t="n">
        <f aca="false">Q438/$P438</f>
        <v>0.234585204963091</v>
      </c>
      <c r="S438" s="22" t="n">
        <f aca="false">S445+S485</f>
        <v>29437.76</v>
      </c>
      <c r="T438" s="23" t="n">
        <f aca="false">S438/$P438</f>
        <v>0.462348986964033</v>
      </c>
      <c r="U438" s="22" t="n">
        <f aca="false">U445+U485</f>
        <v>39905.17</v>
      </c>
      <c r="V438" s="23" t="n">
        <f aca="false">U438/$P438</f>
        <v>0.62674996073504</v>
      </c>
      <c r="W438" s="22" t="n">
        <f aca="false">W445+W485</f>
        <v>59918.84</v>
      </c>
      <c r="X438" s="23" t="n">
        <f aca="false">W438/$P438</f>
        <v>0.941084341133972</v>
      </c>
      <c r="Y438" s="22" t="n">
        <f aca="false">Y445+Y485</f>
        <v>61734</v>
      </c>
      <c r="Z438" s="22" t="n">
        <f aca="false">Z445+Z485</f>
        <v>65116</v>
      </c>
    </row>
    <row r="439" customFormat="false" ht="12.8" hidden="false" customHeight="false" outlineLevel="0" collapsed="false">
      <c r="D439" s="20"/>
      <c r="E439" s="21" t="n">
        <v>72</v>
      </c>
      <c r="F439" s="21" t="s">
        <v>25</v>
      </c>
      <c r="G439" s="22" t="n">
        <f aca="false">G446</f>
        <v>0</v>
      </c>
      <c r="H439" s="22" t="n">
        <f aca="false">H446</f>
        <v>0</v>
      </c>
      <c r="I439" s="22" t="n">
        <f aca="false">I446</f>
        <v>0</v>
      </c>
      <c r="J439" s="22" t="n">
        <f aca="false">J446</f>
        <v>0</v>
      </c>
      <c r="K439" s="22" t="n">
        <f aca="false">K446</f>
        <v>700</v>
      </c>
      <c r="L439" s="22" t="n">
        <f aca="false">L446</f>
        <v>0</v>
      </c>
      <c r="M439" s="22" t="n">
        <f aca="false">M446</f>
        <v>0</v>
      </c>
      <c r="N439" s="22" t="n">
        <f aca="false">N446</f>
        <v>0</v>
      </c>
      <c r="O439" s="22" t="n">
        <f aca="false">O446</f>
        <v>-16</v>
      </c>
      <c r="P439" s="22" t="n">
        <f aca="false">P446</f>
        <v>684</v>
      </c>
      <c r="Q439" s="22" t="n">
        <f aca="false">Q446</f>
        <v>0</v>
      </c>
      <c r="R439" s="23" t="n">
        <f aca="false">Q439/$P439</f>
        <v>0</v>
      </c>
      <c r="S439" s="22" t="n">
        <f aca="false">S446</f>
        <v>0</v>
      </c>
      <c r="T439" s="23" t="n">
        <f aca="false">S439/$P439</f>
        <v>0</v>
      </c>
      <c r="U439" s="22" t="n">
        <f aca="false">U446</f>
        <v>0</v>
      </c>
      <c r="V439" s="23" t="n">
        <f aca="false">U439/$P439</f>
        <v>0</v>
      </c>
      <c r="W439" s="22" t="n">
        <f aca="false">W446</f>
        <v>684.11</v>
      </c>
      <c r="X439" s="23" t="n">
        <f aca="false">W439/$P439</f>
        <v>1.00016081871345</v>
      </c>
      <c r="Y439" s="22" t="n">
        <f aca="false">Y446</f>
        <v>700</v>
      </c>
      <c r="Z439" s="22" t="n">
        <f aca="false">Z446</f>
        <v>700</v>
      </c>
    </row>
    <row r="440" customFormat="false" ht="12.8" hidden="false" customHeight="false" outlineLevel="0" collapsed="false">
      <c r="A440" s="1" t="n">
        <v>7</v>
      </c>
      <c r="D440" s="16"/>
      <c r="E440" s="17"/>
      <c r="F440" s="24" t="s">
        <v>119</v>
      </c>
      <c r="G440" s="25" t="n">
        <f aca="false">SUM(G437:G439)</f>
        <v>99948.21</v>
      </c>
      <c r="H440" s="25" t="n">
        <f aca="false">SUM(H437:H439)</f>
        <v>91211.42</v>
      </c>
      <c r="I440" s="25" t="n">
        <f aca="false">SUM(I437:I439)</f>
        <v>95618</v>
      </c>
      <c r="J440" s="25" t="n">
        <f aca="false">SUM(J437:J439)</f>
        <v>92138.08</v>
      </c>
      <c r="K440" s="25" t="n">
        <f aca="false">SUM(K437:K439)</f>
        <v>100373</v>
      </c>
      <c r="L440" s="25" t="n">
        <f aca="false">SUM(L437:L439)</f>
        <v>0</v>
      </c>
      <c r="M440" s="25" t="n">
        <f aca="false">SUM(M437:M439)</f>
        <v>0</v>
      </c>
      <c r="N440" s="25" t="n">
        <f aca="false">SUM(N437:N439)</f>
        <v>0</v>
      </c>
      <c r="O440" s="25" t="n">
        <f aca="false">SUM(O437:O439)</f>
        <v>733</v>
      </c>
      <c r="P440" s="25" t="n">
        <f aca="false">SUM(P437:P439)</f>
        <v>101106</v>
      </c>
      <c r="Q440" s="25" t="n">
        <f aca="false">SUM(Q437:Q439)</f>
        <v>24052.17</v>
      </c>
      <c r="R440" s="26" t="n">
        <f aca="false">Q440/$P440</f>
        <v>0.237890629636223</v>
      </c>
      <c r="S440" s="25" t="n">
        <f aca="false">SUM(S437:S439)</f>
        <v>47490.96</v>
      </c>
      <c r="T440" s="26" t="n">
        <f aca="false">S440/$P440</f>
        <v>0.469714556999585</v>
      </c>
      <c r="U440" s="25" t="n">
        <f aca="false">SUM(U437:U439)</f>
        <v>66527.82</v>
      </c>
      <c r="V440" s="26" t="n">
        <f aca="false">U440/$P440</f>
        <v>0.65800071212391</v>
      </c>
      <c r="W440" s="25" t="n">
        <f aca="false">SUM(W437:W439)</f>
        <v>97355.36</v>
      </c>
      <c r="X440" s="26" t="n">
        <f aca="false">W440/$P440</f>
        <v>0.962903883053429</v>
      </c>
      <c r="Y440" s="25" t="n">
        <f aca="false">SUM(Y437:Y439)</f>
        <v>96094</v>
      </c>
      <c r="Z440" s="25" t="n">
        <f aca="false">SUM(Z437:Z439)</f>
        <v>99476</v>
      </c>
    </row>
    <row r="442" customFormat="false" ht="12.8" hidden="false" customHeight="false" outlineLevel="0" collapsed="false">
      <c r="D442" s="27" t="s">
        <v>241</v>
      </c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8"/>
      <c r="S442" s="27"/>
      <c r="T442" s="28"/>
      <c r="U442" s="27"/>
      <c r="V442" s="28"/>
      <c r="W442" s="27"/>
      <c r="X442" s="28"/>
      <c r="Y442" s="27"/>
      <c r="Z442" s="27"/>
    </row>
    <row r="443" customFormat="false" ht="12.8" hidden="false" customHeight="false" outlineLevel="0" collapsed="false">
      <c r="D443" s="103"/>
      <c r="E443" s="103"/>
      <c r="F443" s="103"/>
      <c r="G443" s="7" t="s">
        <v>1</v>
      </c>
      <c r="H443" s="7" t="s">
        <v>2</v>
      </c>
      <c r="I443" s="7" t="s">
        <v>3</v>
      </c>
      <c r="J443" s="7" t="s">
        <v>4</v>
      </c>
      <c r="K443" s="7" t="s">
        <v>5</v>
      </c>
      <c r="L443" s="7" t="s">
        <v>6</v>
      </c>
      <c r="M443" s="7" t="s">
        <v>7</v>
      </c>
      <c r="N443" s="7" t="s">
        <v>8</v>
      </c>
      <c r="O443" s="7" t="s">
        <v>9</v>
      </c>
      <c r="P443" s="7" t="s">
        <v>10</v>
      </c>
      <c r="Q443" s="7" t="s">
        <v>11</v>
      </c>
      <c r="R443" s="8" t="s">
        <v>12</v>
      </c>
      <c r="S443" s="7" t="s">
        <v>13</v>
      </c>
      <c r="T443" s="8" t="s">
        <v>14</v>
      </c>
      <c r="U443" s="7" t="s">
        <v>15</v>
      </c>
      <c r="V443" s="8" t="s">
        <v>16</v>
      </c>
      <c r="W443" s="7" t="s">
        <v>17</v>
      </c>
      <c r="X443" s="8" t="s">
        <v>18</v>
      </c>
      <c r="Y443" s="7" t="s">
        <v>19</v>
      </c>
      <c r="Z443" s="7" t="s">
        <v>20</v>
      </c>
    </row>
    <row r="444" customFormat="false" ht="12.8" hidden="false" customHeight="false" outlineLevel="0" collapsed="false">
      <c r="A444" s="1" t="n">
        <v>7</v>
      </c>
      <c r="B444" s="1" t="n">
        <v>1</v>
      </c>
      <c r="D444" s="29" t="s">
        <v>21</v>
      </c>
      <c r="E444" s="10" t="n">
        <v>111</v>
      </c>
      <c r="F444" s="10" t="s">
        <v>47</v>
      </c>
      <c r="G444" s="11" t="n">
        <f aca="false">G454</f>
        <v>50189.54</v>
      </c>
      <c r="H444" s="11" t="n">
        <f aca="false">H454</f>
        <v>38347.4</v>
      </c>
      <c r="I444" s="11" t="n">
        <f aca="false">I454</f>
        <v>38400</v>
      </c>
      <c r="J444" s="11" t="n">
        <v>38494.67</v>
      </c>
      <c r="K444" s="11" t="n">
        <f aca="false">K454</f>
        <v>32936</v>
      </c>
      <c r="L444" s="11" t="n">
        <f aca="false">L454</f>
        <v>541</v>
      </c>
      <c r="M444" s="11" t="n">
        <f aca="false">M454</f>
        <v>0</v>
      </c>
      <c r="N444" s="11" t="n">
        <f aca="false">N454</f>
        <v>0</v>
      </c>
      <c r="O444" s="11" t="n">
        <f aca="false">O454</f>
        <v>1448</v>
      </c>
      <c r="P444" s="11" t="n">
        <f aca="false">P454</f>
        <v>34925</v>
      </c>
      <c r="Q444" s="11" t="n">
        <f aca="false">Q454</f>
        <v>8486.41</v>
      </c>
      <c r="R444" s="12" t="n">
        <f aca="false">Q444/$P444</f>
        <v>0.242989549033644</v>
      </c>
      <c r="S444" s="11" t="n">
        <f aca="false">S454</f>
        <v>16852.28</v>
      </c>
      <c r="T444" s="12" t="n">
        <f aca="false">S444/$P444</f>
        <v>0.482527702219041</v>
      </c>
      <c r="U444" s="11" t="n">
        <f aca="false">U454</f>
        <v>25209.29</v>
      </c>
      <c r="V444" s="12" t="n">
        <f aca="false">U444/$P444</f>
        <v>0.721812168933429</v>
      </c>
      <c r="W444" s="11" t="n">
        <f aca="false">W454</f>
        <v>34925.29</v>
      </c>
      <c r="X444" s="12" t="n">
        <f aca="false">W444/$P444</f>
        <v>1.00000830350752</v>
      </c>
      <c r="Y444" s="11" t="n">
        <f aca="false">Y454</f>
        <v>32000</v>
      </c>
      <c r="Z444" s="11" t="n">
        <f aca="false">Z454</f>
        <v>32000</v>
      </c>
    </row>
    <row r="445" customFormat="false" ht="12.8" hidden="false" customHeight="false" outlineLevel="0" collapsed="false">
      <c r="A445" s="1" t="n">
        <v>7</v>
      </c>
      <c r="B445" s="1" t="n">
        <v>1</v>
      </c>
      <c r="D445" s="29"/>
      <c r="E445" s="10" t="n">
        <v>41</v>
      </c>
      <c r="F445" s="10" t="s">
        <v>23</v>
      </c>
      <c r="G445" s="11" t="n">
        <f aca="false">G459+G473</f>
        <v>44149.55</v>
      </c>
      <c r="H445" s="11" t="n">
        <f aca="false">H459+H473</f>
        <v>46980.06</v>
      </c>
      <c r="I445" s="11" t="n">
        <f aca="false">I459+I473</f>
        <v>53168</v>
      </c>
      <c r="J445" s="11" t="n">
        <v>48913.01</v>
      </c>
      <c r="K445" s="11" t="n">
        <f aca="false">K459+K473</f>
        <v>62077</v>
      </c>
      <c r="L445" s="11" t="n">
        <f aca="false">L459+L473</f>
        <v>-541</v>
      </c>
      <c r="M445" s="11" t="n">
        <f aca="false">M459+M473</f>
        <v>0</v>
      </c>
      <c r="N445" s="11" t="n">
        <f aca="false">N459+N473</f>
        <v>0</v>
      </c>
      <c r="O445" s="11" t="n">
        <f aca="false">O459+O473</f>
        <v>-766</v>
      </c>
      <c r="P445" s="11" t="n">
        <f aca="false">P459+P473</f>
        <v>60770</v>
      </c>
      <c r="Q445" s="11" t="n">
        <f aca="false">Q459+Q473</f>
        <v>14936.04</v>
      </c>
      <c r="R445" s="12" t="n">
        <f aca="false">Q445/$P445</f>
        <v>0.245779825571828</v>
      </c>
      <c r="S445" s="11" t="n">
        <f aca="false">S459+S473</f>
        <v>28137.76</v>
      </c>
      <c r="T445" s="12" t="n">
        <f aca="false">S445/$P445</f>
        <v>0.463020569359882</v>
      </c>
      <c r="U445" s="11" t="n">
        <f aca="false">U459+U473</f>
        <v>38605.17</v>
      </c>
      <c r="V445" s="12" t="n">
        <f aca="false">U445/$P445</f>
        <v>0.635266908013823</v>
      </c>
      <c r="W445" s="11" t="n">
        <f aca="false">W459+W473</f>
        <v>57018.84</v>
      </c>
      <c r="X445" s="12" t="n">
        <f aca="false">W445/$P445</f>
        <v>0.938272831989468</v>
      </c>
      <c r="Y445" s="11" t="n">
        <f aca="false">Y459+Y473</f>
        <v>58734</v>
      </c>
      <c r="Z445" s="11" t="n">
        <f aca="false">Z459+Z473</f>
        <v>62116</v>
      </c>
    </row>
    <row r="446" customFormat="false" ht="12.8" hidden="false" customHeight="false" outlineLevel="0" collapsed="false">
      <c r="D446" s="29"/>
      <c r="E446" s="10" t="n">
        <v>72</v>
      </c>
      <c r="F446" s="10" t="s">
        <v>25</v>
      </c>
      <c r="G446" s="11" t="n">
        <f aca="false">G461</f>
        <v>0</v>
      </c>
      <c r="H446" s="11" t="n">
        <f aca="false">H461</f>
        <v>0</v>
      </c>
      <c r="I446" s="11" t="n">
        <f aca="false">I461</f>
        <v>0</v>
      </c>
      <c r="J446" s="11" t="n">
        <f aca="false">J461</f>
        <v>0</v>
      </c>
      <c r="K446" s="11" t="n">
        <f aca="false">K461</f>
        <v>700</v>
      </c>
      <c r="L446" s="11" t="n">
        <f aca="false">L461</f>
        <v>0</v>
      </c>
      <c r="M446" s="11" t="n">
        <f aca="false">M461</f>
        <v>0</v>
      </c>
      <c r="N446" s="11" t="n">
        <f aca="false">N461</f>
        <v>0</v>
      </c>
      <c r="O446" s="11" t="n">
        <f aca="false">O461</f>
        <v>-16</v>
      </c>
      <c r="P446" s="11" t="n">
        <f aca="false">P461</f>
        <v>684</v>
      </c>
      <c r="Q446" s="11" t="n">
        <f aca="false">Q461</f>
        <v>0</v>
      </c>
      <c r="R446" s="12" t="n">
        <f aca="false">Q446/$P446</f>
        <v>0</v>
      </c>
      <c r="S446" s="11" t="n">
        <f aca="false">S461</f>
        <v>0</v>
      </c>
      <c r="T446" s="12" t="n">
        <f aca="false">S446/$P446</f>
        <v>0</v>
      </c>
      <c r="U446" s="11" t="n">
        <f aca="false">U461</f>
        <v>0</v>
      </c>
      <c r="V446" s="12" t="n">
        <f aca="false">U446/$P446</f>
        <v>0</v>
      </c>
      <c r="W446" s="11" t="n">
        <f aca="false">W461</f>
        <v>684.11</v>
      </c>
      <c r="X446" s="12" t="n">
        <f aca="false">W446/$P446</f>
        <v>1.00016081871345</v>
      </c>
      <c r="Y446" s="11" t="n">
        <f aca="false">Y461</f>
        <v>700</v>
      </c>
      <c r="Z446" s="11" t="n">
        <f aca="false">Z461</f>
        <v>700</v>
      </c>
    </row>
    <row r="447" customFormat="false" ht="12.8" hidden="false" customHeight="false" outlineLevel="0" collapsed="false">
      <c r="A447" s="1" t="n">
        <v>7</v>
      </c>
      <c r="B447" s="1" t="n">
        <v>1</v>
      </c>
      <c r="D447" s="16"/>
      <c r="E447" s="17"/>
      <c r="F447" s="13" t="s">
        <v>119</v>
      </c>
      <c r="G447" s="14" t="n">
        <f aca="false">SUM(G444:G446)</f>
        <v>94339.09</v>
      </c>
      <c r="H447" s="14" t="n">
        <f aca="false">SUM(H444:H446)</f>
        <v>85327.46</v>
      </c>
      <c r="I447" s="14" t="n">
        <f aca="false">SUM(I444:I446)</f>
        <v>91568</v>
      </c>
      <c r="J447" s="14" t="n">
        <f aca="false">SUM(J444:J446)</f>
        <v>87407.68</v>
      </c>
      <c r="K447" s="14" t="n">
        <f aca="false">SUM(K444:K446)</f>
        <v>95713</v>
      </c>
      <c r="L447" s="14" t="n">
        <f aca="false">SUM(L444:L446)</f>
        <v>0</v>
      </c>
      <c r="M447" s="14" t="n">
        <f aca="false">SUM(M444:M446)</f>
        <v>0</v>
      </c>
      <c r="N447" s="14" t="n">
        <f aca="false">SUM(N444:N446)</f>
        <v>0</v>
      </c>
      <c r="O447" s="14" t="n">
        <f aca="false">SUM(O444:O446)</f>
        <v>666</v>
      </c>
      <c r="P447" s="14" t="n">
        <f aca="false">SUM(P444:P446)</f>
        <v>96379</v>
      </c>
      <c r="Q447" s="14" t="n">
        <f aca="false">SUM(Q444:Q446)</f>
        <v>23422.45</v>
      </c>
      <c r="R447" s="15" t="n">
        <f aca="false">Q447/$P447</f>
        <v>0.243024414032102</v>
      </c>
      <c r="S447" s="14" t="n">
        <f aca="false">SUM(S444:S446)</f>
        <v>44990.04</v>
      </c>
      <c r="T447" s="15" t="n">
        <f aca="false">S447/$P447</f>
        <v>0.466803349277332</v>
      </c>
      <c r="U447" s="14" t="n">
        <f aca="false">SUM(U444:U446)</f>
        <v>63814.46</v>
      </c>
      <c r="V447" s="15" t="n">
        <f aca="false">U447/$P447</f>
        <v>0.662119963892549</v>
      </c>
      <c r="W447" s="14" t="n">
        <f aca="false">SUM(W444:W446)</f>
        <v>92628.24</v>
      </c>
      <c r="X447" s="15" t="n">
        <f aca="false">W447/$P447</f>
        <v>0.961083223523797</v>
      </c>
      <c r="Y447" s="14" t="n">
        <f aca="false">SUM(Y444:Y446)</f>
        <v>91434</v>
      </c>
      <c r="Z447" s="14" t="n">
        <f aca="false">SUM(Z444:Z446)</f>
        <v>94816</v>
      </c>
    </row>
    <row r="449" customFormat="false" ht="12.8" hidden="false" customHeight="false" outlineLevel="0" collapsed="false">
      <c r="D449" s="63" t="s">
        <v>242</v>
      </c>
      <c r="E449" s="63"/>
      <c r="F449" s="63"/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  <c r="R449" s="64"/>
      <c r="S449" s="63"/>
      <c r="T449" s="64"/>
      <c r="U449" s="63"/>
      <c r="V449" s="64"/>
      <c r="W449" s="63"/>
      <c r="X449" s="64"/>
      <c r="Y449" s="63"/>
      <c r="Z449" s="63"/>
    </row>
    <row r="450" customFormat="false" ht="12.8" hidden="false" customHeight="false" outlineLevel="0" collapsed="false">
      <c r="D450" s="7" t="s">
        <v>33</v>
      </c>
      <c r="E450" s="7" t="s">
        <v>34</v>
      </c>
      <c r="F450" s="7" t="s">
        <v>35</v>
      </c>
      <c r="G450" s="7" t="s">
        <v>1</v>
      </c>
      <c r="H450" s="7" t="s">
        <v>2</v>
      </c>
      <c r="I450" s="7" t="s">
        <v>3</v>
      </c>
      <c r="J450" s="7" t="s">
        <v>4</v>
      </c>
      <c r="K450" s="7" t="s">
        <v>5</v>
      </c>
      <c r="L450" s="7" t="s">
        <v>6</v>
      </c>
      <c r="M450" s="7" t="s">
        <v>7</v>
      </c>
      <c r="N450" s="7" t="s">
        <v>8</v>
      </c>
      <c r="O450" s="7" t="s">
        <v>9</v>
      </c>
      <c r="P450" s="7" t="s">
        <v>10</v>
      </c>
      <c r="Q450" s="7" t="s">
        <v>11</v>
      </c>
      <c r="R450" s="8" t="s">
        <v>12</v>
      </c>
      <c r="S450" s="7" t="s">
        <v>13</v>
      </c>
      <c r="T450" s="8" t="s">
        <v>14</v>
      </c>
      <c r="U450" s="7" t="s">
        <v>15</v>
      </c>
      <c r="V450" s="8" t="s">
        <v>16</v>
      </c>
      <c r="W450" s="7" t="s">
        <v>17</v>
      </c>
      <c r="X450" s="8" t="s">
        <v>18</v>
      </c>
      <c r="Y450" s="7" t="s">
        <v>19</v>
      </c>
      <c r="Z450" s="7" t="s">
        <v>20</v>
      </c>
    </row>
    <row r="451" customFormat="false" ht="12.8" hidden="false" customHeight="false" outlineLevel="0" collapsed="false">
      <c r="A451" s="1" t="n">
        <v>7</v>
      </c>
      <c r="B451" s="1" t="n">
        <v>1</v>
      </c>
      <c r="C451" s="1" t="n">
        <v>1</v>
      </c>
      <c r="D451" s="36" t="s">
        <v>243</v>
      </c>
      <c r="E451" s="10" t="n">
        <v>610</v>
      </c>
      <c r="F451" s="10" t="s">
        <v>124</v>
      </c>
      <c r="G451" s="11" t="n">
        <v>36294.73</v>
      </c>
      <c r="H451" s="11" t="n">
        <v>27474.49</v>
      </c>
      <c r="I451" s="11" t="n">
        <v>28455</v>
      </c>
      <c r="J451" s="11" t="n">
        <v>27765.1</v>
      </c>
      <c r="K451" s="11" t="n">
        <v>23712</v>
      </c>
      <c r="L451" s="11"/>
      <c r="M451" s="11" t="n">
        <v>-266</v>
      </c>
      <c r="N451" s="11"/>
      <c r="O451" s="11" t="n">
        <v>750</v>
      </c>
      <c r="P451" s="11" t="n">
        <f aca="false">K451+SUM(L451:O451)</f>
        <v>24196</v>
      </c>
      <c r="Q451" s="11" t="n">
        <v>5727.31</v>
      </c>
      <c r="R451" s="12" t="n">
        <f aca="false">Q451/$P451</f>
        <v>0.236704827244173</v>
      </c>
      <c r="S451" s="11" t="n">
        <v>11457.72</v>
      </c>
      <c r="T451" s="12" t="n">
        <f aca="false">S451/$P451</f>
        <v>0.473537774838816</v>
      </c>
      <c r="U451" s="11" t="n">
        <v>17447.34</v>
      </c>
      <c r="V451" s="12" t="n">
        <f aca="false">U451/$P451</f>
        <v>0.721083650190114</v>
      </c>
      <c r="W451" s="11" t="n">
        <v>24196.49</v>
      </c>
      <c r="X451" s="12" t="n">
        <f aca="false">W451/$P451</f>
        <v>1.0000202512812</v>
      </c>
      <c r="Y451" s="11" t="n">
        <v>23712</v>
      </c>
      <c r="Z451" s="11" t="n">
        <v>23712</v>
      </c>
    </row>
    <row r="452" customFormat="false" ht="12.8" hidden="false" customHeight="false" outlineLevel="0" collapsed="false">
      <c r="A452" s="1" t="n">
        <v>7</v>
      </c>
      <c r="B452" s="1" t="n">
        <v>1</v>
      </c>
      <c r="C452" s="1" t="n">
        <v>1</v>
      </c>
      <c r="D452" s="36"/>
      <c r="E452" s="10" t="n">
        <v>620</v>
      </c>
      <c r="F452" s="10" t="s">
        <v>125</v>
      </c>
      <c r="G452" s="11" t="n">
        <v>12685.01</v>
      </c>
      <c r="H452" s="11" t="n">
        <v>9894.55</v>
      </c>
      <c r="I452" s="11" t="n">
        <v>9945</v>
      </c>
      <c r="J452" s="11" t="n">
        <v>9698.61</v>
      </c>
      <c r="K452" s="11" t="n">
        <v>8288</v>
      </c>
      <c r="L452" s="11"/>
      <c r="M452" s="11"/>
      <c r="N452" s="11"/>
      <c r="O452" s="11" t="n">
        <v>698</v>
      </c>
      <c r="P452" s="11" t="n">
        <f aca="false">K452+SUM(L452:O452)</f>
        <v>8986</v>
      </c>
      <c r="Q452" s="11" t="n">
        <v>1822.82</v>
      </c>
      <c r="R452" s="12" t="n">
        <f aca="false">Q452/$P452</f>
        <v>0.202851101713777</v>
      </c>
      <c r="S452" s="11" t="n">
        <v>3917.4</v>
      </c>
      <c r="T452" s="12" t="n">
        <f aca="false">S452/$P452</f>
        <v>0.435944803026931</v>
      </c>
      <c r="U452" s="11" t="n">
        <v>6018.78</v>
      </c>
      <c r="V452" s="12" t="n">
        <f aca="false">U452/$P452</f>
        <v>0.669795237035388</v>
      </c>
      <c r="W452" s="11" t="n">
        <v>8985.63</v>
      </c>
      <c r="X452" s="12" t="n">
        <f aca="false">W452/$P452</f>
        <v>0.999958824838638</v>
      </c>
      <c r="Y452" s="11" t="n">
        <v>8288</v>
      </c>
      <c r="Z452" s="11" t="n">
        <v>8288</v>
      </c>
    </row>
    <row r="453" customFormat="false" ht="12.8" hidden="false" customHeight="false" outlineLevel="0" collapsed="false">
      <c r="A453" s="1" t="n">
        <v>7</v>
      </c>
      <c r="B453" s="1" t="n">
        <v>1</v>
      </c>
      <c r="C453" s="1" t="n">
        <v>1</v>
      </c>
      <c r="D453" s="36"/>
      <c r="E453" s="10" t="n">
        <v>630</v>
      </c>
      <c r="F453" s="10" t="s">
        <v>126</v>
      </c>
      <c r="G453" s="11" t="n">
        <v>1209.8</v>
      </c>
      <c r="H453" s="11" t="n">
        <v>978.36</v>
      </c>
      <c r="I453" s="11" t="n">
        <v>0</v>
      </c>
      <c r="J453" s="11" t="n">
        <v>1030.96</v>
      </c>
      <c r="K453" s="11" t="n">
        <v>936</v>
      </c>
      <c r="L453" s="11" t="n">
        <v>541</v>
      </c>
      <c r="M453" s="11" t="n">
        <v>266</v>
      </c>
      <c r="N453" s="11"/>
      <c r="O453" s="11"/>
      <c r="P453" s="11" t="n">
        <f aca="false">K453+SUM(L453:O453)</f>
        <v>1743</v>
      </c>
      <c r="Q453" s="11" t="n">
        <v>936.28</v>
      </c>
      <c r="R453" s="12" t="n">
        <f aca="false">Q453/$P453</f>
        <v>0.537165806081469</v>
      </c>
      <c r="S453" s="11" t="n">
        <v>1477.16</v>
      </c>
      <c r="T453" s="12" t="n">
        <f aca="false">S453/$P453</f>
        <v>0.847481353987378</v>
      </c>
      <c r="U453" s="11" t="n">
        <v>1743.17</v>
      </c>
      <c r="V453" s="12" t="n">
        <f aca="false">U453/$P453</f>
        <v>1.0000975329891</v>
      </c>
      <c r="W453" s="11" t="n">
        <v>1743.17</v>
      </c>
      <c r="X453" s="12" t="n">
        <f aca="false">W453/$P453</f>
        <v>1.0000975329891</v>
      </c>
      <c r="Y453" s="11" t="n">
        <v>0</v>
      </c>
      <c r="Z453" s="11" t="n">
        <v>0</v>
      </c>
    </row>
    <row r="454" customFormat="false" ht="12.8" hidden="false" customHeight="false" outlineLevel="0" collapsed="false">
      <c r="A454" s="1" t="n">
        <v>7</v>
      </c>
      <c r="B454" s="1" t="n">
        <v>1</v>
      </c>
      <c r="C454" s="1" t="n">
        <v>1</v>
      </c>
      <c r="D454" s="75" t="s">
        <v>21</v>
      </c>
      <c r="E454" s="32" t="n">
        <v>111</v>
      </c>
      <c r="F454" s="32" t="s">
        <v>130</v>
      </c>
      <c r="G454" s="33" t="n">
        <f aca="false">SUM(G451:G453)</f>
        <v>50189.54</v>
      </c>
      <c r="H454" s="33" t="n">
        <f aca="false">SUM(H451:H453)</f>
        <v>38347.4</v>
      </c>
      <c r="I454" s="33" t="n">
        <f aca="false">SUM(I451:I453)</f>
        <v>38400</v>
      </c>
      <c r="J454" s="33" t="n">
        <f aca="false">SUM(J451:J453)</f>
        <v>38494.67</v>
      </c>
      <c r="K454" s="33" t="n">
        <f aca="false">SUM(K451:K453)</f>
        <v>32936</v>
      </c>
      <c r="L454" s="33" t="n">
        <f aca="false">SUM(L451:L453)</f>
        <v>541</v>
      </c>
      <c r="M454" s="33" t="n">
        <f aca="false">SUM(M451:M453)</f>
        <v>0</v>
      </c>
      <c r="N454" s="33" t="n">
        <f aca="false">SUM(N451:N453)</f>
        <v>0</v>
      </c>
      <c r="O454" s="33" t="n">
        <f aca="false">SUM(O451:O453)</f>
        <v>1448</v>
      </c>
      <c r="P454" s="33" t="n">
        <f aca="false">SUM(P451:P453)</f>
        <v>34925</v>
      </c>
      <c r="Q454" s="33" t="n">
        <f aca="false">SUM(Q451:Q453)</f>
        <v>8486.41</v>
      </c>
      <c r="R454" s="34" t="n">
        <f aca="false">Q454/$P454</f>
        <v>0.242989549033644</v>
      </c>
      <c r="S454" s="33" t="n">
        <f aca="false">SUM(S451:S453)</f>
        <v>16852.28</v>
      </c>
      <c r="T454" s="34" t="n">
        <f aca="false">S454/$P454</f>
        <v>0.482527702219041</v>
      </c>
      <c r="U454" s="33" t="n">
        <f aca="false">SUM(U451:U453)</f>
        <v>25209.29</v>
      </c>
      <c r="V454" s="34" t="n">
        <f aca="false">U454/$P454</f>
        <v>0.721812168933429</v>
      </c>
      <c r="W454" s="33" t="n">
        <f aca="false">SUM(W451:W453)</f>
        <v>34925.29</v>
      </c>
      <c r="X454" s="34" t="n">
        <f aca="false">W454/$P454</f>
        <v>1.00000830350752</v>
      </c>
      <c r="Y454" s="33" t="n">
        <f aca="false">SUM(Y451:Y453)</f>
        <v>32000</v>
      </c>
      <c r="Z454" s="33" t="n">
        <f aca="false">SUM(Z451:Z453)</f>
        <v>32000</v>
      </c>
    </row>
    <row r="455" customFormat="false" ht="12.8" hidden="false" customHeight="false" outlineLevel="0" collapsed="false">
      <c r="A455" s="1" t="n">
        <v>7</v>
      </c>
      <c r="B455" s="1" t="n">
        <v>1</v>
      </c>
      <c r="C455" s="1" t="n">
        <v>1</v>
      </c>
      <c r="D455" s="36" t="s">
        <v>243</v>
      </c>
      <c r="E455" s="10" t="n">
        <v>610</v>
      </c>
      <c r="F455" s="10" t="s">
        <v>124</v>
      </c>
      <c r="G455" s="11" t="n">
        <v>17516.8</v>
      </c>
      <c r="H455" s="11" t="n">
        <v>18802.14</v>
      </c>
      <c r="I455" s="11" t="n">
        <v>18249</v>
      </c>
      <c r="J455" s="11" t="n">
        <v>22026.13</v>
      </c>
      <c r="K455" s="11" t="n">
        <v>25746</v>
      </c>
      <c r="L455" s="11" t="n">
        <v>-73</v>
      </c>
      <c r="M455" s="11"/>
      <c r="N455" s="11" t="n">
        <v>1000</v>
      </c>
      <c r="O455" s="11" t="n">
        <v>-15</v>
      </c>
      <c r="P455" s="11" t="n">
        <f aca="false">K455+SUM(L455:O455)</f>
        <v>26658</v>
      </c>
      <c r="Q455" s="11" t="n">
        <v>6388.86</v>
      </c>
      <c r="R455" s="12" t="n">
        <f aca="false">Q455/$P455</f>
        <v>0.239660139545352</v>
      </c>
      <c r="S455" s="11" t="n">
        <v>13109.67</v>
      </c>
      <c r="T455" s="12" t="n">
        <f aca="false">S455/$P455</f>
        <v>0.49177245104659</v>
      </c>
      <c r="U455" s="11" t="n">
        <v>18565.98</v>
      </c>
      <c r="V455" s="12" t="n">
        <f aca="false">U455/$P455</f>
        <v>0.696450596443844</v>
      </c>
      <c r="W455" s="11" t="n">
        <v>26657.85</v>
      </c>
      <c r="X455" s="12" t="n">
        <f aca="false">W455/$P455</f>
        <v>0.999994373171281</v>
      </c>
      <c r="Y455" s="11" t="n">
        <v>28063</v>
      </c>
      <c r="Z455" s="11" t="n">
        <v>30497</v>
      </c>
    </row>
    <row r="456" customFormat="false" ht="12.8" hidden="false" customHeight="false" outlineLevel="0" collapsed="false">
      <c r="A456" s="1" t="n">
        <v>7</v>
      </c>
      <c r="B456" s="1" t="n">
        <v>1</v>
      </c>
      <c r="C456" s="1" t="n">
        <v>1</v>
      </c>
      <c r="D456" s="36"/>
      <c r="E456" s="10" t="n">
        <v>620</v>
      </c>
      <c r="F456" s="10" t="s">
        <v>125</v>
      </c>
      <c r="G456" s="11" t="n">
        <v>5988.15</v>
      </c>
      <c r="H456" s="11" t="n">
        <v>7347.28</v>
      </c>
      <c r="I456" s="11" t="n">
        <v>8189</v>
      </c>
      <c r="J456" s="11" t="n">
        <v>8620.44</v>
      </c>
      <c r="K456" s="11" t="n">
        <v>11425</v>
      </c>
      <c r="L456" s="11"/>
      <c r="M456" s="11"/>
      <c r="N456" s="11"/>
      <c r="O456" s="11" t="n">
        <v>15</v>
      </c>
      <c r="P456" s="11" t="n">
        <f aca="false">K456+SUM(L456:O456)</f>
        <v>11440</v>
      </c>
      <c r="Q456" s="11" t="n">
        <v>3191.67</v>
      </c>
      <c r="R456" s="12" t="n">
        <f aca="false">Q456/$P456</f>
        <v>0.278992132867133</v>
      </c>
      <c r="S456" s="11" t="n">
        <v>5662.51</v>
      </c>
      <c r="T456" s="12" t="n">
        <f aca="false">S456/$P456</f>
        <v>0.49497465034965</v>
      </c>
      <c r="U456" s="11" t="n">
        <v>7751.7</v>
      </c>
      <c r="V456" s="12" t="n">
        <f aca="false">U456/$P456</f>
        <v>0.677596153846154</v>
      </c>
      <c r="W456" s="11" t="n">
        <v>10236.89</v>
      </c>
      <c r="X456" s="12" t="n">
        <f aca="false">W456/$P456</f>
        <v>0.894833041958042</v>
      </c>
      <c r="Y456" s="11" t="n">
        <v>10370</v>
      </c>
      <c r="Z456" s="11" t="n">
        <v>11270</v>
      </c>
    </row>
    <row r="457" customFormat="false" ht="12.8" hidden="false" customHeight="false" outlineLevel="0" collapsed="false">
      <c r="A457" s="1" t="n">
        <v>7</v>
      </c>
      <c r="B457" s="1" t="n">
        <v>1</v>
      </c>
      <c r="C457" s="1" t="n">
        <v>1</v>
      </c>
      <c r="D457" s="36"/>
      <c r="E457" s="10" t="n">
        <v>630</v>
      </c>
      <c r="F457" s="10" t="s">
        <v>126</v>
      </c>
      <c r="G457" s="11" t="n">
        <v>14092.54</v>
      </c>
      <c r="H457" s="11" t="n">
        <v>13927.4</v>
      </c>
      <c r="I457" s="11" t="n">
        <v>17720</v>
      </c>
      <c r="J457" s="11" t="n">
        <v>15044.36</v>
      </c>
      <c r="K457" s="11" t="n">
        <f aca="false">17475+2000</f>
        <v>19475</v>
      </c>
      <c r="L457" s="11" t="n">
        <v>-541</v>
      </c>
      <c r="M457" s="11"/>
      <c r="N457" s="11"/>
      <c r="O457" s="11" t="n">
        <v>183</v>
      </c>
      <c r="P457" s="11" t="n">
        <f aca="false">K457+SUM(L457:O457)</f>
        <v>19117</v>
      </c>
      <c r="Q457" s="11" t="n">
        <v>5219.13</v>
      </c>
      <c r="R457" s="12" t="n">
        <f aca="false">Q457/$P457</f>
        <v>0.273009886488466</v>
      </c>
      <c r="S457" s="11" t="n">
        <v>9132.4</v>
      </c>
      <c r="T457" s="12" t="n">
        <f aca="false">S457/$P457</f>
        <v>0.477710937908668</v>
      </c>
      <c r="U457" s="11" t="n">
        <v>11953.81</v>
      </c>
      <c r="V457" s="12" t="n">
        <f aca="false">U457/$P457</f>
        <v>0.625297379295915</v>
      </c>
      <c r="W457" s="11" t="n">
        <v>16568.79</v>
      </c>
      <c r="X457" s="12" t="n">
        <f aca="false">W457/$P457</f>
        <v>0.866704503844746</v>
      </c>
      <c r="Y457" s="11" t="n">
        <v>17501</v>
      </c>
      <c r="Z457" s="11" t="n">
        <v>17549</v>
      </c>
    </row>
    <row r="458" customFormat="false" ht="12.8" hidden="false" customHeight="false" outlineLevel="0" collapsed="false">
      <c r="A458" s="1" t="n">
        <v>7</v>
      </c>
      <c r="B458" s="1" t="n">
        <v>1</v>
      </c>
      <c r="C458" s="1" t="n">
        <v>1</v>
      </c>
      <c r="D458" s="36"/>
      <c r="E458" s="10" t="n">
        <v>640</v>
      </c>
      <c r="F458" s="10" t="s">
        <v>127</v>
      </c>
      <c r="G458" s="11" t="n">
        <v>796.19</v>
      </c>
      <c r="H458" s="11" t="n">
        <v>342.63</v>
      </c>
      <c r="I458" s="11" t="n">
        <v>2510</v>
      </c>
      <c r="J458" s="11" t="n">
        <v>216.69</v>
      </c>
      <c r="K458" s="11" t="n">
        <v>2631</v>
      </c>
      <c r="L458" s="11" t="n">
        <v>73</v>
      </c>
      <c r="M458" s="11"/>
      <c r="N458" s="11" t="n">
        <v>-1000</v>
      </c>
      <c r="O458" s="11" t="n">
        <v>-1631</v>
      </c>
      <c r="P458" s="11" t="n">
        <f aca="false">K458+SUM(L458:O458)</f>
        <v>73</v>
      </c>
      <c r="Q458" s="11" t="n">
        <v>73.18</v>
      </c>
      <c r="R458" s="12" t="n">
        <f aca="false">Q458/$P458</f>
        <v>1.00246575342466</v>
      </c>
      <c r="S458" s="11" t="n">
        <v>73.18</v>
      </c>
      <c r="T458" s="12" t="n">
        <f aca="false">S458/$P458</f>
        <v>1.00246575342466</v>
      </c>
      <c r="U458" s="11" t="n">
        <v>73.18</v>
      </c>
      <c r="V458" s="12" t="n">
        <f aca="false">U458/$P458</f>
        <v>1.00246575342466</v>
      </c>
      <c r="W458" s="11" t="n">
        <v>73.18</v>
      </c>
      <c r="X458" s="12" t="n">
        <f aca="false">W458/$P458</f>
        <v>1.00246575342466</v>
      </c>
      <c r="Y458" s="11" t="n">
        <v>0</v>
      </c>
      <c r="Z458" s="11" t="n">
        <v>0</v>
      </c>
    </row>
    <row r="459" customFormat="false" ht="12.8" hidden="false" customHeight="false" outlineLevel="0" collapsed="false">
      <c r="A459" s="1" t="n">
        <v>7</v>
      </c>
      <c r="B459" s="1" t="n">
        <v>1</v>
      </c>
      <c r="C459" s="1" t="n">
        <v>1</v>
      </c>
      <c r="D459" s="75" t="s">
        <v>21</v>
      </c>
      <c r="E459" s="32" t="n">
        <v>41</v>
      </c>
      <c r="F459" s="32" t="s">
        <v>23</v>
      </c>
      <c r="G459" s="33" t="n">
        <f aca="false">SUM(G455:G458)</f>
        <v>38393.68</v>
      </c>
      <c r="H459" s="33" t="n">
        <f aca="false">SUM(H455:H458)</f>
        <v>40419.45</v>
      </c>
      <c r="I459" s="33" t="n">
        <f aca="false">SUM(I455:I458)</f>
        <v>46668</v>
      </c>
      <c r="J459" s="33" t="n">
        <f aca="false">SUM(J455:J458)</f>
        <v>45907.62</v>
      </c>
      <c r="K459" s="33" t="n">
        <f aca="false">SUM(K455:K458)</f>
        <v>59277</v>
      </c>
      <c r="L459" s="33" t="n">
        <f aca="false">SUM(L455:L458)</f>
        <v>-541</v>
      </c>
      <c r="M459" s="33" t="n">
        <f aca="false">SUM(M455:M458)</f>
        <v>0</v>
      </c>
      <c r="N459" s="33" t="n">
        <f aca="false">SUM(N455:N458)</f>
        <v>0</v>
      </c>
      <c r="O459" s="33" t="n">
        <f aca="false">SUM(O455:O458)</f>
        <v>-1448</v>
      </c>
      <c r="P459" s="33" t="n">
        <f aca="false">SUM(P455:P458)</f>
        <v>57288</v>
      </c>
      <c r="Q459" s="33" t="n">
        <f aca="false">SUM(Q455:Q458)</f>
        <v>14872.84</v>
      </c>
      <c r="R459" s="34" t="n">
        <f aca="false">Q459/$P459</f>
        <v>0.259615277195922</v>
      </c>
      <c r="S459" s="33" t="n">
        <f aca="false">SUM(S455:S458)</f>
        <v>27977.76</v>
      </c>
      <c r="T459" s="34" t="n">
        <f aca="false">S459/$P459</f>
        <v>0.488370339338081</v>
      </c>
      <c r="U459" s="33" t="n">
        <f aca="false">SUM(U455:U458)</f>
        <v>38344.67</v>
      </c>
      <c r="V459" s="34" t="n">
        <f aca="false">U459/$P459</f>
        <v>0.669331622678397</v>
      </c>
      <c r="W459" s="33" t="n">
        <f aca="false">SUM(W455:W458)</f>
        <v>53536.71</v>
      </c>
      <c r="X459" s="34" t="n">
        <f aca="false">W459/$P459</f>
        <v>0.934518747381651</v>
      </c>
      <c r="Y459" s="33" t="n">
        <f aca="false">SUM(Y455:Y458)</f>
        <v>55934</v>
      </c>
      <c r="Z459" s="33" t="n">
        <f aca="false">SUM(Z455:Z458)</f>
        <v>59316</v>
      </c>
    </row>
    <row r="460" customFormat="false" ht="12.8" hidden="false" customHeight="false" outlineLevel="0" collapsed="false">
      <c r="D460" s="71" t="s">
        <v>243</v>
      </c>
      <c r="E460" s="10" t="n">
        <v>640</v>
      </c>
      <c r="F460" s="10" t="s">
        <v>127</v>
      </c>
      <c r="G460" s="11" t="n">
        <v>0</v>
      </c>
      <c r="H460" s="11" t="n">
        <v>0</v>
      </c>
      <c r="I460" s="11" t="n">
        <v>0</v>
      </c>
      <c r="J460" s="11" t="n">
        <v>0</v>
      </c>
      <c r="K460" s="11" t="n">
        <v>700</v>
      </c>
      <c r="L460" s="11"/>
      <c r="M460" s="11"/>
      <c r="N460" s="11"/>
      <c r="O460" s="11" t="n">
        <v>-16</v>
      </c>
      <c r="P460" s="11" t="n">
        <f aca="false">K460+SUM(L460:O460)</f>
        <v>684</v>
      </c>
      <c r="Q460" s="11" t="n">
        <v>0</v>
      </c>
      <c r="R460" s="12" t="n">
        <f aca="false">Q460/$P460</f>
        <v>0</v>
      </c>
      <c r="S460" s="11" t="n">
        <v>0</v>
      </c>
      <c r="T460" s="12" t="n">
        <f aca="false">S460/$P460</f>
        <v>0</v>
      </c>
      <c r="U460" s="11" t="n">
        <v>0</v>
      </c>
      <c r="V460" s="12" t="n">
        <f aca="false">U460/$P460</f>
        <v>0</v>
      </c>
      <c r="W460" s="11" t="n">
        <v>684.11</v>
      </c>
      <c r="X460" s="12" t="n">
        <f aca="false">W460/$P460</f>
        <v>1.00016081871345</v>
      </c>
      <c r="Y460" s="11" t="n">
        <f aca="false">K460</f>
        <v>700</v>
      </c>
      <c r="Z460" s="11" t="n">
        <f aca="false">Y460</f>
        <v>700</v>
      </c>
    </row>
    <row r="461" customFormat="false" ht="12.8" hidden="false" customHeight="false" outlineLevel="0" collapsed="false">
      <c r="D461" s="75" t="s">
        <v>21</v>
      </c>
      <c r="E461" s="32" t="n">
        <v>72</v>
      </c>
      <c r="F461" s="32" t="s">
        <v>25</v>
      </c>
      <c r="G461" s="33" t="n">
        <f aca="false">SUM(G460)</f>
        <v>0</v>
      </c>
      <c r="H461" s="33" t="n">
        <f aca="false">SUM(H460)</f>
        <v>0</v>
      </c>
      <c r="I461" s="33" t="n">
        <f aca="false">SUM(I460)</f>
        <v>0</v>
      </c>
      <c r="J461" s="33" t="n">
        <f aca="false">SUM(J460)</f>
        <v>0</v>
      </c>
      <c r="K461" s="33" t="n">
        <f aca="false">SUM(K460)</f>
        <v>700</v>
      </c>
      <c r="L461" s="33" t="n">
        <f aca="false">SUM(L460)</f>
        <v>0</v>
      </c>
      <c r="M461" s="33" t="n">
        <f aca="false">SUM(M460)</f>
        <v>0</v>
      </c>
      <c r="N461" s="33" t="n">
        <f aca="false">SUM(N460)</f>
        <v>0</v>
      </c>
      <c r="O461" s="33" t="n">
        <f aca="false">SUM(O460)</f>
        <v>-16</v>
      </c>
      <c r="P461" s="33" t="n">
        <f aca="false">SUM(P460)</f>
        <v>684</v>
      </c>
      <c r="Q461" s="33" t="n">
        <f aca="false">SUM(Q460)</f>
        <v>0</v>
      </c>
      <c r="R461" s="34" t="n">
        <f aca="false">Q461/$P461</f>
        <v>0</v>
      </c>
      <c r="S461" s="33" t="n">
        <f aca="false">SUM(S460)</f>
        <v>0</v>
      </c>
      <c r="T461" s="34" t="n">
        <f aca="false">S461/$P461</f>
        <v>0</v>
      </c>
      <c r="U461" s="33" t="n">
        <f aca="false">SUM(U460)</f>
        <v>0</v>
      </c>
      <c r="V461" s="34" t="n">
        <f aca="false">U461/$P461</f>
        <v>0</v>
      </c>
      <c r="W461" s="33" t="n">
        <f aca="false">SUM(W460)</f>
        <v>684.11</v>
      </c>
      <c r="X461" s="34" t="n">
        <f aca="false">W461/$P461</f>
        <v>1.00016081871345</v>
      </c>
      <c r="Y461" s="33" t="n">
        <f aca="false">SUM(Y460)</f>
        <v>700</v>
      </c>
      <c r="Z461" s="33" t="n">
        <f aca="false">SUM(Z460)</f>
        <v>700</v>
      </c>
    </row>
    <row r="462" customFormat="false" ht="12.8" hidden="false" customHeight="false" outlineLevel="0" collapsed="false">
      <c r="A462" s="1" t="n">
        <v>7</v>
      </c>
      <c r="B462" s="1" t="n">
        <v>1</v>
      </c>
      <c r="C462" s="1" t="n">
        <v>1</v>
      </c>
      <c r="D462" s="16"/>
      <c r="E462" s="17"/>
      <c r="F462" s="13" t="s">
        <v>119</v>
      </c>
      <c r="G462" s="14" t="n">
        <f aca="false">G454+G459+G461</f>
        <v>88583.22</v>
      </c>
      <c r="H462" s="14" t="n">
        <f aca="false">H454+H459+H461</f>
        <v>78766.85</v>
      </c>
      <c r="I462" s="14" t="n">
        <f aca="false">I454+I459+I461</f>
        <v>85068</v>
      </c>
      <c r="J462" s="14" t="n">
        <f aca="false">J454+J459+J461</f>
        <v>84402.29</v>
      </c>
      <c r="K462" s="14" t="n">
        <f aca="false">K454+K459+K461</f>
        <v>92913</v>
      </c>
      <c r="L462" s="14" t="n">
        <f aca="false">L454+L459+L461</f>
        <v>0</v>
      </c>
      <c r="M462" s="14" t="n">
        <f aca="false">M454+M459+M461</f>
        <v>0</v>
      </c>
      <c r="N462" s="14" t="n">
        <f aca="false">N454+N459+N461</f>
        <v>0</v>
      </c>
      <c r="O462" s="14" t="n">
        <f aca="false">O454+O459+O461</f>
        <v>-16</v>
      </c>
      <c r="P462" s="14" t="n">
        <f aca="false">P454+P459+P461</f>
        <v>92897</v>
      </c>
      <c r="Q462" s="14" t="n">
        <f aca="false">Q454+Q459+Q461</f>
        <v>23359.25</v>
      </c>
      <c r="R462" s="15" t="n">
        <f aca="false">Q462/$P462</f>
        <v>0.251453222386084</v>
      </c>
      <c r="S462" s="14" t="n">
        <f aca="false">S454+S459+S461</f>
        <v>44830.04</v>
      </c>
      <c r="T462" s="15" t="n">
        <f aca="false">S462/$P462</f>
        <v>0.48257790886681</v>
      </c>
      <c r="U462" s="14" t="n">
        <f aca="false">U454+U459+U461</f>
        <v>63553.96</v>
      </c>
      <c r="V462" s="15" t="n">
        <f aca="false">U462/$P462</f>
        <v>0.684133610342638</v>
      </c>
      <c r="W462" s="14" t="n">
        <f aca="false">W454+W459+W461</f>
        <v>89146.11</v>
      </c>
      <c r="X462" s="15" t="n">
        <f aca="false">W462/$P462</f>
        <v>0.959623130994542</v>
      </c>
      <c r="Y462" s="14" t="n">
        <f aca="false">Y454+Y459+Y461</f>
        <v>88634</v>
      </c>
      <c r="Z462" s="14" t="n">
        <f aca="false">Z454+Z459+Z461</f>
        <v>92016</v>
      </c>
    </row>
    <row r="464" customFormat="false" ht="12.8" hidden="false" customHeight="false" outlineLevel="0" collapsed="false">
      <c r="E464" s="39" t="s">
        <v>57</v>
      </c>
      <c r="F464" s="16" t="s">
        <v>144</v>
      </c>
      <c r="G464" s="40" t="n">
        <v>2739</v>
      </c>
      <c r="H464" s="40" t="n">
        <v>3023.98</v>
      </c>
      <c r="I464" s="40" t="n">
        <v>2695</v>
      </c>
      <c r="J464" s="40" t="n">
        <v>2695</v>
      </c>
      <c r="K464" s="40" t="n">
        <v>2695</v>
      </c>
      <c r="L464" s="40"/>
      <c r="M464" s="40" t="n">
        <v>330</v>
      </c>
      <c r="N464" s="40"/>
      <c r="O464" s="40"/>
      <c r="P464" s="40" t="n">
        <f aca="false">K464+SUM(L464:O464)</f>
        <v>3025</v>
      </c>
      <c r="Q464" s="40" t="n">
        <v>550</v>
      </c>
      <c r="R464" s="41" t="n">
        <f aca="false">Q464/$P464</f>
        <v>0.181818181818182</v>
      </c>
      <c r="S464" s="40" t="n">
        <v>1375</v>
      </c>
      <c r="T464" s="41" t="n">
        <f aca="false">S464/$P464</f>
        <v>0.454545454545455</v>
      </c>
      <c r="U464" s="40" t="n">
        <v>2200</v>
      </c>
      <c r="V464" s="41" t="n">
        <f aca="false">U464/$P464</f>
        <v>0.727272727272727</v>
      </c>
      <c r="W464" s="40" t="n">
        <v>3025</v>
      </c>
      <c r="X464" s="42" t="n">
        <f aca="false">W464/$P464</f>
        <v>1</v>
      </c>
      <c r="Y464" s="40" t="n">
        <f aca="false">K464</f>
        <v>2695</v>
      </c>
      <c r="Z464" s="44" t="n">
        <f aca="false">Y464</f>
        <v>2695</v>
      </c>
    </row>
    <row r="465" customFormat="false" ht="12.8" hidden="false" customHeight="false" outlineLevel="0" collapsed="false">
      <c r="E465" s="45"/>
      <c r="F465" s="88" t="s">
        <v>145</v>
      </c>
      <c r="G465" s="89"/>
      <c r="H465" s="89" t="n">
        <v>782</v>
      </c>
      <c r="I465" s="89" t="n">
        <v>3096</v>
      </c>
      <c r="J465" s="89" t="n">
        <v>3530.82</v>
      </c>
      <c r="K465" s="89" t="n">
        <v>3531</v>
      </c>
      <c r="L465" s="89"/>
      <c r="M465" s="89" t="n">
        <v>-1791</v>
      </c>
      <c r="N465" s="89"/>
      <c r="O465" s="89"/>
      <c r="P465" s="89" t="n">
        <f aca="false">K465+SUM(L465:O465)</f>
        <v>1740</v>
      </c>
      <c r="Q465" s="89" t="n">
        <v>435</v>
      </c>
      <c r="R465" s="90" t="n">
        <f aca="false">Q465/$P465</f>
        <v>0.25</v>
      </c>
      <c r="S465" s="89" t="n">
        <v>870</v>
      </c>
      <c r="T465" s="90" t="n">
        <f aca="false">S465/$P465</f>
        <v>0.5</v>
      </c>
      <c r="U465" s="89" t="n">
        <v>1305</v>
      </c>
      <c r="V465" s="90" t="n">
        <f aca="false">U465/$P465</f>
        <v>0.75</v>
      </c>
      <c r="W465" s="89" t="n">
        <v>1740</v>
      </c>
      <c r="X465" s="48" t="n">
        <f aca="false">W465/$P465</f>
        <v>1</v>
      </c>
      <c r="Y465" s="89" t="n">
        <f aca="false">K465</f>
        <v>3531</v>
      </c>
      <c r="Z465" s="50" t="n">
        <f aca="false">Y465</f>
        <v>3531</v>
      </c>
    </row>
    <row r="466" customFormat="false" ht="12.8" hidden="false" customHeight="false" outlineLevel="0" collapsed="false">
      <c r="E466" s="45"/>
      <c r="F466" s="88" t="s">
        <v>244</v>
      </c>
      <c r="G466" s="89"/>
      <c r="H466" s="89"/>
      <c r="I466" s="89" t="n">
        <v>6200</v>
      </c>
      <c r="J466" s="89" t="n">
        <v>0</v>
      </c>
      <c r="K466" s="113" t="n">
        <f aca="false">2631+2543</f>
        <v>5174</v>
      </c>
      <c r="L466" s="89"/>
      <c r="M466" s="89"/>
      <c r="N466" s="89" t="n">
        <v>-1000</v>
      </c>
      <c r="O466" s="89" t="n">
        <v>-1631</v>
      </c>
      <c r="P466" s="89" t="n">
        <f aca="false">K466+SUM(L466:O466)</f>
        <v>2543</v>
      </c>
      <c r="Q466" s="89" t="n">
        <v>2542.77</v>
      </c>
      <c r="R466" s="90" t="n">
        <f aca="false">Q466/$P466</f>
        <v>0.999909555642941</v>
      </c>
      <c r="S466" s="89" t="n">
        <v>2542.77</v>
      </c>
      <c r="T466" s="90" t="n">
        <f aca="false">S466/$P466</f>
        <v>0.999909555642941</v>
      </c>
      <c r="U466" s="89" t="n">
        <v>2542.77</v>
      </c>
      <c r="V466" s="90" t="n">
        <f aca="false">U466/$P466</f>
        <v>0.999909555642941</v>
      </c>
      <c r="W466" s="89" t="n">
        <v>2542.77</v>
      </c>
      <c r="X466" s="48" t="n">
        <f aca="false">W466/$P466</f>
        <v>0.999909555642941</v>
      </c>
      <c r="Y466" s="89"/>
      <c r="Z466" s="50"/>
    </row>
    <row r="467" customFormat="false" ht="12.8" hidden="false" customHeight="false" outlineLevel="0" collapsed="false">
      <c r="E467" s="54"/>
      <c r="F467" s="72" t="s">
        <v>245</v>
      </c>
      <c r="G467" s="56"/>
      <c r="H467" s="56"/>
      <c r="I467" s="56"/>
      <c r="J467" s="56"/>
      <c r="K467" s="91" t="n">
        <v>936</v>
      </c>
      <c r="L467" s="56" t="n">
        <v>541</v>
      </c>
      <c r="M467" s="56" t="n">
        <v>266</v>
      </c>
      <c r="N467" s="56"/>
      <c r="O467" s="56"/>
      <c r="P467" s="56" t="n">
        <f aca="false">K467+SUM(L467:O467)</f>
        <v>1743</v>
      </c>
      <c r="Q467" s="56" t="n">
        <v>936.28</v>
      </c>
      <c r="R467" s="57" t="n">
        <f aca="false">Q467/$P467</f>
        <v>0.537165806081469</v>
      </c>
      <c r="S467" s="56" t="n">
        <v>1477.16</v>
      </c>
      <c r="T467" s="57" t="n">
        <f aca="false">S467/$P467</f>
        <v>0.847481353987378</v>
      </c>
      <c r="U467" s="56" t="n">
        <v>1743.17</v>
      </c>
      <c r="V467" s="57" t="n">
        <f aca="false">U467/$P467</f>
        <v>1.0000975329891</v>
      </c>
      <c r="W467" s="56" t="n">
        <v>1743.17</v>
      </c>
      <c r="X467" s="58" t="n">
        <f aca="false">W467/$P467</f>
        <v>1.0000975329891</v>
      </c>
      <c r="Y467" s="89"/>
      <c r="Z467" s="50"/>
    </row>
    <row r="468" customFormat="false" ht="12.8" hidden="true" customHeight="false" outlineLevel="0" collapsed="false">
      <c r="E468" s="54"/>
      <c r="F468" s="72" t="s">
        <v>246</v>
      </c>
      <c r="G468" s="56" t="n">
        <v>2405.54</v>
      </c>
      <c r="H468" s="56"/>
      <c r="I468" s="56"/>
      <c r="J468" s="56"/>
      <c r="K468" s="56"/>
      <c r="L468" s="56"/>
      <c r="M468" s="56"/>
      <c r="N468" s="56"/>
      <c r="O468" s="56"/>
      <c r="P468" s="56" t="n">
        <f aca="false">K468+SUM(L468:O468)</f>
        <v>0</v>
      </c>
      <c r="Q468" s="56"/>
      <c r="R468" s="57" t="e">
        <f aca="false">Q468/$P468</f>
        <v>#DIV/0!</v>
      </c>
      <c r="S468" s="56"/>
      <c r="T468" s="57" t="e">
        <f aca="false">S468/$P468</f>
        <v>#DIV/0!</v>
      </c>
      <c r="U468" s="56"/>
      <c r="V468" s="57" t="e">
        <f aca="false">U468/$P468</f>
        <v>#DIV/0!</v>
      </c>
      <c r="W468" s="56"/>
      <c r="X468" s="57" t="e">
        <f aca="false">W468/$P468</f>
        <v>#DIV/0!</v>
      </c>
      <c r="Y468" s="56"/>
      <c r="Z468" s="60"/>
    </row>
    <row r="470" customFormat="false" ht="12.8" hidden="false" customHeight="false" outlineLevel="0" collapsed="false">
      <c r="D470" s="63" t="s">
        <v>247</v>
      </c>
      <c r="E470" s="63"/>
      <c r="F470" s="63"/>
      <c r="G470" s="63"/>
      <c r="H470" s="63"/>
      <c r="I470" s="63"/>
      <c r="J470" s="63"/>
      <c r="K470" s="63"/>
      <c r="L470" s="63"/>
      <c r="M470" s="63"/>
      <c r="N470" s="63"/>
      <c r="O470" s="63"/>
      <c r="P470" s="63"/>
      <c r="Q470" s="63"/>
      <c r="R470" s="64"/>
      <c r="S470" s="63"/>
      <c r="T470" s="64"/>
      <c r="U470" s="63"/>
      <c r="V470" s="64"/>
      <c r="W470" s="63"/>
      <c r="X470" s="64"/>
      <c r="Y470" s="63"/>
      <c r="Z470" s="63"/>
    </row>
    <row r="471" customFormat="false" ht="12.8" hidden="false" customHeight="false" outlineLevel="0" collapsed="false">
      <c r="D471" s="7" t="s">
        <v>33</v>
      </c>
      <c r="E471" s="7" t="s">
        <v>34</v>
      </c>
      <c r="F471" s="7" t="s">
        <v>35</v>
      </c>
      <c r="G471" s="7" t="s">
        <v>1</v>
      </c>
      <c r="H471" s="7" t="s">
        <v>2</v>
      </c>
      <c r="I471" s="7" t="s">
        <v>3</v>
      </c>
      <c r="J471" s="7" t="s">
        <v>4</v>
      </c>
      <c r="K471" s="7" t="s">
        <v>5</v>
      </c>
      <c r="L471" s="7" t="s">
        <v>6</v>
      </c>
      <c r="M471" s="7" t="s">
        <v>7</v>
      </c>
      <c r="N471" s="7" t="s">
        <v>8</v>
      </c>
      <c r="O471" s="7" t="s">
        <v>9</v>
      </c>
      <c r="P471" s="7" t="s">
        <v>10</v>
      </c>
      <c r="Q471" s="7" t="s">
        <v>11</v>
      </c>
      <c r="R471" s="8" t="s">
        <v>12</v>
      </c>
      <c r="S471" s="7" t="s">
        <v>13</v>
      </c>
      <c r="T471" s="8" t="s">
        <v>14</v>
      </c>
      <c r="U471" s="7" t="s">
        <v>15</v>
      </c>
      <c r="V471" s="8" t="s">
        <v>16</v>
      </c>
      <c r="W471" s="7" t="s">
        <v>17</v>
      </c>
      <c r="X471" s="8" t="s">
        <v>18</v>
      </c>
      <c r="Y471" s="7" t="s">
        <v>19</v>
      </c>
      <c r="Z471" s="7" t="s">
        <v>20</v>
      </c>
    </row>
    <row r="472" customFormat="false" ht="12.8" hidden="false" customHeight="false" outlineLevel="0" collapsed="false">
      <c r="A472" s="1" t="n">
        <v>7</v>
      </c>
      <c r="B472" s="1" t="n">
        <v>1</v>
      </c>
      <c r="C472" s="1" t="n">
        <v>2</v>
      </c>
      <c r="D472" s="36" t="s">
        <v>243</v>
      </c>
      <c r="E472" s="10" t="n">
        <v>630</v>
      </c>
      <c r="F472" s="10" t="s">
        <v>126</v>
      </c>
      <c r="G472" s="11" t="n">
        <v>5755.87</v>
      </c>
      <c r="H472" s="11" t="n">
        <v>6560.61</v>
      </c>
      <c r="I472" s="11" t="n">
        <v>6500</v>
      </c>
      <c r="J472" s="11" t="n">
        <v>3005</v>
      </c>
      <c r="K472" s="11" t="n">
        <v>2800</v>
      </c>
      <c r="L472" s="11"/>
      <c r="M472" s="11"/>
      <c r="N472" s="11"/>
      <c r="O472" s="11" t="n">
        <v>682</v>
      </c>
      <c r="P472" s="11" t="n">
        <f aca="false">K472+SUM(L472:O472)</f>
        <v>3482</v>
      </c>
      <c r="Q472" s="11" t="n">
        <v>63.2</v>
      </c>
      <c r="R472" s="12" t="n">
        <f aca="false">Q472/$P472</f>
        <v>0.018150488225158</v>
      </c>
      <c r="S472" s="11" t="n">
        <v>160</v>
      </c>
      <c r="T472" s="12" t="n">
        <f aca="false">S472/$P472</f>
        <v>0.0459506031016657</v>
      </c>
      <c r="U472" s="11" t="n">
        <v>260.5</v>
      </c>
      <c r="V472" s="12" t="n">
        <f aca="false">U472/$P472</f>
        <v>0.0748133256748995</v>
      </c>
      <c r="W472" s="11" t="n">
        <v>3482.13</v>
      </c>
      <c r="X472" s="12" t="n">
        <f aca="false">W472/$P472</f>
        <v>1.00003733486502</v>
      </c>
      <c r="Y472" s="11" t="n">
        <f aca="false">K472</f>
        <v>2800</v>
      </c>
      <c r="Z472" s="11" t="n">
        <f aca="false">Y472</f>
        <v>2800</v>
      </c>
    </row>
    <row r="473" customFormat="false" ht="12.8" hidden="false" customHeight="false" outlineLevel="0" collapsed="false">
      <c r="A473" s="1" t="n">
        <v>7</v>
      </c>
      <c r="B473" s="1" t="n">
        <v>1</v>
      </c>
      <c r="C473" s="1" t="n">
        <v>2</v>
      </c>
      <c r="D473" s="70" t="s">
        <v>21</v>
      </c>
      <c r="E473" s="13" t="n">
        <v>41</v>
      </c>
      <c r="F473" s="13" t="s">
        <v>23</v>
      </c>
      <c r="G473" s="14" t="n">
        <f aca="false">SUM(G472:G472)</f>
        <v>5755.87</v>
      </c>
      <c r="H473" s="14" t="n">
        <f aca="false">SUM(H472:H472)</f>
        <v>6560.61</v>
      </c>
      <c r="I473" s="14" t="n">
        <f aca="false">SUM(I472:I472)</f>
        <v>6500</v>
      </c>
      <c r="J473" s="14" t="n">
        <f aca="false">SUM(J472:J472)</f>
        <v>3005</v>
      </c>
      <c r="K473" s="14" t="n">
        <f aca="false">SUM(K472:K472)</f>
        <v>2800</v>
      </c>
      <c r="L473" s="14" t="n">
        <f aca="false">SUM(L472:L472)</f>
        <v>0</v>
      </c>
      <c r="M473" s="14" t="n">
        <f aca="false">SUM(M472:M472)</f>
        <v>0</v>
      </c>
      <c r="N473" s="14" t="n">
        <f aca="false">SUM(N472:N472)</f>
        <v>0</v>
      </c>
      <c r="O473" s="14" t="n">
        <f aca="false">SUM(O472:O472)</f>
        <v>682</v>
      </c>
      <c r="P473" s="14" t="n">
        <f aca="false">SUM(P472:P472)</f>
        <v>3482</v>
      </c>
      <c r="Q473" s="14" t="n">
        <f aca="false">SUM(Q472:Q472)</f>
        <v>63.2</v>
      </c>
      <c r="R473" s="15" t="n">
        <f aca="false">SUM(R472:R472)</f>
        <v>0.018150488225158</v>
      </c>
      <c r="S473" s="14" t="n">
        <f aca="false">SUM(S472:S472)</f>
        <v>160</v>
      </c>
      <c r="T473" s="15" t="n">
        <f aca="false">SUM(T472:T472)</f>
        <v>0.0459506031016657</v>
      </c>
      <c r="U473" s="14" t="n">
        <f aca="false">SUM(U472:U472)</f>
        <v>260.5</v>
      </c>
      <c r="V473" s="15" t="n">
        <f aca="false">SUM(V472:V472)</f>
        <v>0.0748133256748995</v>
      </c>
      <c r="W473" s="14" t="n">
        <f aca="false">SUM(W472:W472)</f>
        <v>3482.13</v>
      </c>
      <c r="X473" s="15" t="n">
        <f aca="false">SUM(X472:X472)</f>
        <v>1.00003733486502</v>
      </c>
      <c r="Y473" s="14" t="n">
        <f aca="false">SUM(Y472:Y472)</f>
        <v>2800</v>
      </c>
      <c r="Z473" s="14" t="n">
        <f aca="false">SUM(Z472:Z472)</f>
        <v>2800</v>
      </c>
    </row>
    <row r="475" customFormat="false" ht="12.8" hidden="false" customHeight="false" outlineLevel="0" collapsed="false">
      <c r="E475" s="39" t="s">
        <v>57</v>
      </c>
      <c r="F475" s="16" t="s">
        <v>248</v>
      </c>
      <c r="G475" s="40" t="n">
        <v>4917.42</v>
      </c>
      <c r="H475" s="40" t="n">
        <v>4812.72</v>
      </c>
      <c r="I475" s="40" t="n">
        <v>5000</v>
      </c>
      <c r="J475" s="40" t="n">
        <v>658.52</v>
      </c>
      <c r="K475" s="40" t="n">
        <v>500</v>
      </c>
      <c r="L475" s="40"/>
      <c r="M475" s="40"/>
      <c r="N475" s="40"/>
      <c r="O475" s="40" t="n">
        <v>-216</v>
      </c>
      <c r="P475" s="40" t="n">
        <f aca="false">K475+SUM(L475:O475)</f>
        <v>284</v>
      </c>
      <c r="Q475" s="40" t="n">
        <v>63.2</v>
      </c>
      <c r="R475" s="41" t="n">
        <f aca="false">Q475/$P475</f>
        <v>0.222535211267606</v>
      </c>
      <c r="S475" s="40" t="n">
        <v>160</v>
      </c>
      <c r="T475" s="41" t="n">
        <f aca="false">S475/$P475</f>
        <v>0.563380281690141</v>
      </c>
      <c r="U475" s="40" t="n">
        <v>228</v>
      </c>
      <c r="V475" s="41" t="n">
        <f aca="false">U475/$P475</f>
        <v>0.802816901408451</v>
      </c>
      <c r="W475" s="40" t="n">
        <v>284</v>
      </c>
      <c r="X475" s="42" t="n">
        <f aca="false">W475/$P475</f>
        <v>1</v>
      </c>
      <c r="Y475" s="40" t="n">
        <f aca="false">K475</f>
        <v>500</v>
      </c>
      <c r="Z475" s="44" t="n">
        <f aca="false">Y475</f>
        <v>500</v>
      </c>
    </row>
    <row r="476" customFormat="false" ht="12.8" hidden="false" customHeight="false" outlineLevel="0" collapsed="false">
      <c r="E476" s="54"/>
      <c r="F476" s="72" t="s">
        <v>249</v>
      </c>
      <c r="G476" s="56"/>
      <c r="H476" s="56" t="n">
        <v>1747.89</v>
      </c>
      <c r="I476" s="56" t="n">
        <v>1500</v>
      </c>
      <c r="J476" s="56" t="n">
        <v>2346.87</v>
      </c>
      <c r="K476" s="56" t="n">
        <v>2300</v>
      </c>
      <c r="L476" s="56"/>
      <c r="M476" s="56"/>
      <c r="N476" s="56"/>
      <c r="O476" s="56" t="n">
        <v>898</v>
      </c>
      <c r="P476" s="56" t="n">
        <f aca="false">K476+SUM(L476:O476)</f>
        <v>3198</v>
      </c>
      <c r="Q476" s="56" t="n">
        <v>0</v>
      </c>
      <c r="R476" s="57" t="n">
        <f aca="false">Q476/$P476</f>
        <v>0</v>
      </c>
      <c r="S476" s="56" t="n">
        <v>0</v>
      </c>
      <c r="T476" s="57" t="n">
        <f aca="false">S476/$P476</f>
        <v>0</v>
      </c>
      <c r="U476" s="56" t="n">
        <v>32.5</v>
      </c>
      <c r="V476" s="57" t="n">
        <f aca="false">U476/$P476</f>
        <v>0.0101626016260163</v>
      </c>
      <c r="W476" s="56" t="n">
        <v>3198.13</v>
      </c>
      <c r="X476" s="58" t="n">
        <f aca="false">W476/$P476</f>
        <v>1.0000406504065</v>
      </c>
      <c r="Y476" s="56" t="n">
        <f aca="false">K476</f>
        <v>2300</v>
      </c>
      <c r="Z476" s="60" t="n">
        <f aca="false">Y476</f>
        <v>2300</v>
      </c>
    </row>
    <row r="478" customFormat="false" ht="12.8" hidden="false" customHeight="false" outlineLevel="0" collapsed="false">
      <c r="D478" s="27" t="s">
        <v>250</v>
      </c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8"/>
      <c r="S478" s="27"/>
      <c r="T478" s="28"/>
      <c r="U478" s="27"/>
      <c r="V478" s="28"/>
      <c r="W478" s="27"/>
      <c r="X478" s="28"/>
      <c r="Y478" s="27"/>
      <c r="Z478" s="27"/>
    </row>
    <row r="479" customFormat="false" ht="12.8" hidden="false" customHeight="false" outlineLevel="0" collapsed="false">
      <c r="D479" s="7" t="s">
        <v>33</v>
      </c>
      <c r="E479" s="7" t="s">
        <v>34</v>
      </c>
      <c r="F479" s="7" t="s">
        <v>35</v>
      </c>
      <c r="G479" s="7" t="s">
        <v>1</v>
      </c>
      <c r="H479" s="7" t="s">
        <v>2</v>
      </c>
      <c r="I479" s="7" t="s">
        <v>3</v>
      </c>
      <c r="J479" s="7" t="s">
        <v>4</v>
      </c>
      <c r="K479" s="7" t="s">
        <v>5</v>
      </c>
      <c r="L479" s="7" t="s">
        <v>6</v>
      </c>
      <c r="M479" s="7" t="s">
        <v>7</v>
      </c>
      <c r="N479" s="7" t="s">
        <v>8</v>
      </c>
      <c r="O479" s="7" t="s">
        <v>9</v>
      </c>
      <c r="P479" s="7" t="s">
        <v>10</v>
      </c>
      <c r="Q479" s="7" t="s">
        <v>11</v>
      </c>
      <c r="R479" s="8" t="s">
        <v>12</v>
      </c>
      <c r="S479" s="7" t="s">
        <v>13</v>
      </c>
      <c r="T479" s="8" t="s">
        <v>14</v>
      </c>
      <c r="U479" s="7" t="s">
        <v>15</v>
      </c>
      <c r="V479" s="8" t="s">
        <v>16</v>
      </c>
      <c r="W479" s="7" t="s">
        <v>17</v>
      </c>
      <c r="X479" s="8" t="s">
        <v>18</v>
      </c>
      <c r="Y479" s="7" t="s">
        <v>19</v>
      </c>
      <c r="Z479" s="7" t="s">
        <v>20</v>
      </c>
    </row>
    <row r="480" customFormat="false" ht="12.8" hidden="false" customHeight="false" outlineLevel="0" collapsed="false">
      <c r="A480" s="1" t="n">
        <v>7</v>
      </c>
      <c r="B480" s="1" t="n">
        <v>2</v>
      </c>
      <c r="D480" s="87" t="s">
        <v>251</v>
      </c>
      <c r="E480" s="10" t="n">
        <v>640</v>
      </c>
      <c r="F480" s="10" t="s">
        <v>127</v>
      </c>
      <c r="G480" s="11" t="n">
        <v>1317.12</v>
      </c>
      <c r="H480" s="11" t="n">
        <v>540.96</v>
      </c>
      <c r="I480" s="11" t="n">
        <v>500</v>
      </c>
      <c r="J480" s="11" t="n">
        <v>1058.4</v>
      </c>
      <c r="K480" s="37" t="n">
        <f aca="false">príjmy!H95</f>
        <v>1060</v>
      </c>
      <c r="L480" s="11"/>
      <c r="M480" s="11"/>
      <c r="N480" s="11"/>
      <c r="O480" s="11" t="n">
        <v>5</v>
      </c>
      <c r="P480" s="11" t="n">
        <f aca="false">K480+SUM(L480:O480)</f>
        <v>1065</v>
      </c>
      <c r="Q480" s="11" t="n">
        <v>354.72</v>
      </c>
      <c r="R480" s="12" t="n">
        <f aca="false">Q480/$P480</f>
        <v>0.333070422535211</v>
      </c>
      <c r="S480" s="11" t="n">
        <v>709.92</v>
      </c>
      <c r="T480" s="12" t="n">
        <f aca="false">S480/$P480</f>
        <v>0.666591549295775</v>
      </c>
      <c r="U480" s="11" t="n">
        <v>899.36</v>
      </c>
      <c r="V480" s="12" t="n">
        <f aca="false">U480/$P480</f>
        <v>0.844469483568075</v>
      </c>
      <c r="W480" s="11" t="n">
        <v>1065.12</v>
      </c>
      <c r="X480" s="12" t="n">
        <f aca="false">W480/$P480</f>
        <v>1.00011267605634</v>
      </c>
      <c r="Y480" s="11" t="n">
        <f aca="false">K480</f>
        <v>1060</v>
      </c>
      <c r="Z480" s="11" t="n">
        <f aca="false">Y480</f>
        <v>1060</v>
      </c>
    </row>
    <row r="481" customFormat="false" ht="12.8" hidden="false" customHeight="false" outlineLevel="0" collapsed="false">
      <c r="A481" s="1" t="n">
        <v>7</v>
      </c>
      <c r="B481" s="1" t="n">
        <v>2</v>
      </c>
      <c r="D481" s="114" t="s">
        <v>252</v>
      </c>
      <c r="E481" s="10" t="n">
        <v>630</v>
      </c>
      <c r="F481" s="10" t="s">
        <v>126</v>
      </c>
      <c r="G481" s="11" t="n">
        <v>742</v>
      </c>
      <c r="H481" s="11" t="n">
        <v>493</v>
      </c>
      <c r="I481" s="11" t="n">
        <v>300</v>
      </c>
      <c r="J481" s="11" t="n">
        <v>772</v>
      </c>
      <c r="K481" s="37" t="n">
        <f aca="false">príjmy!H90-2500</f>
        <v>600</v>
      </c>
      <c r="L481" s="11"/>
      <c r="M481" s="11"/>
      <c r="N481" s="11"/>
      <c r="O481" s="11" t="n">
        <v>162</v>
      </c>
      <c r="P481" s="11" t="n">
        <f aca="false">K481+SUM(L481:O481)</f>
        <v>762</v>
      </c>
      <c r="Q481" s="11" t="n">
        <v>275</v>
      </c>
      <c r="R481" s="12" t="n">
        <f aca="false">Q481/$P481</f>
        <v>0.360892388451444</v>
      </c>
      <c r="S481" s="11" t="n">
        <v>491</v>
      </c>
      <c r="T481" s="12" t="n">
        <f aca="false">S481/$P481</f>
        <v>0.644356955380578</v>
      </c>
      <c r="U481" s="11" t="n">
        <v>514</v>
      </c>
      <c r="V481" s="12" t="n">
        <f aca="false">U481/$P481</f>
        <v>0.674540682414698</v>
      </c>
      <c r="W481" s="11" t="n">
        <v>762</v>
      </c>
      <c r="X481" s="12" t="n">
        <f aca="false">W481/$P481</f>
        <v>1</v>
      </c>
      <c r="Y481" s="11" t="n">
        <f aca="false">K481</f>
        <v>600</v>
      </c>
      <c r="Z481" s="11" t="n">
        <f aca="false">Y481</f>
        <v>600</v>
      </c>
    </row>
    <row r="482" customFormat="false" ht="12.8" hidden="false" customHeight="false" outlineLevel="0" collapsed="false">
      <c r="A482" s="1" t="n">
        <v>7</v>
      </c>
      <c r="B482" s="1" t="n">
        <v>2</v>
      </c>
      <c r="D482" s="75" t="s">
        <v>21</v>
      </c>
      <c r="E482" s="32" t="n">
        <v>111</v>
      </c>
      <c r="F482" s="32" t="s">
        <v>130</v>
      </c>
      <c r="G482" s="33" t="n">
        <f aca="false">SUM(G480:G481)</f>
        <v>2059.12</v>
      </c>
      <c r="H482" s="33" t="n">
        <f aca="false">SUM(H480:H481)</f>
        <v>1033.96</v>
      </c>
      <c r="I482" s="33" t="n">
        <f aca="false">SUM(I480:I481)</f>
        <v>800</v>
      </c>
      <c r="J482" s="33" t="n">
        <f aca="false">SUM(J480:J481)</f>
        <v>1830.4</v>
      </c>
      <c r="K482" s="33" t="n">
        <f aca="false">SUM(K480:K481)</f>
        <v>1660</v>
      </c>
      <c r="L482" s="33" t="n">
        <f aca="false">SUM(L480:L481)</f>
        <v>0</v>
      </c>
      <c r="M482" s="33" t="n">
        <f aca="false">SUM(M480:M481)</f>
        <v>0</v>
      </c>
      <c r="N482" s="33" t="n">
        <f aca="false">SUM(N480:N481)</f>
        <v>0</v>
      </c>
      <c r="O482" s="33" t="n">
        <f aca="false">SUM(O480:O481)</f>
        <v>167</v>
      </c>
      <c r="P482" s="33" t="n">
        <f aca="false">SUM(P480:P481)</f>
        <v>1827</v>
      </c>
      <c r="Q482" s="33" t="n">
        <f aca="false">SUM(Q480:Q481)</f>
        <v>629.72</v>
      </c>
      <c r="R482" s="34" t="n">
        <f aca="false">Q482/$P482</f>
        <v>0.344674329501916</v>
      </c>
      <c r="S482" s="33" t="n">
        <f aca="false">SUM(S480:S481)</f>
        <v>1200.92</v>
      </c>
      <c r="T482" s="34" t="n">
        <f aca="false">S482/$P482</f>
        <v>0.657318007662835</v>
      </c>
      <c r="U482" s="33" t="n">
        <f aca="false">SUM(U480:U481)</f>
        <v>1413.36</v>
      </c>
      <c r="V482" s="34" t="n">
        <f aca="false">U482/$P482</f>
        <v>0.773596059113301</v>
      </c>
      <c r="W482" s="33" t="n">
        <f aca="false">SUM(W480:W481)</f>
        <v>1827.12</v>
      </c>
      <c r="X482" s="34" t="n">
        <f aca="false">W482/$P482</f>
        <v>1.00006568144499</v>
      </c>
      <c r="Y482" s="33" t="n">
        <f aca="false">SUM(Y480:Y481)</f>
        <v>1660</v>
      </c>
      <c r="Z482" s="33" t="n">
        <f aca="false">SUM(Z480:Z481)</f>
        <v>1660</v>
      </c>
    </row>
    <row r="483" customFormat="false" ht="12.8" hidden="false" customHeight="false" outlineLevel="0" collapsed="false">
      <c r="A483" s="1" t="n">
        <v>7</v>
      </c>
      <c r="B483" s="1" t="n">
        <v>2</v>
      </c>
      <c r="D483" s="115" t="s">
        <v>251</v>
      </c>
      <c r="E483" s="10" t="n">
        <v>640</v>
      </c>
      <c r="F483" s="10" t="s">
        <v>127</v>
      </c>
      <c r="G483" s="11" t="n">
        <v>3400</v>
      </c>
      <c r="H483" s="11" t="n">
        <v>4850</v>
      </c>
      <c r="I483" s="11" t="n">
        <v>3250</v>
      </c>
      <c r="J483" s="11" t="n">
        <v>2900</v>
      </c>
      <c r="K483" s="11" t="n">
        <v>3000</v>
      </c>
      <c r="L483" s="11"/>
      <c r="M483" s="11"/>
      <c r="N483" s="11"/>
      <c r="O483" s="11" t="n">
        <v>-100</v>
      </c>
      <c r="P483" s="11" t="n">
        <f aca="false">K483+SUM(L483:O483)</f>
        <v>2900</v>
      </c>
      <c r="Q483" s="11" t="n">
        <v>0</v>
      </c>
      <c r="R483" s="12" t="n">
        <f aca="false">Q483/$P483</f>
        <v>0</v>
      </c>
      <c r="S483" s="11" t="n">
        <v>1300</v>
      </c>
      <c r="T483" s="12" t="n">
        <f aca="false">S483/$P483</f>
        <v>0.448275862068966</v>
      </c>
      <c r="U483" s="11" t="n">
        <v>1300</v>
      </c>
      <c r="V483" s="12" t="n">
        <f aca="false">U483/$P483</f>
        <v>0.448275862068966</v>
      </c>
      <c r="W483" s="11" t="n">
        <v>2900</v>
      </c>
      <c r="X483" s="12" t="n">
        <f aca="false">W483/$P483</f>
        <v>1</v>
      </c>
      <c r="Y483" s="11" t="n">
        <f aca="false">K483</f>
        <v>3000</v>
      </c>
      <c r="Z483" s="11" t="n">
        <f aca="false">Y483</f>
        <v>3000</v>
      </c>
    </row>
    <row r="484" customFormat="false" ht="12.8" hidden="true" customHeight="false" outlineLevel="0" collapsed="false">
      <c r="A484" s="1" t="n">
        <v>7</v>
      </c>
      <c r="B484" s="1" t="n">
        <v>2</v>
      </c>
      <c r="D484" s="114" t="s">
        <v>252</v>
      </c>
      <c r="E484" s="10" t="n">
        <v>640</v>
      </c>
      <c r="F484" s="10" t="s">
        <v>127</v>
      </c>
      <c r="G484" s="11" t="n">
        <v>150</v>
      </c>
      <c r="H484" s="11" t="n">
        <v>0</v>
      </c>
      <c r="I484" s="11" t="n">
        <v>0</v>
      </c>
      <c r="J484" s="11" t="n">
        <v>0</v>
      </c>
      <c r="K484" s="11" t="n">
        <v>0</v>
      </c>
      <c r="L484" s="11"/>
      <c r="M484" s="11"/>
      <c r="N484" s="11"/>
      <c r="O484" s="11"/>
      <c r="P484" s="11" t="n">
        <f aca="false">K484+SUM(L484:O484)</f>
        <v>0</v>
      </c>
      <c r="Q484" s="11" t="n">
        <v>0</v>
      </c>
      <c r="R484" s="12" t="e">
        <f aca="false">Q484/$P484</f>
        <v>#DIV/0!</v>
      </c>
      <c r="S484" s="11" t="n">
        <v>0</v>
      </c>
      <c r="T484" s="12" t="e">
        <f aca="false">S484/$P484</f>
        <v>#DIV/0!</v>
      </c>
      <c r="U484" s="11" t="n">
        <v>0</v>
      </c>
      <c r="V484" s="12" t="e">
        <f aca="false">U484/$P484</f>
        <v>#DIV/0!</v>
      </c>
      <c r="W484" s="11" t="n">
        <v>0</v>
      </c>
      <c r="X484" s="12" t="e">
        <f aca="false">W484/$P484</f>
        <v>#DIV/0!</v>
      </c>
      <c r="Y484" s="11" t="n">
        <f aca="false">K484</f>
        <v>0</v>
      </c>
      <c r="Z484" s="11" t="n">
        <f aca="false">Y484</f>
        <v>0</v>
      </c>
    </row>
    <row r="485" customFormat="false" ht="12.8" hidden="false" customHeight="false" outlineLevel="0" collapsed="false">
      <c r="A485" s="1" t="n">
        <v>7</v>
      </c>
      <c r="B485" s="1" t="n">
        <v>2</v>
      </c>
      <c r="D485" s="75" t="s">
        <v>21</v>
      </c>
      <c r="E485" s="32" t="n">
        <v>41</v>
      </c>
      <c r="F485" s="32" t="s">
        <v>23</v>
      </c>
      <c r="G485" s="33" t="n">
        <f aca="false">SUM(G483:G484)</f>
        <v>3550</v>
      </c>
      <c r="H485" s="33" t="n">
        <f aca="false">SUM(H483:H484)</f>
        <v>4850</v>
      </c>
      <c r="I485" s="33" t="n">
        <f aca="false">SUM(I483:I484)</f>
        <v>3250</v>
      </c>
      <c r="J485" s="33" t="n">
        <f aca="false">SUM(J483:J484)</f>
        <v>2900</v>
      </c>
      <c r="K485" s="33" t="n">
        <f aca="false">SUM(K483:K484)</f>
        <v>3000</v>
      </c>
      <c r="L485" s="33" t="n">
        <f aca="false">SUM(L483:L484)</f>
        <v>0</v>
      </c>
      <c r="M485" s="33" t="n">
        <f aca="false">SUM(M483:M484)</f>
        <v>0</v>
      </c>
      <c r="N485" s="33" t="n">
        <f aca="false">SUM(N483:N484)</f>
        <v>0</v>
      </c>
      <c r="O485" s="33" t="n">
        <f aca="false">SUM(O483:O484)</f>
        <v>-100</v>
      </c>
      <c r="P485" s="33" t="n">
        <f aca="false">SUM(P483:P484)</f>
        <v>2900</v>
      </c>
      <c r="Q485" s="33" t="n">
        <f aca="false">SUM(Q483:Q484)</f>
        <v>0</v>
      </c>
      <c r="R485" s="34" t="n">
        <f aca="false">Q485/$P485</f>
        <v>0</v>
      </c>
      <c r="S485" s="33" t="n">
        <f aca="false">SUM(S483:S484)</f>
        <v>1300</v>
      </c>
      <c r="T485" s="34" t="n">
        <f aca="false">S485/$P485</f>
        <v>0.448275862068966</v>
      </c>
      <c r="U485" s="33" t="n">
        <f aca="false">SUM(U483:U484)</f>
        <v>1300</v>
      </c>
      <c r="V485" s="34" t="n">
        <f aca="false">U485/$P485</f>
        <v>0.448275862068966</v>
      </c>
      <c r="W485" s="33" t="n">
        <f aca="false">SUM(W483:W484)</f>
        <v>2900</v>
      </c>
      <c r="X485" s="34" t="n">
        <f aca="false">W485/$P485</f>
        <v>1</v>
      </c>
      <c r="Y485" s="33" t="n">
        <f aca="false">SUM(Y483:Y484)</f>
        <v>3000</v>
      </c>
      <c r="Z485" s="33" t="n">
        <f aca="false">SUM(Z483:Z484)</f>
        <v>3000</v>
      </c>
    </row>
    <row r="486" customFormat="false" ht="12.8" hidden="false" customHeight="false" outlineLevel="0" collapsed="false">
      <c r="A486" s="1" t="n">
        <v>7</v>
      </c>
      <c r="B486" s="1" t="n">
        <v>2</v>
      </c>
      <c r="D486" s="16"/>
      <c r="E486" s="17"/>
      <c r="F486" s="13" t="s">
        <v>119</v>
      </c>
      <c r="G486" s="14" t="n">
        <f aca="false">G482+G485</f>
        <v>5609.12</v>
      </c>
      <c r="H486" s="14" t="n">
        <f aca="false">H482+H485</f>
        <v>5883.96</v>
      </c>
      <c r="I486" s="14" t="n">
        <f aca="false">I482+I485</f>
        <v>4050</v>
      </c>
      <c r="J486" s="14" t="n">
        <f aca="false">J482+J485</f>
        <v>4730.4</v>
      </c>
      <c r="K486" s="14" t="n">
        <f aca="false">K482+K485</f>
        <v>4660</v>
      </c>
      <c r="L486" s="14" t="n">
        <f aca="false">L482+L485</f>
        <v>0</v>
      </c>
      <c r="M486" s="14" t="n">
        <f aca="false">M482+M485</f>
        <v>0</v>
      </c>
      <c r="N486" s="14" t="n">
        <f aca="false">N482+N485</f>
        <v>0</v>
      </c>
      <c r="O486" s="14" t="n">
        <f aca="false">O482+O485</f>
        <v>67</v>
      </c>
      <c r="P486" s="14" t="n">
        <f aca="false">P482+P485</f>
        <v>4727</v>
      </c>
      <c r="Q486" s="14" t="n">
        <f aca="false">Q482+Q485</f>
        <v>629.72</v>
      </c>
      <c r="R486" s="15" t="n">
        <f aca="false">Q486/$P486</f>
        <v>0.13321768563571</v>
      </c>
      <c r="S486" s="14" t="n">
        <f aca="false">S482+S485</f>
        <v>2500.92</v>
      </c>
      <c r="T486" s="15" t="n">
        <f aca="false">S486/$P486</f>
        <v>0.529071292574572</v>
      </c>
      <c r="U486" s="14" t="n">
        <f aca="false">U482+U485</f>
        <v>2713.36</v>
      </c>
      <c r="V486" s="15" t="n">
        <f aca="false">U486/$P486</f>
        <v>0.574013116141316</v>
      </c>
      <c r="W486" s="14" t="n">
        <f aca="false">W482+W485</f>
        <v>4727.12</v>
      </c>
      <c r="X486" s="15" t="n">
        <f aca="false">W486/$P486</f>
        <v>1.00002538607997</v>
      </c>
      <c r="Y486" s="14" t="n">
        <f aca="false">Y482+Y485</f>
        <v>4660</v>
      </c>
      <c r="Z486" s="14" t="n">
        <f aca="false">Z482+Z485</f>
        <v>4660</v>
      </c>
    </row>
    <row r="488" customFormat="false" ht="12.8" hidden="false" customHeight="false" outlineLevel="0" collapsed="false">
      <c r="D488" s="18" t="s">
        <v>253</v>
      </c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9"/>
      <c r="S488" s="18"/>
      <c r="T488" s="19"/>
      <c r="U488" s="18"/>
      <c r="V488" s="19"/>
      <c r="W488" s="18"/>
      <c r="X488" s="19"/>
      <c r="Y488" s="18"/>
      <c r="Z488" s="18"/>
    </row>
    <row r="489" customFormat="false" ht="12.8" hidden="false" customHeight="false" outlineLevel="0" collapsed="false">
      <c r="D489" s="6"/>
      <c r="E489" s="6"/>
      <c r="F489" s="6"/>
      <c r="G489" s="7" t="s">
        <v>1</v>
      </c>
      <c r="H489" s="7" t="s">
        <v>2</v>
      </c>
      <c r="I489" s="7" t="s">
        <v>3</v>
      </c>
      <c r="J489" s="7" t="s">
        <v>4</v>
      </c>
      <c r="K489" s="7" t="s">
        <v>5</v>
      </c>
      <c r="L489" s="7" t="s">
        <v>6</v>
      </c>
      <c r="M489" s="7" t="s">
        <v>7</v>
      </c>
      <c r="N489" s="7" t="s">
        <v>8</v>
      </c>
      <c r="O489" s="7" t="s">
        <v>9</v>
      </c>
      <c r="P489" s="7" t="s">
        <v>10</v>
      </c>
      <c r="Q489" s="7" t="s">
        <v>11</v>
      </c>
      <c r="R489" s="8" t="s">
        <v>12</v>
      </c>
      <c r="S489" s="7" t="s">
        <v>13</v>
      </c>
      <c r="T489" s="8" t="s">
        <v>14</v>
      </c>
      <c r="U489" s="7" t="s">
        <v>15</v>
      </c>
      <c r="V489" s="8" t="s">
        <v>16</v>
      </c>
      <c r="W489" s="7" t="s">
        <v>17</v>
      </c>
      <c r="X489" s="8" t="s">
        <v>18</v>
      </c>
      <c r="Y489" s="7" t="s">
        <v>19</v>
      </c>
      <c r="Z489" s="7" t="s">
        <v>20</v>
      </c>
    </row>
    <row r="490" customFormat="false" ht="12.8" hidden="false" customHeight="false" outlineLevel="0" collapsed="false">
      <c r="A490" s="1" t="n">
        <v>8</v>
      </c>
      <c r="D490" s="20" t="s">
        <v>21</v>
      </c>
      <c r="E490" s="21" t="n">
        <v>111</v>
      </c>
      <c r="F490" s="21" t="s">
        <v>47</v>
      </c>
      <c r="G490" s="22" t="n">
        <f aca="false">G515+G551+G585</f>
        <v>10000</v>
      </c>
      <c r="H490" s="22" t="n">
        <f aca="false">H515+H551+H585</f>
        <v>50000</v>
      </c>
      <c r="I490" s="22" t="n">
        <f aca="false">I515+I541+I551+I585</f>
        <v>1505300</v>
      </c>
      <c r="J490" s="22" t="n">
        <f aca="false">J515+J551+J585</f>
        <v>0</v>
      </c>
      <c r="K490" s="22" t="n">
        <f aca="false">K515+K541+K551+K573+K585</f>
        <v>1689000</v>
      </c>
      <c r="L490" s="22" t="n">
        <f aca="false">L515+L541+L551+L573+L585</f>
        <v>0</v>
      </c>
      <c r="M490" s="22" t="n">
        <f aca="false">M515+M541+M551+M573+M585</f>
        <v>-10000</v>
      </c>
      <c r="N490" s="22" t="n">
        <f aca="false">N515+N541+N551+N573+N585</f>
        <v>0</v>
      </c>
      <c r="O490" s="22" t="n">
        <f aca="false">O515+O541+O551+O573+O585</f>
        <v>0</v>
      </c>
      <c r="P490" s="22" t="n">
        <f aca="false">P515+P541+P551+P573+P585</f>
        <v>1679000</v>
      </c>
      <c r="Q490" s="22" t="n">
        <f aca="false">Q515+Q541+Q551+Q573+Q585</f>
        <v>0</v>
      </c>
      <c r="R490" s="23" t="n">
        <f aca="false">Q490/$P490</f>
        <v>0</v>
      </c>
      <c r="S490" s="22" t="n">
        <f aca="false">S515+S541+S551+S573+S585</f>
        <v>143000</v>
      </c>
      <c r="T490" s="23" t="n">
        <f aca="false">S490/$P490</f>
        <v>0.0851697438951757</v>
      </c>
      <c r="U490" s="22" t="n">
        <f aca="false">U515+U541+U551+U573+U585</f>
        <v>143000</v>
      </c>
      <c r="V490" s="23" t="n">
        <f aca="false">U490/$P490</f>
        <v>0.0851697438951757</v>
      </c>
      <c r="W490" s="22" t="n">
        <f aca="false">W515+W541+W551+W573+W585</f>
        <v>675504.98</v>
      </c>
      <c r="X490" s="23" t="n">
        <f aca="false">W490/$P490</f>
        <v>0.402325777248362</v>
      </c>
      <c r="Y490" s="22" t="n">
        <f aca="false">Y515+Y551+Y585</f>
        <v>0</v>
      </c>
      <c r="Z490" s="22" t="n">
        <f aca="false">Z515+Z551+Z585</f>
        <v>0</v>
      </c>
    </row>
    <row r="491" customFormat="false" ht="12.8" hidden="false" customHeight="false" outlineLevel="0" collapsed="false">
      <c r="A491" s="1" t="n">
        <v>8</v>
      </c>
      <c r="D491" s="20"/>
      <c r="E491" s="21" t="n">
        <v>41</v>
      </c>
      <c r="F491" s="21" t="s">
        <v>23</v>
      </c>
      <c r="G491" s="22" t="n">
        <f aca="false">G497+G516+G529+G542+G552+G574+G586+G597</f>
        <v>12262.35</v>
      </c>
      <c r="H491" s="22" t="n">
        <f aca="false">H497+H516+H529+H542+H552+H574+H586+H597</f>
        <v>279817.53</v>
      </c>
      <c r="I491" s="22" t="n">
        <f aca="false">I497+I516+I542+I552+I574+I586+I597</f>
        <v>409903</v>
      </c>
      <c r="J491" s="22" t="n">
        <f aca="false">J497+J516+J529+J542+J552+J574+J586+J597</f>
        <v>275897.18</v>
      </c>
      <c r="K491" s="22" t="n">
        <f aca="false">K497+K516+K529+K542+K552+K574+K586+K597</f>
        <v>687000</v>
      </c>
      <c r="L491" s="22" t="n">
        <f aca="false">L497+L516+L529+L542+L552+L574+L586+L597</f>
        <v>-1350</v>
      </c>
      <c r="M491" s="22" t="n">
        <f aca="false">M497+M516+M529+M542+M552+M574+M586+M597</f>
        <v>-18620</v>
      </c>
      <c r="N491" s="22" t="n">
        <f aca="false">N497+N516+N529+N542+N552+N574+N586+N597</f>
        <v>1395</v>
      </c>
      <c r="O491" s="22" t="n">
        <f aca="false">O497+O516+O529+O542+O552+O574+O586+O597</f>
        <v>-7073</v>
      </c>
      <c r="P491" s="22" t="n">
        <f aca="false">P497+P516+P529+P542+P552+P574+P586+P597</f>
        <v>661352</v>
      </c>
      <c r="Q491" s="22" t="n">
        <f aca="false">Q497+Q516+Q529+Q542+Q552+Q574+Q586+Q597</f>
        <v>2987.72</v>
      </c>
      <c r="R491" s="23" t="n">
        <f aca="false">Q491/$P491</f>
        <v>0.0045175942614523</v>
      </c>
      <c r="S491" s="22" t="n">
        <f aca="false">S497+S516+S529+S542+S552+S574+S586+S597</f>
        <v>131339.98</v>
      </c>
      <c r="T491" s="23" t="n">
        <f aca="false">S491/$P491</f>
        <v>0.1985931546287</v>
      </c>
      <c r="U491" s="22" t="n">
        <f aca="false">U497+U516+U529+U542+U552+U574+U586+U597</f>
        <v>298501.65</v>
      </c>
      <c r="V491" s="23" t="n">
        <f aca="false">U491/$P491</f>
        <v>0.45135064232058</v>
      </c>
      <c r="W491" s="22" t="n">
        <f aca="false">W497+W516+W529+W542+W552+W574+W586+W597</f>
        <v>541019.75</v>
      </c>
      <c r="X491" s="23" t="n">
        <f aca="false">W491/$P491</f>
        <v>0.818051128597177</v>
      </c>
      <c r="Y491" s="22" t="n">
        <f aca="false">Y497+Y516+Y529+Y542+Y552+Y574+Y586+Y597</f>
        <v>368492</v>
      </c>
      <c r="Z491" s="22" t="n">
        <f aca="false">Z497+Z516+Z529+Z542+Z552+Z574+Z586+Z597</f>
        <v>357464</v>
      </c>
    </row>
    <row r="492" customFormat="false" ht="12.8" hidden="false" customHeight="false" outlineLevel="0" collapsed="false">
      <c r="A492" s="1" t="n">
        <v>8</v>
      </c>
      <c r="D492" s="20"/>
      <c r="E492" s="21" t="n">
        <v>52</v>
      </c>
      <c r="F492" s="21" t="s">
        <v>28</v>
      </c>
      <c r="G492" s="22" t="n">
        <f aca="false">G498</f>
        <v>0</v>
      </c>
      <c r="H492" s="22" t="n">
        <f aca="false">H498</f>
        <v>0</v>
      </c>
      <c r="I492" s="22" t="n">
        <f aca="false">I498</f>
        <v>60000</v>
      </c>
      <c r="J492" s="22" t="n">
        <f aca="false">J498</f>
        <v>0</v>
      </c>
      <c r="K492" s="22" t="n">
        <f aca="false">K498</f>
        <v>0</v>
      </c>
      <c r="L492" s="22" t="n">
        <f aca="false">L498</f>
        <v>0</v>
      </c>
      <c r="M492" s="22" t="n">
        <f aca="false">M498</f>
        <v>0</v>
      </c>
      <c r="N492" s="22" t="n">
        <f aca="false">N498</f>
        <v>0</v>
      </c>
      <c r="O492" s="22" t="n">
        <f aca="false">O498</f>
        <v>0</v>
      </c>
      <c r="P492" s="22" t="n">
        <f aca="false">P498</f>
        <v>0</v>
      </c>
      <c r="Q492" s="22" t="n">
        <f aca="false">Q498</f>
        <v>0</v>
      </c>
      <c r="R492" s="23" t="e">
        <f aca="false">Q492/$P492</f>
        <v>#DIV/0!</v>
      </c>
      <c r="S492" s="22" t="n">
        <f aca="false">S498</f>
        <v>0</v>
      </c>
      <c r="T492" s="23" t="e">
        <f aca="false">S492/$P492</f>
        <v>#DIV/0!</v>
      </c>
      <c r="U492" s="22" t="n">
        <f aca="false">U498</f>
        <v>0</v>
      </c>
      <c r="V492" s="23" t="e">
        <f aca="false">U492/$P492</f>
        <v>#DIV/0!</v>
      </c>
      <c r="W492" s="22" t="n">
        <f aca="false">W498</f>
        <v>0</v>
      </c>
      <c r="X492" s="23" t="e">
        <f aca="false">W492/$P492</f>
        <v>#DIV/0!</v>
      </c>
      <c r="Y492" s="22" t="n">
        <f aca="false">Y498</f>
        <v>0</v>
      </c>
      <c r="Z492" s="22" t="n">
        <f aca="false">Z498</f>
        <v>0</v>
      </c>
    </row>
    <row r="493" customFormat="false" ht="12.8" hidden="false" customHeight="false" outlineLevel="0" collapsed="false">
      <c r="A493" s="1" t="n">
        <v>8</v>
      </c>
      <c r="D493" s="16"/>
      <c r="E493" s="17"/>
      <c r="F493" s="24" t="s">
        <v>119</v>
      </c>
      <c r="G493" s="25" t="n">
        <f aca="false">SUM(G490:G492)</f>
        <v>22262.35</v>
      </c>
      <c r="H493" s="25" t="n">
        <f aca="false">SUM(H490:H492)</f>
        <v>329817.53</v>
      </c>
      <c r="I493" s="25" t="n">
        <f aca="false">SUM(I490:I492)</f>
        <v>1975203</v>
      </c>
      <c r="J493" s="25" t="n">
        <f aca="false">SUM(J490:J492)</f>
        <v>275897.18</v>
      </c>
      <c r="K493" s="25" t="n">
        <f aca="false">SUM(K490:K492)</f>
        <v>2376000</v>
      </c>
      <c r="L493" s="25" t="n">
        <f aca="false">SUM(L490:L492)</f>
        <v>-1350</v>
      </c>
      <c r="M493" s="25" t="n">
        <f aca="false">SUM(M490:M492)</f>
        <v>-28620</v>
      </c>
      <c r="N493" s="25" t="n">
        <f aca="false">SUM(N490:N492)</f>
        <v>1395</v>
      </c>
      <c r="O493" s="25" t="n">
        <f aca="false">SUM(O490:O492)</f>
        <v>-7073</v>
      </c>
      <c r="P493" s="25" t="n">
        <f aca="false">SUM(P490:P492)</f>
        <v>2340352</v>
      </c>
      <c r="Q493" s="25" t="n">
        <f aca="false">SUM(Q490:Q492)</f>
        <v>2987.72</v>
      </c>
      <c r="R493" s="26" t="n">
        <f aca="false">Q493/$P493</f>
        <v>0.00127661138153577</v>
      </c>
      <c r="S493" s="25" t="n">
        <f aca="false">SUM(S490:S492)</f>
        <v>274339.98</v>
      </c>
      <c r="T493" s="26" t="n">
        <f aca="false">S493/$P493</f>
        <v>0.117221674346423</v>
      </c>
      <c r="U493" s="25" t="n">
        <f aca="false">SUM(U490:U492)</f>
        <v>441501.65</v>
      </c>
      <c r="V493" s="26" t="n">
        <f aca="false">U493/$P493</f>
        <v>0.188647541053653</v>
      </c>
      <c r="W493" s="25" t="n">
        <f aca="false">SUM(W490:W492)</f>
        <v>1216524.73</v>
      </c>
      <c r="X493" s="26" t="n">
        <f aca="false">W493/$P493</f>
        <v>0.519804170483756</v>
      </c>
      <c r="Y493" s="25" t="n">
        <f aca="false">SUM(Y490:Y492)</f>
        <v>368492</v>
      </c>
      <c r="Z493" s="25" t="n">
        <f aca="false">SUM(Z490:Z492)</f>
        <v>357464</v>
      </c>
    </row>
    <row r="495" customFormat="false" ht="12.8" hidden="false" customHeight="false" outlineLevel="0" collapsed="false">
      <c r="D495" s="27" t="s">
        <v>254</v>
      </c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8"/>
      <c r="S495" s="27"/>
      <c r="T495" s="28"/>
      <c r="U495" s="27"/>
      <c r="V495" s="28"/>
      <c r="W495" s="27"/>
      <c r="X495" s="28"/>
      <c r="Y495" s="27"/>
      <c r="Z495" s="27"/>
    </row>
    <row r="496" customFormat="false" ht="12.8" hidden="false" customHeight="false" outlineLevel="0" collapsed="false">
      <c r="D496" s="116"/>
      <c r="E496" s="7"/>
      <c r="F496" s="7"/>
      <c r="G496" s="7" t="s">
        <v>1</v>
      </c>
      <c r="H496" s="7" t="s">
        <v>2</v>
      </c>
      <c r="I496" s="7" t="s">
        <v>3</v>
      </c>
      <c r="J496" s="7" t="s">
        <v>4</v>
      </c>
      <c r="K496" s="7" t="s">
        <v>5</v>
      </c>
      <c r="L496" s="7" t="s">
        <v>6</v>
      </c>
      <c r="M496" s="7" t="s">
        <v>7</v>
      </c>
      <c r="N496" s="7" t="s">
        <v>8</v>
      </c>
      <c r="O496" s="7" t="s">
        <v>9</v>
      </c>
      <c r="P496" s="7" t="s">
        <v>10</v>
      </c>
      <c r="Q496" s="7" t="s">
        <v>11</v>
      </c>
      <c r="R496" s="8" t="s">
        <v>12</v>
      </c>
      <c r="S496" s="7" t="s">
        <v>13</v>
      </c>
      <c r="T496" s="8" t="s">
        <v>14</v>
      </c>
      <c r="U496" s="7" t="s">
        <v>15</v>
      </c>
      <c r="V496" s="8" t="s">
        <v>16</v>
      </c>
      <c r="W496" s="7" t="s">
        <v>17</v>
      </c>
      <c r="X496" s="8" t="s">
        <v>18</v>
      </c>
      <c r="Y496" s="7" t="s">
        <v>19</v>
      </c>
      <c r="Z496" s="7" t="s">
        <v>20</v>
      </c>
    </row>
    <row r="497" customFormat="false" ht="12.8" hidden="false" customHeight="false" outlineLevel="0" collapsed="false">
      <c r="A497" s="1" t="n">
        <v>8</v>
      </c>
      <c r="B497" s="1" t="n">
        <v>1</v>
      </c>
      <c r="D497" s="29" t="s">
        <v>21</v>
      </c>
      <c r="E497" s="10" t="n">
        <v>41</v>
      </c>
      <c r="F497" s="10" t="s">
        <v>23</v>
      </c>
      <c r="G497" s="11" t="n">
        <f aca="false">G502</f>
        <v>1081.99</v>
      </c>
      <c r="H497" s="11" t="n">
        <v>85530.76</v>
      </c>
      <c r="I497" s="11" t="n">
        <v>75000</v>
      </c>
      <c r="J497" s="11" t="n">
        <f aca="false">J502+J508</f>
        <v>153043.69</v>
      </c>
      <c r="K497" s="11" t="n">
        <f aca="false">K502+K509</f>
        <v>59000</v>
      </c>
      <c r="L497" s="11" t="n">
        <f aca="false">L502+L509</f>
        <v>0</v>
      </c>
      <c r="M497" s="11" t="n">
        <f aca="false">M502+M510</f>
        <v>2500</v>
      </c>
      <c r="N497" s="11" t="n">
        <f aca="false">N502+N509</f>
        <v>45</v>
      </c>
      <c r="O497" s="11" t="n">
        <f aca="false">O502+O509</f>
        <v>0</v>
      </c>
      <c r="P497" s="11" t="n">
        <f aca="false">P502+P509+P510</f>
        <v>61545</v>
      </c>
      <c r="Q497" s="11" t="n">
        <f aca="false">Q502+Q509+Q510</f>
        <v>2757.72</v>
      </c>
      <c r="R497" s="12" t="n">
        <f aca="false">Q497/$P497</f>
        <v>0.044808189129905</v>
      </c>
      <c r="S497" s="11" t="n">
        <f aca="false">S502+S509+S510</f>
        <v>9254.32</v>
      </c>
      <c r="T497" s="12" t="n">
        <f aca="false">S497/$P497</f>
        <v>0.150366723535624</v>
      </c>
      <c r="U497" s="11" t="n">
        <f aca="false">U502+U509+U510</f>
        <v>20461.62</v>
      </c>
      <c r="V497" s="12" t="n">
        <f aca="false">U497/$P497</f>
        <v>0.332466000487448</v>
      </c>
      <c r="W497" s="11" t="n">
        <f aca="false">W502+W509+W510</f>
        <v>49341.19</v>
      </c>
      <c r="X497" s="12" t="n">
        <f aca="false">W497/$P497</f>
        <v>0.801709155902185</v>
      </c>
      <c r="Y497" s="11" t="n">
        <v>0</v>
      </c>
      <c r="Z497" s="11" t="n">
        <f aca="false">Y497</f>
        <v>0</v>
      </c>
    </row>
    <row r="498" customFormat="false" ht="12.8" hidden="true" customHeight="false" outlineLevel="0" collapsed="false">
      <c r="A498" s="1" t="n">
        <v>8</v>
      </c>
      <c r="B498" s="1" t="n">
        <v>1</v>
      </c>
      <c r="D498" s="29"/>
      <c r="E498" s="10" t="n">
        <v>52</v>
      </c>
      <c r="F498" s="10" t="s">
        <v>28</v>
      </c>
      <c r="G498" s="11" t="n">
        <v>0</v>
      </c>
      <c r="H498" s="11" t="n">
        <v>0</v>
      </c>
      <c r="I498" s="11" t="n">
        <v>60000</v>
      </c>
      <c r="J498" s="11" t="n">
        <v>0</v>
      </c>
      <c r="K498" s="11" t="n">
        <v>0</v>
      </c>
      <c r="L498" s="11"/>
      <c r="M498" s="11"/>
      <c r="N498" s="11"/>
      <c r="O498" s="11"/>
      <c r="P498" s="11" t="n">
        <f aca="false">K498+SUM(L498:O498)</f>
        <v>0</v>
      </c>
      <c r="Q498" s="11"/>
      <c r="R498" s="12" t="e">
        <f aca="false">Q498/$P498</f>
        <v>#DIV/0!</v>
      </c>
      <c r="S498" s="11"/>
      <c r="T498" s="12" t="e">
        <f aca="false">S498/$P498</f>
        <v>#DIV/0!</v>
      </c>
      <c r="U498" s="11"/>
      <c r="V498" s="12" t="e">
        <f aca="false">U498/$P498</f>
        <v>#DIV/0!</v>
      </c>
      <c r="W498" s="11"/>
      <c r="X498" s="12" t="e">
        <f aca="false">W498/$P498</f>
        <v>#DIV/0!</v>
      </c>
      <c r="Y498" s="11" t="n">
        <v>0</v>
      </c>
      <c r="Z498" s="11" t="n">
        <f aca="false">Y498</f>
        <v>0</v>
      </c>
    </row>
    <row r="499" customFormat="false" ht="12.8" hidden="false" customHeight="false" outlineLevel="0" collapsed="false">
      <c r="A499" s="1" t="n">
        <v>8</v>
      </c>
      <c r="B499" s="1" t="n">
        <v>1</v>
      </c>
      <c r="D499" s="16"/>
      <c r="E499" s="17"/>
      <c r="F499" s="13" t="s">
        <v>119</v>
      </c>
      <c r="G499" s="14" t="n">
        <f aca="false">SUM(G497:G498)</f>
        <v>1081.99</v>
      </c>
      <c r="H499" s="14" t="n">
        <f aca="false">SUM(H497:H498)</f>
        <v>85530.76</v>
      </c>
      <c r="I499" s="14" t="n">
        <f aca="false">SUM(I497:I498)</f>
        <v>135000</v>
      </c>
      <c r="J499" s="14" t="n">
        <f aca="false">SUM(J497:J498)</f>
        <v>153043.69</v>
      </c>
      <c r="K499" s="14" t="n">
        <f aca="false">SUM(K497:K498)</f>
        <v>59000</v>
      </c>
      <c r="L499" s="14" t="n">
        <f aca="false">SUM(L497:L498)</f>
        <v>0</v>
      </c>
      <c r="M499" s="14" t="n">
        <f aca="false">SUM(M497:M498)</f>
        <v>2500</v>
      </c>
      <c r="N499" s="14" t="n">
        <f aca="false">SUM(N497:N498)</f>
        <v>45</v>
      </c>
      <c r="O499" s="14" t="n">
        <f aca="false">SUM(O497:O498)</f>
        <v>0</v>
      </c>
      <c r="P499" s="14" t="n">
        <f aca="false">SUM(P497:P498)</f>
        <v>61545</v>
      </c>
      <c r="Q499" s="14" t="n">
        <f aca="false">SUM(Q497:Q498)</f>
        <v>2757.72</v>
      </c>
      <c r="R499" s="15" t="n">
        <f aca="false">Q499/$P499</f>
        <v>0.044808189129905</v>
      </c>
      <c r="S499" s="14" t="n">
        <f aca="false">SUM(S497:S498)</f>
        <v>9254.32</v>
      </c>
      <c r="T499" s="15" t="n">
        <f aca="false">S499/$P499</f>
        <v>0.150366723535624</v>
      </c>
      <c r="U499" s="14" t="n">
        <f aca="false">SUM(U497:U498)</f>
        <v>20461.62</v>
      </c>
      <c r="V499" s="15" t="n">
        <f aca="false">U499/$P499</f>
        <v>0.332466000487448</v>
      </c>
      <c r="W499" s="14" t="n">
        <f aca="false">SUM(W497:W498)</f>
        <v>49341.19</v>
      </c>
      <c r="X499" s="15" t="n">
        <f aca="false">W499/$P499</f>
        <v>0.801709155902185</v>
      </c>
      <c r="Y499" s="14" t="n">
        <f aca="false">SUM(Y497:Y498)</f>
        <v>0</v>
      </c>
      <c r="Z499" s="14" t="n">
        <f aca="false">SUM(Z497:Z498)</f>
        <v>0</v>
      </c>
    </row>
    <row r="501" customFormat="false" ht="12.8" hidden="false" customHeight="false" outlineLevel="0" collapsed="false">
      <c r="D501" s="1" t="s">
        <v>57</v>
      </c>
    </row>
    <row r="502" customFormat="false" ht="12.8" hidden="false" customHeight="false" outlineLevel="0" collapsed="false">
      <c r="D502" s="29" t="s">
        <v>255</v>
      </c>
      <c r="E502" s="39" t="s">
        <v>256</v>
      </c>
      <c r="F502" s="16"/>
      <c r="G502" s="40" t="n">
        <v>1081.99</v>
      </c>
      <c r="H502" s="40" t="n">
        <f aca="false">SUM(H503:H506)</f>
        <v>55630.76</v>
      </c>
      <c r="I502" s="40" t="n">
        <v>45000</v>
      </c>
      <c r="J502" s="40" t="n">
        <f aca="false">SUM(J503:J506)</f>
        <v>63103.69</v>
      </c>
      <c r="K502" s="40" t="n">
        <f aca="false">SUM(K503:K507)</f>
        <v>48000</v>
      </c>
      <c r="L502" s="40"/>
      <c r="M502" s="40"/>
      <c r="N502" s="40"/>
      <c r="O502" s="40"/>
      <c r="P502" s="40" t="n">
        <f aca="false">K502+SUM(L502:O502)</f>
        <v>48000</v>
      </c>
      <c r="Q502" s="40" t="n">
        <f aca="false">SUM(Q503:Q507)</f>
        <v>2757.72</v>
      </c>
      <c r="R502" s="41" t="n">
        <f aca="false">Q502/$P502</f>
        <v>0.0574525</v>
      </c>
      <c r="S502" s="40" t="n">
        <f aca="false">SUM(S503:S507)</f>
        <v>5845.32</v>
      </c>
      <c r="T502" s="41" t="n">
        <f aca="false">S502/$P502</f>
        <v>0.1217775</v>
      </c>
      <c r="U502" s="40" t="n">
        <f aca="false">SUM(U503:U507)</f>
        <v>7021.72</v>
      </c>
      <c r="V502" s="41" t="n">
        <f aca="false">U502/$P502</f>
        <v>0.146285833333333</v>
      </c>
      <c r="W502" s="40" t="n">
        <f aca="false">SUM(W503:W507)</f>
        <v>35901.29</v>
      </c>
      <c r="X502" s="42" t="n">
        <f aca="false">W502/$P502</f>
        <v>0.747943541666667</v>
      </c>
      <c r="Y502" s="84"/>
      <c r="Z502" s="86"/>
    </row>
    <row r="503" customFormat="false" ht="12.8" hidden="true" customHeight="false" outlineLevel="0" collapsed="false">
      <c r="D503" s="29"/>
      <c r="E503" s="45" t="s">
        <v>257</v>
      </c>
      <c r="F503" s="88"/>
      <c r="G503" s="89"/>
      <c r="H503" s="89" t="n">
        <v>1914.06</v>
      </c>
      <c r="I503" s="89" t="n">
        <v>5000</v>
      </c>
      <c r="J503" s="89"/>
      <c r="K503" s="89"/>
      <c r="L503" s="89"/>
      <c r="M503" s="89"/>
      <c r="N503" s="89"/>
      <c r="O503" s="89"/>
      <c r="P503" s="89" t="n">
        <f aca="false">K503+SUM(L503:O503)</f>
        <v>0</v>
      </c>
      <c r="Q503" s="89"/>
      <c r="R503" s="90" t="e">
        <f aca="false">Q503/$P503</f>
        <v>#DIV/0!</v>
      </c>
      <c r="S503" s="89"/>
      <c r="T503" s="90" t="e">
        <f aca="false">S503/$P503</f>
        <v>#DIV/0!</v>
      </c>
      <c r="U503" s="89"/>
      <c r="V503" s="90" t="e">
        <f aca="false">U503/$P503</f>
        <v>#DIV/0!</v>
      </c>
      <c r="W503" s="89"/>
      <c r="X503" s="48" t="e">
        <f aca="false">W503/$P503</f>
        <v>#DIV/0!</v>
      </c>
      <c r="Y503" s="84"/>
      <c r="Z503" s="86"/>
    </row>
    <row r="504" customFormat="false" ht="12.8" hidden="true" customHeight="false" outlineLevel="0" collapsed="false">
      <c r="D504" s="29"/>
      <c r="E504" s="45" t="s">
        <v>258</v>
      </c>
      <c r="F504" s="88"/>
      <c r="G504" s="89"/>
      <c r="H504" s="89" t="n">
        <f aca="false">300+51801.09</f>
        <v>52101.09</v>
      </c>
      <c r="I504" s="89"/>
      <c r="J504" s="89"/>
      <c r="K504" s="89"/>
      <c r="L504" s="89"/>
      <c r="M504" s="89"/>
      <c r="N504" s="89"/>
      <c r="O504" s="89"/>
      <c r="P504" s="89" t="n">
        <f aca="false">K504+SUM(L504:O504)</f>
        <v>0</v>
      </c>
      <c r="Q504" s="89"/>
      <c r="R504" s="90" t="e">
        <f aca="false">Q504/$P504</f>
        <v>#DIV/0!</v>
      </c>
      <c r="S504" s="89"/>
      <c r="T504" s="90" t="e">
        <f aca="false">S504/$P504</f>
        <v>#DIV/0!</v>
      </c>
      <c r="U504" s="89"/>
      <c r="V504" s="90" t="e">
        <f aca="false">U504/$P504</f>
        <v>#DIV/0!</v>
      </c>
      <c r="W504" s="89"/>
      <c r="X504" s="48" t="e">
        <f aca="false">W504/$P504</f>
        <v>#DIV/0!</v>
      </c>
      <c r="Y504" s="84"/>
      <c r="Z504" s="86"/>
    </row>
    <row r="505" customFormat="false" ht="12.8" hidden="true" customHeight="false" outlineLevel="0" collapsed="false">
      <c r="D505" s="29"/>
      <c r="E505" s="45" t="s">
        <v>259</v>
      </c>
      <c r="F505" s="88"/>
      <c r="G505" s="89"/>
      <c r="H505" s="89"/>
      <c r="I505" s="89" t="n">
        <v>10000</v>
      </c>
      <c r="J505" s="89" t="n">
        <v>13648.01</v>
      </c>
      <c r="K505" s="89"/>
      <c r="L505" s="89"/>
      <c r="M505" s="89"/>
      <c r="N505" s="89"/>
      <c r="O505" s="89"/>
      <c r="P505" s="89" t="n">
        <f aca="false">K505+SUM(L505:O505)</f>
        <v>0</v>
      </c>
      <c r="Q505" s="89"/>
      <c r="R505" s="90" t="e">
        <f aca="false">Q505/$P505</f>
        <v>#DIV/0!</v>
      </c>
      <c r="S505" s="89"/>
      <c r="T505" s="90" t="e">
        <f aca="false">S505/$P505</f>
        <v>#DIV/0!</v>
      </c>
      <c r="U505" s="89"/>
      <c r="V505" s="90" t="e">
        <f aca="false">U505/$P505</f>
        <v>#DIV/0!</v>
      </c>
      <c r="W505" s="89"/>
      <c r="X505" s="48" t="e">
        <f aca="false">W505/$P505</f>
        <v>#DIV/0!</v>
      </c>
      <c r="Y505" s="84"/>
      <c r="Z505" s="86"/>
    </row>
    <row r="506" customFormat="false" ht="12.8" hidden="true" customHeight="false" outlineLevel="0" collapsed="false">
      <c r="D506" s="29"/>
      <c r="E506" s="45" t="s">
        <v>260</v>
      </c>
      <c r="F506" s="88"/>
      <c r="G506" s="89"/>
      <c r="H506" s="89" t="n">
        <f aca="false">180+1435.61</f>
        <v>1615.61</v>
      </c>
      <c r="I506" s="89" t="n">
        <v>30000</v>
      </c>
      <c r="J506" s="89" t="n">
        <v>49455.68</v>
      </c>
      <c r="K506" s="89"/>
      <c r="L506" s="89"/>
      <c r="M506" s="89"/>
      <c r="N506" s="89"/>
      <c r="O506" s="89"/>
      <c r="P506" s="89" t="n">
        <f aca="false">K506+SUM(L506:O506)</f>
        <v>0</v>
      </c>
      <c r="Q506" s="89"/>
      <c r="R506" s="90" t="e">
        <f aca="false">Q506/$P506</f>
        <v>#DIV/0!</v>
      </c>
      <c r="S506" s="89"/>
      <c r="T506" s="90" t="e">
        <f aca="false">S506/$P506</f>
        <v>#DIV/0!</v>
      </c>
      <c r="U506" s="89"/>
      <c r="V506" s="90" t="e">
        <f aca="false">U506/$P506</f>
        <v>#DIV/0!</v>
      </c>
      <c r="W506" s="89"/>
      <c r="X506" s="48" t="e">
        <f aca="false">W506/$P506</f>
        <v>#DIV/0!</v>
      </c>
      <c r="Y506" s="84"/>
      <c r="Z506" s="86"/>
    </row>
    <row r="507" customFormat="false" ht="12.8" hidden="false" customHeight="false" outlineLevel="0" collapsed="false">
      <c r="D507" s="29"/>
      <c r="E507" s="54" t="s">
        <v>261</v>
      </c>
      <c r="F507" s="72"/>
      <c r="G507" s="56"/>
      <c r="H507" s="56"/>
      <c r="I507" s="56"/>
      <c r="J507" s="56"/>
      <c r="K507" s="56" t="n">
        <v>48000</v>
      </c>
      <c r="L507" s="56"/>
      <c r="M507" s="56"/>
      <c r="N507" s="56"/>
      <c r="O507" s="56"/>
      <c r="P507" s="56" t="n">
        <f aca="false">K507+SUM(L507:O507)</f>
        <v>48000</v>
      </c>
      <c r="Q507" s="56" t="n">
        <v>2757.72</v>
      </c>
      <c r="R507" s="57" t="n">
        <f aca="false">Q507/$P507</f>
        <v>0.0574525</v>
      </c>
      <c r="S507" s="56" t="n">
        <v>5845.32</v>
      </c>
      <c r="T507" s="57" t="n">
        <f aca="false">S507/$P507</f>
        <v>0.1217775</v>
      </c>
      <c r="U507" s="56" t="n">
        <v>7021.72</v>
      </c>
      <c r="V507" s="57" t="n">
        <f aca="false">U507/$P507</f>
        <v>0.146285833333333</v>
      </c>
      <c r="W507" s="56" t="n">
        <v>35901.29</v>
      </c>
      <c r="X507" s="58" t="n">
        <f aca="false">W507/$P507</f>
        <v>0.747943541666667</v>
      </c>
      <c r="Y507" s="84"/>
      <c r="Z507" s="86"/>
    </row>
    <row r="508" customFormat="false" ht="12.8" hidden="true" customHeight="false" outlineLevel="0" collapsed="false">
      <c r="D508" s="29"/>
      <c r="E508" s="82" t="s">
        <v>262</v>
      </c>
      <c r="F508" s="83"/>
      <c r="G508" s="84"/>
      <c r="H508" s="84"/>
      <c r="I508" s="84" t="n">
        <v>90000</v>
      </c>
      <c r="J508" s="84" t="n">
        <v>89940</v>
      </c>
      <c r="K508" s="84"/>
      <c r="L508" s="84"/>
      <c r="M508" s="84"/>
      <c r="N508" s="84"/>
      <c r="O508" s="84"/>
      <c r="P508" s="84" t="n">
        <f aca="false">K508+SUM(L508:O508)</f>
        <v>0</v>
      </c>
      <c r="Q508" s="84"/>
      <c r="R508" s="85" t="e">
        <f aca="false">Q508/$P508</f>
        <v>#DIV/0!</v>
      </c>
      <c r="S508" s="84"/>
      <c r="T508" s="85" t="e">
        <f aca="false">S508/$P508</f>
        <v>#DIV/0!</v>
      </c>
      <c r="U508" s="84"/>
      <c r="V508" s="85" t="e">
        <f aca="false">U508/$P508</f>
        <v>#DIV/0!</v>
      </c>
      <c r="W508" s="84"/>
      <c r="X508" s="102" t="e">
        <f aca="false">W508/$P508</f>
        <v>#DIV/0!</v>
      </c>
      <c r="Y508" s="84"/>
      <c r="Z508" s="86"/>
    </row>
    <row r="509" customFormat="false" ht="12.8" hidden="false" customHeight="false" outlineLevel="0" collapsed="false">
      <c r="D509" s="29"/>
      <c r="E509" s="82" t="s">
        <v>263</v>
      </c>
      <c r="F509" s="83"/>
      <c r="G509" s="84"/>
      <c r="H509" s="84"/>
      <c r="I509" s="84"/>
      <c r="J509" s="84"/>
      <c r="K509" s="84" t="n">
        <v>11000</v>
      </c>
      <c r="L509" s="84"/>
      <c r="M509" s="84"/>
      <c r="N509" s="84" t="n">
        <v>45</v>
      </c>
      <c r="O509" s="84"/>
      <c r="P509" s="84" t="n">
        <f aca="false">K509+SUM(L509:O509)</f>
        <v>11045</v>
      </c>
      <c r="Q509" s="84" t="n">
        <v>0</v>
      </c>
      <c r="R509" s="85" t="n">
        <f aca="false">Q509/$P509</f>
        <v>0</v>
      </c>
      <c r="S509" s="84" t="n">
        <v>3409</v>
      </c>
      <c r="T509" s="85" t="n">
        <f aca="false">S509/$P509</f>
        <v>0.308646446355817</v>
      </c>
      <c r="U509" s="84" t="n">
        <v>11045</v>
      </c>
      <c r="V509" s="85" t="n">
        <f aca="false">U509/$P509</f>
        <v>1</v>
      </c>
      <c r="W509" s="84" t="n">
        <v>11045</v>
      </c>
      <c r="X509" s="102" t="n">
        <f aca="false">W509/$P509</f>
        <v>1</v>
      </c>
      <c r="Y509" s="84"/>
      <c r="Z509" s="86"/>
    </row>
    <row r="510" customFormat="false" ht="12.8" hidden="false" customHeight="false" outlineLevel="0" collapsed="false">
      <c r="D510" s="29"/>
      <c r="E510" s="82" t="s">
        <v>264</v>
      </c>
      <c r="F510" s="83"/>
      <c r="G510" s="84"/>
      <c r="H510" s="84"/>
      <c r="I510" s="84"/>
      <c r="J510" s="84"/>
      <c r="K510" s="84"/>
      <c r="L510" s="84"/>
      <c r="M510" s="84" t="n">
        <v>2500</v>
      </c>
      <c r="N510" s="84"/>
      <c r="O510" s="84"/>
      <c r="P510" s="84" t="n">
        <f aca="false">K510+SUM(L510:O510)</f>
        <v>2500</v>
      </c>
      <c r="Q510" s="84"/>
      <c r="R510" s="85" t="n">
        <f aca="false">Q510/$P510</f>
        <v>0</v>
      </c>
      <c r="S510" s="84"/>
      <c r="T510" s="85" t="n">
        <f aca="false">S510/$P510</f>
        <v>0</v>
      </c>
      <c r="U510" s="84" t="n">
        <v>2394.9</v>
      </c>
      <c r="V510" s="85" t="n">
        <f aca="false">U510/$P510</f>
        <v>0.95796</v>
      </c>
      <c r="W510" s="84" t="n">
        <v>2394.9</v>
      </c>
      <c r="X510" s="102" t="n">
        <f aca="false">W510/$P510</f>
        <v>0.95796</v>
      </c>
      <c r="Y510" s="84"/>
      <c r="Z510" s="86"/>
    </row>
    <row r="511" customFormat="false" ht="12.8" hidden="true" customHeight="false" outlineLevel="0" collapsed="false">
      <c r="D511" s="29"/>
      <c r="E511" s="82" t="s">
        <v>265</v>
      </c>
      <c r="F511" s="83"/>
      <c r="G511" s="84"/>
      <c r="H511" s="84" t="n">
        <v>29900</v>
      </c>
      <c r="I511" s="84"/>
      <c r="J511" s="84"/>
      <c r="K511" s="84"/>
      <c r="L511" s="84"/>
      <c r="M511" s="84"/>
      <c r="N511" s="84"/>
      <c r="O511" s="84"/>
      <c r="P511" s="84" t="n">
        <f aca="false">K511+SUM(L511:O511)</f>
        <v>0</v>
      </c>
      <c r="Q511" s="84"/>
      <c r="R511" s="85" t="e">
        <f aca="false">Q511/$P511</f>
        <v>#DIV/0!</v>
      </c>
      <c r="S511" s="84"/>
      <c r="T511" s="85" t="e">
        <f aca="false">S511/$P511</f>
        <v>#DIV/0!</v>
      </c>
      <c r="U511" s="84"/>
      <c r="V511" s="85" t="e">
        <f aca="false">U511/$P511</f>
        <v>#DIV/0!</v>
      </c>
      <c r="W511" s="84"/>
      <c r="X511" s="85" t="e">
        <f aca="false">W511/$P511</f>
        <v>#DIV/0!</v>
      </c>
      <c r="Y511" s="84"/>
      <c r="Z511" s="86"/>
    </row>
    <row r="513" customFormat="false" ht="12.8" hidden="false" customHeight="false" outlineLevel="0" collapsed="false">
      <c r="D513" s="27" t="s">
        <v>266</v>
      </c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8"/>
      <c r="S513" s="27"/>
      <c r="T513" s="28"/>
      <c r="U513" s="27"/>
      <c r="V513" s="28"/>
      <c r="W513" s="27"/>
      <c r="X513" s="28"/>
      <c r="Y513" s="27"/>
      <c r="Z513" s="27"/>
    </row>
    <row r="514" customFormat="false" ht="12.8" hidden="false" customHeight="false" outlineLevel="0" collapsed="false">
      <c r="D514" s="116"/>
      <c r="E514" s="7"/>
      <c r="F514" s="7"/>
      <c r="G514" s="7" t="s">
        <v>1</v>
      </c>
      <c r="H514" s="7" t="s">
        <v>2</v>
      </c>
      <c r="I514" s="7" t="s">
        <v>3</v>
      </c>
      <c r="J514" s="7" t="s">
        <v>4</v>
      </c>
      <c r="K514" s="7" t="s">
        <v>5</v>
      </c>
      <c r="L514" s="7" t="s">
        <v>6</v>
      </c>
      <c r="M514" s="7" t="s">
        <v>7</v>
      </c>
      <c r="N514" s="7" t="s">
        <v>8</v>
      </c>
      <c r="O514" s="7" t="s">
        <v>9</v>
      </c>
      <c r="P514" s="7" t="s">
        <v>10</v>
      </c>
      <c r="Q514" s="7" t="s">
        <v>11</v>
      </c>
      <c r="R514" s="8" t="s">
        <v>12</v>
      </c>
      <c r="S514" s="7" t="s">
        <v>13</v>
      </c>
      <c r="T514" s="8" t="s">
        <v>14</v>
      </c>
      <c r="U514" s="7" t="s">
        <v>15</v>
      </c>
      <c r="V514" s="8" t="s">
        <v>16</v>
      </c>
      <c r="W514" s="7" t="s">
        <v>17</v>
      </c>
      <c r="X514" s="8" t="s">
        <v>18</v>
      </c>
      <c r="Y514" s="7" t="s">
        <v>19</v>
      </c>
      <c r="Z514" s="7" t="s">
        <v>20</v>
      </c>
    </row>
    <row r="515" customFormat="false" ht="12.8" hidden="false" customHeight="false" outlineLevel="0" collapsed="false">
      <c r="A515" s="1" t="n">
        <v>8</v>
      </c>
      <c r="B515" s="1" t="n">
        <v>2</v>
      </c>
      <c r="D515" s="117" t="s">
        <v>21</v>
      </c>
      <c r="E515" s="10" t="n">
        <v>111</v>
      </c>
      <c r="F515" s="10" t="s">
        <v>130</v>
      </c>
      <c r="G515" s="11" t="n">
        <v>0</v>
      </c>
      <c r="H515" s="11" t="n">
        <v>50000</v>
      </c>
      <c r="I515" s="11" t="n">
        <f aca="false">417300</f>
        <v>417300</v>
      </c>
      <c r="J515" s="11" t="n">
        <v>0</v>
      </c>
      <c r="K515" s="11" t="n">
        <f aca="false">258000+390000+113000</f>
        <v>761000</v>
      </c>
      <c r="L515" s="11"/>
      <c r="M515" s="11"/>
      <c r="N515" s="11"/>
      <c r="O515" s="11"/>
      <c r="P515" s="11" t="n">
        <f aca="false">K515+SUM(L515:O515)</f>
        <v>761000</v>
      </c>
      <c r="Q515" s="11" t="n">
        <v>0</v>
      </c>
      <c r="R515" s="12" t="n">
        <f aca="false">Q515/$P515</f>
        <v>0</v>
      </c>
      <c r="S515" s="11" t="n">
        <v>113000</v>
      </c>
      <c r="T515" s="12" t="n">
        <f aca="false">S515/$P515</f>
        <v>0.148488830486202</v>
      </c>
      <c r="U515" s="11" t="n">
        <v>113000</v>
      </c>
      <c r="V515" s="12" t="n">
        <f aca="false">U515/$P515</f>
        <v>0.148488830486202</v>
      </c>
      <c r="W515" s="11" t="n">
        <f aca="false">249670.98+113000</f>
        <v>362670.98</v>
      </c>
      <c r="X515" s="12" t="n">
        <f aca="false">W515/$P515</f>
        <v>0.476571590013141</v>
      </c>
      <c r="Y515" s="11" t="n">
        <v>0</v>
      </c>
      <c r="Z515" s="11" t="n">
        <v>0</v>
      </c>
    </row>
    <row r="516" customFormat="false" ht="12.8" hidden="false" customHeight="false" outlineLevel="0" collapsed="false">
      <c r="A516" s="1" t="n">
        <v>8</v>
      </c>
      <c r="B516" s="1" t="n">
        <v>2</v>
      </c>
      <c r="D516" s="117" t="s">
        <v>21</v>
      </c>
      <c r="E516" s="10" t="n">
        <v>41</v>
      </c>
      <c r="F516" s="10" t="s">
        <v>23</v>
      </c>
      <c r="G516" s="11" t="n">
        <f aca="false">SUM(G520:G525)</f>
        <v>2196</v>
      </c>
      <c r="H516" s="11" t="n">
        <f aca="false">SUM(H520:H525)-H515</f>
        <v>35244.74</v>
      </c>
      <c r="I516" s="11" t="n">
        <f aca="false">SUM(I520:I525)-I515</f>
        <v>58431</v>
      </c>
      <c r="J516" s="11" t="n">
        <f aca="false">SUM(J520:J525)</f>
        <v>8138</v>
      </c>
      <c r="K516" s="11" t="n">
        <f aca="false">SUM(K520:K525)-K515</f>
        <v>152000</v>
      </c>
      <c r="L516" s="11" t="n">
        <f aca="false">SUM(L520:L525)-L515</f>
        <v>-900</v>
      </c>
      <c r="M516" s="11" t="n">
        <f aca="false">SUM(M520:M525)-M515</f>
        <v>35880</v>
      </c>
      <c r="N516" s="11" t="n">
        <f aca="false">SUM(N520:N525)-N515</f>
        <v>1350</v>
      </c>
      <c r="O516" s="11" t="n">
        <f aca="false">SUM(O520:O525)-O515</f>
        <v>0</v>
      </c>
      <c r="P516" s="11" t="n">
        <f aca="false">SUM(P520:P525)-P515</f>
        <v>188330</v>
      </c>
      <c r="Q516" s="11" t="n">
        <f aca="false">SUM(Q520:Q525)-Q515</f>
        <v>0</v>
      </c>
      <c r="R516" s="12" t="n">
        <f aca="false">Q516/$P516</f>
        <v>0</v>
      </c>
      <c r="S516" s="11" t="n">
        <f aca="false">SUM(S520:S525)-S515</f>
        <v>27380.4</v>
      </c>
      <c r="T516" s="12" t="n">
        <f aca="false">S516/$P516</f>
        <v>0.145385228057134</v>
      </c>
      <c r="U516" s="11" t="n">
        <f aca="false">SUM(U520:U525)-U515</f>
        <v>77237.62</v>
      </c>
      <c r="V516" s="12" t="n">
        <f aca="false">U516/$P516</f>
        <v>0.410118515371954</v>
      </c>
      <c r="W516" s="11" t="n">
        <f aca="false">SUM(W520:W525)-W515</f>
        <v>140200.63</v>
      </c>
      <c r="X516" s="12" t="n">
        <f aca="false">W516/$P516</f>
        <v>0.744441299846015</v>
      </c>
      <c r="Y516" s="11" t="n">
        <v>0</v>
      </c>
      <c r="Z516" s="11" t="n">
        <f aca="false">SUM(Z520:Z525)</f>
        <v>0</v>
      </c>
    </row>
    <row r="517" customFormat="false" ht="12.8" hidden="false" customHeight="false" outlineLevel="0" collapsed="false">
      <c r="A517" s="1" t="n">
        <v>8</v>
      </c>
      <c r="B517" s="1" t="n">
        <v>2</v>
      </c>
      <c r="D517" s="16"/>
      <c r="E517" s="17"/>
      <c r="F517" s="13" t="s">
        <v>119</v>
      </c>
      <c r="G517" s="14" t="n">
        <f aca="false">SUM(G515:G516)</f>
        <v>2196</v>
      </c>
      <c r="H517" s="14" t="n">
        <f aca="false">SUM(H515:H516)</f>
        <v>85244.74</v>
      </c>
      <c r="I517" s="14" t="n">
        <f aca="false">SUM(I515:I516)</f>
        <v>475731</v>
      </c>
      <c r="J517" s="14" t="n">
        <f aca="false">SUM(J515:J516)</f>
        <v>8138</v>
      </c>
      <c r="K517" s="14" t="n">
        <f aca="false">SUM(K515:K516)</f>
        <v>913000</v>
      </c>
      <c r="L517" s="14" t="n">
        <f aca="false">SUM(L515:L516)</f>
        <v>-900</v>
      </c>
      <c r="M517" s="14" t="n">
        <f aca="false">SUM(M515:M516)</f>
        <v>35880</v>
      </c>
      <c r="N517" s="14" t="n">
        <f aca="false">SUM(N515:N516)</f>
        <v>1350</v>
      </c>
      <c r="O517" s="14" t="n">
        <f aca="false">SUM(O515:O516)</f>
        <v>0</v>
      </c>
      <c r="P517" s="14" t="n">
        <f aca="false">SUM(P515:P516)</f>
        <v>949330</v>
      </c>
      <c r="Q517" s="14" t="n">
        <f aca="false">SUM(Q515:Q516)</f>
        <v>0</v>
      </c>
      <c r="R517" s="15" t="n">
        <f aca="false">Q517/$P517</f>
        <v>0</v>
      </c>
      <c r="S517" s="14" t="n">
        <f aca="false">SUM(S515:S516)</f>
        <v>140380.4</v>
      </c>
      <c r="T517" s="15" t="n">
        <f aca="false">S517/$P517</f>
        <v>0.147873131577007</v>
      </c>
      <c r="U517" s="14" t="n">
        <f aca="false">SUM(U515:U516)</f>
        <v>190237.62</v>
      </c>
      <c r="V517" s="15" t="n">
        <f aca="false">U517/$P517</f>
        <v>0.200391455026176</v>
      </c>
      <c r="W517" s="14" t="n">
        <f aca="false">SUM(W515:W516)</f>
        <v>502871.61</v>
      </c>
      <c r="X517" s="15" t="n">
        <f aca="false">W517/$P517</f>
        <v>0.52971212328695</v>
      </c>
      <c r="Y517" s="14" t="n">
        <f aca="false">SUM(Y515:Y516)</f>
        <v>0</v>
      </c>
      <c r="Z517" s="14" t="n">
        <f aca="false">SUM(Z515:Z516)</f>
        <v>0</v>
      </c>
    </row>
    <row r="519" customFormat="false" ht="12.8" hidden="false" customHeight="false" outlineLevel="0" collapsed="false">
      <c r="D519" s="1" t="s">
        <v>57</v>
      </c>
    </row>
    <row r="520" customFormat="false" ht="12.8" hidden="false" customHeight="false" outlineLevel="0" collapsed="false">
      <c r="D520" s="29" t="s">
        <v>267</v>
      </c>
      <c r="E520" s="82" t="s">
        <v>268</v>
      </c>
      <c r="F520" s="83"/>
      <c r="G520" s="84"/>
      <c r="H520" s="84" t="n">
        <v>11009.2</v>
      </c>
      <c r="I520" s="101" t="n">
        <f aca="false">417300+20865</f>
        <v>438165</v>
      </c>
      <c r="J520" s="84"/>
      <c r="K520" s="101" t="n">
        <f aca="false">390000+25000</f>
        <v>415000</v>
      </c>
      <c r="L520" s="101"/>
      <c r="M520" s="101" t="n">
        <f aca="false">30000-400</f>
        <v>29600</v>
      </c>
      <c r="N520" s="101"/>
      <c r="O520" s="101"/>
      <c r="P520" s="101" t="n">
        <f aca="false">K520+SUM(L520:O520)</f>
        <v>444600</v>
      </c>
      <c r="Q520" s="101" t="n">
        <v>0</v>
      </c>
      <c r="R520" s="118" t="n">
        <f aca="false">Q520/$P520</f>
        <v>0</v>
      </c>
      <c r="S520" s="101" t="n">
        <v>0</v>
      </c>
      <c r="T520" s="118" t="n">
        <f aca="false">S520/$P520</f>
        <v>0</v>
      </c>
      <c r="U520" s="101" t="n">
        <v>31126.31</v>
      </c>
      <c r="V520" s="118" t="n">
        <f aca="false">U520/$P520</f>
        <v>0.0700096941070625</v>
      </c>
      <c r="W520" s="101" t="n">
        <v>36966.24</v>
      </c>
      <c r="X520" s="119" t="n">
        <f aca="false">W520/$P520</f>
        <v>0.0831449392712551</v>
      </c>
      <c r="Y520" s="84"/>
      <c r="Z520" s="86"/>
    </row>
    <row r="521" customFormat="false" ht="12.8" hidden="false" customHeight="false" outlineLevel="0" collapsed="false">
      <c r="D521" s="29"/>
      <c r="E521" s="82" t="s">
        <v>269</v>
      </c>
      <c r="F521" s="83"/>
      <c r="G521" s="84" t="n">
        <v>2196</v>
      </c>
      <c r="H521" s="84"/>
      <c r="I521" s="84" t="n">
        <v>10000</v>
      </c>
      <c r="J521" s="84" t="n">
        <v>7640</v>
      </c>
      <c r="K521" s="84" t="n">
        <f aca="false">258000+87000</f>
        <v>345000</v>
      </c>
      <c r="L521" s="84" t="n">
        <v>-300</v>
      </c>
      <c r="M521" s="84"/>
      <c r="N521" s="84"/>
      <c r="O521" s="84"/>
      <c r="P521" s="84" t="n">
        <f aca="false">K521+SUM(L521:O521)</f>
        <v>344700</v>
      </c>
      <c r="Q521" s="84" t="n">
        <v>0</v>
      </c>
      <c r="R521" s="85" t="n">
        <f aca="false">Q521/$P521</f>
        <v>0</v>
      </c>
      <c r="S521" s="84" t="n">
        <v>0</v>
      </c>
      <c r="T521" s="85" t="n">
        <f aca="false">S521/$P521</f>
        <v>0</v>
      </c>
      <c r="U521" s="84" t="n">
        <v>430.91</v>
      </c>
      <c r="V521" s="85" t="n">
        <f aca="false">U521/$P521</f>
        <v>0.0012501015375689</v>
      </c>
      <c r="W521" s="84" t="n">
        <v>305874.97</v>
      </c>
      <c r="X521" s="102" t="n">
        <f aca="false">W521/$P521</f>
        <v>0.887365738323179</v>
      </c>
      <c r="Y521" s="84"/>
      <c r="Z521" s="86"/>
    </row>
    <row r="522" customFormat="false" ht="12.8" hidden="true" customHeight="false" outlineLevel="0" collapsed="false">
      <c r="D522" s="29"/>
      <c r="E522" s="82" t="s">
        <v>270</v>
      </c>
      <c r="F522" s="83"/>
      <c r="G522" s="84"/>
      <c r="H522" s="84"/>
      <c r="I522" s="84"/>
      <c r="J522" s="84"/>
      <c r="K522" s="84" t="n">
        <v>0</v>
      </c>
      <c r="L522" s="84"/>
      <c r="M522" s="84"/>
      <c r="N522" s="84"/>
      <c r="O522" s="84"/>
      <c r="P522" s="84" t="n">
        <f aca="false">K522+SUM(L522:O522)</f>
        <v>0</v>
      </c>
      <c r="Q522" s="84" t="n">
        <v>0</v>
      </c>
      <c r="R522" s="85" t="e">
        <f aca="false">Q522/$P522</f>
        <v>#DIV/0!</v>
      </c>
      <c r="S522" s="84" t="n">
        <v>0</v>
      </c>
      <c r="T522" s="85" t="e">
        <f aca="false">S522/$P522</f>
        <v>#DIV/0!</v>
      </c>
      <c r="U522" s="84" t="n">
        <v>0</v>
      </c>
      <c r="V522" s="85" t="e">
        <f aca="false">U522/$P522</f>
        <v>#DIV/0!</v>
      </c>
      <c r="W522" s="84" t="n">
        <v>0</v>
      </c>
      <c r="X522" s="102" t="e">
        <f aca="false">W522/$P522</f>
        <v>#DIV/0!</v>
      </c>
      <c r="Y522" s="84"/>
      <c r="Z522" s="86"/>
    </row>
    <row r="523" customFormat="false" ht="12.8" hidden="true" customHeight="false" outlineLevel="0" collapsed="false">
      <c r="D523" s="29"/>
      <c r="E523" s="120" t="s">
        <v>271</v>
      </c>
      <c r="F523" s="83"/>
      <c r="G523" s="84"/>
      <c r="H523" s="84" t="n">
        <v>73737.54</v>
      </c>
      <c r="I523" s="84"/>
      <c r="J523" s="84"/>
      <c r="K523" s="84" t="n">
        <v>0</v>
      </c>
      <c r="L523" s="84"/>
      <c r="M523" s="84"/>
      <c r="N523" s="84"/>
      <c r="O523" s="84"/>
      <c r="P523" s="84" t="n">
        <f aca="false">K523+SUM(L523:O523)</f>
        <v>0</v>
      </c>
      <c r="Q523" s="84" t="n">
        <v>0</v>
      </c>
      <c r="R523" s="85" t="e">
        <f aca="false">Q523/$P523</f>
        <v>#DIV/0!</v>
      </c>
      <c r="S523" s="84" t="n">
        <v>0</v>
      </c>
      <c r="T523" s="85" t="e">
        <f aca="false">S523/$P523</f>
        <v>#DIV/0!</v>
      </c>
      <c r="U523" s="84" t="n">
        <v>0</v>
      </c>
      <c r="V523" s="85" t="e">
        <f aca="false">U523/$P523</f>
        <v>#DIV/0!</v>
      </c>
      <c r="W523" s="84" t="n">
        <v>0</v>
      </c>
      <c r="X523" s="102" t="e">
        <f aca="false">W523/$P523</f>
        <v>#DIV/0!</v>
      </c>
      <c r="Y523" s="84"/>
      <c r="Z523" s="86"/>
    </row>
    <row r="524" customFormat="false" ht="12.8" hidden="false" customHeight="false" outlineLevel="0" collapsed="false">
      <c r="D524" s="29"/>
      <c r="E524" s="120" t="s">
        <v>272</v>
      </c>
      <c r="F524" s="83"/>
      <c r="G524" s="84"/>
      <c r="H524" s="84" t="n">
        <v>498</v>
      </c>
      <c r="I524" s="84" t="n">
        <v>27566</v>
      </c>
      <c r="J524" s="84" t="n">
        <v>498</v>
      </c>
      <c r="K524" s="84" t="n">
        <f aca="false">113000+30000</f>
        <v>143000</v>
      </c>
      <c r="L524" s="84" t="n">
        <v>-600</v>
      </c>
      <c r="M524" s="84" t="n">
        <f aca="false">15000+1280</f>
        <v>16280</v>
      </c>
      <c r="N524" s="84"/>
      <c r="O524" s="84"/>
      <c r="P524" s="84" t="n">
        <f aca="false">K524+SUM(L524:O524)</f>
        <v>158680</v>
      </c>
      <c r="Q524" s="84" t="n">
        <v>0</v>
      </c>
      <c r="R524" s="85" t="n">
        <f aca="false">Q524/$P524</f>
        <v>0</v>
      </c>
      <c r="S524" s="84" t="n">
        <v>140380.4</v>
      </c>
      <c r="T524" s="85" t="n">
        <f aca="false">S524/$P524</f>
        <v>0.884676077640534</v>
      </c>
      <c r="U524" s="84" t="n">
        <v>158680.4</v>
      </c>
      <c r="V524" s="85" t="n">
        <f aca="false">U524/$P524</f>
        <v>1.00000252079657</v>
      </c>
      <c r="W524" s="84" t="n">
        <v>158680.4</v>
      </c>
      <c r="X524" s="102" t="n">
        <f aca="false">W524/$P524</f>
        <v>1.00000252079657</v>
      </c>
      <c r="Y524" s="84"/>
      <c r="Z524" s="86"/>
    </row>
    <row r="525" customFormat="false" ht="12.8" hidden="false" customHeight="false" outlineLevel="0" collapsed="false">
      <c r="D525" s="29"/>
      <c r="E525" s="120" t="s">
        <v>273</v>
      </c>
      <c r="F525" s="83"/>
      <c r="G525" s="84"/>
      <c r="H525" s="84"/>
      <c r="I525" s="84"/>
      <c r="J525" s="84"/>
      <c r="K525" s="84" t="n">
        <v>10000</v>
      </c>
      <c r="L525" s="84"/>
      <c r="M525" s="84" t="n">
        <v>-10000</v>
      </c>
      <c r="N525" s="84" t="n">
        <v>1350</v>
      </c>
      <c r="O525" s="84"/>
      <c r="P525" s="84" t="n">
        <f aca="false">K525+SUM(L525:O525)</f>
        <v>1350</v>
      </c>
      <c r="Q525" s="84" t="n">
        <v>0</v>
      </c>
      <c r="R525" s="85" t="n">
        <f aca="false">Q525/$P525</f>
        <v>0</v>
      </c>
      <c r="S525" s="84" t="n">
        <v>0</v>
      </c>
      <c r="T525" s="85" t="n">
        <f aca="false">S525/$P525</f>
        <v>0</v>
      </c>
      <c r="U525" s="84" t="n">
        <v>0</v>
      </c>
      <c r="V525" s="85" t="n">
        <f aca="false">U525/$P525</f>
        <v>0</v>
      </c>
      <c r="W525" s="84" t="n">
        <v>1350</v>
      </c>
      <c r="X525" s="102" t="n">
        <f aca="false">W525/$P525</f>
        <v>1</v>
      </c>
      <c r="Y525" s="84"/>
      <c r="Z525" s="86"/>
    </row>
    <row r="527" customFormat="false" ht="12.8" hidden="false" customHeight="false" outlineLevel="0" collapsed="false">
      <c r="D527" s="27" t="s">
        <v>274</v>
      </c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8"/>
      <c r="S527" s="27"/>
      <c r="T527" s="28"/>
      <c r="U527" s="27"/>
      <c r="V527" s="28"/>
      <c r="W527" s="27"/>
      <c r="X527" s="28"/>
      <c r="Y527" s="27"/>
      <c r="Z527" s="27"/>
    </row>
    <row r="528" customFormat="false" ht="12.8" hidden="false" customHeight="false" outlineLevel="0" collapsed="false">
      <c r="D528" s="116"/>
      <c r="E528" s="7"/>
      <c r="F528" s="7"/>
      <c r="G528" s="7" t="s">
        <v>1</v>
      </c>
      <c r="H528" s="7" t="s">
        <v>2</v>
      </c>
      <c r="I528" s="7" t="s">
        <v>3</v>
      </c>
      <c r="J528" s="7" t="s">
        <v>4</v>
      </c>
      <c r="K528" s="7" t="s">
        <v>5</v>
      </c>
      <c r="L528" s="7" t="s">
        <v>6</v>
      </c>
      <c r="M528" s="7" t="s">
        <v>7</v>
      </c>
      <c r="N528" s="7" t="s">
        <v>8</v>
      </c>
      <c r="O528" s="7" t="s">
        <v>9</v>
      </c>
      <c r="P528" s="7" t="s">
        <v>10</v>
      </c>
      <c r="Q528" s="7" t="s">
        <v>11</v>
      </c>
      <c r="R528" s="8" t="s">
        <v>12</v>
      </c>
      <c r="S528" s="7" t="s">
        <v>13</v>
      </c>
      <c r="T528" s="8" t="s">
        <v>14</v>
      </c>
      <c r="U528" s="7" t="s">
        <v>15</v>
      </c>
      <c r="V528" s="8" t="s">
        <v>16</v>
      </c>
      <c r="W528" s="7" t="s">
        <v>17</v>
      </c>
      <c r="X528" s="8" t="s">
        <v>18</v>
      </c>
      <c r="Y528" s="7" t="s">
        <v>19</v>
      </c>
      <c r="Z528" s="7" t="s">
        <v>20</v>
      </c>
    </row>
    <row r="529" customFormat="false" ht="12.8" hidden="false" customHeight="false" outlineLevel="0" collapsed="false">
      <c r="A529" s="1" t="n">
        <v>8</v>
      </c>
      <c r="B529" s="1" t="n">
        <v>3</v>
      </c>
      <c r="D529" s="117" t="s">
        <v>21</v>
      </c>
      <c r="E529" s="10" t="n">
        <v>41</v>
      </c>
      <c r="F529" s="10" t="s">
        <v>23</v>
      </c>
      <c r="G529" s="11" t="n">
        <f aca="false">SUM(G533:G537)</f>
        <v>360.81</v>
      </c>
      <c r="H529" s="11" t="n">
        <f aca="false">SUM(H533:H537)</f>
        <v>18466</v>
      </c>
      <c r="I529" s="11" t="n">
        <f aca="false">SUM(I533:I537)</f>
        <v>0</v>
      </c>
      <c r="J529" s="11" t="n">
        <f aca="false">SUM(J533:J537)</f>
        <v>0</v>
      </c>
      <c r="K529" s="11" t="n">
        <f aca="false">SUM(K533:K537)</f>
        <v>55000</v>
      </c>
      <c r="L529" s="11" t="n">
        <f aca="false">SUM(L533:L537)</f>
        <v>0</v>
      </c>
      <c r="M529" s="11" t="n">
        <f aca="false">SUM(M533:M537)</f>
        <v>-30000</v>
      </c>
      <c r="N529" s="11" t="n">
        <f aca="false">SUM(N533:N537)</f>
        <v>0</v>
      </c>
      <c r="O529" s="11" t="n">
        <f aca="false">SUM(O533:O537)</f>
        <v>0</v>
      </c>
      <c r="P529" s="11" t="n">
        <f aca="false">SUM(P533:P537)</f>
        <v>25000</v>
      </c>
      <c r="Q529" s="11" t="n">
        <f aca="false">SUM(Q533:Q537)</f>
        <v>0</v>
      </c>
      <c r="R529" s="12" t="n">
        <f aca="false">Q529/$P529</f>
        <v>0</v>
      </c>
      <c r="S529" s="11" t="n">
        <f aca="false">SUM(S533:S537)</f>
        <v>0</v>
      </c>
      <c r="T529" s="12" t="n">
        <f aca="false">S529/$P529</f>
        <v>0</v>
      </c>
      <c r="U529" s="11" t="n">
        <f aca="false">SUM(U533:U537)</f>
        <v>4680</v>
      </c>
      <c r="V529" s="12" t="n">
        <f aca="false">U529/$P529</f>
        <v>0.1872</v>
      </c>
      <c r="W529" s="11" t="n">
        <f aca="false">SUM(W533:W537)</f>
        <v>18600</v>
      </c>
      <c r="X529" s="12" t="n">
        <f aca="false">W529/$P529</f>
        <v>0.744</v>
      </c>
      <c r="Y529" s="11" t="n">
        <f aca="false">SUM(Y533:Y537)</f>
        <v>368492</v>
      </c>
      <c r="Z529" s="11" t="n">
        <f aca="false">SUM(Z533:Z537)</f>
        <v>0</v>
      </c>
    </row>
    <row r="530" customFormat="false" ht="12.8" hidden="false" customHeight="false" outlineLevel="0" collapsed="false">
      <c r="A530" s="1" t="n">
        <v>8</v>
      </c>
      <c r="B530" s="1" t="n">
        <v>3</v>
      </c>
      <c r="D530" s="16"/>
      <c r="E530" s="17"/>
      <c r="F530" s="13" t="s">
        <v>119</v>
      </c>
      <c r="G530" s="14" t="n">
        <f aca="false">SUM(G529:G529)</f>
        <v>360.81</v>
      </c>
      <c r="H530" s="14" t="n">
        <f aca="false">SUM(H529:H529)</f>
        <v>18466</v>
      </c>
      <c r="I530" s="14" t="n">
        <f aca="false">SUM(I529:I529)</f>
        <v>0</v>
      </c>
      <c r="J530" s="14" t="n">
        <f aca="false">SUM(J529:J529)</f>
        <v>0</v>
      </c>
      <c r="K530" s="14" t="n">
        <f aca="false">SUM(K529:K529)</f>
        <v>55000</v>
      </c>
      <c r="L530" s="14" t="n">
        <f aca="false">SUM(L529:L529)</f>
        <v>0</v>
      </c>
      <c r="M530" s="14" t="n">
        <f aca="false">SUM(M529:M529)</f>
        <v>-30000</v>
      </c>
      <c r="N530" s="14" t="n">
        <f aca="false">SUM(N529:N529)</f>
        <v>0</v>
      </c>
      <c r="O530" s="14" t="n">
        <f aca="false">SUM(O529:O529)</f>
        <v>0</v>
      </c>
      <c r="P530" s="14" t="n">
        <f aca="false">SUM(P529:P529)</f>
        <v>25000</v>
      </c>
      <c r="Q530" s="14" t="n">
        <f aca="false">SUM(Q529:Q529)</f>
        <v>0</v>
      </c>
      <c r="R530" s="15" t="n">
        <f aca="false">SUM(R529:R529)</f>
        <v>0</v>
      </c>
      <c r="S530" s="14" t="n">
        <f aca="false">SUM(S529:S529)</f>
        <v>0</v>
      </c>
      <c r="T530" s="15" t="n">
        <f aca="false">SUM(T529:T529)</f>
        <v>0</v>
      </c>
      <c r="U530" s="14" t="n">
        <f aca="false">SUM(U529:U529)</f>
        <v>4680</v>
      </c>
      <c r="V530" s="15" t="n">
        <f aca="false">U530/$P530</f>
        <v>0.1872</v>
      </c>
      <c r="W530" s="14" t="n">
        <f aca="false">SUM(W529:W529)</f>
        <v>18600</v>
      </c>
      <c r="X530" s="15" t="n">
        <f aca="false">W530/$P530</f>
        <v>0.744</v>
      </c>
      <c r="Y530" s="14" t="n">
        <f aca="false">SUM(Y529:Y529)</f>
        <v>368492</v>
      </c>
      <c r="Z530" s="14" t="n">
        <f aca="false">SUM(Z529:Z529)</f>
        <v>0</v>
      </c>
    </row>
    <row r="532" customFormat="false" ht="12.8" hidden="false" customHeight="false" outlineLevel="0" collapsed="false">
      <c r="D532" s="1" t="s">
        <v>57</v>
      </c>
    </row>
    <row r="533" customFormat="false" ht="12.8" hidden="false" customHeight="false" outlineLevel="0" collapsed="false">
      <c r="D533" s="29" t="s">
        <v>275</v>
      </c>
      <c r="E533" s="82" t="s">
        <v>276</v>
      </c>
      <c r="F533" s="83"/>
      <c r="G533" s="84"/>
      <c r="H533" s="84"/>
      <c r="I533" s="84"/>
      <c r="J533" s="84"/>
      <c r="K533" s="84" t="n">
        <v>55000</v>
      </c>
      <c r="L533" s="84"/>
      <c r="M533" s="84" t="n">
        <v>-30000</v>
      </c>
      <c r="N533" s="84"/>
      <c r="O533" s="84"/>
      <c r="P533" s="84" t="n">
        <f aca="false">K533+SUM(L533:O533)</f>
        <v>25000</v>
      </c>
      <c r="Q533" s="84" t="n">
        <v>0</v>
      </c>
      <c r="R533" s="85" t="n">
        <f aca="false">Q533/$P533</f>
        <v>0</v>
      </c>
      <c r="S533" s="84" t="n">
        <v>0</v>
      </c>
      <c r="T533" s="85" t="n">
        <f aca="false">S533/$P533</f>
        <v>0</v>
      </c>
      <c r="U533" s="84" t="n">
        <v>4680</v>
      </c>
      <c r="V533" s="85" t="n">
        <f aca="false">U533/$P533</f>
        <v>0.1872</v>
      </c>
      <c r="W533" s="84" t="n">
        <v>18600</v>
      </c>
      <c r="X533" s="102" t="n">
        <f aca="false">W533/$P533</f>
        <v>0.744</v>
      </c>
      <c r="Y533" s="84"/>
      <c r="Z533" s="86"/>
    </row>
    <row r="534" customFormat="false" ht="12.8" hidden="true" customHeight="false" outlineLevel="0" collapsed="false">
      <c r="D534" s="29"/>
      <c r="E534" s="82" t="s">
        <v>277</v>
      </c>
      <c r="F534" s="83"/>
      <c r="G534" s="84" t="n">
        <v>32</v>
      </c>
      <c r="H534" s="84"/>
      <c r="I534" s="84"/>
      <c r="J534" s="84"/>
      <c r="K534" s="84" t="n">
        <v>0</v>
      </c>
      <c r="L534" s="84"/>
      <c r="M534" s="84"/>
      <c r="N534" s="84"/>
      <c r="O534" s="84"/>
      <c r="P534" s="84" t="n">
        <f aca="false">K534+SUM(L534:O534)</f>
        <v>0</v>
      </c>
      <c r="Q534" s="84" t="n">
        <v>0</v>
      </c>
      <c r="R534" s="85" t="e">
        <f aca="false">Q534/$P534</f>
        <v>#DIV/0!</v>
      </c>
      <c r="S534" s="84" t="n">
        <v>0</v>
      </c>
      <c r="T534" s="85" t="e">
        <f aca="false">S534/$P534</f>
        <v>#DIV/0!</v>
      </c>
      <c r="U534" s="84" t="n">
        <v>0</v>
      </c>
      <c r="V534" s="85" t="e">
        <f aca="false">U534/$P534</f>
        <v>#DIV/0!</v>
      </c>
      <c r="W534" s="84" t="n">
        <v>0</v>
      </c>
      <c r="X534" s="85" t="e">
        <f aca="false">W534/$P534</f>
        <v>#DIV/0!</v>
      </c>
      <c r="Y534" s="84"/>
      <c r="Z534" s="86"/>
    </row>
    <row r="535" customFormat="false" ht="12.8" hidden="true" customHeight="false" outlineLevel="0" collapsed="false">
      <c r="D535" s="29"/>
      <c r="E535" s="82" t="s">
        <v>278</v>
      </c>
      <c r="F535" s="83"/>
      <c r="G535" s="84" t="n">
        <v>328.81</v>
      </c>
      <c r="H535" s="84"/>
      <c r="I535" s="84"/>
      <c r="J535" s="84"/>
      <c r="K535" s="84" t="n">
        <v>0</v>
      </c>
      <c r="L535" s="84"/>
      <c r="M535" s="84"/>
      <c r="N535" s="84"/>
      <c r="O535" s="84"/>
      <c r="P535" s="84" t="n">
        <f aca="false">K535+SUM(L535:O535)</f>
        <v>0</v>
      </c>
      <c r="Q535" s="84" t="n">
        <v>0</v>
      </c>
      <c r="R535" s="85" t="e">
        <f aca="false">Q535/$P535</f>
        <v>#DIV/0!</v>
      </c>
      <c r="S535" s="84" t="n">
        <v>0</v>
      </c>
      <c r="T535" s="85" t="e">
        <f aca="false">S535/$P535</f>
        <v>#DIV/0!</v>
      </c>
      <c r="U535" s="84" t="n">
        <v>0</v>
      </c>
      <c r="V535" s="85" t="e">
        <f aca="false">U535/$P535</f>
        <v>#DIV/0!</v>
      </c>
      <c r="W535" s="84" t="n">
        <v>0</v>
      </c>
      <c r="X535" s="85" t="e">
        <f aca="false">W535/$P535</f>
        <v>#DIV/0!</v>
      </c>
      <c r="Y535" s="84"/>
      <c r="Z535" s="86"/>
    </row>
    <row r="536" customFormat="false" ht="12.8" hidden="true" customHeight="false" outlineLevel="0" collapsed="false">
      <c r="D536" s="29"/>
      <c r="E536" s="82" t="s">
        <v>279</v>
      </c>
      <c r="F536" s="83"/>
      <c r="G536" s="84"/>
      <c r="H536" s="84"/>
      <c r="I536" s="84"/>
      <c r="J536" s="84"/>
      <c r="K536" s="84" t="n">
        <v>0</v>
      </c>
      <c r="L536" s="84"/>
      <c r="M536" s="84"/>
      <c r="N536" s="84"/>
      <c r="O536" s="84"/>
      <c r="P536" s="84" t="n">
        <f aca="false">K536+SUM(L536:O536)</f>
        <v>0</v>
      </c>
      <c r="Q536" s="84" t="n">
        <v>0</v>
      </c>
      <c r="R536" s="85" t="e">
        <f aca="false">Q536/$P536</f>
        <v>#DIV/0!</v>
      </c>
      <c r="S536" s="84" t="n">
        <v>0</v>
      </c>
      <c r="T536" s="85" t="e">
        <f aca="false">S536/$P536</f>
        <v>#DIV/0!</v>
      </c>
      <c r="U536" s="84" t="n">
        <v>0</v>
      </c>
      <c r="V536" s="85" t="e">
        <f aca="false">U536/$P536</f>
        <v>#DIV/0!</v>
      </c>
      <c r="W536" s="84" t="n">
        <v>0</v>
      </c>
      <c r="X536" s="85" t="e">
        <f aca="false">W536/$P536</f>
        <v>#DIV/0!</v>
      </c>
      <c r="Y536" s="84" t="n">
        <v>368492</v>
      </c>
      <c r="Z536" s="86"/>
    </row>
    <row r="537" customFormat="false" ht="12.8" hidden="true" customHeight="false" outlineLevel="0" collapsed="false">
      <c r="D537" s="29"/>
      <c r="E537" s="82" t="s">
        <v>280</v>
      </c>
      <c r="F537" s="83"/>
      <c r="G537" s="84"/>
      <c r="H537" s="84" t="n">
        <v>18466</v>
      </c>
      <c r="I537" s="84"/>
      <c r="J537" s="84"/>
      <c r="K537" s="84" t="n">
        <v>0</v>
      </c>
      <c r="L537" s="84"/>
      <c r="M537" s="84"/>
      <c r="N537" s="84"/>
      <c r="O537" s="84"/>
      <c r="P537" s="84" t="n">
        <f aca="false">K537+SUM(L537:O537)</f>
        <v>0</v>
      </c>
      <c r="Q537" s="84" t="n">
        <v>0</v>
      </c>
      <c r="R537" s="85" t="e">
        <f aca="false">Q537/$P537</f>
        <v>#DIV/0!</v>
      </c>
      <c r="S537" s="84" t="n">
        <v>0</v>
      </c>
      <c r="T537" s="85" t="e">
        <f aca="false">S537/$P537</f>
        <v>#DIV/0!</v>
      </c>
      <c r="U537" s="84" t="n">
        <v>0</v>
      </c>
      <c r="V537" s="85" t="e">
        <f aca="false">U537/$P537</f>
        <v>#DIV/0!</v>
      </c>
      <c r="W537" s="84" t="n">
        <v>0</v>
      </c>
      <c r="X537" s="85" t="e">
        <f aca="false">W537/$P537</f>
        <v>#DIV/0!</v>
      </c>
      <c r="Y537" s="84"/>
      <c r="Z537" s="86"/>
    </row>
    <row r="539" customFormat="false" ht="12.8" hidden="false" customHeight="false" outlineLevel="0" collapsed="false">
      <c r="D539" s="27" t="s">
        <v>281</v>
      </c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8"/>
      <c r="S539" s="27"/>
      <c r="T539" s="28"/>
      <c r="U539" s="27"/>
      <c r="V539" s="28"/>
      <c r="W539" s="27"/>
      <c r="X539" s="28"/>
      <c r="Y539" s="27"/>
      <c r="Z539" s="27"/>
    </row>
    <row r="540" customFormat="false" ht="12.8" hidden="false" customHeight="false" outlineLevel="0" collapsed="false">
      <c r="D540" s="116"/>
      <c r="E540" s="7"/>
      <c r="F540" s="7"/>
      <c r="G540" s="7" t="s">
        <v>1</v>
      </c>
      <c r="H540" s="7" t="s">
        <v>2</v>
      </c>
      <c r="I540" s="7" t="s">
        <v>3</v>
      </c>
      <c r="J540" s="7" t="s">
        <v>4</v>
      </c>
      <c r="K540" s="7" t="s">
        <v>5</v>
      </c>
      <c r="L540" s="7" t="s">
        <v>6</v>
      </c>
      <c r="M540" s="7" t="s">
        <v>7</v>
      </c>
      <c r="N540" s="7" t="s">
        <v>8</v>
      </c>
      <c r="O540" s="7" t="s">
        <v>9</v>
      </c>
      <c r="P540" s="7" t="s">
        <v>10</v>
      </c>
      <c r="Q540" s="7" t="s">
        <v>11</v>
      </c>
      <c r="R540" s="8" t="s">
        <v>12</v>
      </c>
      <c r="S540" s="7" t="s">
        <v>13</v>
      </c>
      <c r="T540" s="8" t="s">
        <v>14</v>
      </c>
      <c r="U540" s="7" t="s">
        <v>15</v>
      </c>
      <c r="V540" s="8" t="s">
        <v>16</v>
      </c>
      <c r="W540" s="7" t="s">
        <v>17</v>
      </c>
      <c r="X540" s="8" t="s">
        <v>18</v>
      </c>
      <c r="Y540" s="7" t="s">
        <v>19</v>
      </c>
      <c r="Z540" s="7" t="s">
        <v>20</v>
      </c>
    </row>
    <row r="541" customFormat="false" ht="12.8" hidden="false" customHeight="false" outlineLevel="0" collapsed="false">
      <c r="D541" s="117" t="s">
        <v>21</v>
      </c>
      <c r="E541" s="10" t="n">
        <v>111</v>
      </c>
      <c r="F541" s="10" t="s">
        <v>47</v>
      </c>
      <c r="G541" s="11" t="n">
        <f aca="false">SUM(G545:G545)</f>
        <v>0</v>
      </c>
      <c r="H541" s="11" t="n">
        <f aca="false">SUM(H545:H545)</f>
        <v>0</v>
      </c>
      <c r="I541" s="11" t="n">
        <v>888000</v>
      </c>
      <c r="J541" s="11" t="n">
        <v>0</v>
      </c>
      <c r="K541" s="11" t="n">
        <v>888000</v>
      </c>
      <c r="L541" s="11"/>
      <c r="M541" s="11"/>
      <c r="N541" s="11"/>
      <c r="O541" s="11"/>
      <c r="P541" s="11" t="n">
        <f aca="false">K541+SUM(L541:O541)</f>
        <v>888000</v>
      </c>
      <c r="Q541" s="11" t="n">
        <v>0</v>
      </c>
      <c r="R541" s="12" t="n">
        <f aca="false">Q541/$P541</f>
        <v>0</v>
      </c>
      <c r="S541" s="11" t="n">
        <v>0</v>
      </c>
      <c r="T541" s="12" t="n">
        <f aca="false">S541/$P541</f>
        <v>0</v>
      </c>
      <c r="U541" s="11" t="n">
        <v>0</v>
      </c>
      <c r="V541" s="12" t="n">
        <f aca="false">U541/$P541</f>
        <v>0</v>
      </c>
      <c r="W541" s="11" t="n">
        <v>282834</v>
      </c>
      <c r="X541" s="12" t="n">
        <f aca="false">W541/$P541</f>
        <v>0.318506756756757</v>
      </c>
      <c r="Y541" s="11" t="n">
        <f aca="false">SUM(Y545:Y545)</f>
        <v>0</v>
      </c>
      <c r="Z541" s="11" t="n">
        <f aca="false">SUM(Z545:Z545)</f>
        <v>0</v>
      </c>
    </row>
    <row r="542" customFormat="false" ht="12.8" hidden="false" customHeight="false" outlineLevel="0" collapsed="false">
      <c r="A542" s="1" t="n">
        <v>8</v>
      </c>
      <c r="B542" s="1" t="n">
        <v>4</v>
      </c>
      <c r="D542" s="117" t="s">
        <v>21</v>
      </c>
      <c r="E542" s="10" t="n">
        <v>41</v>
      </c>
      <c r="F542" s="10" t="s">
        <v>23</v>
      </c>
      <c r="G542" s="11" t="n">
        <f aca="false">SUM(G546:G546)</f>
        <v>1320</v>
      </c>
      <c r="H542" s="11" t="n">
        <v>8528</v>
      </c>
      <c r="I542" s="11" t="n">
        <f aca="false">SUM(I546:I546)-I541+I547</f>
        <v>55472</v>
      </c>
      <c r="J542" s="11" t="n">
        <v>5790</v>
      </c>
      <c r="K542" s="11" t="n">
        <f aca="false">SUM(K546:K547)-K541</f>
        <v>60000</v>
      </c>
      <c r="L542" s="11" t="n">
        <f aca="false">SUM(L546:L547)-L541</f>
        <v>0</v>
      </c>
      <c r="M542" s="11" t="n">
        <f aca="false">SUM(M546:M547)-M541</f>
        <v>0</v>
      </c>
      <c r="N542" s="11" t="n">
        <f aca="false">SUM(N546:N547)-N541</f>
        <v>0</v>
      </c>
      <c r="O542" s="11" t="n">
        <f aca="false">SUM(O546:O547)-O541</f>
        <v>0</v>
      </c>
      <c r="P542" s="11" t="n">
        <f aca="false">SUM(P546:P547)-P541</f>
        <v>60000</v>
      </c>
      <c r="Q542" s="11" t="n">
        <f aca="false">SUM(Q546:Q547)-Q541</f>
        <v>0</v>
      </c>
      <c r="R542" s="12" t="n">
        <f aca="false">Q542/$P542</f>
        <v>0</v>
      </c>
      <c r="S542" s="11" t="n">
        <f aca="false">SUM(S546:S547)-S541</f>
        <v>0</v>
      </c>
      <c r="T542" s="12" t="n">
        <f aca="false">S542/$P542</f>
        <v>0</v>
      </c>
      <c r="U542" s="11" t="n">
        <f aca="false">SUM(U546:U547)-U541</f>
        <v>320</v>
      </c>
      <c r="V542" s="12" t="n">
        <f aca="false">U542/$P542</f>
        <v>0.00533333333333333</v>
      </c>
      <c r="W542" s="11" t="n">
        <f aca="false">SUM(W546:W547)-W541</f>
        <v>17366</v>
      </c>
      <c r="X542" s="12" t="n">
        <f aca="false">W542/$P542</f>
        <v>0.289433333333333</v>
      </c>
      <c r="Y542" s="11" t="n">
        <f aca="false">SUM(Y546:Y546)</f>
        <v>0</v>
      </c>
      <c r="Z542" s="11" t="n">
        <f aca="false">SUM(Z546:Z546)</f>
        <v>0</v>
      </c>
    </row>
    <row r="543" customFormat="false" ht="12.8" hidden="false" customHeight="false" outlineLevel="0" collapsed="false">
      <c r="A543" s="1" t="n">
        <v>8</v>
      </c>
      <c r="B543" s="1" t="n">
        <v>4</v>
      </c>
      <c r="D543" s="16"/>
      <c r="E543" s="17"/>
      <c r="F543" s="13" t="s">
        <v>119</v>
      </c>
      <c r="G543" s="14" t="n">
        <f aca="false">SUM(G541:G542)</f>
        <v>1320</v>
      </c>
      <c r="H543" s="14" t="n">
        <f aca="false">SUM(H541:H542)</f>
        <v>8528</v>
      </c>
      <c r="I543" s="14" t="n">
        <f aca="false">SUM(I541:I542)</f>
        <v>943472</v>
      </c>
      <c r="J543" s="14" t="n">
        <f aca="false">SUM(J541:J542)</f>
        <v>5790</v>
      </c>
      <c r="K543" s="14" t="n">
        <f aca="false">SUM(K541:K542)</f>
        <v>948000</v>
      </c>
      <c r="L543" s="14" t="n">
        <f aca="false">SUM(L541:L542)</f>
        <v>0</v>
      </c>
      <c r="M543" s="14" t="n">
        <f aca="false">SUM(M541:M542)</f>
        <v>0</v>
      </c>
      <c r="N543" s="14" t="n">
        <f aca="false">SUM(N541:N542)</f>
        <v>0</v>
      </c>
      <c r="O543" s="14" t="n">
        <f aca="false">SUM(O541:O542)</f>
        <v>0</v>
      </c>
      <c r="P543" s="14" t="n">
        <f aca="false">SUM(P541:P542)</f>
        <v>948000</v>
      </c>
      <c r="Q543" s="14" t="n">
        <f aca="false">SUM(Q541:Q542)</f>
        <v>0</v>
      </c>
      <c r="R543" s="15" t="n">
        <f aca="false">Q543/$P543</f>
        <v>0</v>
      </c>
      <c r="S543" s="14" t="n">
        <f aca="false">SUM(S541:S542)</f>
        <v>0</v>
      </c>
      <c r="T543" s="15" t="n">
        <f aca="false">S543/$P543</f>
        <v>0</v>
      </c>
      <c r="U543" s="14" t="n">
        <f aca="false">SUM(U541:U542)</f>
        <v>320</v>
      </c>
      <c r="V543" s="15" t="n">
        <f aca="false">U543/$P543</f>
        <v>0.000337552742616034</v>
      </c>
      <c r="W543" s="14" t="n">
        <f aca="false">SUM(W541:W542)</f>
        <v>300200</v>
      </c>
      <c r="X543" s="15" t="n">
        <f aca="false">W543/$P543</f>
        <v>0.316666666666667</v>
      </c>
      <c r="Y543" s="14" t="n">
        <f aca="false">SUM(Y542:Y542)</f>
        <v>0</v>
      </c>
      <c r="Z543" s="14" t="n">
        <f aca="false">SUM(Z542:Z542)</f>
        <v>0</v>
      </c>
    </row>
    <row r="545" customFormat="false" ht="12.8" hidden="false" customHeight="false" outlineLevel="0" collapsed="false">
      <c r="D545" s="1" t="s">
        <v>57</v>
      </c>
    </row>
    <row r="546" customFormat="false" ht="12.8" hidden="false" customHeight="false" outlineLevel="0" collapsed="false">
      <c r="D546" s="29" t="s">
        <v>282</v>
      </c>
      <c r="E546" s="39" t="s">
        <v>95</v>
      </c>
      <c r="F546" s="16"/>
      <c r="G546" s="40" t="n">
        <v>1320</v>
      </c>
      <c r="H546" s="40" t="n">
        <v>8528</v>
      </c>
      <c r="I546" s="40" t="n">
        <f aca="false">888000+45472</f>
        <v>933472</v>
      </c>
      <c r="J546" s="40" t="n">
        <v>5790</v>
      </c>
      <c r="K546" s="40" t="n">
        <f aca="false">888000+50000</f>
        <v>938000</v>
      </c>
      <c r="L546" s="40"/>
      <c r="M546" s="40"/>
      <c r="N546" s="40"/>
      <c r="O546" s="40"/>
      <c r="P546" s="40" t="n">
        <f aca="false">K546+SUM(L546:O546)</f>
        <v>938000</v>
      </c>
      <c r="Q546" s="40" t="n">
        <v>0</v>
      </c>
      <c r="R546" s="41" t="n">
        <f aca="false">Q546/$P546</f>
        <v>0</v>
      </c>
      <c r="S546" s="40" t="n">
        <v>0</v>
      </c>
      <c r="T546" s="41" t="n">
        <f aca="false">S546/$P546</f>
        <v>0</v>
      </c>
      <c r="U546" s="40" t="n">
        <v>320</v>
      </c>
      <c r="V546" s="41" t="n">
        <f aca="false">U546/$P546</f>
        <v>0.000341151385927505</v>
      </c>
      <c r="W546" s="40" t="n">
        <v>300200</v>
      </c>
      <c r="X546" s="42" t="n">
        <f aca="false">W546/$P546</f>
        <v>0.320042643923241</v>
      </c>
      <c r="Y546" s="40"/>
      <c r="Z546" s="44"/>
    </row>
    <row r="547" customFormat="false" ht="12.8" hidden="false" customHeight="false" outlineLevel="0" collapsed="false">
      <c r="D547" s="29"/>
      <c r="E547" s="54" t="s">
        <v>283</v>
      </c>
      <c r="F547" s="72"/>
      <c r="G547" s="56"/>
      <c r="H547" s="56"/>
      <c r="I547" s="56" t="n">
        <f aca="false">10000</f>
        <v>10000</v>
      </c>
      <c r="J547" s="56"/>
      <c r="K547" s="56" t="n">
        <f aca="false">10000</f>
        <v>10000</v>
      </c>
      <c r="L547" s="56"/>
      <c r="M547" s="56"/>
      <c r="N547" s="56"/>
      <c r="O547" s="56"/>
      <c r="P547" s="56" t="n">
        <f aca="false">K547+SUM(L547:O547)</f>
        <v>10000</v>
      </c>
      <c r="Q547" s="56" t="n">
        <v>0</v>
      </c>
      <c r="R547" s="57" t="n">
        <f aca="false">Q547/$P547</f>
        <v>0</v>
      </c>
      <c r="S547" s="56" t="n">
        <v>0</v>
      </c>
      <c r="T547" s="57" t="n">
        <f aca="false">S547/$P547</f>
        <v>0</v>
      </c>
      <c r="U547" s="56" t="n">
        <v>0</v>
      </c>
      <c r="V547" s="57" t="n">
        <f aca="false">U547/$P547</f>
        <v>0</v>
      </c>
      <c r="W547" s="56" t="n">
        <v>0</v>
      </c>
      <c r="X547" s="58" t="n">
        <f aca="false">W547/$P547</f>
        <v>0</v>
      </c>
      <c r="Y547" s="56"/>
      <c r="Z547" s="60"/>
    </row>
    <row r="549" customFormat="false" ht="12.8" hidden="false" customHeight="false" outlineLevel="0" collapsed="false">
      <c r="D549" s="27" t="s">
        <v>284</v>
      </c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8"/>
      <c r="S549" s="27"/>
      <c r="T549" s="28"/>
      <c r="U549" s="27"/>
      <c r="V549" s="28"/>
      <c r="W549" s="27"/>
      <c r="X549" s="28"/>
      <c r="Y549" s="27"/>
      <c r="Z549" s="27"/>
    </row>
    <row r="550" customFormat="false" ht="12.8" hidden="false" customHeight="false" outlineLevel="0" collapsed="false">
      <c r="D550" s="116"/>
      <c r="E550" s="7"/>
      <c r="F550" s="7"/>
      <c r="G550" s="7" t="s">
        <v>1</v>
      </c>
      <c r="H550" s="7" t="s">
        <v>2</v>
      </c>
      <c r="I550" s="7" t="s">
        <v>3</v>
      </c>
      <c r="J550" s="7" t="s">
        <v>4</v>
      </c>
      <c r="K550" s="7" t="s">
        <v>5</v>
      </c>
      <c r="L550" s="7" t="s">
        <v>6</v>
      </c>
      <c r="M550" s="7" t="s">
        <v>7</v>
      </c>
      <c r="N550" s="7" t="s">
        <v>8</v>
      </c>
      <c r="O550" s="7" t="s">
        <v>9</v>
      </c>
      <c r="P550" s="7" t="s">
        <v>10</v>
      </c>
      <c r="Q550" s="7" t="s">
        <v>11</v>
      </c>
      <c r="R550" s="8" t="s">
        <v>12</v>
      </c>
      <c r="S550" s="7" t="s">
        <v>13</v>
      </c>
      <c r="T550" s="8" t="s">
        <v>14</v>
      </c>
      <c r="U550" s="7" t="s">
        <v>15</v>
      </c>
      <c r="V550" s="8" t="s">
        <v>16</v>
      </c>
      <c r="W550" s="7" t="s">
        <v>17</v>
      </c>
      <c r="X550" s="8" t="s">
        <v>18</v>
      </c>
      <c r="Y550" s="7" t="s">
        <v>19</v>
      </c>
      <c r="Z550" s="7" t="s">
        <v>20</v>
      </c>
    </row>
    <row r="551" customFormat="false" ht="12.8" hidden="false" customHeight="false" outlineLevel="0" collapsed="false">
      <c r="A551" s="1" t="n">
        <v>8</v>
      </c>
      <c r="B551" s="1" t="n">
        <v>5</v>
      </c>
      <c r="D551" s="29" t="s">
        <v>21</v>
      </c>
      <c r="E551" s="10" t="n">
        <v>111</v>
      </c>
      <c r="F551" s="10" t="s">
        <v>47</v>
      </c>
      <c r="G551" s="11" t="n">
        <f aca="false">G568</f>
        <v>10000</v>
      </c>
      <c r="H551" s="11" t="n">
        <v>0</v>
      </c>
      <c r="I551" s="11" t="n">
        <v>0</v>
      </c>
      <c r="J551" s="11" t="n">
        <v>0</v>
      </c>
      <c r="K551" s="11" t="n">
        <f aca="false">30000</f>
        <v>30000</v>
      </c>
      <c r="L551" s="11"/>
      <c r="M551" s="11"/>
      <c r="N551" s="11"/>
      <c r="O551" s="11"/>
      <c r="P551" s="11" t="n">
        <f aca="false">K551+SUM(L551:O551)</f>
        <v>30000</v>
      </c>
      <c r="Q551" s="11" t="n">
        <v>0</v>
      </c>
      <c r="R551" s="12" t="n">
        <f aca="false">Q551/$P551</f>
        <v>0</v>
      </c>
      <c r="S551" s="11" t="n">
        <v>30000</v>
      </c>
      <c r="T551" s="12" t="n">
        <f aca="false">S551/$P551</f>
        <v>1</v>
      </c>
      <c r="U551" s="11" t="n">
        <v>30000</v>
      </c>
      <c r="V551" s="12" t="n">
        <f aca="false">U551/$P551</f>
        <v>1</v>
      </c>
      <c r="W551" s="11" t="n">
        <v>30000</v>
      </c>
      <c r="X551" s="12" t="n">
        <f aca="false">W551/$P551</f>
        <v>1</v>
      </c>
      <c r="Y551" s="11" t="n">
        <f aca="false">Y564</f>
        <v>0</v>
      </c>
      <c r="Z551" s="11" t="n">
        <v>0</v>
      </c>
    </row>
    <row r="552" customFormat="false" ht="12.8" hidden="false" customHeight="false" outlineLevel="0" collapsed="false">
      <c r="A552" s="1" t="n">
        <v>8</v>
      </c>
      <c r="B552" s="1" t="n">
        <v>5</v>
      </c>
      <c r="D552" s="29"/>
      <c r="E552" s="10" t="n">
        <v>41</v>
      </c>
      <c r="F552" s="10" t="s">
        <v>23</v>
      </c>
      <c r="G552" s="11" t="n">
        <f aca="false">G556+G558+G569</f>
        <v>2933.84</v>
      </c>
      <c r="H552" s="11" t="n">
        <f aca="false">SUM(H556:H569)</f>
        <v>107956.32</v>
      </c>
      <c r="I552" s="11" t="n">
        <f aca="false">SUM(I556:I569)</f>
        <v>141000</v>
      </c>
      <c r="J552" s="11" t="n">
        <f aca="false">SUM(J556:J569)</f>
        <v>103975.49</v>
      </c>
      <c r="K552" s="11" t="n">
        <f aca="false">SUM(K556:K569)-K551</f>
        <v>261000</v>
      </c>
      <c r="L552" s="11" t="n">
        <f aca="false">SUM(L556:L569)-L551</f>
        <v>-450</v>
      </c>
      <c r="M552" s="11" t="n">
        <f aca="false">SUM(M556:M569)-M551</f>
        <v>-27000</v>
      </c>
      <c r="N552" s="11" t="n">
        <f aca="false">SUM(N556:N569)-N551</f>
        <v>0</v>
      </c>
      <c r="O552" s="11" t="n">
        <f aca="false">SUM(O556:O569)-O551</f>
        <v>-3073</v>
      </c>
      <c r="P552" s="11" t="n">
        <f aca="false">SUM(P556:P569)-P551</f>
        <v>230477</v>
      </c>
      <c r="Q552" s="11" t="n">
        <f aca="false">SUM(Q556:Q569)-Q551</f>
        <v>0</v>
      </c>
      <c r="R552" s="12" t="n">
        <f aca="false">Q552/$P552</f>
        <v>0</v>
      </c>
      <c r="S552" s="11" t="n">
        <f aca="false">SUM(S556:S569)-S551</f>
        <v>94432.58</v>
      </c>
      <c r="T552" s="12" t="n">
        <f aca="false">S552/$P552</f>
        <v>0.409726697240939</v>
      </c>
      <c r="U552" s="11" t="n">
        <f aca="false">SUM(U556:U569)-U551</f>
        <v>119601.51</v>
      </c>
      <c r="V552" s="12" t="n">
        <f aca="false">U552/$P552</f>
        <v>0.518930348798362</v>
      </c>
      <c r="W552" s="11" t="n">
        <f aca="false">SUM(W556:W569)-W551</f>
        <v>227464.27</v>
      </c>
      <c r="X552" s="12" t="n">
        <f aca="false">W552/$P552</f>
        <v>0.98692828351636</v>
      </c>
      <c r="Y552" s="11" t="n">
        <f aca="false">SUM(Y556:Y569)</f>
        <v>0</v>
      </c>
      <c r="Z552" s="11" t="n">
        <f aca="false">SUM(Z556:Z569)</f>
        <v>357464</v>
      </c>
    </row>
    <row r="553" customFormat="false" ht="12.8" hidden="false" customHeight="false" outlineLevel="0" collapsed="false">
      <c r="D553" s="16"/>
      <c r="E553" s="17"/>
      <c r="F553" s="13" t="s">
        <v>119</v>
      </c>
      <c r="G553" s="14" t="n">
        <f aca="false">SUM(G551:G552)</f>
        <v>12933.84</v>
      </c>
      <c r="H553" s="14" t="n">
        <f aca="false">SUM(H551:H552)</f>
        <v>107956.32</v>
      </c>
      <c r="I553" s="14" t="n">
        <f aca="false">SUM(I551:I552)</f>
        <v>141000</v>
      </c>
      <c r="J553" s="14" t="n">
        <f aca="false">SUM(J551:J552)</f>
        <v>103975.49</v>
      </c>
      <c r="K553" s="14" t="n">
        <f aca="false">SUM(K551:K552)</f>
        <v>291000</v>
      </c>
      <c r="L553" s="14" t="n">
        <f aca="false">SUM(L551:L552)</f>
        <v>-450</v>
      </c>
      <c r="M553" s="14" t="n">
        <f aca="false">SUM(M551:M552)</f>
        <v>-27000</v>
      </c>
      <c r="N553" s="14" t="n">
        <f aca="false">SUM(N551:N552)</f>
        <v>0</v>
      </c>
      <c r="O553" s="14" t="n">
        <f aca="false">SUM(O551:O552)</f>
        <v>-3073</v>
      </c>
      <c r="P553" s="14" t="n">
        <f aca="false">SUM(P551:P552)</f>
        <v>260477</v>
      </c>
      <c r="Q553" s="14" t="n">
        <f aca="false">SUM(Q551:Q552)</f>
        <v>0</v>
      </c>
      <c r="R553" s="15" t="n">
        <f aca="false">Q553/$P553</f>
        <v>0</v>
      </c>
      <c r="S553" s="14" t="n">
        <f aca="false">SUM(S551:S552)</f>
        <v>124432.58</v>
      </c>
      <c r="T553" s="15" t="n">
        <f aca="false">S553/$P553</f>
        <v>0.477710431247289</v>
      </c>
      <c r="U553" s="14" t="n">
        <f aca="false">SUM(U551:U552)</f>
        <v>149601.51</v>
      </c>
      <c r="V553" s="15" t="n">
        <f aca="false">U553/$P553</f>
        <v>0.574336736064988</v>
      </c>
      <c r="W553" s="14" t="n">
        <f aca="false">SUM(W551:W552)</f>
        <v>257464.27</v>
      </c>
      <c r="X553" s="15" t="n">
        <f aca="false">W553/$P553</f>
        <v>0.988433796458037</v>
      </c>
      <c r="Y553" s="14" t="n">
        <f aca="false">SUM(Y551:Y552)</f>
        <v>0</v>
      </c>
      <c r="Z553" s="14" t="n">
        <f aca="false">SUM(Z551:Z552)</f>
        <v>357464</v>
      </c>
    </row>
    <row r="555" customFormat="false" ht="12.8" hidden="false" customHeight="false" outlineLevel="0" collapsed="false">
      <c r="D555" s="1" t="s">
        <v>57</v>
      </c>
    </row>
    <row r="556" customFormat="false" ht="12.8" hidden="false" customHeight="false" outlineLevel="0" collapsed="false">
      <c r="D556" s="29" t="s">
        <v>285</v>
      </c>
      <c r="E556" s="39" t="s">
        <v>286</v>
      </c>
      <c r="F556" s="16"/>
      <c r="G556" s="40" t="n">
        <v>0</v>
      </c>
      <c r="H556" s="40" t="n">
        <v>28371.62</v>
      </c>
      <c r="I556" s="40" t="n">
        <v>70000</v>
      </c>
      <c r="J556" s="40" t="n">
        <v>12370.62</v>
      </c>
      <c r="K556" s="40" t="n">
        <v>155000</v>
      </c>
      <c r="L556" s="40"/>
      <c r="M556" s="40" t="n">
        <v>-5000</v>
      </c>
      <c r="N556" s="40"/>
      <c r="O556" s="40" t="n">
        <v>1026</v>
      </c>
      <c r="P556" s="40" t="n">
        <f aca="false">K556+SUM(L556:O556)</f>
        <v>151026</v>
      </c>
      <c r="Q556" s="40" t="n">
        <v>0</v>
      </c>
      <c r="R556" s="41" t="n">
        <f aca="false">Q556/$P556</f>
        <v>0</v>
      </c>
      <c r="S556" s="40" t="n">
        <v>50447.95</v>
      </c>
      <c r="T556" s="41" t="n">
        <f aca="false">S556/$P556</f>
        <v>0.334034868168395</v>
      </c>
      <c r="U556" s="40" t="n">
        <v>50113.72</v>
      </c>
      <c r="V556" s="41" t="n">
        <f aca="false">U556/$P556</f>
        <v>0.331821805516931</v>
      </c>
      <c r="W556" s="40" t="n">
        <v>151025.6</v>
      </c>
      <c r="X556" s="42" t="n">
        <f aca="false">W556/$P556</f>
        <v>0.999997351449419</v>
      </c>
      <c r="Y556" s="84"/>
      <c r="Z556" s="86"/>
    </row>
    <row r="557" customFormat="false" ht="12.8" hidden="false" customHeight="false" outlineLevel="0" collapsed="false">
      <c r="D557" s="29"/>
      <c r="E557" s="54" t="s">
        <v>287</v>
      </c>
      <c r="F557" s="72"/>
      <c r="G557" s="56"/>
      <c r="H557" s="56"/>
      <c r="I557" s="56"/>
      <c r="J557" s="56"/>
      <c r="K557" s="56" t="n">
        <v>7000</v>
      </c>
      <c r="L557" s="56"/>
      <c r="M557" s="56" t="n">
        <v>-7000</v>
      </c>
      <c r="N557" s="56"/>
      <c r="O557" s="56"/>
      <c r="P557" s="56" t="n">
        <f aca="false">K557+SUM(L557:O557)</f>
        <v>0</v>
      </c>
      <c r="Q557" s="56" t="n">
        <v>0</v>
      </c>
      <c r="R557" s="57" t="e">
        <f aca="false">Q557/$P557</f>
        <v>#DIV/0!</v>
      </c>
      <c r="S557" s="56" t="n">
        <v>0</v>
      </c>
      <c r="T557" s="57" t="e">
        <f aca="false">S557/$P557</f>
        <v>#DIV/0!</v>
      </c>
      <c r="U557" s="56" t="n">
        <v>0</v>
      </c>
      <c r="V557" s="57" t="e">
        <f aca="false">U557/$P557</f>
        <v>#DIV/0!</v>
      </c>
      <c r="W557" s="56" t="n">
        <v>0</v>
      </c>
      <c r="X557" s="58" t="e">
        <f aca="false">W557/$P557</f>
        <v>#DIV/0!</v>
      </c>
      <c r="Y557" s="84"/>
      <c r="Z557" s="86"/>
    </row>
    <row r="558" customFormat="false" ht="12.8" hidden="true" customHeight="false" outlineLevel="0" collapsed="false">
      <c r="D558" s="29" t="s">
        <v>288</v>
      </c>
      <c r="E558" s="39" t="s">
        <v>289</v>
      </c>
      <c r="F558" s="16"/>
      <c r="G558" s="40"/>
      <c r="H558" s="40" t="n">
        <v>1000</v>
      </c>
      <c r="I558" s="40" t="n">
        <v>1000</v>
      </c>
      <c r="J558" s="40" t="n">
        <v>1830</v>
      </c>
      <c r="K558" s="40" t="n">
        <v>0</v>
      </c>
      <c r="L558" s="40"/>
      <c r="M558" s="40"/>
      <c r="N558" s="40"/>
      <c r="O558" s="40"/>
      <c r="P558" s="40" t="n">
        <f aca="false">K558+SUM(L558:O558)</f>
        <v>0</v>
      </c>
      <c r="Q558" s="40" t="n">
        <v>0</v>
      </c>
      <c r="R558" s="41" t="e">
        <f aca="false">Q558/$P558</f>
        <v>#DIV/0!</v>
      </c>
      <c r="S558" s="40" t="n">
        <v>0</v>
      </c>
      <c r="T558" s="41" t="e">
        <f aca="false">S558/$P558</f>
        <v>#DIV/0!</v>
      </c>
      <c r="U558" s="40" t="n">
        <v>0</v>
      </c>
      <c r="V558" s="41" t="e">
        <f aca="false">U558/$P558</f>
        <v>#DIV/0!</v>
      </c>
      <c r="W558" s="40" t="n">
        <v>0</v>
      </c>
      <c r="X558" s="42" t="e">
        <f aca="false">W558/$P558</f>
        <v>#DIV/0!</v>
      </c>
      <c r="Y558" s="84"/>
      <c r="Z558" s="86"/>
    </row>
    <row r="559" customFormat="false" ht="12.8" hidden="true" customHeight="false" outlineLevel="0" collapsed="false">
      <c r="D559" s="29" t="s">
        <v>288</v>
      </c>
      <c r="E559" s="45" t="s">
        <v>290</v>
      </c>
      <c r="F559" s="88"/>
      <c r="G559" s="89" t="n">
        <v>4854.73</v>
      </c>
      <c r="H559" s="89" t="n">
        <v>33005.1</v>
      </c>
      <c r="I559" s="89" t="n">
        <v>30000</v>
      </c>
      <c r="J559" s="89" t="n">
        <v>29510.33</v>
      </c>
      <c r="K559" s="89" t="n">
        <v>0</v>
      </c>
      <c r="L559" s="89"/>
      <c r="M559" s="89"/>
      <c r="N559" s="89"/>
      <c r="O559" s="89"/>
      <c r="P559" s="89" t="n">
        <f aca="false">K559+SUM(L559:O559)</f>
        <v>0</v>
      </c>
      <c r="Q559" s="89" t="n">
        <v>0</v>
      </c>
      <c r="R559" s="90" t="e">
        <f aca="false">Q559/$P559</f>
        <v>#DIV/0!</v>
      </c>
      <c r="S559" s="89" t="n">
        <v>0</v>
      </c>
      <c r="T559" s="90" t="e">
        <f aca="false">S559/$P559</f>
        <v>#DIV/0!</v>
      </c>
      <c r="U559" s="89" t="n">
        <v>0</v>
      </c>
      <c r="V559" s="90" t="e">
        <f aca="false">U559/$P559</f>
        <v>#DIV/0!</v>
      </c>
      <c r="W559" s="89" t="n">
        <v>0</v>
      </c>
      <c r="X559" s="48" t="e">
        <f aca="false">W559/$P559</f>
        <v>#DIV/0!</v>
      </c>
      <c r="Y559" s="84"/>
      <c r="Z559" s="86"/>
    </row>
    <row r="560" customFormat="false" ht="12.8" hidden="true" customHeight="false" outlineLevel="0" collapsed="false">
      <c r="E560" s="45" t="s">
        <v>291</v>
      </c>
      <c r="F560" s="88"/>
      <c r="G560" s="89"/>
      <c r="H560" s="89"/>
      <c r="I560" s="89" t="n">
        <v>30000</v>
      </c>
      <c r="J560" s="89" t="n">
        <v>26971.14</v>
      </c>
      <c r="K560" s="89" t="n">
        <v>0</v>
      </c>
      <c r="L560" s="89"/>
      <c r="M560" s="89"/>
      <c r="N560" s="89"/>
      <c r="O560" s="89"/>
      <c r="P560" s="89" t="n">
        <f aca="false">K560+SUM(L560:O560)</f>
        <v>0</v>
      </c>
      <c r="Q560" s="89" t="n">
        <v>0</v>
      </c>
      <c r="R560" s="90" t="e">
        <f aca="false">Q560/$P560</f>
        <v>#DIV/0!</v>
      </c>
      <c r="S560" s="89" t="n">
        <v>0</v>
      </c>
      <c r="T560" s="90" t="e">
        <f aca="false">S560/$P560</f>
        <v>#DIV/0!</v>
      </c>
      <c r="U560" s="89" t="n">
        <v>0</v>
      </c>
      <c r="V560" s="90" t="e">
        <f aca="false">U560/$P560</f>
        <v>#DIV/0!</v>
      </c>
      <c r="W560" s="89" t="n">
        <v>0</v>
      </c>
      <c r="X560" s="48" t="e">
        <f aca="false">W560/$P560</f>
        <v>#DIV/0!</v>
      </c>
      <c r="Y560" s="84"/>
      <c r="Z560" s="86"/>
    </row>
    <row r="561" customFormat="false" ht="12.8" hidden="false" customHeight="false" outlineLevel="0" collapsed="false">
      <c r="D561" s="29" t="s">
        <v>288</v>
      </c>
      <c r="E561" s="54" t="s">
        <v>292</v>
      </c>
      <c r="F561" s="72"/>
      <c r="G561" s="56"/>
      <c r="H561" s="56"/>
      <c r="I561" s="56"/>
      <c r="J561" s="56" t="n">
        <v>30000</v>
      </c>
      <c r="K561" s="56" t="n">
        <v>25000</v>
      </c>
      <c r="L561" s="56"/>
      <c r="M561" s="56"/>
      <c r="N561" s="56"/>
      <c r="O561" s="56" t="n">
        <v>1784</v>
      </c>
      <c r="P561" s="56" t="n">
        <f aca="false">K561+SUM(L561:O561)</f>
        <v>26784</v>
      </c>
      <c r="Q561" s="56" t="n">
        <v>0</v>
      </c>
      <c r="R561" s="57" t="n">
        <f aca="false">Q561/$P561</f>
        <v>0</v>
      </c>
      <c r="S561" s="56" t="n">
        <v>19907.11</v>
      </c>
      <c r="T561" s="57" t="n">
        <f aca="false">S561/$P561</f>
        <v>0.743246341099164</v>
      </c>
      <c r="U561" s="56" t="n">
        <v>23011.51</v>
      </c>
      <c r="V561" s="57" t="n">
        <f aca="false">U561/$P561</f>
        <v>0.859151359020311</v>
      </c>
      <c r="W561" s="56" t="n">
        <v>26784.19</v>
      </c>
      <c r="X561" s="58" t="n">
        <f aca="false">W561/$P561</f>
        <v>1.00000709378734</v>
      </c>
      <c r="Y561" s="84"/>
      <c r="Z561" s="86"/>
    </row>
    <row r="562" customFormat="false" ht="12.8" hidden="false" customHeight="false" outlineLevel="0" collapsed="false">
      <c r="D562" s="29"/>
      <c r="E562" s="82" t="s">
        <v>293</v>
      </c>
      <c r="F562" s="83"/>
      <c r="G562" s="84"/>
      <c r="H562" s="84"/>
      <c r="I562" s="84"/>
      <c r="J562" s="84"/>
      <c r="K562" s="84" t="n">
        <v>3000</v>
      </c>
      <c r="L562" s="84"/>
      <c r="M562" s="84"/>
      <c r="N562" s="84"/>
      <c r="O562" s="84" t="n">
        <v>-1026</v>
      </c>
      <c r="P562" s="84" t="n">
        <f aca="false">K562+SUM(L562:O562)</f>
        <v>1974</v>
      </c>
      <c r="Q562" s="84" t="n">
        <v>0</v>
      </c>
      <c r="R562" s="85" t="n">
        <f aca="false">Q562/$P562</f>
        <v>0</v>
      </c>
      <c r="S562" s="84" t="n">
        <v>0</v>
      </c>
      <c r="T562" s="85" t="n">
        <f aca="false">S562/$P562</f>
        <v>0</v>
      </c>
      <c r="U562" s="84" t="n">
        <v>0</v>
      </c>
      <c r="V562" s="85" t="n">
        <f aca="false">U562/$P562</f>
        <v>0</v>
      </c>
      <c r="W562" s="84" t="n">
        <v>0</v>
      </c>
      <c r="X562" s="102" t="n">
        <f aca="false">W562/$P562</f>
        <v>0</v>
      </c>
      <c r="Y562" s="84"/>
      <c r="Z562" s="86"/>
    </row>
    <row r="563" customFormat="false" ht="12.8" hidden="false" customHeight="false" outlineLevel="0" collapsed="false">
      <c r="D563" s="29"/>
      <c r="E563" s="39" t="s">
        <v>294</v>
      </c>
      <c r="F563" s="16"/>
      <c r="G563" s="40"/>
      <c r="H563" s="40" t="n">
        <v>45579.6</v>
      </c>
      <c r="I563" s="40" t="n">
        <v>10000</v>
      </c>
      <c r="J563" s="40" t="n">
        <v>2693.4</v>
      </c>
      <c r="K563" s="40" t="n">
        <v>10000</v>
      </c>
      <c r="L563" s="40"/>
      <c r="M563" s="40" t="n">
        <v>-10000</v>
      </c>
      <c r="N563" s="40"/>
      <c r="O563" s="40"/>
      <c r="P563" s="40" t="n">
        <f aca="false">K563+SUM(L563:O563)</f>
        <v>0</v>
      </c>
      <c r="Q563" s="40" t="n">
        <v>0</v>
      </c>
      <c r="R563" s="41" t="e">
        <f aca="false">Q563/$P563</f>
        <v>#DIV/0!</v>
      </c>
      <c r="S563" s="40" t="n">
        <v>0</v>
      </c>
      <c r="T563" s="41" t="e">
        <f aca="false">S563/$P563</f>
        <v>#DIV/0!</v>
      </c>
      <c r="U563" s="40" t="n">
        <v>0</v>
      </c>
      <c r="V563" s="41" t="e">
        <f aca="false">U563/$P563</f>
        <v>#DIV/0!</v>
      </c>
      <c r="W563" s="40" t="n">
        <v>0</v>
      </c>
      <c r="X563" s="42" t="e">
        <f aca="false">W563/$P563</f>
        <v>#DIV/0!</v>
      </c>
      <c r="Y563" s="84"/>
      <c r="Z563" s="86"/>
    </row>
    <row r="564" customFormat="false" ht="12.8" hidden="true" customHeight="false" outlineLevel="0" collapsed="false">
      <c r="E564" s="45" t="s">
        <v>295</v>
      </c>
      <c r="F564" s="88"/>
      <c r="G564" s="89"/>
      <c r="H564" s="89"/>
      <c r="I564" s="89"/>
      <c r="J564" s="89"/>
      <c r="K564" s="89" t="n">
        <v>0</v>
      </c>
      <c r="L564" s="89"/>
      <c r="M564" s="89"/>
      <c r="N564" s="89"/>
      <c r="O564" s="89"/>
      <c r="P564" s="89" t="n">
        <f aca="false">K564+SUM(L564:O564)</f>
        <v>0</v>
      </c>
      <c r="Q564" s="89" t="n">
        <v>0</v>
      </c>
      <c r="R564" s="90" t="e">
        <f aca="false">Q564/$P564</f>
        <v>#DIV/0!</v>
      </c>
      <c r="S564" s="89" t="n">
        <v>0</v>
      </c>
      <c r="T564" s="90" t="e">
        <f aca="false">S564/$P564</f>
        <v>#DIV/0!</v>
      </c>
      <c r="U564" s="89" t="n">
        <v>0</v>
      </c>
      <c r="V564" s="90" t="e">
        <f aca="false">U564/$P564</f>
        <v>#DIV/0!</v>
      </c>
      <c r="W564" s="89" t="n">
        <v>0</v>
      </c>
      <c r="X564" s="48" t="e">
        <f aca="false">W564/$P564</f>
        <v>#DIV/0!</v>
      </c>
      <c r="Y564" s="84"/>
      <c r="Z564" s="86"/>
    </row>
    <row r="565" customFormat="false" ht="12.8" hidden="true" customHeight="false" outlineLevel="0" collapsed="false">
      <c r="E565" s="54" t="s">
        <v>296</v>
      </c>
      <c r="F565" s="72"/>
      <c r="G565" s="56"/>
      <c r="H565" s="56"/>
      <c r="I565" s="56"/>
      <c r="J565" s="56"/>
      <c r="K565" s="56" t="n">
        <v>0</v>
      </c>
      <c r="L565" s="56"/>
      <c r="M565" s="56"/>
      <c r="N565" s="56"/>
      <c r="O565" s="56"/>
      <c r="P565" s="56" t="n">
        <f aca="false">K565+SUM(L565:O565)</f>
        <v>0</v>
      </c>
      <c r="Q565" s="56" t="n">
        <v>0</v>
      </c>
      <c r="R565" s="57" t="e">
        <f aca="false">Q565/$P565</f>
        <v>#DIV/0!</v>
      </c>
      <c r="S565" s="56" t="n">
        <v>0</v>
      </c>
      <c r="T565" s="57" t="e">
        <f aca="false">S565/$P565</f>
        <v>#DIV/0!</v>
      </c>
      <c r="U565" s="56" t="n">
        <v>0</v>
      </c>
      <c r="V565" s="57" t="e">
        <f aca="false">U565/$P565</f>
        <v>#DIV/0!</v>
      </c>
      <c r="W565" s="56" t="n">
        <v>0</v>
      </c>
      <c r="X565" s="58" t="e">
        <f aca="false">W565/$P565</f>
        <v>#DIV/0!</v>
      </c>
      <c r="Y565" s="84"/>
      <c r="Z565" s="86" t="n">
        <v>357464</v>
      </c>
    </row>
    <row r="566" customFormat="false" ht="12.8" hidden="false" customHeight="false" outlineLevel="0" collapsed="false">
      <c r="D566" s="45" t="s">
        <v>297</v>
      </c>
      <c r="E566" s="82" t="s">
        <v>298</v>
      </c>
      <c r="F566" s="83"/>
      <c r="G566" s="84"/>
      <c r="H566" s="84"/>
      <c r="I566" s="84"/>
      <c r="J566" s="84"/>
      <c r="K566" s="84" t="n">
        <v>5000</v>
      </c>
      <c r="L566" s="84"/>
      <c r="M566" s="84" t="n">
        <v>-5000</v>
      </c>
      <c r="N566" s="84"/>
      <c r="O566" s="84"/>
      <c r="P566" s="84" t="n">
        <f aca="false">K566+SUM(L566:O566)</f>
        <v>0</v>
      </c>
      <c r="Q566" s="84" t="n">
        <v>0</v>
      </c>
      <c r="R566" s="85" t="e">
        <f aca="false">Q566/$P566</f>
        <v>#DIV/0!</v>
      </c>
      <c r="S566" s="84" t="n">
        <v>0</v>
      </c>
      <c r="T566" s="85" t="e">
        <f aca="false">S566/$P566</f>
        <v>#DIV/0!</v>
      </c>
      <c r="U566" s="84" t="n">
        <v>0</v>
      </c>
      <c r="V566" s="85" t="e">
        <f aca="false">U566/$P566</f>
        <v>#DIV/0!</v>
      </c>
      <c r="W566" s="84" t="n">
        <v>0</v>
      </c>
      <c r="X566" s="102" t="e">
        <f aca="false">W566/$P566</f>
        <v>#DIV/0!</v>
      </c>
      <c r="Y566" s="84"/>
      <c r="Z566" s="86"/>
    </row>
    <row r="567" customFormat="false" ht="12.8" hidden="false" customHeight="false" outlineLevel="0" collapsed="false">
      <c r="D567" s="121" t="s">
        <v>299</v>
      </c>
      <c r="E567" s="82" t="s">
        <v>300</v>
      </c>
      <c r="F567" s="83"/>
      <c r="G567" s="84"/>
      <c r="H567" s="84"/>
      <c r="I567" s="84"/>
      <c r="J567" s="84" t="n">
        <v>600</v>
      </c>
      <c r="K567" s="84" t="n">
        <f aca="false">30000+45000+5000</f>
        <v>80000</v>
      </c>
      <c r="L567" s="84" t="n">
        <v>-450</v>
      </c>
      <c r="M567" s="84"/>
      <c r="N567" s="84"/>
      <c r="O567" s="84" t="n">
        <f aca="false">-2000-1073</f>
        <v>-3073</v>
      </c>
      <c r="P567" s="84" t="n">
        <f aca="false">K567+SUM(L567:O567)</f>
        <v>76477</v>
      </c>
      <c r="Q567" s="84" t="n">
        <v>0</v>
      </c>
      <c r="R567" s="85" t="n">
        <f aca="false">Q567/$P567</f>
        <v>0</v>
      </c>
      <c r="S567" s="84" t="n">
        <v>54077.52</v>
      </c>
      <c r="T567" s="85" t="n">
        <f aca="false">S567/$P567</f>
        <v>0.707108280921061</v>
      </c>
      <c r="U567" s="84" t="n">
        <v>76476.28</v>
      </c>
      <c r="V567" s="85" t="n">
        <f aca="false">U567/$P567</f>
        <v>0.999990585404762</v>
      </c>
      <c r="W567" s="84" t="n">
        <v>76476.28</v>
      </c>
      <c r="X567" s="102" t="n">
        <f aca="false">W567/$P567</f>
        <v>0.999990585404762</v>
      </c>
      <c r="Y567" s="84"/>
      <c r="Z567" s="86"/>
    </row>
    <row r="568" customFormat="false" ht="12.8" hidden="true" customHeight="false" outlineLevel="0" collapsed="false">
      <c r="D568" s="29" t="s">
        <v>301</v>
      </c>
      <c r="E568" s="39" t="s">
        <v>302</v>
      </c>
      <c r="F568" s="16"/>
      <c r="G568" s="40" t="n">
        <v>10000</v>
      </c>
      <c r="H568" s="40"/>
      <c r="I568" s="40"/>
      <c r="J568" s="40"/>
      <c r="K568" s="40" t="n">
        <v>0</v>
      </c>
      <c r="L568" s="40"/>
      <c r="M568" s="40"/>
      <c r="N568" s="40"/>
      <c r="O568" s="40"/>
      <c r="P568" s="40" t="n">
        <f aca="false">K568+SUM(L568:O568)</f>
        <v>0</v>
      </c>
      <c r="Q568" s="40" t="n">
        <v>0</v>
      </c>
      <c r="R568" s="41" t="e">
        <f aca="false">Q568/$P568</f>
        <v>#DIV/0!</v>
      </c>
      <c r="S568" s="40" t="n">
        <v>0</v>
      </c>
      <c r="T568" s="41" t="e">
        <f aca="false">S568/$P568</f>
        <v>#DIV/0!</v>
      </c>
      <c r="U568" s="40" t="n">
        <v>0</v>
      </c>
      <c r="V568" s="41" t="e">
        <f aca="false">U568/$P568</f>
        <v>#DIV/0!</v>
      </c>
      <c r="W568" s="40" t="n">
        <v>0</v>
      </c>
      <c r="X568" s="42" t="e">
        <f aca="false">W568/$P568</f>
        <v>#DIV/0!</v>
      </c>
      <c r="Y568" s="84"/>
      <c r="Z568" s="86"/>
    </row>
    <row r="569" customFormat="false" ht="12.8" hidden="false" customHeight="false" outlineLevel="0" collapsed="false">
      <c r="D569" s="29" t="s">
        <v>301</v>
      </c>
      <c r="E569" s="122" t="s">
        <v>303</v>
      </c>
      <c r="F569" s="72"/>
      <c r="G569" s="72" t="n">
        <v>2933.84</v>
      </c>
      <c r="H569" s="72"/>
      <c r="I569" s="72"/>
      <c r="J569" s="72"/>
      <c r="K569" s="56" t="n">
        <v>6000</v>
      </c>
      <c r="L569" s="56"/>
      <c r="M569" s="56"/>
      <c r="N569" s="56"/>
      <c r="O569" s="56" t="n">
        <v>-1784</v>
      </c>
      <c r="P569" s="56" t="n">
        <f aca="false">K569+SUM(L569:O569)</f>
        <v>4216</v>
      </c>
      <c r="Q569" s="56" t="n">
        <v>0</v>
      </c>
      <c r="R569" s="57" t="n">
        <f aca="false">Q569/$P569</f>
        <v>0</v>
      </c>
      <c r="S569" s="56" t="n">
        <v>0</v>
      </c>
      <c r="T569" s="57" t="n">
        <f aca="false">S569/$P569</f>
        <v>0</v>
      </c>
      <c r="U569" s="56" t="n">
        <v>0</v>
      </c>
      <c r="V569" s="57" t="n">
        <f aca="false">U569/$P569</f>
        <v>0</v>
      </c>
      <c r="W569" s="56" t="n">
        <v>3178.2</v>
      </c>
      <c r="X569" s="58" t="n">
        <f aca="false">W569/$P569</f>
        <v>0.753842504743833</v>
      </c>
      <c r="Y569" s="83"/>
      <c r="Z569" s="123"/>
    </row>
    <row r="571" customFormat="false" ht="12.8" hidden="false" customHeight="false" outlineLevel="0" collapsed="false">
      <c r="D571" s="27" t="s">
        <v>304</v>
      </c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8"/>
      <c r="S571" s="27"/>
      <c r="T571" s="28"/>
      <c r="U571" s="27"/>
      <c r="V571" s="28"/>
      <c r="W571" s="27"/>
      <c r="X571" s="28"/>
      <c r="Y571" s="27"/>
      <c r="Z571" s="27"/>
    </row>
    <row r="572" customFormat="false" ht="12.8" hidden="false" customHeight="false" outlineLevel="0" collapsed="false">
      <c r="D572" s="116"/>
      <c r="E572" s="7"/>
      <c r="F572" s="7"/>
      <c r="G572" s="7" t="s">
        <v>1</v>
      </c>
      <c r="H572" s="7" t="s">
        <v>2</v>
      </c>
      <c r="I572" s="7" t="s">
        <v>3</v>
      </c>
      <c r="J572" s="7" t="s">
        <v>4</v>
      </c>
      <c r="K572" s="7" t="s">
        <v>5</v>
      </c>
      <c r="L572" s="7" t="s">
        <v>6</v>
      </c>
      <c r="M572" s="7" t="s">
        <v>7</v>
      </c>
      <c r="N572" s="7" t="s">
        <v>8</v>
      </c>
      <c r="O572" s="7" t="s">
        <v>9</v>
      </c>
      <c r="P572" s="7" t="s">
        <v>10</v>
      </c>
      <c r="Q572" s="7" t="s">
        <v>11</v>
      </c>
      <c r="R572" s="8" t="s">
        <v>12</v>
      </c>
      <c r="S572" s="7" t="s">
        <v>13</v>
      </c>
      <c r="T572" s="8" t="s">
        <v>14</v>
      </c>
      <c r="U572" s="7" t="s">
        <v>15</v>
      </c>
      <c r="V572" s="8" t="s">
        <v>16</v>
      </c>
      <c r="W572" s="7" t="s">
        <v>17</v>
      </c>
      <c r="X572" s="8" t="s">
        <v>18</v>
      </c>
      <c r="Y572" s="7" t="s">
        <v>19</v>
      </c>
      <c r="Z572" s="7" t="s">
        <v>20</v>
      </c>
    </row>
    <row r="573" customFormat="false" ht="12.8" hidden="false" customHeight="false" outlineLevel="0" collapsed="false">
      <c r="D573" s="117" t="s">
        <v>21</v>
      </c>
      <c r="E573" s="10" t="n">
        <v>111</v>
      </c>
      <c r="F573" s="10" t="s">
        <v>130</v>
      </c>
      <c r="G573" s="11" t="n">
        <f aca="false">SUM(G577:G577)</f>
        <v>0</v>
      </c>
      <c r="H573" s="11" t="n">
        <f aca="false">SUM(H577:H580)</f>
        <v>0</v>
      </c>
      <c r="I573" s="11" t="n">
        <v>0</v>
      </c>
      <c r="J573" s="11" t="n">
        <v>0</v>
      </c>
      <c r="K573" s="11" t="n">
        <v>10000</v>
      </c>
      <c r="L573" s="11"/>
      <c r="M573" s="11" t="n">
        <v>-10000</v>
      </c>
      <c r="N573" s="11"/>
      <c r="O573" s="11"/>
      <c r="P573" s="11" t="n">
        <f aca="false">K573+SUM(L573:O573)</f>
        <v>0</v>
      </c>
      <c r="Q573" s="11" t="n">
        <v>0</v>
      </c>
      <c r="R573" s="12" t="e">
        <f aca="false">Q573/$P573</f>
        <v>#DIV/0!</v>
      </c>
      <c r="S573" s="11" t="n">
        <v>0</v>
      </c>
      <c r="T573" s="12" t="e">
        <f aca="false">S573/$P573</f>
        <v>#DIV/0!</v>
      </c>
      <c r="U573" s="11" t="n">
        <v>0</v>
      </c>
      <c r="V573" s="12" t="e">
        <f aca="false">U573/$P573</f>
        <v>#DIV/0!</v>
      </c>
      <c r="W573" s="11" t="n">
        <v>0</v>
      </c>
      <c r="X573" s="12" t="e">
        <f aca="false">W573/$P573</f>
        <v>#DIV/0!</v>
      </c>
      <c r="Y573" s="11" t="n">
        <f aca="false">SUM(Y577:Y577)</f>
        <v>0</v>
      </c>
      <c r="Z573" s="11" t="n">
        <f aca="false">SUM(Z577:Z577)</f>
        <v>0</v>
      </c>
    </row>
    <row r="574" customFormat="false" ht="12.8" hidden="false" customHeight="false" outlineLevel="0" collapsed="false">
      <c r="A574" s="1" t="n">
        <v>8</v>
      </c>
      <c r="B574" s="1" t="n">
        <v>6</v>
      </c>
      <c r="D574" s="117" t="s">
        <v>21</v>
      </c>
      <c r="E574" s="10" t="n">
        <v>41</v>
      </c>
      <c r="F574" s="10" t="s">
        <v>23</v>
      </c>
      <c r="G574" s="11" t="n">
        <f aca="false">SUM(G578:G578)</f>
        <v>400</v>
      </c>
      <c r="H574" s="11" t="n">
        <f aca="false">SUM(H578:H581)</f>
        <v>0</v>
      </c>
      <c r="I574" s="11" t="n">
        <f aca="false">SUM(I578:I581)</f>
        <v>55000</v>
      </c>
      <c r="J574" s="11" t="n">
        <f aca="false">SUM(J578:J581)</f>
        <v>4950</v>
      </c>
      <c r="K574" s="11" t="n">
        <f aca="false">SUM(K578:K581)-K573</f>
        <v>90000</v>
      </c>
      <c r="L574" s="11" t="n">
        <f aca="false">SUM(L578:L581)-L573</f>
        <v>0</v>
      </c>
      <c r="M574" s="11" t="n">
        <f aca="false">SUM(M578:M581)-M573</f>
        <v>10000</v>
      </c>
      <c r="N574" s="11" t="n">
        <f aca="false">SUM(N578:N581)-N573</f>
        <v>0</v>
      </c>
      <c r="O574" s="11" t="n">
        <f aca="false">SUM(O578:O581)-O573</f>
        <v>-4000</v>
      </c>
      <c r="P574" s="11" t="n">
        <f aca="false">SUM(P578:P581)-P573</f>
        <v>96000</v>
      </c>
      <c r="Q574" s="11" t="n">
        <f aca="false">SUM(Q578:Q581)-Q573</f>
        <v>230</v>
      </c>
      <c r="R574" s="12" t="n">
        <f aca="false">Q574/$P574</f>
        <v>0.00239583333333333</v>
      </c>
      <c r="S574" s="11" t="n">
        <f aca="false">SUM(S578:S581)-S573</f>
        <v>272.68</v>
      </c>
      <c r="T574" s="12" t="n">
        <f aca="false">S574/$P574</f>
        <v>0.00284041666666667</v>
      </c>
      <c r="U574" s="11" t="n">
        <f aca="false">SUM(U578:U581)-U573</f>
        <v>76200.9</v>
      </c>
      <c r="V574" s="12" t="n">
        <f aca="false">U574/$P574</f>
        <v>0.793759375</v>
      </c>
      <c r="W574" s="11" t="n">
        <f aca="false">SUM(W578:W581)-W573</f>
        <v>88047.66</v>
      </c>
      <c r="X574" s="12" t="n">
        <f aca="false">W574/$P574</f>
        <v>0.917163125</v>
      </c>
      <c r="Y574" s="11" t="n">
        <f aca="false">SUM(Y578:Y578)</f>
        <v>0</v>
      </c>
      <c r="Z574" s="11" t="n">
        <f aca="false">SUM(Z578:Z578)</f>
        <v>0</v>
      </c>
    </row>
    <row r="575" customFormat="false" ht="12.8" hidden="false" customHeight="false" outlineLevel="0" collapsed="false">
      <c r="A575" s="1" t="n">
        <v>8</v>
      </c>
      <c r="B575" s="1" t="n">
        <v>6</v>
      </c>
      <c r="D575" s="16"/>
      <c r="E575" s="17"/>
      <c r="F575" s="13" t="s">
        <v>119</v>
      </c>
      <c r="G575" s="14" t="n">
        <f aca="false">SUM(G573:G574)</f>
        <v>400</v>
      </c>
      <c r="H575" s="14" t="n">
        <f aca="false">SUM(H573:H574)</f>
        <v>0</v>
      </c>
      <c r="I575" s="14" t="n">
        <f aca="false">SUM(I573:I574)</f>
        <v>55000</v>
      </c>
      <c r="J575" s="14" t="n">
        <f aca="false">SUM(J573:J574)</f>
        <v>4950</v>
      </c>
      <c r="K575" s="14" t="n">
        <f aca="false">SUM(K573:K574)</f>
        <v>100000</v>
      </c>
      <c r="L575" s="14" t="n">
        <f aca="false">SUM(L573:L574)</f>
        <v>0</v>
      </c>
      <c r="M575" s="14" t="n">
        <f aca="false">SUM(M573:M574)</f>
        <v>0</v>
      </c>
      <c r="N575" s="14" t="n">
        <f aca="false">SUM(N573:N574)</f>
        <v>0</v>
      </c>
      <c r="O575" s="14" t="n">
        <f aca="false">SUM(O573:O574)</f>
        <v>-4000</v>
      </c>
      <c r="P575" s="14" t="n">
        <f aca="false">SUM(P573:P574)</f>
        <v>96000</v>
      </c>
      <c r="Q575" s="14" t="n">
        <f aca="false">SUM(Q573:Q574)</f>
        <v>230</v>
      </c>
      <c r="R575" s="15" t="n">
        <f aca="false">Q575/$P575</f>
        <v>0.00239583333333333</v>
      </c>
      <c r="S575" s="14" t="n">
        <f aca="false">SUM(S573:S574)</f>
        <v>272.68</v>
      </c>
      <c r="T575" s="15" t="n">
        <f aca="false">S575/$P575</f>
        <v>0.00284041666666667</v>
      </c>
      <c r="U575" s="14" t="n">
        <f aca="false">SUM(U573:U574)</f>
        <v>76200.9</v>
      </c>
      <c r="V575" s="15" t="n">
        <f aca="false">U575/$P575</f>
        <v>0.793759375</v>
      </c>
      <c r="W575" s="14" t="n">
        <f aca="false">SUM(W573:W574)</f>
        <v>88047.66</v>
      </c>
      <c r="X575" s="15" t="n">
        <f aca="false">W575/$P575</f>
        <v>0.917163125</v>
      </c>
      <c r="Y575" s="14" t="n">
        <f aca="false">SUM(Y573:Y574)</f>
        <v>0</v>
      </c>
      <c r="Z575" s="14" t="n">
        <f aca="false">SUM(Z573:Z574)</f>
        <v>0</v>
      </c>
    </row>
    <row r="577" customFormat="false" ht="12.8" hidden="false" customHeight="false" outlineLevel="0" collapsed="false">
      <c r="D577" s="1" t="s">
        <v>57</v>
      </c>
    </row>
    <row r="578" customFormat="false" ht="12.8" hidden="true" customHeight="false" outlineLevel="0" collapsed="false">
      <c r="D578" s="29" t="s">
        <v>305</v>
      </c>
      <c r="E578" s="39" t="s">
        <v>306</v>
      </c>
      <c r="F578" s="16"/>
      <c r="G578" s="40" t="n">
        <v>400</v>
      </c>
      <c r="H578" s="40" t="n">
        <v>0</v>
      </c>
      <c r="I578" s="40" t="n">
        <v>5000</v>
      </c>
      <c r="J578" s="40" t="n">
        <v>4950</v>
      </c>
      <c r="K578" s="40"/>
      <c r="L578" s="40"/>
      <c r="M578" s="40"/>
      <c r="N578" s="40"/>
      <c r="O578" s="40"/>
      <c r="P578" s="40" t="n">
        <f aca="false">K578+SUM(L578:O578)</f>
        <v>0</v>
      </c>
      <c r="Q578" s="40"/>
      <c r="R578" s="41" t="e">
        <f aca="false">Q578/$P578</f>
        <v>#DIV/0!</v>
      </c>
      <c r="S578" s="40"/>
      <c r="T578" s="41" t="e">
        <f aca="false">S578/$P578</f>
        <v>#DIV/0!</v>
      </c>
      <c r="U578" s="40"/>
      <c r="V578" s="41" t="e">
        <f aca="false">U578/$P578</f>
        <v>#DIV/0!</v>
      </c>
      <c r="W578" s="40"/>
      <c r="X578" s="41" t="e">
        <f aca="false">W578/$P578</f>
        <v>#DIV/0!</v>
      </c>
      <c r="Y578" s="84"/>
      <c r="Z578" s="86"/>
    </row>
    <row r="579" customFormat="false" ht="12.8" hidden="true" customHeight="false" outlineLevel="0" collapsed="false">
      <c r="D579" s="29"/>
      <c r="E579" s="45" t="s">
        <v>307</v>
      </c>
      <c r="F579" s="88"/>
      <c r="G579" s="89"/>
      <c r="H579" s="89"/>
      <c r="I579" s="89" t="n">
        <v>20000</v>
      </c>
      <c r="J579" s="89"/>
      <c r="K579" s="89"/>
      <c r="L579" s="89"/>
      <c r="M579" s="89"/>
      <c r="N579" s="89"/>
      <c r="O579" s="89"/>
      <c r="P579" s="89" t="n">
        <f aca="false">K579+SUM(L579:O579)</f>
        <v>0</v>
      </c>
      <c r="Q579" s="89"/>
      <c r="R579" s="90" t="e">
        <f aca="false">Q579/$P579</f>
        <v>#DIV/0!</v>
      </c>
      <c r="S579" s="89"/>
      <c r="T579" s="90" t="e">
        <f aca="false">S579/$P579</f>
        <v>#DIV/0!</v>
      </c>
      <c r="U579" s="89"/>
      <c r="V579" s="90" t="e">
        <f aca="false">U579/$P579</f>
        <v>#DIV/0!</v>
      </c>
      <c r="W579" s="89"/>
      <c r="X579" s="90" t="e">
        <f aca="false">W579/$P579</f>
        <v>#DIV/0!</v>
      </c>
      <c r="Y579" s="84"/>
      <c r="Z579" s="86"/>
    </row>
    <row r="580" customFormat="false" ht="12.8" hidden="true" customHeight="false" outlineLevel="0" collapsed="false">
      <c r="D580" s="29"/>
      <c r="E580" s="45" t="s">
        <v>308</v>
      </c>
      <c r="F580" s="88"/>
      <c r="G580" s="89"/>
      <c r="H580" s="89"/>
      <c r="I580" s="89" t="n">
        <v>20000</v>
      </c>
      <c r="J580" s="89"/>
      <c r="K580" s="89"/>
      <c r="L580" s="89"/>
      <c r="M580" s="89"/>
      <c r="N580" s="89"/>
      <c r="O580" s="89"/>
      <c r="P580" s="89" t="n">
        <f aca="false">K580+SUM(L580:O580)</f>
        <v>0</v>
      </c>
      <c r="Q580" s="89"/>
      <c r="R580" s="90" t="e">
        <f aca="false">Q580/$P580</f>
        <v>#DIV/0!</v>
      </c>
      <c r="S580" s="89"/>
      <c r="T580" s="90" t="e">
        <f aca="false">S580/$P580</f>
        <v>#DIV/0!</v>
      </c>
      <c r="U580" s="89"/>
      <c r="V580" s="90" t="e">
        <f aca="false">U580/$P580</f>
        <v>#DIV/0!</v>
      </c>
      <c r="W580" s="89"/>
      <c r="X580" s="90" t="e">
        <f aca="false">W580/$P580</f>
        <v>#DIV/0!</v>
      </c>
      <c r="Y580" s="84"/>
      <c r="Z580" s="86"/>
    </row>
    <row r="581" customFormat="false" ht="12.8" hidden="false" customHeight="false" outlineLevel="0" collapsed="false">
      <c r="D581" s="29" t="s">
        <v>305</v>
      </c>
      <c r="E581" s="82" t="s">
        <v>309</v>
      </c>
      <c r="F581" s="83"/>
      <c r="G581" s="84"/>
      <c r="H581" s="84" t="n">
        <v>0</v>
      </c>
      <c r="I581" s="84" t="n">
        <v>10000</v>
      </c>
      <c r="J581" s="84"/>
      <c r="K581" s="84" t="n">
        <v>100000</v>
      </c>
      <c r="L581" s="84"/>
      <c r="M581" s="84" t="n">
        <f aca="false">+10000-10000</f>
        <v>0</v>
      </c>
      <c r="N581" s="84"/>
      <c r="O581" s="84" t="n">
        <f aca="false">-2000-2000</f>
        <v>-4000</v>
      </c>
      <c r="P581" s="84" t="n">
        <f aca="false">K581+SUM(L581:O581)</f>
        <v>96000</v>
      </c>
      <c r="Q581" s="84" t="n">
        <v>230</v>
      </c>
      <c r="R581" s="85" t="n">
        <f aca="false">Q581/$P581</f>
        <v>0.00239583333333333</v>
      </c>
      <c r="S581" s="84" t="n">
        <v>272.68</v>
      </c>
      <c r="T581" s="85" t="n">
        <f aca="false">S581/$P581</f>
        <v>0.00284041666666667</v>
      </c>
      <c r="U581" s="84" t="n">
        <v>76200.9</v>
      </c>
      <c r="V581" s="85" t="n">
        <f aca="false">U581/$P581</f>
        <v>0.793759375</v>
      </c>
      <c r="W581" s="84" t="n">
        <v>88047.66</v>
      </c>
      <c r="X581" s="102" t="n">
        <f aca="false">W581/$P581</f>
        <v>0.917163125</v>
      </c>
      <c r="Y581" s="84"/>
      <c r="Z581" s="86"/>
    </row>
    <row r="583" customFormat="false" ht="12.8" hidden="false" customHeight="false" outlineLevel="0" collapsed="false">
      <c r="D583" s="27" t="s">
        <v>310</v>
      </c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8"/>
      <c r="S583" s="27"/>
      <c r="T583" s="28"/>
      <c r="U583" s="27"/>
      <c r="V583" s="28"/>
      <c r="W583" s="27"/>
      <c r="X583" s="28"/>
      <c r="Y583" s="27"/>
      <c r="Z583" s="27"/>
    </row>
    <row r="584" customFormat="false" ht="12.8" hidden="false" customHeight="false" outlineLevel="0" collapsed="false">
      <c r="D584" s="116"/>
      <c r="E584" s="7"/>
      <c r="F584" s="7"/>
      <c r="G584" s="7" t="s">
        <v>1</v>
      </c>
      <c r="H584" s="7" t="s">
        <v>2</v>
      </c>
      <c r="I584" s="7" t="s">
        <v>3</v>
      </c>
      <c r="J584" s="7" t="s">
        <v>4</v>
      </c>
      <c r="K584" s="7" t="s">
        <v>5</v>
      </c>
      <c r="L584" s="7" t="s">
        <v>6</v>
      </c>
      <c r="M584" s="7" t="s">
        <v>7</v>
      </c>
      <c r="N584" s="7" t="s">
        <v>8</v>
      </c>
      <c r="O584" s="7" t="s">
        <v>9</v>
      </c>
      <c r="P584" s="7" t="s">
        <v>10</v>
      </c>
      <c r="Q584" s="7" t="s">
        <v>11</v>
      </c>
      <c r="R584" s="8" t="s">
        <v>12</v>
      </c>
      <c r="S584" s="7" t="s">
        <v>13</v>
      </c>
      <c r="T584" s="8" t="s">
        <v>14</v>
      </c>
      <c r="U584" s="7" t="s">
        <v>15</v>
      </c>
      <c r="V584" s="8" t="s">
        <v>16</v>
      </c>
      <c r="W584" s="7" t="s">
        <v>17</v>
      </c>
      <c r="X584" s="8" t="s">
        <v>18</v>
      </c>
      <c r="Y584" s="7" t="s">
        <v>19</v>
      </c>
      <c r="Z584" s="7" t="s">
        <v>20</v>
      </c>
    </row>
    <row r="585" customFormat="false" ht="12.8" hidden="false" customHeight="false" outlineLevel="0" collapsed="false">
      <c r="A585" s="1" t="n">
        <v>8</v>
      </c>
      <c r="B585" s="1" t="n">
        <v>7</v>
      </c>
      <c r="D585" s="29" t="s">
        <v>21</v>
      </c>
      <c r="E585" s="10" t="n">
        <v>111</v>
      </c>
      <c r="F585" s="10" t="s">
        <v>47</v>
      </c>
      <c r="G585" s="11" t="n">
        <v>0</v>
      </c>
      <c r="H585" s="11" t="n">
        <v>0</v>
      </c>
      <c r="I585" s="11" t="n">
        <v>200000</v>
      </c>
      <c r="J585" s="11" t="n">
        <v>0</v>
      </c>
      <c r="K585" s="11" t="n">
        <v>0</v>
      </c>
      <c r="L585" s="11"/>
      <c r="M585" s="11"/>
      <c r="N585" s="11"/>
      <c r="O585" s="11"/>
      <c r="P585" s="11" t="n">
        <f aca="false">K585+SUM(L585:O585)</f>
        <v>0</v>
      </c>
      <c r="Q585" s="11" t="n">
        <v>0</v>
      </c>
      <c r="R585" s="12" t="e">
        <f aca="false">Q585/$P585</f>
        <v>#DIV/0!</v>
      </c>
      <c r="S585" s="11" t="n">
        <v>0</v>
      </c>
      <c r="T585" s="12" t="e">
        <f aca="false">S585/$P585</f>
        <v>#DIV/0!</v>
      </c>
      <c r="U585" s="11" t="n">
        <v>0</v>
      </c>
      <c r="V585" s="12" t="e">
        <f aca="false">U585/$P585</f>
        <v>#DIV/0!</v>
      </c>
      <c r="W585" s="11" t="n">
        <v>0</v>
      </c>
      <c r="X585" s="12" t="e">
        <f aca="false">W585/$P585</f>
        <v>#DIV/0!</v>
      </c>
      <c r="Y585" s="11" t="n">
        <v>0</v>
      </c>
      <c r="Z585" s="11" t="n">
        <v>0</v>
      </c>
    </row>
    <row r="586" customFormat="false" ht="12.8" hidden="false" customHeight="false" outlineLevel="0" collapsed="false">
      <c r="A586" s="1" t="n">
        <v>8</v>
      </c>
      <c r="B586" s="1" t="n">
        <v>7</v>
      </c>
      <c r="D586" s="29"/>
      <c r="E586" s="10" t="n">
        <v>41</v>
      </c>
      <c r="F586" s="10" t="s">
        <v>23</v>
      </c>
      <c r="G586" s="11" t="n">
        <f aca="false">G590+G591</f>
        <v>3534.61</v>
      </c>
      <c r="H586" s="11" t="n">
        <f aca="false">SUM(H590:H593)</f>
        <v>20971.71</v>
      </c>
      <c r="I586" s="11" t="n">
        <f aca="false">SUM(I590:I593)-I585</f>
        <v>15000</v>
      </c>
      <c r="J586" s="11" t="n">
        <f aca="false">SUM(J590:J593)</f>
        <v>0</v>
      </c>
      <c r="K586" s="11" t="n">
        <f aca="false">SUM(K590:K593)-K585</f>
        <v>0</v>
      </c>
      <c r="L586" s="11" t="n">
        <f aca="false">SUM(L590:L593)-L585</f>
        <v>0</v>
      </c>
      <c r="M586" s="11" t="n">
        <f aca="false">SUM(M590:M593)-M585</f>
        <v>0</v>
      </c>
      <c r="N586" s="11" t="n">
        <f aca="false">SUM(N590:N593)-N585</f>
        <v>0</v>
      </c>
      <c r="O586" s="11" t="n">
        <f aca="false">SUM(O590:O593)-O585</f>
        <v>0</v>
      </c>
      <c r="P586" s="11" t="n">
        <f aca="false">SUM(P590:P593)-P585</f>
        <v>0</v>
      </c>
      <c r="Q586" s="11" t="n">
        <f aca="false">SUM(Q590:Q593)-Q585</f>
        <v>0</v>
      </c>
      <c r="R586" s="12" t="e">
        <f aca="false">Q586/$P586</f>
        <v>#DIV/0!</v>
      </c>
      <c r="S586" s="11" t="n">
        <f aca="false">SUM(S590:S593)-S585</f>
        <v>0</v>
      </c>
      <c r="T586" s="12" t="e">
        <f aca="false">S586/$P586</f>
        <v>#DIV/0!</v>
      </c>
      <c r="U586" s="11" t="n">
        <f aca="false">SUM(U590:U593)-U585</f>
        <v>0</v>
      </c>
      <c r="V586" s="12" t="e">
        <f aca="false">U586/$P586</f>
        <v>#DIV/0!</v>
      </c>
      <c r="W586" s="11" t="n">
        <f aca="false">SUM(W590:W593)-W585</f>
        <v>0</v>
      </c>
      <c r="X586" s="12" t="e">
        <f aca="false">W586/$P586</f>
        <v>#DIV/0!</v>
      </c>
      <c r="Y586" s="11" t="n">
        <f aca="false">SUM(Y590:Y593)</f>
        <v>0</v>
      </c>
      <c r="Z586" s="11" t="n">
        <f aca="false">SUM(Z590:Z593)</f>
        <v>0</v>
      </c>
    </row>
    <row r="587" customFormat="false" ht="12.8" hidden="false" customHeight="false" outlineLevel="0" collapsed="false">
      <c r="A587" s="1" t="n">
        <v>8</v>
      </c>
      <c r="B587" s="1" t="n">
        <v>7</v>
      </c>
      <c r="D587" s="16"/>
      <c r="E587" s="17"/>
      <c r="F587" s="13" t="s">
        <v>119</v>
      </c>
      <c r="G587" s="14" t="n">
        <f aca="false">SUM(G585:G586)</f>
        <v>3534.61</v>
      </c>
      <c r="H587" s="14" t="n">
        <f aca="false">SUM(H585:H586)</f>
        <v>20971.71</v>
      </c>
      <c r="I587" s="14" t="n">
        <f aca="false">SUM(I585:I586)</f>
        <v>215000</v>
      </c>
      <c r="J587" s="14" t="n">
        <f aca="false">SUM(J585:J586)</f>
        <v>0</v>
      </c>
      <c r="K587" s="14" t="n">
        <f aca="false">SUM(K585:K586)</f>
        <v>0</v>
      </c>
      <c r="L587" s="14" t="n">
        <f aca="false">SUM(L585:L586)</f>
        <v>0</v>
      </c>
      <c r="M587" s="14" t="n">
        <f aca="false">SUM(M585:M586)</f>
        <v>0</v>
      </c>
      <c r="N587" s="14" t="n">
        <f aca="false">SUM(N585:N586)</f>
        <v>0</v>
      </c>
      <c r="O587" s="14" t="n">
        <f aca="false">SUM(O585:O586)</f>
        <v>0</v>
      </c>
      <c r="P587" s="14" t="n">
        <f aca="false">SUM(P585:P586)</f>
        <v>0</v>
      </c>
      <c r="Q587" s="14" t="n">
        <f aca="false">SUM(Q585:Q586)</f>
        <v>0</v>
      </c>
      <c r="R587" s="15" t="e">
        <f aca="false">Q587/$P587</f>
        <v>#DIV/0!</v>
      </c>
      <c r="S587" s="14" t="n">
        <f aca="false">SUM(S585:S586)</f>
        <v>0</v>
      </c>
      <c r="T587" s="15" t="e">
        <f aca="false">S587/$P587</f>
        <v>#DIV/0!</v>
      </c>
      <c r="U587" s="14" t="n">
        <f aca="false">SUM(U585:U586)</f>
        <v>0</v>
      </c>
      <c r="V587" s="15" t="e">
        <f aca="false">U587/$P587</f>
        <v>#DIV/0!</v>
      </c>
      <c r="W587" s="14" t="n">
        <f aca="false">SUM(W585:W586)</f>
        <v>0</v>
      </c>
      <c r="X587" s="15" t="e">
        <f aca="false">W587/$P587</f>
        <v>#DIV/0!</v>
      </c>
      <c r="Y587" s="14" t="n">
        <f aca="false">SUM(Y585:Y586)</f>
        <v>0</v>
      </c>
      <c r="Z587" s="14" t="n">
        <f aca="false">SUM(Z585:Z586)</f>
        <v>0</v>
      </c>
    </row>
    <row r="588" customFormat="false" ht="12.8" hidden="true" customHeight="false" outlineLevel="0" collapsed="false"/>
    <row r="589" customFormat="false" ht="12.8" hidden="true" customHeight="false" outlineLevel="0" collapsed="false">
      <c r="D589" s="1" t="s">
        <v>57</v>
      </c>
    </row>
    <row r="590" customFormat="false" ht="12.8" hidden="true" customHeight="false" outlineLevel="0" collapsed="false">
      <c r="D590" s="29" t="s">
        <v>311</v>
      </c>
      <c r="E590" s="39" t="s">
        <v>312</v>
      </c>
      <c r="F590" s="16"/>
      <c r="G590" s="40" t="n">
        <v>2534.61</v>
      </c>
      <c r="H590" s="40" t="n">
        <v>2588.41</v>
      </c>
      <c r="I590" s="40"/>
      <c r="J590" s="40"/>
      <c r="K590" s="40"/>
      <c r="L590" s="40"/>
      <c r="M590" s="40"/>
      <c r="N590" s="40"/>
      <c r="O590" s="40"/>
      <c r="P590" s="40" t="n">
        <f aca="false">K590+SUM(L590:O590)</f>
        <v>0</v>
      </c>
      <c r="Q590" s="40"/>
      <c r="R590" s="41" t="e">
        <f aca="false">Q590/$P590</f>
        <v>#DIV/0!</v>
      </c>
      <c r="S590" s="40"/>
      <c r="T590" s="41" t="e">
        <f aca="false">S590/$P590</f>
        <v>#DIV/0!</v>
      </c>
      <c r="U590" s="40"/>
      <c r="V590" s="41" t="e">
        <f aca="false">U590/$P590</f>
        <v>#DIV/0!</v>
      </c>
      <c r="W590" s="40"/>
      <c r="X590" s="41" t="e">
        <f aca="false">W590/$P590</f>
        <v>#DIV/0!</v>
      </c>
      <c r="Y590" s="84"/>
      <c r="Z590" s="86"/>
    </row>
    <row r="591" customFormat="false" ht="12.8" hidden="true" customHeight="false" outlineLevel="0" collapsed="false">
      <c r="D591" s="29"/>
      <c r="E591" s="45" t="s">
        <v>313</v>
      </c>
      <c r="F591" s="88"/>
      <c r="G591" s="89" t="n">
        <v>1000</v>
      </c>
      <c r="H591" s="89"/>
      <c r="I591" s="89"/>
      <c r="J591" s="89"/>
      <c r="K591" s="113"/>
      <c r="L591" s="89"/>
      <c r="M591" s="89"/>
      <c r="N591" s="89"/>
      <c r="O591" s="89"/>
      <c r="P591" s="89" t="n">
        <f aca="false">K591+SUM(L591:O591)</f>
        <v>0</v>
      </c>
      <c r="Q591" s="89"/>
      <c r="R591" s="90" t="e">
        <f aca="false">Q591/$P591</f>
        <v>#DIV/0!</v>
      </c>
      <c r="S591" s="89"/>
      <c r="T591" s="90" t="e">
        <f aca="false">S591/$P591</f>
        <v>#DIV/0!</v>
      </c>
      <c r="U591" s="89"/>
      <c r="V591" s="90" t="e">
        <f aca="false">U591/$P591</f>
        <v>#DIV/0!</v>
      </c>
      <c r="W591" s="89"/>
      <c r="X591" s="90" t="e">
        <f aca="false">W591/$P591</f>
        <v>#DIV/0!</v>
      </c>
      <c r="Y591" s="84"/>
      <c r="Z591" s="86"/>
    </row>
    <row r="592" customFormat="false" ht="12.8" hidden="true" customHeight="false" outlineLevel="0" collapsed="false">
      <c r="D592" s="29"/>
      <c r="E592" s="45" t="s">
        <v>314</v>
      </c>
      <c r="F592" s="88"/>
      <c r="G592" s="89"/>
      <c r="H592" s="89"/>
      <c r="I592" s="113" t="n">
        <f aca="false">200000+10000+5000</f>
        <v>215000</v>
      </c>
      <c r="J592" s="89"/>
      <c r="K592" s="113"/>
      <c r="L592" s="113"/>
      <c r="M592" s="113"/>
      <c r="N592" s="113"/>
      <c r="O592" s="113"/>
      <c r="P592" s="113" t="n">
        <f aca="false">K592+SUM(L592:O592)</f>
        <v>0</v>
      </c>
      <c r="Q592" s="113"/>
      <c r="R592" s="124" t="e">
        <f aca="false">Q592/$P592</f>
        <v>#DIV/0!</v>
      </c>
      <c r="S592" s="113"/>
      <c r="T592" s="124" t="e">
        <f aca="false">S592/$P592</f>
        <v>#DIV/0!</v>
      </c>
      <c r="U592" s="113"/>
      <c r="V592" s="124" t="e">
        <f aca="false">U592/$P592</f>
        <v>#DIV/0!</v>
      </c>
      <c r="W592" s="113"/>
      <c r="X592" s="124" t="e">
        <f aca="false">W592/$P592</f>
        <v>#DIV/0!</v>
      </c>
      <c r="Y592" s="84"/>
      <c r="Z592" s="86"/>
      <c r="AB592" s="125"/>
    </row>
    <row r="593" customFormat="false" ht="12.8" hidden="true" customHeight="false" outlineLevel="0" collapsed="false">
      <c r="D593" s="29"/>
      <c r="E593" s="54" t="s">
        <v>315</v>
      </c>
      <c r="F593" s="72"/>
      <c r="G593" s="56"/>
      <c r="H593" s="56" t="n">
        <v>18383.3</v>
      </c>
      <c r="I593" s="56"/>
      <c r="J593" s="56"/>
      <c r="K593" s="56"/>
      <c r="L593" s="56"/>
      <c r="M593" s="56"/>
      <c r="N593" s="56"/>
      <c r="O593" s="56"/>
      <c r="P593" s="56" t="n">
        <f aca="false">K593+SUM(L593:O593)</f>
        <v>0</v>
      </c>
      <c r="Q593" s="56"/>
      <c r="R593" s="57" t="e">
        <f aca="false">Q593/$P593</f>
        <v>#DIV/0!</v>
      </c>
      <c r="S593" s="56"/>
      <c r="T593" s="57" t="e">
        <f aca="false">S593/$P593</f>
        <v>#DIV/0!</v>
      </c>
      <c r="U593" s="56"/>
      <c r="V593" s="57" t="e">
        <f aca="false">U593/$P593</f>
        <v>#DIV/0!</v>
      </c>
      <c r="W593" s="56"/>
      <c r="X593" s="57" t="e">
        <f aca="false">W593/$P593</f>
        <v>#DIV/0!</v>
      </c>
      <c r="Y593" s="84"/>
      <c r="Z593" s="86"/>
    </row>
    <row r="595" customFormat="false" ht="12.8" hidden="false" customHeight="false" outlineLevel="0" collapsed="false">
      <c r="D595" s="27" t="s">
        <v>316</v>
      </c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8"/>
      <c r="S595" s="27"/>
      <c r="T595" s="28"/>
      <c r="U595" s="27"/>
      <c r="V595" s="28"/>
      <c r="W595" s="27"/>
      <c r="X595" s="28"/>
      <c r="Y595" s="27"/>
      <c r="Z595" s="27"/>
    </row>
    <row r="596" customFormat="false" ht="12.8" hidden="false" customHeight="false" outlineLevel="0" collapsed="false">
      <c r="D596" s="116"/>
      <c r="E596" s="7"/>
      <c r="F596" s="7"/>
      <c r="G596" s="7" t="s">
        <v>1</v>
      </c>
      <c r="H596" s="7" t="s">
        <v>2</v>
      </c>
      <c r="I596" s="7" t="s">
        <v>3</v>
      </c>
      <c r="J596" s="7" t="s">
        <v>4</v>
      </c>
      <c r="K596" s="7" t="s">
        <v>5</v>
      </c>
      <c r="L596" s="7" t="s">
        <v>6</v>
      </c>
      <c r="M596" s="7" t="s">
        <v>7</v>
      </c>
      <c r="N596" s="7" t="s">
        <v>8</v>
      </c>
      <c r="O596" s="7" t="s">
        <v>9</v>
      </c>
      <c r="P596" s="7" t="s">
        <v>10</v>
      </c>
      <c r="Q596" s="7" t="s">
        <v>11</v>
      </c>
      <c r="R596" s="8" t="s">
        <v>12</v>
      </c>
      <c r="S596" s="7" t="s">
        <v>13</v>
      </c>
      <c r="T596" s="8" t="s">
        <v>14</v>
      </c>
      <c r="U596" s="7" t="s">
        <v>15</v>
      </c>
      <c r="V596" s="8" t="s">
        <v>16</v>
      </c>
      <c r="W596" s="7" t="s">
        <v>17</v>
      </c>
      <c r="X596" s="8" t="s">
        <v>18</v>
      </c>
      <c r="Y596" s="7" t="s">
        <v>19</v>
      </c>
      <c r="Z596" s="7" t="s">
        <v>20</v>
      </c>
    </row>
    <row r="597" customFormat="false" ht="12.8" hidden="false" customHeight="false" outlineLevel="0" collapsed="false">
      <c r="A597" s="1" t="n">
        <v>8</v>
      </c>
      <c r="B597" s="1" t="n">
        <v>8</v>
      </c>
      <c r="D597" s="108" t="s">
        <v>21</v>
      </c>
      <c r="E597" s="10" t="n">
        <v>41</v>
      </c>
      <c r="F597" s="10" t="s">
        <v>23</v>
      </c>
      <c r="G597" s="11" t="n">
        <f aca="false">G601</f>
        <v>435.1</v>
      </c>
      <c r="H597" s="11" t="n">
        <f aca="false">H601</f>
        <v>3120</v>
      </c>
      <c r="I597" s="11" t="n">
        <f aca="false">I601</f>
        <v>10000</v>
      </c>
      <c r="J597" s="11" t="n">
        <f aca="false">J601</f>
        <v>0</v>
      </c>
      <c r="K597" s="11" t="n">
        <f aca="false">K601</f>
        <v>10000</v>
      </c>
      <c r="L597" s="11" t="n">
        <f aca="false">L601</f>
        <v>0</v>
      </c>
      <c r="M597" s="11" t="n">
        <f aca="false">M601</f>
        <v>-10000</v>
      </c>
      <c r="N597" s="11" t="n">
        <f aca="false">N601</f>
        <v>0</v>
      </c>
      <c r="O597" s="11" t="n">
        <f aca="false">O601</f>
        <v>0</v>
      </c>
      <c r="P597" s="11" t="n">
        <f aca="false">P601</f>
        <v>0</v>
      </c>
      <c r="Q597" s="11" t="n">
        <f aca="false">Q601</f>
        <v>0</v>
      </c>
      <c r="R597" s="12" t="e">
        <f aca="false">Q597/$P597</f>
        <v>#DIV/0!</v>
      </c>
      <c r="S597" s="11" t="n">
        <f aca="false">S601</f>
        <v>0</v>
      </c>
      <c r="T597" s="12" t="e">
        <f aca="false">S597/$P597</f>
        <v>#DIV/0!</v>
      </c>
      <c r="U597" s="11" t="n">
        <f aca="false">U601</f>
        <v>0</v>
      </c>
      <c r="V597" s="12" t="e">
        <f aca="false">U597/$P597</f>
        <v>#DIV/0!</v>
      </c>
      <c r="W597" s="11" t="n">
        <f aca="false">W601</f>
        <v>0</v>
      </c>
      <c r="X597" s="12" t="e">
        <f aca="false">W597/$P597</f>
        <v>#DIV/0!</v>
      </c>
      <c r="Y597" s="11" t="n">
        <f aca="false">Y601</f>
        <v>0</v>
      </c>
      <c r="Z597" s="11" t="n">
        <f aca="false">Z601</f>
        <v>0</v>
      </c>
    </row>
    <row r="598" customFormat="false" ht="12.8" hidden="false" customHeight="false" outlineLevel="0" collapsed="false">
      <c r="A598" s="1" t="n">
        <v>8</v>
      </c>
      <c r="B598" s="1" t="n">
        <v>8</v>
      </c>
      <c r="D598" s="16"/>
      <c r="E598" s="17"/>
      <c r="F598" s="13" t="s">
        <v>119</v>
      </c>
      <c r="G598" s="14" t="n">
        <f aca="false">SUM(G597)</f>
        <v>435.1</v>
      </c>
      <c r="H598" s="14" t="n">
        <f aca="false">SUM(H597)</f>
        <v>3120</v>
      </c>
      <c r="I598" s="14" t="n">
        <f aca="false">SUM(I597)</f>
        <v>10000</v>
      </c>
      <c r="J598" s="14" t="n">
        <f aca="false">SUM(J597)</f>
        <v>0</v>
      </c>
      <c r="K598" s="14" t="n">
        <f aca="false">SUM(K597)</f>
        <v>10000</v>
      </c>
      <c r="L598" s="14" t="n">
        <f aca="false">SUM(L597)</f>
        <v>0</v>
      </c>
      <c r="M598" s="14" t="n">
        <f aca="false">SUM(M597)</f>
        <v>-10000</v>
      </c>
      <c r="N598" s="14" t="n">
        <f aca="false">SUM(N597)</f>
        <v>0</v>
      </c>
      <c r="O598" s="14" t="n">
        <f aca="false">SUM(O597)</f>
        <v>0</v>
      </c>
      <c r="P598" s="14" t="n">
        <f aca="false">SUM(P597)</f>
        <v>0</v>
      </c>
      <c r="Q598" s="14" t="n">
        <f aca="false">SUM(Q597)</f>
        <v>0</v>
      </c>
      <c r="R598" s="15" t="e">
        <f aca="false">Q598/$P598</f>
        <v>#DIV/0!</v>
      </c>
      <c r="S598" s="14" t="n">
        <f aca="false">SUM(S597)</f>
        <v>0</v>
      </c>
      <c r="T598" s="15" t="e">
        <f aca="false">S598/$P598</f>
        <v>#DIV/0!</v>
      </c>
      <c r="U598" s="14" t="n">
        <f aca="false">SUM(U597)</f>
        <v>0</v>
      </c>
      <c r="V598" s="15" t="e">
        <f aca="false">U598/$P598</f>
        <v>#DIV/0!</v>
      </c>
      <c r="W598" s="14" t="n">
        <f aca="false">SUM(W597)</f>
        <v>0</v>
      </c>
      <c r="X598" s="15" t="e">
        <f aca="false">W598/$P598</f>
        <v>#DIV/0!</v>
      </c>
      <c r="Y598" s="14" t="n">
        <f aca="false">SUM(Y597)</f>
        <v>0</v>
      </c>
      <c r="Z598" s="14" t="n">
        <f aca="false">SUM(Z597)</f>
        <v>0</v>
      </c>
    </row>
    <row r="600" customFormat="false" ht="12.8" hidden="false" customHeight="false" outlineLevel="0" collapsed="false">
      <c r="D600" s="1" t="s">
        <v>57</v>
      </c>
    </row>
    <row r="601" customFormat="false" ht="12.8" hidden="false" customHeight="false" outlineLevel="0" collapsed="false">
      <c r="D601" s="87" t="s">
        <v>317</v>
      </c>
      <c r="E601" s="82" t="s">
        <v>318</v>
      </c>
      <c r="F601" s="83"/>
      <c r="G601" s="84" t="n">
        <v>435.1</v>
      </c>
      <c r="H601" s="84" t="n">
        <v>3120</v>
      </c>
      <c r="I601" s="84" t="n">
        <v>10000</v>
      </c>
      <c r="J601" s="84" t="n">
        <v>0</v>
      </c>
      <c r="K601" s="84" t="n">
        <v>10000</v>
      </c>
      <c r="L601" s="84"/>
      <c r="M601" s="84" t="n">
        <v>-10000</v>
      </c>
      <c r="N601" s="84"/>
      <c r="O601" s="84"/>
      <c r="P601" s="84" t="n">
        <f aca="false">K601+SUM(L601:O601)</f>
        <v>0</v>
      </c>
      <c r="Q601" s="84" t="n">
        <v>0</v>
      </c>
      <c r="R601" s="85" t="e">
        <f aca="false">Q601/$P601</f>
        <v>#DIV/0!</v>
      </c>
      <c r="S601" s="84" t="n">
        <v>0</v>
      </c>
      <c r="T601" s="85" t="e">
        <f aca="false">S601/$P601</f>
        <v>#DIV/0!</v>
      </c>
      <c r="U601" s="84" t="n">
        <v>0</v>
      </c>
      <c r="V601" s="85" t="e">
        <f aca="false">U601/$P601</f>
        <v>#DIV/0!</v>
      </c>
      <c r="W601" s="84" t="n">
        <v>0</v>
      </c>
      <c r="X601" s="102" t="e">
        <f aca="false">W601/$P601</f>
        <v>#DIV/0!</v>
      </c>
      <c r="Y601" s="84" t="n">
        <v>0</v>
      </c>
      <c r="Z601" s="86" t="n">
        <v>0</v>
      </c>
    </row>
    <row r="603" customFormat="false" ht="12.8" hidden="false" customHeight="false" outlineLevel="0" collapsed="false">
      <c r="D603" s="18" t="s">
        <v>319</v>
      </c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9"/>
      <c r="S603" s="18"/>
      <c r="T603" s="19"/>
      <c r="U603" s="18"/>
      <c r="V603" s="19"/>
      <c r="W603" s="18"/>
      <c r="X603" s="19"/>
      <c r="Y603" s="18"/>
      <c r="Z603" s="18"/>
    </row>
    <row r="604" customFormat="false" ht="12.8" hidden="false" customHeight="false" outlineLevel="0" collapsed="false">
      <c r="D604" s="6"/>
      <c r="E604" s="6"/>
      <c r="F604" s="6"/>
      <c r="G604" s="7" t="s">
        <v>1</v>
      </c>
      <c r="H604" s="7" t="s">
        <v>2</v>
      </c>
      <c r="I604" s="7" t="s">
        <v>3</v>
      </c>
      <c r="J604" s="7" t="s">
        <v>4</v>
      </c>
      <c r="K604" s="7" t="s">
        <v>5</v>
      </c>
      <c r="L604" s="7" t="s">
        <v>6</v>
      </c>
      <c r="M604" s="7" t="s">
        <v>7</v>
      </c>
      <c r="N604" s="7" t="s">
        <v>8</v>
      </c>
      <c r="O604" s="7" t="s">
        <v>9</v>
      </c>
      <c r="P604" s="7" t="s">
        <v>10</v>
      </c>
      <c r="Q604" s="7" t="s">
        <v>11</v>
      </c>
      <c r="R604" s="8" t="s">
        <v>12</v>
      </c>
      <c r="S604" s="7" t="s">
        <v>13</v>
      </c>
      <c r="T604" s="8" t="s">
        <v>14</v>
      </c>
      <c r="U604" s="7" t="s">
        <v>15</v>
      </c>
      <c r="V604" s="8" t="s">
        <v>16</v>
      </c>
      <c r="W604" s="7" t="s">
        <v>17</v>
      </c>
      <c r="X604" s="8" t="s">
        <v>18</v>
      </c>
      <c r="Y604" s="7" t="s">
        <v>19</v>
      </c>
      <c r="Z604" s="7" t="s">
        <v>20</v>
      </c>
    </row>
    <row r="605" customFormat="false" ht="12.8" hidden="false" customHeight="false" outlineLevel="0" collapsed="false">
      <c r="A605" s="1" t="n">
        <v>9</v>
      </c>
      <c r="D605" s="74" t="s">
        <v>21</v>
      </c>
      <c r="E605" s="21" t="n">
        <v>41</v>
      </c>
      <c r="F605" s="21" t="s">
        <v>23</v>
      </c>
      <c r="G605" s="22" t="n">
        <f aca="false">G613</f>
        <v>12851.28</v>
      </c>
      <c r="H605" s="22" t="n">
        <f aca="false">H613</f>
        <v>4283.76</v>
      </c>
      <c r="I605" s="22" t="n">
        <f aca="false">I613</f>
        <v>20000</v>
      </c>
      <c r="J605" s="22" t="n">
        <f aca="false">J613</f>
        <v>0</v>
      </c>
      <c r="K605" s="22" t="n">
        <f aca="false">K613</f>
        <v>0</v>
      </c>
      <c r="L605" s="22" t="n">
        <f aca="false">L613</f>
        <v>0</v>
      </c>
      <c r="M605" s="22" t="n">
        <f aca="false">M613</f>
        <v>0</v>
      </c>
      <c r="N605" s="22" t="n">
        <f aca="false">N613</f>
        <v>0</v>
      </c>
      <c r="O605" s="22" t="n">
        <f aca="false">O613</f>
        <v>0</v>
      </c>
      <c r="P605" s="22" t="n">
        <f aca="false">P613</f>
        <v>0</v>
      </c>
      <c r="Q605" s="22" t="n">
        <f aca="false">Q613</f>
        <v>0</v>
      </c>
      <c r="R605" s="23" t="e">
        <f aca="false">Q605/$P605</f>
        <v>#DIV/0!</v>
      </c>
      <c r="S605" s="22" t="n">
        <f aca="false">S613</f>
        <v>0</v>
      </c>
      <c r="T605" s="23" t="e">
        <f aca="false">S605/$P605</f>
        <v>#DIV/0!</v>
      </c>
      <c r="U605" s="22" t="n">
        <f aca="false">U613</f>
        <v>0</v>
      </c>
      <c r="V605" s="23" t="e">
        <f aca="false">U605/$P605</f>
        <v>#DIV/0!</v>
      </c>
      <c r="W605" s="22" t="n">
        <f aca="false">W613</f>
        <v>0</v>
      </c>
      <c r="X605" s="23" t="e">
        <f aca="false">W605/$P605</f>
        <v>#DIV/0!</v>
      </c>
      <c r="Y605" s="22" t="n">
        <f aca="false">Y613</f>
        <v>0</v>
      </c>
      <c r="Z605" s="22" t="n">
        <f aca="false">Z613</f>
        <v>0</v>
      </c>
    </row>
    <row r="606" customFormat="false" ht="12.8" hidden="false" customHeight="false" outlineLevel="0" collapsed="false">
      <c r="D606" s="74"/>
      <c r="E606" s="21" t="n">
        <v>71</v>
      </c>
      <c r="F606" s="21" t="s">
        <v>24</v>
      </c>
      <c r="G606" s="22" t="n">
        <f aca="false">G615</f>
        <v>0</v>
      </c>
      <c r="H606" s="22" t="n">
        <f aca="false">H615</f>
        <v>0</v>
      </c>
      <c r="I606" s="22" t="n">
        <f aca="false">I615</f>
        <v>0</v>
      </c>
      <c r="J606" s="22" t="n">
        <f aca="false">J615</f>
        <v>0</v>
      </c>
      <c r="K606" s="22" t="n">
        <f aca="false">K615</f>
        <v>16000</v>
      </c>
      <c r="L606" s="22" t="n">
        <f aca="false">L615</f>
        <v>0</v>
      </c>
      <c r="M606" s="22" t="n">
        <f aca="false">M615</f>
        <v>59211</v>
      </c>
      <c r="N606" s="22" t="n">
        <f aca="false">N615</f>
        <v>0</v>
      </c>
      <c r="O606" s="22" t="n">
        <f aca="false">O615</f>
        <v>0</v>
      </c>
      <c r="P606" s="22" t="n">
        <f aca="false">P615</f>
        <v>75211</v>
      </c>
      <c r="Q606" s="22" t="n">
        <f aca="false">Q615</f>
        <v>3000</v>
      </c>
      <c r="R606" s="23" t="n">
        <f aca="false">Q606/$P606</f>
        <v>0.0398877823722594</v>
      </c>
      <c r="S606" s="22" t="n">
        <f aca="false">S615</f>
        <v>64010.5</v>
      </c>
      <c r="T606" s="23" t="n">
        <f aca="false">S606/$P606</f>
        <v>0.85107896451317</v>
      </c>
      <c r="U606" s="22" t="n">
        <f aca="false">U615</f>
        <v>64010.5</v>
      </c>
      <c r="V606" s="23" t="n">
        <f aca="false">U606/$P606</f>
        <v>0.85107896451317</v>
      </c>
      <c r="W606" s="22" t="n">
        <f aca="false">W615</f>
        <v>70010.5</v>
      </c>
      <c r="X606" s="23" t="n">
        <f aca="false">W606/$P606</f>
        <v>0.930854529257688</v>
      </c>
      <c r="Y606" s="22" t="n">
        <f aca="false">Y615</f>
        <v>0</v>
      </c>
      <c r="Z606" s="22" t="n">
        <f aca="false">Z615</f>
        <v>0</v>
      </c>
    </row>
    <row r="607" customFormat="false" ht="12.8" hidden="false" customHeight="false" outlineLevel="0" collapsed="false">
      <c r="A607" s="1" t="n">
        <v>9</v>
      </c>
      <c r="D607" s="16"/>
      <c r="E607" s="17"/>
      <c r="F607" s="24" t="s">
        <v>119</v>
      </c>
      <c r="G607" s="25" t="n">
        <f aca="false">SUM(G605:G606)</f>
        <v>12851.28</v>
      </c>
      <c r="H607" s="25" t="n">
        <f aca="false">SUM(H605:H606)</f>
        <v>4283.76</v>
      </c>
      <c r="I607" s="25" t="n">
        <f aca="false">SUM(I605:I606)</f>
        <v>20000</v>
      </c>
      <c r="J607" s="25" t="n">
        <f aca="false">SUM(J605:J606)</f>
        <v>0</v>
      </c>
      <c r="K607" s="25" t="n">
        <f aca="false">SUM(K605:K606)</f>
        <v>16000</v>
      </c>
      <c r="L607" s="25" t="n">
        <f aca="false">SUM(L605:L606)</f>
        <v>0</v>
      </c>
      <c r="M607" s="25" t="n">
        <f aca="false">SUM(M605:M606)</f>
        <v>59211</v>
      </c>
      <c r="N607" s="25" t="n">
        <f aca="false">SUM(N605:N606)</f>
        <v>0</v>
      </c>
      <c r="O607" s="25" t="n">
        <f aca="false">SUM(O605:O606)</f>
        <v>0</v>
      </c>
      <c r="P607" s="25" t="n">
        <f aca="false">SUM(P605:P606)</f>
        <v>75211</v>
      </c>
      <c r="Q607" s="25" t="n">
        <f aca="false">SUM(Q605:Q606)</f>
        <v>3000</v>
      </c>
      <c r="R607" s="26" t="n">
        <f aca="false">Q607/$P607</f>
        <v>0.0398877823722594</v>
      </c>
      <c r="S607" s="25" t="n">
        <f aca="false">SUM(S605:S606)</f>
        <v>64010.5</v>
      </c>
      <c r="T607" s="26" t="n">
        <f aca="false">S607/$P607</f>
        <v>0.85107896451317</v>
      </c>
      <c r="U607" s="25" t="n">
        <f aca="false">SUM(U605:U606)</f>
        <v>64010.5</v>
      </c>
      <c r="V607" s="26" t="n">
        <f aca="false">U607/$P607</f>
        <v>0.85107896451317</v>
      </c>
      <c r="W607" s="25" t="n">
        <f aca="false">SUM(W605:W606)</f>
        <v>70010.5</v>
      </c>
      <c r="X607" s="26" t="n">
        <f aca="false">W607/$P607</f>
        <v>0.930854529257688</v>
      </c>
      <c r="Y607" s="25" t="n">
        <f aca="false">SUM(Y605:Y606)</f>
        <v>0</v>
      </c>
      <c r="Z607" s="25" t="n">
        <f aca="false">SUM(Z605:Z606)</f>
        <v>0</v>
      </c>
    </row>
    <row r="609" customFormat="false" ht="12.8" hidden="false" customHeight="false" outlineLevel="0" collapsed="false">
      <c r="D609" s="63" t="s">
        <v>320</v>
      </c>
      <c r="E609" s="63"/>
      <c r="F609" s="63"/>
      <c r="G609" s="63"/>
      <c r="H609" s="63"/>
      <c r="I609" s="63"/>
      <c r="J609" s="63"/>
      <c r="K609" s="63"/>
      <c r="L609" s="63"/>
      <c r="M609" s="63"/>
      <c r="N609" s="63"/>
      <c r="O609" s="63"/>
      <c r="P609" s="63"/>
      <c r="Q609" s="63"/>
      <c r="R609" s="64"/>
      <c r="S609" s="63"/>
      <c r="T609" s="64"/>
      <c r="U609" s="63"/>
      <c r="V609" s="64"/>
      <c r="W609" s="63"/>
      <c r="X609" s="64"/>
      <c r="Y609" s="63"/>
      <c r="Z609" s="63"/>
    </row>
    <row r="610" customFormat="false" ht="12.8" hidden="false" customHeight="false" outlineLevel="0" collapsed="false">
      <c r="D610" s="7" t="s">
        <v>33</v>
      </c>
      <c r="E610" s="7" t="s">
        <v>34</v>
      </c>
      <c r="F610" s="7" t="s">
        <v>35</v>
      </c>
      <c r="G610" s="7" t="s">
        <v>1</v>
      </c>
      <c r="H610" s="7" t="s">
        <v>2</v>
      </c>
      <c r="I610" s="7" t="s">
        <v>3</v>
      </c>
      <c r="J610" s="7" t="s">
        <v>4</v>
      </c>
      <c r="K610" s="7" t="s">
        <v>5</v>
      </c>
      <c r="L610" s="7" t="s">
        <v>6</v>
      </c>
      <c r="M610" s="7" t="s">
        <v>7</v>
      </c>
      <c r="N610" s="7" t="s">
        <v>8</v>
      </c>
      <c r="O610" s="7" t="s">
        <v>9</v>
      </c>
      <c r="P610" s="7" t="s">
        <v>10</v>
      </c>
      <c r="Q610" s="7" t="s">
        <v>11</v>
      </c>
      <c r="R610" s="8" t="s">
        <v>12</v>
      </c>
      <c r="S610" s="7" t="s">
        <v>13</v>
      </c>
      <c r="T610" s="8" t="s">
        <v>14</v>
      </c>
      <c r="U610" s="7" t="s">
        <v>15</v>
      </c>
      <c r="V610" s="8" t="s">
        <v>16</v>
      </c>
      <c r="W610" s="7" t="s">
        <v>17</v>
      </c>
      <c r="X610" s="8" t="s">
        <v>18</v>
      </c>
      <c r="Y610" s="7" t="s">
        <v>19</v>
      </c>
      <c r="Z610" s="7" t="s">
        <v>20</v>
      </c>
    </row>
    <row r="611" customFormat="false" ht="12.8" hidden="false" customHeight="false" outlineLevel="0" collapsed="false">
      <c r="A611" s="1" t="n">
        <v>9</v>
      </c>
      <c r="B611" s="1" t="n">
        <v>1</v>
      </c>
      <c r="D611" s="36" t="s">
        <v>123</v>
      </c>
      <c r="E611" s="10" t="n">
        <v>650</v>
      </c>
      <c r="F611" s="10" t="s">
        <v>321</v>
      </c>
      <c r="G611" s="11" t="n">
        <v>796.97</v>
      </c>
      <c r="H611" s="11" t="n">
        <v>64.83</v>
      </c>
      <c r="I611" s="11" t="n">
        <v>0</v>
      </c>
      <c r="J611" s="11" t="n">
        <v>0</v>
      </c>
      <c r="K611" s="11" t="n">
        <v>0</v>
      </c>
      <c r="L611" s="11"/>
      <c r="M611" s="11"/>
      <c r="N611" s="11"/>
      <c r="O611" s="11"/>
      <c r="P611" s="11" t="n">
        <f aca="false">K611+SUM(L611:O611)</f>
        <v>0</v>
      </c>
      <c r="Q611" s="11" t="n">
        <v>0</v>
      </c>
      <c r="R611" s="12" t="e">
        <f aca="false">Q611/$P611</f>
        <v>#DIV/0!</v>
      </c>
      <c r="S611" s="11" t="n">
        <v>0</v>
      </c>
      <c r="T611" s="12" t="e">
        <f aca="false">S611/$P611</f>
        <v>#DIV/0!</v>
      </c>
      <c r="U611" s="11" t="n">
        <v>0</v>
      </c>
      <c r="V611" s="12" t="e">
        <f aca="false">U611/$P611</f>
        <v>#DIV/0!</v>
      </c>
      <c r="W611" s="11" t="n">
        <v>0</v>
      </c>
      <c r="X611" s="12" t="e">
        <f aca="false">W611/$P611</f>
        <v>#DIV/0!</v>
      </c>
      <c r="Y611" s="11" t="n">
        <v>0</v>
      </c>
      <c r="Z611" s="11" t="n">
        <v>0</v>
      </c>
    </row>
    <row r="612" customFormat="false" ht="12.8" hidden="false" customHeight="false" outlineLevel="0" collapsed="false">
      <c r="A612" s="1" t="n">
        <v>9</v>
      </c>
      <c r="B612" s="1" t="n">
        <v>1</v>
      </c>
      <c r="D612" s="36"/>
      <c r="E612" s="10" t="n">
        <v>820</v>
      </c>
      <c r="F612" s="10" t="s">
        <v>322</v>
      </c>
      <c r="G612" s="11" t="n">
        <v>12054.31</v>
      </c>
      <c r="H612" s="11" t="n">
        <v>4218.93</v>
      </c>
      <c r="I612" s="11" t="n">
        <v>20000</v>
      </c>
      <c r="J612" s="11" t="n">
        <v>0</v>
      </c>
      <c r="K612" s="11" t="n">
        <v>0</v>
      </c>
      <c r="L612" s="11"/>
      <c r="M612" s="11"/>
      <c r="N612" s="11"/>
      <c r="O612" s="11"/>
      <c r="P612" s="11" t="n">
        <f aca="false">K612+SUM(L612:O612)</f>
        <v>0</v>
      </c>
      <c r="Q612" s="11" t="n">
        <v>0</v>
      </c>
      <c r="R612" s="12" t="e">
        <f aca="false">Q612/$P612</f>
        <v>#DIV/0!</v>
      </c>
      <c r="S612" s="11" t="n">
        <v>0</v>
      </c>
      <c r="T612" s="12" t="e">
        <f aca="false">S612/$P612</f>
        <v>#DIV/0!</v>
      </c>
      <c r="U612" s="11" t="n">
        <v>0</v>
      </c>
      <c r="V612" s="12" t="e">
        <f aca="false">U612/$P612</f>
        <v>#DIV/0!</v>
      </c>
      <c r="W612" s="11" t="n">
        <v>0</v>
      </c>
      <c r="X612" s="12" t="e">
        <f aca="false">W612/$P612</f>
        <v>#DIV/0!</v>
      </c>
      <c r="Y612" s="11" t="n">
        <f aca="false">K612</f>
        <v>0</v>
      </c>
      <c r="Z612" s="11" t="n">
        <f aca="false">Y612</f>
        <v>0</v>
      </c>
    </row>
    <row r="613" customFormat="false" ht="12.8" hidden="false" customHeight="false" outlineLevel="0" collapsed="false">
      <c r="A613" s="1" t="n">
        <v>9</v>
      </c>
      <c r="B613" s="1" t="n">
        <v>1</v>
      </c>
      <c r="D613" s="75" t="s">
        <v>21</v>
      </c>
      <c r="E613" s="32" t="n">
        <v>41</v>
      </c>
      <c r="F613" s="32" t="s">
        <v>23</v>
      </c>
      <c r="G613" s="33" t="n">
        <f aca="false">SUM(G611:G612)</f>
        <v>12851.28</v>
      </c>
      <c r="H613" s="33" t="n">
        <f aca="false">SUM(H611:H612)</f>
        <v>4283.76</v>
      </c>
      <c r="I613" s="33" t="n">
        <f aca="false">SUM(I611:I612)</f>
        <v>20000</v>
      </c>
      <c r="J613" s="33" t="n">
        <f aca="false">SUM(J611:J612)</f>
        <v>0</v>
      </c>
      <c r="K613" s="33" t="n">
        <f aca="false">SUM(K611:K612)</f>
        <v>0</v>
      </c>
      <c r="L613" s="33" t="n">
        <f aca="false">SUM(L611:L612)</f>
        <v>0</v>
      </c>
      <c r="M613" s="33" t="n">
        <f aca="false">SUM(M611:M612)</f>
        <v>0</v>
      </c>
      <c r="N613" s="33" t="n">
        <f aca="false">SUM(N611:N612)</f>
        <v>0</v>
      </c>
      <c r="O613" s="33" t="n">
        <f aca="false">SUM(O611:O612)</f>
        <v>0</v>
      </c>
      <c r="P613" s="33" t="n">
        <f aca="false">SUM(P611:P612)</f>
        <v>0</v>
      </c>
      <c r="Q613" s="33" t="n">
        <f aca="false">SUM(Q611:Q612)</f>
        <v>0</v>
      </c>
      <c r="R613" s="34" t="e">
        <f aca="false">Q613/$P613</f>
        <v>#DIV/0!</v>
      </c>
      <c r="S613" s="33" t="n">
        <f aca="false">SUM(S611:S612)</f>
        <v>0</v>
      </c>
      <c r="T613" s="34" t="e">
        <f aca="false">S613/$P613</f>
        <v>#DIV/0!</v>
      </c>
      <c r="U613" s="33" t="n">
        <f aca="false">SUM(U611:U612)</f>
        <v>0</v>
      </c>
      <c r="V613" s="34" t="e">
        <f aca="false">U613/$P613</f>
        <v>#DIV/0!</v>
      </c>
      <c r="W613" s="33" t="n">
        <f aca="false">SUM(W611:W612)</f>
        <v>0</v>
      </c>
      <c r="X613" s="34" t="e">
        <f aca="false">W613/$P613</f>
        <v>#DIV/0!</v>
      </c>
      <c r="Y613" s="33" t="n">
        <f aca="false">SUM(Y611:Y612)</f>
        <v>0</v>
      </c>
      <c r="Z613" s="33" t="n">
        <f aca="false">SUM(Z611:Z612)</f>
        <v>0</v>
      </c>
    </row>
    <row r="614" customFormat="false" ht="12.8" hidden="false" customHeight="false" outlineLevel="0" collapsed="false">
      <c r="D614" s="36" t="s">
        <v>123</v>
      </c>
      <c r="E614" s="10" t="n">
        <v>810</v>
      </c>
      <c r="F614" s="10" t="s">
        <v>323</v>
      </c>
      <c r="G614" s="11" t="n">
        <v>0</v>
      </c>
      <c r="H614" s="11" t="n">
        <v>0</v>
      </c>
      <c r="I614" s="11" t="n">
        <v>0</v>
      </c>
      <c r="J614" s="11" t="n">
        <v>0</v>
      </c>
      <c r="K614" s="11" t="n">
        <v>16000</v>
      </c>
      <c r="L614" s="11"/>
      <c r="M614" s="11" t="n">
        <f aca="false">700+58511</f>
        <v>59211</v>
      </c>
      <c r="N614" s="11"/>
      <c r="O614" s="11"/>
      <c r="P614" s="11" t="n">
        <f aca="false">K614+SUM(L614:O614)</f>
        <v>75211</v>
      </c>
      <c r="Q614" s="11" t="n">
        <v>3000</v>
      </c>
      <c r="R614" s="12" t="n">
        <f aca="false">Q614/$P614</f>
        <v>0.0398877823722594</v>
      </c>
      <c r="S614" s="11" t="n">
        <v>64010.5</v>
      </c>
      <c r="T614" s="12" t="n">
        <f aca="false">S614/$P614</f>
        <v>0.85107896451317</v>
      </c>
      <c r="U614" s="11" t="n">
        <v>64010.5</v>
      </c>
      <c r="V614" s="12" t="n">
        <f aca="false">U614/$P614</f>
        <v>0.85107896451317</v>
      </c>
      <c r="W614" s="11" t="n">
        <v>70010.5</v>
      </c>
      <c r="X614" s="12" t="n">
        <f aca="false">W614/$P614</f>
        <v>0.930854529257688</v>
      </c>
      <c r="Y614" s="11" t="n">
        <v>0</v>
      </c>
      <c r="Z614" s="11" t="n">
        <v>0</v>
      </c>
    </row>
    <row r="615" customFormat="false" ht="12.8" hidden="false" customHeight="false" outlineLevel="0" collapsed="false">
      <c r="D615" s="75" t="s">
        <v>21</v>
      </c>
      <c r="E615" s="32" t="n">
        <v>71</v>
      </c>
      <c r="F615" s="32" t="s">
        <v>24</v>
      </c>
      <c r="G615" s="33" t="n">
        <f aca="false">SUM(G614:G614)</f>
        <v>0</v>
      </c>
      <c r="H615" s="33" t="n">
        <f aca="false">SUM(H614:H614)</f>
        <v>0</v>
      </c>
      <c r="I615" s="33" t="n">
        <f aca="false">SUM(I614:I614)</f>
        <v>0</v>
      </c>
      <c r="J615" s="33" t="n">
        <f aca="false">SUM(J614:J614)</f>
        <v>0</v>
      </c>
      <c r="K615" s="33" t="n">
        <f aca="false">SUM(K614:K614)</f>
        <v>16000</v>
      </c>
      <c r="L615" s="33" t="n">
        <f aca="false">SUM(L614:L614)</f>
        <v>0</v>
      </c>
      <c r="M615" s="33" t="n">
        <f aca="false">SUM(M614:M614)</f>
        <v>59211</v>
      </c>
      <c r="N615" s="33" t="n">
        <f aca="false">SUM(N614:N614)</f>
        <v>0</v>
      </c>
      <c r="O615" s="33" t="n">
        <f aca="false">SUM(O614:O614)</f>
        <v>0</v>
      </c>
      <c r="P615" s="33" t="n">
        <f aca="false">SUM(P614:P614)</f>
        <v>75211</v>
      </c>
      <c r="Q615" s="33" t="n">
        <f aca="false">SUM(Q614:Q614)</f>
        <v>3000</v>
      </c>
      <c r="R615" s="34" t="n">
        <f aca="false">Q615/$P615</f>
        <v>0.0398877823722594</v>
      </c>
      <c r="S615" s="33" t="n">
        <f aca="false">SUM(S614:S614)</f>
        <v>64010.5</v>
      </c>
      <c r="T615" s="34" t="n">
        <f aca="false">S615/$P615</f>
        <v>0.85107896451317</v>
      </c>
      <c r="U615" s="33" t="n">
        <f aca="false">SUM(U614:U614)</f>
        <v>64010.5</v>
      </c>
      <c r="V615" s="34" t="n">
        <f aca="false">U615/$P615</f>
        <v>0.85107896451317</v>
      </c>
      <c r="W615" s="33" t="n">
        <f aca="false">SUM(W614:W614)</f>
        <v>70010.5</v>
      </c>
      <c r="X615" s="34" t="n">
        <f aca="false">W615/$P615</f>
        <v>0.930854529257688</v>
      </c>
      <c r="Y615" s="33" t="n">
        <f aca="false">SUM(Y614:Y614)</f>
        <v>0</v>
      </c>
      <c r="Z615" s="33" t="n">
        <f aca="false">SUM(Z614:Z614)</f>
        <v>0</v>
      </c>
    </row>
    <row r="616" customFormat="false" ht="12.8" hidden="false" customHeight="false" outlineLevel="0" collapsed="false">
      <c r="D616" s="77"/>
      <c r="E616" s="78"/>
      <c r="F616" s="13" t="s">
        <v>23</v>
      </c>
      <c r="G616" s="14" t="n">
        <f aca="false">SUM(G615:G615)</f>
        <v>0</v>
      </c>
      <c r="H616" s="14" t="n">
        <f aca="false">SUM(H615:H615)</f>
        <v>0</v>
      </c>
      <c r="I616" s="14" t="n">
        <f aca="false">SUM(I615:I615)</f>
        <v>0</v>
      </c>
      <c r="J616" s="14" t="n">
        <f aca="false">SUM(J615:J615)</f>
        <v>0</v>
      </c>
      <c r="K616" s="14" t="n">
        <f aca="false">SUM(K615:K615)</f>
        <v>16000</v>
      </c>
      <c r="L616" s="14" t="n">
        <f aca="false">SUM(L615:L615)</f>
        <v>0</v>
      </c>
      <c r="M616" s="14" t="n">
        <f aca="false">SUM(M615:M615)</f>
        <v>59211</v>
      </c>
      <c r="N616" s="14" t="n">
        <f aca="false">SUM(N615:N615)</f>
        <v>0</v>
      </c>
      <c r="O616" s="14" t="n">
        <f aca="false">SUM(O615:O615)</f>
        <v>0</v>
      </c>
      <c r="P616" s="14" t="n">
        <f aca="false">SUM(P615:P615)</f>
        <v>75211</v>
      </c>
      <c r="Q616" s="14" t="n">
        <f aca="false">SUM(Q615:Q615)</f>
        <v>3000</v>
      </c>
      <c r="R616" s="15" t="n">
        <f aca="false">Q616/$P616</f>
        <v>0.0398877823722594</v>
      </c>
      <c r="S616" s="14" t="n">
        <f aca="false">SUM(S615:S615)</f>
        <v>64010.5</v>
      </c>
      <c r="T616" s="15" t="n">
        <f aca="false">S616/$P616</f>
        <v>0.85107896451317</v>
      </c>
      <c r="U616" s="14" t="n">
        <f aca="false">SUM(U615:U615)</f>
        <v>64010.5</v>
      </c>
      <c r="V616" s="15" t="n">
        <f aca="false">U616/$P616</f>
        <v>0.85107896451317</v>
      </c>
      <c r="W616" s="14" t="n">
        <f aca="false">SUM(W615:W615)</f>
        <v>70010.5</v>
      </c>
      <c r="X616" s="15" t="n">
        <f aca="false">W616/$P616</f>
        <v>0.930854529257688</v>
      </c>
      <c r="Y616" s="14" t="n">
        <f aca="false">SUM(Y615:Y615)</f>
        <v>0</v>
      </c>
      <c r="Z616" s="14" t="n">
        <f aca="false">SUM(Z615:Z615)</f>
        <v>0</v>
      </c>
    </row>
  </sheetData>
  <mergeCells count="67">
    <mergeCell ref="D3:D19"/>
    <mergeCell ref="D22:Z22"/>
    <mergeCell ref="D24:D26"/>
    <mergeCell ref="D29:Z29"/>
    <mergeCell ref="D31:D33"/>
    <mergeCell ref="D36:Z36"/>
    <mergeCell ref="D38:D41"/>
    <mergeCell ref="D49:Z49"/>
    <mergeCell ref="D53:D56"/>
    <mergeCell ref="D62:Z62"/>
    <mergeCell ref="D64:D66"/>
    <mergeCell ref="D72:Z72"/>
    <mergeCell ref="D86:Z86"/>
    <mergeCell ref="D88:D91"/>
    <mergeCell ref="D101:Z101"/>
    <mergeCell ref="D106:Z106"/>
    <mergeCell ref="D108:D110"/>
    <mergeCell ref="D112:D115"/>
    <mergeCell ref="D121:Z121"/>
    <mergeCell ref="D125:D126"/>
    <mergeCell ref="D131:Z131"/>
    <mergeCell ref="D135:D136"/>
    <mergeCell ref="D144:Z144"/>
    <mergeCell ref="D146:D147"/>
    <mergeCell ref="D150:Z150"/>
    <mergeCell ref="D152:D154"/>
    <mergeCell ref="D159:D161"/>
    <mergeCell ref="D163:D166"/>
    <mergeCell ref="D168:D169"/>
    <mergeCell ref="D175:D177"/>
    <mergeCell ref="D179:D181"/>
    <mergeCell ref="D190:D191"/>
    <mergeCell ref="D193:D196"/>
    <mergeCell ref="D204:D205"/>
    <mergeCell ref="D210:D213"/>
    <mergeCell ref="D234:D235"/>
    <mergeCell ref="D266:D269"/>
    <mergeCell ref="D274:D276"/>
    <mergeCell ref="D281:D282"/>
    <mergeCell ref="D290:D291"/>
    <mergeCell ref="D299:D300"/>
    <mergeCell ref="D314:D316"/>
    <mergeCell ref="D337:D339"/>
    <mergeCell ref="D341:D344"/>
    <mergeCell ref="D364:D365"/>
    <mergeCell ref="D384:D385"/>
    <mergeCell ref="D394:D396"/>
    <mergeCell ref="D408:D409"/>
    <mergeCell ref="D437:D439"/>
    <mergeCell ref="D444:D446"/>
    <mergeCell ref="D451:D453"/>
    <mergeCell ref="D455:D458"/>
    <mergeCell ref="D490:D492"/>
    <mergeCell ref="D497:D498"/>
    <mergeCell ref="D502:D511"/>
    <mergeCell ref="D515:D516"/>
    <mergeCell ref="D520:D525"/>
    <mergeCell ref="D533:D537"/>
    <mergeCell ref="D541:D542"/>
    <mergeCell ref="D546:D547"/>
    <mergeCell ref="D551:D552"/>
    <mergeCell ref="D556:D557"/>
    <mergeCell ref="D561:D563"/>
    <mergeCell ref="D585:D586"/>
    <mergeCell ref="D590:D593"/>
    <mergeCell ref="D605:D606"/>
    <mergeCell ref="D611:D612"/>
  </mergeCells>
  <printOptions headings="false" gridLines="false" gridLinesSet="true" horizontalCentered="true" verticalCentered="false"/>
  <pageMargins left="0.236111111111111" right="0.236111111111111" top="0.438888888888889" bottom="0.438888888888889" header="0.3" footer="0.3"/>
  <pageSetup paperSize="9" scale="8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&amp;L&amp;"Arial,Standaard"&amp;10Čerpanie a plnenie rozpočtu 2018&amp;C&amp;"Arial,Standaard"&amp;10Obec Nesluša&amp;R&amp;"Arial,Standaard"&amp;10Stav k 31. 12. 2018</oddHeader>
    <oddFooter>&amp;L&amp;"Arial,Standaard"&amp;10Schválený: UOZ_I-12/2018&amp;R&amp;"Arial,Standaard"&amp;10Posledná úprava: starostka, 18. 12. 2018</oddFooter>
  </headerFooter>
  <rowBreaks count="13" manualBreakCount="13">
    <brk id="21" man="true" max="16383" min="0"/>
    <brk id="85" man="true" max="16383" min="0"/>
    <brk id="149" man="true" max="16383" min="0"/>
    <brk id="201" man="true" max="16383" min="0"/>
    <brk id="231" man="true" max="16383" min="0"/>
    <brk id="263" man="true" max="16383" min="0"/>
    <brk id="334" man="true" max="16383" min="0"/>
    <brk id="349" man="true" max="16383" min="0"/>
    <brk id="423" man="true" max="16383" min="0"/>
    <brk id="434" man="true" max="16383" min="0"/>
    <brk id="487" man="true" max="16383" min="0"/>
    <brk id="582" man="true" max="16383" min="0"/>
    <brk id="602" man="true" max="16383" min="0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30"/>
  <sheetViews>
    <sheetView showFormulas="false" showGridLines="true" showRowColHeaders="true" showZeros="true" rightToLeft="false" tabSelected="false" showOutlineSymbols="true" defaultGridColor="false" view="normal" topLeftCell="A1" colorId="22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126" width="16.34"/>
    <col collapsed="false" customWidth="true" hidden="false" outlineLevel="0" max="2" min="2" style="126" width="17.55"/>
    <col collapsed="false" customWidth="true" hidden="false" outlineLevel="0" max="1025" min="3" style="126" width="8.64"/>
  </cols>
  <sheetData>
    <row r="1" customFormat="false" ht="12.8" hidden="false" customHeight="false" outlineLevel="0" collapsed="false">
      <c r="A1" s="126" t="s">
        <v>324</v>
      </c>
      <c r="B1" s="126" t="s">
        <v>325</v>
      </c>
    </row>
    <row r="2" customFormat="false" ht="12.8" hidden="false" customHeight="false" outlineLevel="0" collapsed="false">
      <c r="A2" s="126" t="s">
        <v>1</v>
      </c>
      <c r="B2" s="126" t="s">
        <v>326</v>
      </c>
    </row>
    <row r="3" customFormat="false" ht="12.8" hidden="false" customHeight="false" outlineLevel="0" collapsed="false">
      <c r="A3" s="126" t="s">
        <v>2</v>
      </c>
      <c r="B3" s="126" t="s">
        <v>327</v>
      </c>
    </row>
    <row r="4" customFormat="false" ht="12.8" hidden="false" customHeight="false" outlineLevel="0" collapsed="false">
      <c r="A4" s="126" t="s">
        <v>3</v>
      </c>
      <c r="B4" s="126" t="s">
        <v>328</v>
      </c>
    </row>
    <row r="5" customFormat="false" ht="12.8" hidden="false" customHeight="false" outlineLevel="0" collapsed="false">
      <c r="A5" s="126" t="s">
        <v>4</v>
      </c>
      <c r="B5" s="126" t="s">
        <v>329</v>
      </c>
    </row>
    <row r="6" customFormat="false" ht="12.8" hidden="false" customHeight="false" outlineLevel="0" collapsed="false">
      <c r="A6" s="126" t="s">
        <v>5</v>
      </c>
      <c r="B6" s="126" t="s">
        <v>330</v>
      </c>
    </row>
    <row r="7" customFormat="false" ht="12.8" hidden="false" customHeight="false" outlineLevel="0" collapsed="false">
      <c r="A7" s="126" t="s">
        <v>10</v>
      </c>
      <c r="B7" s="126" t="s">
        <v>331</v>
      </c>
    </row>
    <row r="8" customFormat="false" ht="12.8" hidden="false" customHeight="false" outlineLevel="0" collapsed="false">
      <c r="A8" s="126" t="s">
        <v>19</v>
      </c>
      <c r="B8" s="126" t="s">
        <v>332</v>
      </c>
    </row>
    <row r="9" customFormat="false" ht="12.8" hidden="false" customHeight="false" outlineLevel="0" collapsed="false">
      <c r="A9" s="126" t="s">
        <v>20</v>
      </c>
      <c r="B9" s="126" t="s">
        <v>333</v>
      </c>
    </row>
    <row r="10" customFormat="false" ht="12.8" hidden="false" customHeight="false" outlineLevel="0" collapsed="false">
      <c r="A10" s="126" t="s">
        <v>334</v>
      </c>
      <c r="B10" s="126" t="s">
        <v>335</v>
      </c>
    </row>
    <row r="11" customFormat="false" ht="12.8" hidden="false" customHeight="false" outlineLevel="0" collapsed="false">
      <c r="A11" s="126" t="s">
        <v>336</v>
      </c>
      <c r="B11" s="126" t="s">
        <v>337</v>
      </c>
    </row>
    <row r="12" customFormat="false" ht="12.8" hidden="false" customHeight="false" outlineLevel="0" collapsed="false">
      <c r="A12" s="126" t="s">
        <v>338</v>
      </c>
      <c r="B12" s="126" t="s">
        <v>339</v>
      </c>
    </row>
    <row r="13" customFormat="false" ht="12.8" hidden="false" customHeight="false" outlineLevel="0" collapsed="false">
      <c r="A13" s="126" t="s">
        <v>90</v>
      </c>
      <c r="B13" s="126" t="s">
        <v>340</v>
      </c>
    </row>
    <row r="14" customFormat="false" ht="12.8" hidden="false" customHeight="false" outlineLevel="0" collapsed="false">
      <c r="A14" s="126" t="s">
        <v>34</v>
      </c>
      <c r="B14" s="126" t="s">
        <v>341</v>
      </c>
    </row>
    <row r="15" customFormat="false" ht="12.8" hidden="false" customHeight="false" outlineLevel="0" collapsed="false">
      <c r="A15" s="126" t="s">
        <v>342</v>
      </c>
      <c r="B15" s="126" t="s">
        <v>210</v>
      </c>
    </row>
    <row r="16" customFormat="false" ht="12.8" hidden="false" customHeight="false" outlineLevel="0" collapsed="false">
      <c r="A16" s="126" t="s">
        <v>33</v>
      </c>
      <c r="B16" s="126" t="s">
        <v>343</v>
      </c>
    </row>
    <row r="17" customFormat="false" ht="12.8" hidden="false" customHeight="false" outlineLevel="0" collapsed="false">
      <c r="A17" s="126" t="s">
        <v>344</v>
      </c>
      <c r="B17" s="126" t="s">
        <v>345</v>
      </c>
    </row>
    <row r="18" customFormat="false" ht="12.8" hidden="false" customHeight="false" outlineLevel="0" collapsed="false">
      <c r="A18" s="126" t="s">
        <v>346</v>
      </c>
      <c r="B18" s="126" t="s">
        <v>347</v>
      </c>
    </row>
    <row r="19" customFormat="false" ht="12.8" hidden="false" customHeight="false" outlineLevel="0" collapsed="false">
      <c r="A19" s="126" t="s">
        <v>348</v>
      </c>
      <c r="B19" s="126" t="s">
        <v>349</v>
      </c>
    </row>
    <row r="20" customFormat="false" ht="12.8" hidden="false" customHeight="false" outlineLevel="0" collapsed="false">
      <c r="A20" s="126" t="s">
        <v>350</v>
      </c>
      <c r="B20" s="126" t="s">
        <v>351</v>
      </c>
    </row>
    <row r="21" customFormat="false" ht="12.8" hidden="false" customHeight="false" outlineLevel="0" collapsed="false">
      <c r="A21" s="126" t="s">
        <v>113</v>
      </c>
      <c r="B21" s="126" t="s">
        <v>352</v>
      </c>
    </row>
    <row r="22" customFormat="false" ht="12.8" hidden="false" customHeight="false" outlineLevel="0" collapsed="false">
      <c r="A22" s="126" t="s">
        <v>114</v>
      </c>
      <c r="B22" s="126" t="s">
        <v>353</v>
      </c>
    </row>
    <row r="23" customFormat="false" ht="12.8" hidden="false" customHeight="false" outlineLevel="0" collapsed="false">
      <c r="A23" s="126" t="s">
        <v>115</v>
      </c>
      <c r="B23" s="126" t="s">
        <v>354</v>
      </c>
    </row>
    <row r="24" customFormat="false" ht="12.8" hidden="false" customHeight="false" outlineLevel="0" collapsed="false">
      <c r="A24" s="126" t="s">
        <v>55</v>
      </c>
      <c r="B24" s="126" t="s">
        <v>355</v>
      </c>
    </row>
    <row r="25" customFormat="false" ht="12.8" hidden="false" customHeight="false" outlineLevel="0" collapsed="false">
      <c r="A25" s="126" t="s">
        <v>236</v>
      </c>
      <c r="B25" s="126" t="s">
        <v>356</v>
      </c>
    </row>
    <row r="26" customFormat="false" ht="12.8" hidden="false" customHeight="false" outlineLevel="0" collapsed="false">
      <c r="A26" s="126" t="s">
        <v>357</v>
      </c>
      <c r="B26" s="126" t="s">
        <v>358</v>
      </c>
    </row>
    <row r="27" customFormat="false" ht="12.8" hidden="false" customHeight="false" outlineLevel="0" collapsed="false">
      <c r="A27" s="126" t="s">
        <v>359</v>
      </c>
      <c r="B27" s="126" t="s">
        <v>360</v>
      </c>
    </row>
    <row r="28" customFormat="false" ht="12.8" hidden="false" customHeight="false" outlineLevel="0" collapsed="false">
      <c r="A28" s="126" t="s">
        <v>361</v>
      </c>
      <c r="B28" s="126" t="s">
        <v>362</v>
      </c>
    </row>
    <row r="29" customFormat="false" ht="12.8" hidden="false" customHeight="false" outlineLevel="0" collapsed="false">
      <c r="A29" s="126" t="s">
        <v>363</v>
      </c>
      <c r="B29" s="126" t="s">
        <v>364</v>
      </c>
    </row>
    <row r="30" customFormat="false" ht="12.8" hidden="false" customHeight="false" outlineLevel="0" collapsed="false">
      <c r="A30" s="126" t="s">
        <v>365</v>
      </c>
      <c r="B30" s="126" t="s">
        <v>366</v>
      </c>
    </row>
  </sheetData>
  <printOptions headings="false" gridLines="false" gridLinesSet="true" horizontalCentered="false" verticalCentered="false"/>
  <pageMargins left="0.196527777777778" right="0" top="0.138888888888889" bottom="0.138888888888889" header="0" footer="0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&amp;C&amp;"Arial,Standaard"&amp;10&amp;A</oddHeader>
    <oddFooter>&amp;C&amp;"Arial,Standaard"&amp;10Strana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1633</TotalTime>
  <Application>LibreOffice/6.2.3.2$Linux_X86_64 LibreOffice_project/20$Build-2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2016-11-16T13:19:48Z</dcterms:created>
  <dc:creator>Matej Tabaček</dc:creator>
  <dc:description>Schválený: 19. 02. 2018, uznesením č. I-12/2018 podľa návrhu č. 1 z 15. 01. 2018 a č. 1a z 29. 01. 2018 upraveného uzneseniami č. I-9 a I-11/2018.
Úpravy:
RO č. 1-1/2018 z 01. 03. 2018 schválené starostkou obce,
RO č. 2-1/2018 z 01. 05. 2018 schválené starostkou obce,
RO č. 2-2/2018 z 29. 06. 2018 schválené uznesením č. II-3/2018,
RO č. 2-3/2018 z 29. 06. 2018 schválené starostkou obce,
RO č. 3-1/2018 z 03. 09. 2018 schválené starostkou obce,
RO č. 4-1/2018 z 03. 12. 2018 schválené starostkou obce,
RO č. 4-2/2018 z 18. 12. 2018 schválené starostkou obce.</dc:description>
  <cp:keywords>rozpočet 2018 čerpanie úpravy obec Nesluša</cp:keywords>
  <dc:language>sk-SK</dc:language>
  <cp:lastModifiedBy>Matej Tabaček</cp:lastModifiedBy>
  <dcterms:modified xsi:type="dcterms:W3CDTF">2019-05-31T12:15:30Z</dcterms:modified>
  <cp:revision>116</cp:revision>
  <dc:subject>Čerpanie a úpravy rozpočtu Obce Nesluša</dc:subject>
  <dc:title>Rozpočet 2018 - Obec Nesluša (čerpanie a úpravy)</dc:title>
</cp:coreProperties>
</file>