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íjmy" sheetId="1" state="visible" r:id="rId2"/>
    <sheet name="výdaje" sheetId="2" state="visible" r:id="rId3"/>
    <sheet name="skratky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MT</author>
    <author>Matej Tabaček</author>
  </authors>
  <commentList>
    <comment ref="E78" authorId="1">
      <text>
        <r>
          <rPr>
            <b val="true"/>
            <sz val="9"/>
            <color rgb="FF000000"/>
            <rFont val="Segoe UI"/>
            <family val="0"/>
          </rPr>
          <t xml:space="preserve">Matej Tabaček:
</t>
        </r>
        <r>
          <rPr>
            <sz val="9"/>
            <color rgb="FF000000"/>
            <rFont val="Segoe UI"/>
            <family val="0"/>
          </rPr>
          <t xml:space="preserve">+ učebnice, preplatok 2014</t>
        </r>
      </text>
    </comment>
    <comment ref="G116" authorId="0">
      <text>
        <r>
          <rPr>
            <sz val="11"/>
            <color rgb="FF000000"/>
            <rFont val="Calibri"/>
            <family val="0"/>
          </rPr>
          <t xml:space="preserve">K 1. decembru nebol schválený záverečný účet 2016 (prebytok 188 433)</t>
        </r>
      </text>
    </comment>
    <comment ref="G117" authorId="0">
      <text>
        <r>
          <rPr>
            <sz val="11"/>
            <color rgb="FF000000"/>
            <rFont val="Calibri"/>
            <family val="0"/>
          </rPr>
          <t xml:space="preserve">Rezervný fond nebol v roku 2016 čerpaný (zostatok 6 887)</t>
        </r>
      </text>
    </comment>
    <comment ref="H117" authorId="0">
      <text>
        <r>
          <rPr>
            <sz val="11"/>
            <color rgb="FF000000"/>
            <rFont val="Calibri"/>
            <family val="0"/>
          </rPr>
          <t xml:space="preserve">Použitie časti rezervného fondu z rokov 2014-2016 na kapitálové výdavky v roku 2017 (zostatok fondu 48 080)</t>
        </r>
      </text>
    </comment>
  </commentList>
</comments>
</file>

<file path=xl/sharedStrings.xml><?xml version="1.0" encoding="utf-8"?>
<sst xmlns="http://schemas.openxmlformats.org/spreadsheetml/2006/main" count="2295" uniqueCount="358">
  <si>
    <t xml:space="preserve">SUMÁR PRÍJMOV</t>
  </si>
  <si>
    <t xml:space="preserve">2014 S</t>
  </si>
  <si>
    <t xml:space="preserve">2015 S</t>
  </si>
  <si>
    <t xml:space="preserve">2016 R</t>
  </si>
  <si>
    <t xml:space="preserve">2016 S</t>
  </si>
  <si>
    <t xml:space="preserve">2017 R</t>
  </si>
  <si>
    <t xml:space="preserve">U1</t>
  </si>
  <si>
    <t xml:space="preserve">U2</t>
  </si>
  <si>
    <t xml:space="preserve">U3</t>
  </si>
  <si>
    <t xml:space="preserve">U4</t>
  </si>
  <si>
    <t xml:space="preserve">2017 U</t>
  </si>
  <si>
    <t xml:space="preserve">Č1</t>
  </si>
  <si>
    <t xml:space="preserve">P1</t>
  </si>
  <si>
    <t xml:space="preserve">Č2</t>
  </si>
  <si>
    <t xml:space="preserve">P2</t>
  </si>
  <si>
    <t xml:space="preserve">Č3</t>
  </si>
  <si>
    <t xml:space="preserve">P3</t>
  </si>
  <si>
    <t xml:space="preserve">Č4</t>
  </si>
  <si>
    <t xml:space="preserve">P4</t>
  </si>
  <si>
    <t xml:space="preserve">2018 R</t>
  </si>
  <si>
    <t xml:space="preserve">2019 R</t>
  </si>
  <si>
    <t xml:space="preserve">Zdroj krytia</t>
  </si>
  <si>
    <t xml:space="preserve">Dotácie</t>
  </si>
  <si>
    <t xml:space="preserve">Vlastné zdroje</t>
  </si>
  <si>
    <t xml:space="preserve">Iné zdroje</t>
  </si>
  <si>
    <t xml:space="preserve">Bežné príjmy</t>
  </si>
  <si>
    <t xml:space="preserve">Kapitálové príjmy</t>
  </si>
  <si>
    <t xml:space="preserve">Úvery</t>
  </si>
  <si>
    <t xml:space="preserve">Finančné operácie</t>
  </si>
  <si>
    <t xml:space="preserve">Celkové príjmy</t>
  </si>
  <si>
    <t xml:space="preserve">DAŇOVÉ PRÍJMY</t>
  </si>
  <si>
    <t xml:space="preserve">Zdroj</t>
  </si>
  <si>
    <t xml:space="preserve">Daňové príjmy - rozpis</t>
  </si>
  <si>
    <t xml:space="preserve">FK</t>
  </si>
  <si>
    <t xml:space="preserve">EK</t>
  </si>
  <si>
    <t xml:space="preserve">Názov</t>
  </si>
  <si>
    <t xml:space="preserve">PrD</t>
  </si>
  <si>
    <t xml:space="preserve">Výnos dane z príjmov</t>
  </si>
  <si>
    <t xml:space="preserve">Daň z pozemkov</t>
  </si>
  <si>
    <t xml:space="preserve">Daň zo stavieb</t>
  </si>
  <si>
    <t xml:space="preserve">Daň z bytov</t>
  </si>
  <si>
    <t xml:space="preserve">Daň za psa</t>
  </si>
  <si>
    <t xml:space="preserve">Daň za nevýherné hracie prístroje</t>
  </si>
  <si>
    <t xml:space="preserve">Daň za ubytovanie</t>
  </si>
  <si>
    <t xml:space="preserve">Daň za užívanie verejného priestranstva</t>
  </si>
  <si>
    <t xml:space="preserve">Daň za komunálne odpady a drobné stavebné odpady</t>
  </si>
  <si>
    <t xml:space="preserve">NEDAŇOVÉ PRÍJMY</t>
  </si>
  <si>
    <t xml:space="preserve">Nedaňové príjmy - rozpis</t>
  </si>
  <si>
    <t xml:space="preserve">PrN</t>
  </si>
  <si>
    <t xml:space="preserve">Príjmy z majetku</t>
  </si>
  <si>
    <t xml:space="preserve">Administratívne poplatky a iné platby</t>
  </si>
  <si>
    <t xml:space="preserve">Predaj majetku</t>
  </si>
  <si>
    <t xml:space="preserve">Úroky z vkladov</t>
  </si>
  <si>
    <t xml:space="preserve">Iné nedaňové príjmy</t>
  </si>
  <si>
    <t xml:space="preserve">RO</t>
  </si>
  <si>
    <t xml:space="preserve">Príjmy ZŠ</t>
  </si>
  <si>
    <t xml:space="preserve">V tom:</t>
  </si>
  <si>
    <t xml:space="preserve">Prenájom budov</t>
  </si>
  <si>
    <t xml:space="preserve">Správne poplatky</t>
  </si>
  <si>
    <t xml:space="preserve">Licencie automaty</t>
  </si>
  <si>
    <t xml:space="preserve">Vodné</t>
  </si>
  <si>
    <t xml:space="preserve">Opatrovateľská služba</t>
  </si>
  <si>
    <t xml:space="preserve">Vodovodný materiál</t>
  </si>
  <si>
    <t xml:space="preserve">Vstupné na akcie</t>
  </si>
  <si>
    <t xml:space="preserve">Poplatky DOS</t>
  </si>
  <si>
    <t xml:space="preserve">Predaj dreva</t>
  </si>
  <si>
    <t xml:space="preserve">Príspevok rodičov MŠ</t>
  </si>
  <si>
    <t xml:space="preserve">Príspevok CVČ</t>
  </si>
  <si>
    <t xml:space="preserve">Vodovodné prípojky</t>
  </si>
  <si>
    <t xml:space="preserve">Dobropisy</t>
  </si>
  <si>
    <t xml:space="preserve">Stravné zamestnanci</t>
  </si>
  <si>
    <t xml:space="preserve">GRANTY A TRANSFERY</t>
  </si>
  <si>
    <t xml:space="preserve">Granty a transfery - rozpis</t>
  </si>
  <si>
    <t xml:space="preserve">Granty</t>
  </si>
  <si>
    <t xml:space="preserve">ZŠ normatívne</t>
  </si>
  <si>
    <t xml:space="preserve">ZŠ žiaci zo SZP</t>
  </si>
  <si>
    <t xml:space="preserve">ZŠ asistent učiteľa</t>
  </si>
  <si>
    <t xml:space="preserve">ZŠ vzdelávacie poukazy</t>
  </si>
  <si>
    <t xml:space="preserve">ZŠ stravné ŠJ</t>
  </si>
  <si>
    <t xml:space="preserve">ZŠ školské potreby</t>
  </si>
  <si>
    <t xml:space="preserve">Iné ZŠ</t>
  </si>
  <si>
    <t xml:space="preserve">MŠ predškoláci</t>
  </si>
  <si>
    <t xml:space="preserve">CVČ vzdelávacie</t>
  </si>
  <si>
    <t xml:space="preserve">Prídavky na deti</t>
  </si>
  <si>
    <t xml:space="preserve">Stavebný úrad</t>
  </si>
  <si>
    <t xml:space="preserve">Cestná doprava</t>
  </si>
  <si>
    <t xml:space="preserve">Životné prostredie</t>
  </si>
  <si>
    <t xml:space="preserve">Matrika</t>
  </si>
  <si>
    <t xml:space="preserve">Register obyvateľstva</t>
  </si>
  <si>
    <t xml:space="preserve">Voľby</t>
  </si>
  <si>
    <t xml:space="preserve">Sklad civilnej obrany</t>
  </si>
  <si>
    <t xml:space="preserve">DOS</t>
  </si>
  <si>
    <t xml:space="preserve">Aktivačné práce</t>
  </si>
  <si>
    <t xml:space="preserve">Regionálny rozvoj ESF</t>
  </si>
  <si>
    <t xml:space="preserve">Chránená dielňa ESF</t>
  </si>
  <si>
    <t xml:space="preserve">Oprava strechy telocvične</t>
  </si>
  <si>
    <t xml:space="preserve">Zberný dvor</t>
  </si>
  <si>
    <t xml:space="preserve">Zateplenie škôlky</t>
  </si>
  <si>
    <t xml:space="preserve">Rozšírenie škôlky</t>
  </si>
  <si>
    <t xml:space="preserve">Zateplenie DOS</t>
  </si>
  <si>
    <t xml:space="preserve">Kamerový systém/WC ZŠ</t>
  </si>
  <si>
    <t xml:space="preserve">Zdroj kytia</t>
  </si>
  <si>
    <t xml:space="preserve">PRÍJMOVÉ FINANČNÉ OPERÁCIE</t>
  </si>
  <si>
    <t xml:space="preserve">Štátne dotácie</t>
  </si>
  <si>
    <t xml:space="preserve">Nevyčerpané dotácie</t>
  </si>
  <si>
    <t xml:space="preserve">Zostatky</t>
  </si>
  <si>
    <t xml:space="preserve">Rezervný fond</t>
  </si>
  <si>
    <t xml:space="preserve">Úver na rýpadlo</t>
  </si>
  <si>
    <t xml:space="preserve">Finančná zábezpeka</t>
  </si>
  <si>
    <t xml:space="preserve">ROZDIEL PRÍJMOV A VÝDAJOV</t>
  </si>
  <si>
    <t xml:space="preserve">Pr</t>
  </si>
  <si>
    <t xml:space="preserve">Po</t>
  </si>
  <si>
    <t xml:space="preserve">Pv</t>
  </si>
  <si>
    <t xml:space="preserve">SUMÁR VÝDAVKOV</t>
  </si>
  <si>
    <t xml:space="preserve">Bežné výdavky</t>
  </si>
  <si>
    <t xml:space="preserve">Kapitálové výdavky</t>
  </si>
  <si>
    <t xml:space="preserve">Celkové výdavky</t>
  </si>
  <si>
    <t xml:space="preserve">PROGRAM 1 - SAMOSPRÁVA</t>
  </si>
  <si>
    <t xml:space="preserve">Podprogram 1.1 Obecný úrad</t>
  </si>
  <si>
    <t xml:space="preserve">Prvok 1.1.1 Vedenie obce</t>
  </si>
  <si>
    <t xml:space="preserve">01.1.1</t>
  </si>
  <si>
    <t xml:space="preserve">Mzdy</t>
  </si>
  <si>
    <t xml:space="preserve">Odvody</t>
  </si>
  <si>
    <t xml:space="preserve">Tovary a služby</t>
  </si>
  <si>
    <t xml:space="preserve">Transfery</t>
  </si>
  <si>
    <t xml:space="preserve">Odstupné</t>
  </si>
  <si>
    <t xml:space="preserve">Prvok 1.1.2 Personál</t>
  </si>
  <si>
    <t xml:space="preserve">Štátna dotácia</t>
  </si>
  <si>
    <t xml:space="preserve">Prvok 1.1.3 Vnútorná kontrola</t>
  </si>
  <si>
    <t xml:space="preserve">01.1.2</t>
  </si>
  <si>
    <t xml:space="preserve">Prvok 1.1.4 Služby a kancelárske vybavenie</t>
  </si>
  <si>
    <t xml:space="preserve">Bankové poplatky</t>
  </si>
  <si>
    <t xml:space="preserve">Právne služby</t>
  </si>
  <si>
    <t xml:space="preserve">Softvér (URBIS)</t>
  </si>
  <si>
    <t xml:space="preserve">Služby ESMAO</t>
  </si>
  <si>
    <t xml:space="preserve">Nábytok obecný úrad</t>
  </si>
  <si>
    <t xml:space="preserve">Prvok 1.1.5 Prevádzka</t>
  </si>
  <si>
    <t xml:space="preserve">01.1.3</t>
  </si>
  <si>
    <t xml:space="preserve">01.1.4</t>
  </si>
  <si>
    <t xml:space="preserve">01.1.5</t>
  </si>
  <si>
    <t xml:space="preserve">Elektrina</t>
  </si>
  <si>
    <t xml:space="preserve">Plyn</t>
  </si>
  <si>
    <t xml:space="preserve">Pohonné hmoty</t>
  </si>
  <si>
    <t xml:space="preserve">Prvok 1.1.6 Informačný systém (web a rozhlas)</t>
  </si>
  <si>
    <t xml:space="preserve">08.3.0</t>
  </si>
  <si>
    <t xml:space="preserve">Prvok 1.1.7 Matrika a evidencia obyvateľstva</t>
  </si>
  <si>
    <t xml:space="preserve">01.3.3</t>
  </si>
  <si>
    <t xml:space="preserve">Podprogram 1.2 Spoločný obecný úrad</t>
  </si>
  <si>
    <t xml:space="preserve">09.1.1.1</t>
  </si>
  <si>
    <t xml:space="preserve">Mzdy MŠ Nesluša</t>
  </si>
  <si>
    <t xml:space="preserve">09.1.2.1</t>
  </si>
  <si>
    <t xml:space="preserve">Školský metodik</t>
  </si>
  <si>
    <t xml:space="preserve">Podprogram 1.3 Správa a údržba majetku</t>
  </si>
  <si>
    <t xml:space="preserve">04.2.2</t>
  </si>
  <si>
    <t xml:space="preserve">Lesy</t>
  </si>
  <si>
    <t xml:space="preserve">06.1.0</t>
  </si>
  <si>
    <t xml:space="preserve">Byty</t>
  </si>
  <si>
    <t xml:space="preserve">Ťažba dreva, výsadba</t>
  </si>
  <si>
    <t xml:space="preserve">Revízie el. zariadení</t>
  </si>
  <si>
    <t xml:space="preserve">Podprogram 1.4 Voľby</t>
  </si>
  <si>
    <t xml:space="preserve">01.6.0</t>
  </si>
  <si>
    <t xml:space="preserve">PROGRAM 2 - ŠKOLSTVO</t>
  </si>
  <si>
    <t xml:space="preserve">Podprogram 2.1 Materská škola</t>
  </si>
  <si>
    <t xml:space="preserve">Podprogram 2.2 Základná škola</t>
  </si>
  <si>
    <t xml:space="preserve">09.2.1.1</t>
  </si>
  <si>
    <t xml:space="preserve">Originálne kompetencie</t>
  </si>
  <si>
    <t xml:space="preserve">Podprogram 2.3 Centrum voľného času</t>
  </si>
  <si>
    <t xml:space="preserve">09.5.0</t>
  </si>
  <si>
    <t xml:space="preserve">PROGRAM 3 - VODA</t>
  </si>
  <si>
    <t xml:space="preserve">Podprogram 3.1 Verejný vodovod</t>
  </si>
  <si>
    <t xml:space="preserve">06.3.0</t>
  </si>
  <si>
    <t xml:space="preserve">Údržba vodovodu</t>
  </si>
  <si>
    <t xml:space="preserve">Vodomery</t>
  </si>
  <si>
    <t xml:space="preserve">Rozbor vody</t>
  </si>
  <si>
    <t xml:space="preserve">Prevádzkovanie vodovodu</t>
  </si>
  <si>
    <t xml:space="preserve">Odber podzemnej vody</t>
  </si>
  <si>
    <t xml:space="preserve">Podprogram 3.2 Skupinové vodovody</t>
  </si>
  <si>
    <t xml:space="preserve">PROGRAM 4 - ODPADOVÉ HOSPODÁRSTVO A ŽIVOTNÉ PROSTREDIE</t>
  </si>
  <si>
    <t xml:space="preserve">Podprogram 4.1 Komunálny odpad</t>
  </si>
  <si>
    <t xml:space="preserve">05.1.0</t>
  </si>
  <si>
    <t xml:space="preserve">Podprogram 4.2 Separovaný zber</t>
  </si>
  <si>
    <t xml:space="preserve">Kompostéry do domácností</t>
  </si>
  <si>
    <t xml:space="preserve">Odvoz odpadu</t>
  </si>
  <si>
    <t xml:space="preserve">Podprogram 4.3 Zberný dvor</t>
  </si>
  <si>
    <t xml:space="preserve">Podprogram 4.4 Likvidácia skládok</t>
  </si>
  <si>
    <t xml:space="preserve">PROGRAM 5 - PROSTREDIE PRE ŽIVOT</t>
  </si>
  <si>
    <t xml:space="preserve">Podprogram 5.1 Bezpečnosť</t>
  </si>
  <si>
    <t xml:space="preserve">Prvok 5.1.1 Protipožiarna ochrana</t>
  </si>
  <si>
    <t xml:space="preserve">03.2.0</t>
  </si>
  <si>
    <t xml:space="preserve">02.2.0</t>
  </si>
  <si>
    <t xml:space="preserve">Prvok 5.1.2 Civilná obrana</t>
  </si>
  <si>
    <t xml:space="preserve">Prvok 5.1.3 Verejné osvetlenie</t>
  </si>
  <si>
    <t xml:space="preserve">06.4.0</t>
  </si>
  <si>
    <t xml:space="preserve">Dohoda</t>
  </si>
  <si>
    <t xml:space="preserve">Prvok 5.1.4 Kamerový systém</t>
  </si>
  <si>
    <t xml:space="preserve">03.6.0</t>
  </si>
  <si>
    <t xml:space="preserve">Podprogram 5.2 Komunikácie a verejné priestranstvá</t>
  </si>
  <si>
    <t xml:space="preserve">Prvok 5.2.1 Miestne komunikácie</t>
  </si>
  <si>
    <t xml:space="preserve">04.5.1</t>
  </si>
  <si>
    <t xml:space="preserve">Zimná údržba</t>
  </si>
  <si>
    <t xml:space="preserve">Cesty a chodníky</t>
  </si>
  <si>
    <t xml:space="preserve">Kanály</t>
  </si>
  <si>
    <t xml:space="preserve">Prvok 5.2.2 Verejné priestranstvá</t>
  </si>
  <si>
    <t xml:space="preserve">06.2.0</t>
  </si>
  <si>
    <t xml:space="preserve">Prvok 5.2.3 Regionálny rozvoj</t>
  </si>
  <si>
    <t xml:space="preserve">1AC</t>
  </si>
  <si>
    <t xml:space="preserve">Európsky sociálny fond</t>
  </si>
  <si>
    <t xml:space="preserve">PROGRAM 6 - ŠPORT, KULTÚRA A INÉ SPOLOČENSKÉ SLUŽBY</t>
  </si>
  <si>
    <t xml:space="preserve">Podprogram 6.1 Šport</t>
  </si>
  <si>
    <t xml:space="preserve">Prvok 6.1.1 Futbalový klub</t>
  </si>
  <si>
    <t xml:space="preserve">08.1.0</t>
  </si>
  <si>
    <t xml:space="preserve">Prvok 6.1.2 Ostatné športové kluby</t>
  </si>
  <si>
    <t xml:space="preserve">Šachový klub</t>
  </si>
  <si>
    <t xml:space="preserve">Stolný tenis</t>
  </si>
  <si>
    <t xml:space="preserve">Neslušskí vlci</t>
  </si>
  <si>
    <t xml:space="preserve">Nerozdelené</t>
  </si>
  <si>
    <t xml:space="preserve">Podprogram 6.2 Kultúra</t>
  </si>
  <si>
    <t xml:space="preserve">Prvok 6.2.1 Kultúrny dom</t>
  </si>
  <si>
    <t xml:space="preserve">08.2.0</t>
  </si>
  <si>
    <t xml:space="preserve">Dohoda správca</t>
  </si>
  <si>
    <t xml:space="preserve">Prvok 6.2.2 Kultúrne akcie</t>
  </si>
  <si>
    <t xml:space="preserve">Chomút</t>
  </si>
  <si>
    <t xml:space="preserve">Rocknes</t>
  </si>
  <si>
    <t xml:space="preserve">650. výročie obce</t>
  </si>
  <si>
    <t xml:space="preserve">Hody a iné podujatia</t>
  </si>
  <si>
    <t xml:space="preserve">Knihy (publikovanie)</t>
  </si>
  <si>
    <t xml:space="preserve">Prvok 6.2.3 Knižnica</t>
  </si>
  <si>
    <t xml:space="preserve">Podprogram 6.3 Iné služby</t>
  </si>
  <si>
    <t xml:space="preserve">Prvok 6.3.1 Pohrebná služby</t>
  </si>
  <si>
    <t xml:space="preserve">08.4.0</t>
  </si>
  <si>
    <t xml:space="preserve">Pohrebná služba Lisko</t>
  </si>
  <si>
    <t xml:space="preserve">Prvok 6.3.2 Náboženské a spoločenské spolky a združenia</t>
  </si>
  <si>
    <t xml:space="preserve">SO ZŤP a ZPCCH</t>
  </si>
  <si>
    <t xml:space="preserve">Červený kríž</t>
  </si>
  <si>
    <t xml:space="preserve">Priatelia Kysúc</t>
  </si>
  <si>
    <t xml:space="preserve">Jednota dôchodcov</t>
  </si>
  <si>
    <t xml:space="preserve">Cirkev</t>
  </si>
  <si>
    <t xml:space="preserve">PROGRAM 7 - SOLIDARITA</t>
  </si>
  <si>
    <t xml:space="preserve">Podprogram 7.1 Staroba</t>
  </si>
  <si>
    <t xml:space="preserve">Prvok 7.1.1 Dom opatrovateľskej služby</t>
  </si>
  <si>
    <t xml:space="preserve">10.2.0</t>
  </si>
  <si>
    <t xml:space="preserve">Odstupné s odvodmi a súdne trovy</t>
  </si>
  <si>
    <t xml:space="preserve">Koks</t>
  </si>
  <si>
    <t xml:space="preserve">Prvok 7.1.2 Starostlivosť o starých občanov</t>
  </si>
  <si>
    <t xml:space="preserve">Stravovanie</t>
  </si>
  <si>
    <t xml:space="preserve">Jubilanti</t>
  </si>
  <si>
    <t xml:space="preserve">Podprogram 7.2 Rodina a hmotná núdza</t>
  </si>
  <si>
    <t xml:space="preserve">10.4.0</t>
  </si>
  <si>
    <t xml:space="preserve">10.7.0</t>
  </si>
  <si>
    <t xml:space="preserve">Podprogram 7.3 Nezamestnanosť – zrušený</t>
  </si>
  <si>
    <t xml:space="preserve">PROGRAM 8 - INVESTÍCIE</t>
  </si>
  <si>
    <t xml:space="preserve">Podprogram 8.1 Samospráva</t>
  </si>
  <si>
    <t xml:space="preserve">01.1.1-710</t>
  </si>
  <si>
    <t xml:space="preserve">Rekonštrukcia obecného úradu</t>
  </si>
  <si>
    <t xml:space="preserve">- schodisko a vonkajší sokel</t>
  </si>
  <si>
    <t xml:space="preserve">- strecha</t>
  </si>
  <si>
    <t xml:space="preserve">- výmena plynového kotla</t>
  </si>
  <si>
    <t xml:space="preserve">- 2. nadzemné podlažie</t>
  </si>
  <si>
    <t xml:space="preserve">Kúpa rýpadla (+ lízing v P9)</t>
  </si>
  <si>
    <t xml:space="preserve">Kúpa motorového vozidla</t>
  </si>
  <si>
    <t xml:space="preserve">Podprogram 8.2 Školstvo</t>
  </si>
  <si>
    <t xml:space="preserve">09.1.1.1-710</t>
  </si>
  <si>
    <t xml:space="preserve">MŠ - zateplenie</t>
  </si>
  <si>
    <t xml:space="preserve">MŠ - nábytok</t>
  </si>
  <si>
    <t xml:space="preserve">MŠ - rozšírenie kapacity</t>
  </si>
  <si>
    <t xml:space="preserve">ZŠ - átrium</t>
  </si>
  <si>
    <t xml:space="preserve">ZŠ - rekonštrukcia WC</t>
  </si>
  <si>
    <t xml:space="preserve">ZŠ – strecha a telocvičňa</t>
  </si>
  <si>
    <t xml:space="preserve">ZŠ - neurčené</t>
  </si>
  <si>
    <t xml:space="preserve">Podprogram 8.3 Voda</t>
  </si>
  <si>
    <t xml:space="preserve">06.3.0-710</t>
  </si>
  <si>
    <t xml:space="preserve">Nové trasy</t>
  </si>
  <si>
    <t xml:space="preserve">Vodojem Chovancovce</t>
  </si>
  <si>
    <t xml:space="preserve">Rekonštrukcia Močariny</t>
  </si>
  <si>
    <t xml:space="preserve">Rekonštruckia vodojemov</t>
  </si>
  <si>
    <t xml:space="preserve">Projekt obecného vodovodu</t>
  </si>
  <si>
    <t xml:space="preserve">Podprogram 8.4 Odpadové hospodárstvo a životné prostredie</t>
  </si>
  <si>
    <t xml:space="preserve">05.1.0-710</t>
  </si>
  <si>
    <t xml:space="preserve">Zberný dvor – zametacie zariadenie</t>
  </si>
  <si>
    <t xml:space="preserve">Podprogram 8.5 Prostredie pre život</t>
  </si>
  <si>
    <t xml:space="preserve">04.5.1-710</t>
  </si>
  <si>
    <t xml:space="preserve">Výstavba miestnych komunikácií</t>
  </si>
  <si>
    <t xml:space="preserve">Projekt ciest v extraviláne</t>
  </si>
  <si>
    <t xml:space="preserve">06.2.0-710</t>
  </si>
  <si>
    <t xml:space="preserve">Projekt centra obce</t>
  </si>
  <si>
    <t xml:space="preserve">Rekonštrukcia centra obce</t>
  </si>
  <si>
    <t xml:space="preserve">Átrium v centre obce</t>
  </si>
  <si>
    <t xml:space="preserve">Detské ihrisko v centre obce</t>
  </si>
  <si>
    <t xml:space="preserve">Regulácia potoka - projekt, obstarávanie</t>
  </si>
  <si>
    <t xml:space="preserve">Regulácia potoka - realizácia (dotácia)</t>
  </si>
  <si>
    <t xml:space="preserve">Regulácia potoka - realizácia (vlastné)</t>
  </si>
  <si>
    <t xml:space="preserve">03.2.0-710</t>
  </si>
  <si>
    <t xml:space="preserve">Rekonštrukcia požiarnej zbrojnice</t>
  </si>
  <si>
    <t xml:space="preserve">03.6.0-710</t>
  </si>
  <si>
    <t xml:space="preserve">Kamerový systém (z dotácie)</t>
  </si>
  <si>
    <t xml:space="preserve">Kamerový systém (vlastné)</t>
  </si>
  <si>
    <t xml:space="preserve">Podprogram 8.6 Šport, kultúra a iné spoločenské služby</t>
  </si>
  <si>
    <t xml:space="preserve">08.1.0-710</t>
  </si>
  <si>
    <t xml:space="preserve">Projektová dokumentácia</t>
  </si>
  <si>
    <t xml:space="preserve">Vysporiadanie pozemkov (nezistení vlastníci)</t>
  </si>
  <si>
    <t xml:space="preserve">Vysporiadanie pozemkov (žijúci)</t>
  </si>
  <si>
    <t xml:space="preserve">Rekonštrukcia tribúny</t>
  </si>
  <si>
    <t xml:space="preserve">Podprogram 8.7 Solidarita</t>
  </si>
  <si>
    <t xml:space="preserve">10.2.0-710</t>
  </si>
  <si>
    <t xml:space="preserve">DOS - výmena okien</t>
  </si>
  <si>
    <t xml:space="preserve">DOS - štúdia prestavby HŠ</t>
  </si>
  <si>
    <t xml:space="preserve">DOS – zníženie energetickej náročnosti</t>
  </si>
  <si>
    <t xml:space="preserve">DOS - plynofikácia</t>
  </si>
  <si>
    <t xml:space="preserve">Podprogram 8.8 Plánovanie</t>
  </si>
  <si>
    <t xml:space="preserve">04.4.3-710</t>
  </si>
  <si>
    <t xml:space="preserve">Územný plán</t>
  </si>
  <si>
    <t xml:space="preserve">PROGRAM 9 - VYROVNANIE DLHU</t>
  </si>
  <si>
    <t xml:space="preserve">Podprogram 9.1 Splácanie úverov</t>
  </si>
  <si>
    <t xml:space="preserve">Splácanie úrokov</t>
  </si>
  <si>
    <t xml:space="preserve">Splácanie istiny</t>
  </si>
  <si>
    <t xml:space="preserve">#</t>
  </si>
  <si>
    <t xml:space="preserve">číslo štvrťroku</t>
  </si>
  <si>
    <t xml:space="preserve">Skutočnosť v roku 2014</t>
  </si>
  <si>
    <t xml:space="preserve">Skutočnosť v roku 2015</t>
  </si>
  <si>
    <t xml:space="preserve">Schválený rozpočet na rok 2016</t>
  </si>
  <si>
    <t xml:space="preserve">Skutočnosť v roku 2016</t>
  </si>
  <si>
    <t xml:space="preserve">Schválený rozpočet na rok 2017</t>
  </si>
  <si>
    <t xml:space="preserve">Schválený rozpočet na rok 2018</t>
  </si>
  <si>
    <t xml:space="preserve">Schválený rozpočet na rok 2019</t>
  </si>
  <si>
    <t xml:space="preserve">CVČ</t>
  </si>
  <si>
    <t xml:space="preserve">centrum voľného času</t>
  </si>
  <si>
    <t xml:space="preserve">Č#</t>
  </si>
  <si>
    <t xml:space="preserve">čerpanie v kvartáli # v eurách</t>
  </si>
  <si>
    <t xml:space="preserve">Dom opatrovateľskej služby</t>
  </si>
  <si>
    <t xml:space="preserve">ekonomická klasifikácia</t>
  </si>
  <si>
    <t xml:space="preserve">ESF</t>
  </si>
  <si>
    <t xml:space="preserve">ESMAO</t>
  </si>
  <si>
    <t xml:space="preserve">Elektronické služby miest a obcí (e-gov)</t>
  </si>
  <si>
    <t xml:space="preserve">funkčná klasifikácia</t>
  </si>
  <si>
    <t xml:space="preserve">HŠ</t>
  </si>
  <si>
    <t xml:space="preserve">bývalá horná škola</t>
  </si>
  <si>
    <t xml:space="preserve">KV</t>
  </si>
  <si>
    <t xml:space="preserve">kapitálové výdavky</t>
  </si>
  <si>
    <t xml:space="preserve">MŠ</t>
  </si>
  <si>
    <t xml:space="preserve">Materská škola Nesluša</t>
  </si>
  <si>
    <t xml:space="preserve">P#</t>
  </si>
  <si>
    <t xml:space="preserve">plnenie v kvartáli # v percentách</t>
  </si>
  <si>
    <t xml:space="preserve">program</t>
  </si>
  <si>
    <t xml:space="preserve">podprogram</t>
  </si>
  <si>
    <t xml:space="preserve">prvok</t>
  </si>
  <si>
    <t xml:space="preserve">účtované v účtovníctve rozpočtovej organizácie Základná škola Nesluša</t>
  </si>
  <si>
    <t xml:space="preserve">SO ZŤP</t>
  </si>
  <si>
    <t xml:space="preserve">spojená organizáciu zdravotne ťažko postihnutých a zväzu postihnutých civilizačnými chorobami</t>
  </si>
  <si>
    <t xml:space="preserve">SZP</t>
  </si>
  <si>
    <t xml:space="preserve">sociálne znevýhodnené prostredie</t>
  </si>
  <si>
    <t xml:space="preserve">ŠJ</t>
  </si>
  <si>
    <t xml:space="preserve">školská jedáleň</t>
  </si>
  <si>
    <t xml:space="preserve">U#</t>
  </si>
  <si>
    <t xml:space="preserve">úpravy v kvartáli #</t>
  </si>
  <si>
    <t xml:space="preserve">URBIS</t>
  </si>
  <si>
    <t xml:space="preserve">informačný systém (účtovníctvo, administratíva, evidencie, dane...)</t>
  </si>
  <si>
    <t xml:space="preserve">ZŠ</t>
  </si>
  <si>
    <t xml:space="preserve">Základná škola Nesluša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</si>
</sst>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1B];[RED]\-#,##0.00\ [$€-41B]"/>
    <numFmt numFmtId="166" formatCode="0\ %"/>
    <numFmt numFmtId="167" formatCode="#,##0.00"/>
    <numFmt numFmtId="168" formatCode="D/M/YYYY"/>
    <numFmt numFmtId="169" formatCode="0.00\ %"/>
  </numFmts>
  <fonts count="17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0"/>
    </font>
    <font>
      <b val="true"/>
      <i val="true"/>
      <sz val="16"/>
      <color rgb="FF000000"/>
      <name val="Calibri"/>
      <family val="0"/>
    </font>
    <font>
      <sz val="11"/>
      <color rgb="FF00000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000000"/>
      <name val="Arial"/>
      <family val="2"/>
    </font>
    <font>
      <b val="true"/>
      <sz val="9"/>
      <color rgb="FF000000"/>
      <name val="Segoe UI"/>
      <family val="0"/>
    </font>
    <font>
      <sz val="9"/>
      <color rgb="FF000000"/>
      <name val="Segoe UI"/>
      <family val="0"/>
    </font>
    <font>
      <i val="true"/>
      <sz val="10"/>
      <color rgb="FF000000"/>
      <name val="Arial"/>
      <family val="2"/>
    </font>
    <font>
      <b val="true"/>
      <strike val="true"/>
      <sz val="10"/>
      <color rgb="FF000000"/>
      <name val="Arial"/>
      <family val="2"/>
    </font>
    <font>
      <strike val="true"/>
      <sz val="10"/>
      <color rgb="FF000000"/>
      <name val="Arial"/>
      <family val="2"/>
    </font>
    <font>
      <i val="true"/>
      <strike val="true"/>
      <sz val="10"/>
      <color rgb="FF00000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5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13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14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Výsledok" xfId="20" builtinId="53" customBuiltin="true"/>
    <cellStyle name="Výsledok2" xfId="21" builtinId="53" customBuiltin="true"/>
    <cellStyle name="Nadpis" xfId="22" builtinId="53" customBuiltin="true"/>
    <cellStyle name="Nadpis1" xfId="23" builtinId="53" customBuiltin="true"/>
    <cellStyle name="Normálne 2" xfId="24" builtinId="53" customBuiltin="true"/>
  </cellStyles>
  <dxfs count="1">
    <dxf>
      <font>
        <name val="Calibri"/>
        <family val="0"/>
        <color rgb="FF000000"/>
      </font>
      <numFmt numFmtId="164" formatCode="General"/>
      <fill>
        <patternFill>
          <bgColor rgb="00FFFFFF"/>
        </patternFill>
      </fill>
      <alignment horizontal="general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23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" width="11.22"/>
    <col collapsed="false" customWidth="true" hidden="false" outlineLevel="0" max="2" min="2" style="1" width="8.64"/>
    <col collapsed="false" customWidth="true" hidden="false" outlineLevel="0" max="3" min="3" style="1" width="18.09"/>
    <col collapsed="false" customWidth="true" hidden="true" outlineLevel="0" max="7" min="4" style="1" width="11.22"/>
    <col collapsed="false" customWidth="true" hidden="false" outlineLevel="0" max="8" min="8" style="1" width="10.97"/>
    <col collapsed="false" customWidth="true" hidden="true" outlineLevel="0" max="12" min="9" style="1" width="10.82"/>
    <col collapsed="false" customWidth="true" hidden="false" outlineLevel="0" max="14" min="13" style="1" width="10.97"/>
    <col collapsed="false" customWidth="true" hidden="false" outlineLevel="0" max="15" min="15" style="2" width="5.41"/>
    <col collapsed="false" customWidth="true" hidden="false" outlineLevel="0" max="16" min="16" style="1" width="10.97"/>
    <col collapsed="false" customWidth="true" hidden="false" outlineLevel="0" max="17" min="17" style="2" width="5.41"/>
    <col collapsed="false" customWidth="true" hidden="false" outlineLevel="0" max="18" min="18" style="1" width="10.97"/>
    <col collapsed="false" customWidth="true" hidden="false" outlineLevel="0" max="19" min="19" style="2" width="5.41"/>
    <col collapsed="false" customWidth="true" hidden="false" outlineLevel="0" max="20" min="20" style="1" width="10.97"/>
    <col collapsed="false" customWidth="true" hidden="false" outlineLevel="0" max="21" min="21" style="2" width="5.62"/>
    <col collapsed="false" customWidth="true" hidden="true" outlineLevel="0" max="23" min="22" style="1" width="11.22"/>
    <col collapsed="false" customWidth="true" hidden="false" outlineLevel="0" max="1025" min="24" style="1" width="8.64"/>
  </cols>
  <sheetData>
    <row r="1" customFormat="false" ht="12.8" hidden="false" customHeight="fals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4"/>
      <c r="Q1" s="5"/>
      <c r="R1" s="4"/>
      <c r="S1" s="5"/>
      <c r="T1" s="4"/>
      <c r="U1" s="5"/>
      <c r="V1" s="4"/>
      <c r="W1" s="4"/>
    </row>
    <row r="2" customFormat="false" ht="12.8" hidden="false" customHeight="false" outlineLevel="0" collapsed="false">
      <c r="A2" s="6"/>
      <c r="B2" s="6"/>
      <c r="C2" s="6"/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8" t="s">
        <v>12</v>
      </c>
      <c r="P2" s="7" t="s">
        <v>13</v>
      </c>
      <c r="Q2" s="8" t="s">
        <v>14</v>
      </c>
      <c r="R2" s="7" t="s">
        <v>15</v>
      </c>
      <c r="S2" s="8" t="s">
        <v>16</v>
      </c>
      <c r="T2" s="7" t="s">
        <v>17</v>
      </c>
      <c r="U2" s="8" t="s">
        <v>18</v>
      </c>
      <c r="V2" s="7" t="s">
        <v>19</v>
      </c>
      <c r="W2" s="7" t="s">
        <v>20</v>
      </c>
    </row>
    <row r="3" customFormat="false" ht="12.8" hidden="false" customHeight="true" outlineLevel="0" collapsed="false">
      <c r="A3" s="9" t="s">
        <v>21</v>
      </c>
      <c r="B3" s="10" t="n">
        <v>111</v>
      </c>
      <c r="C3" s="10" t="s">
        <v>22</v>
      </c>
      <c r="D3" s="11" t="n">
        <f aca="false">D71-D7</f>
        <v>463118.16</v>
      </c>
      <c r="E3" s="11" t="n">
        <f aca="false">E71-E7</f>
        <v>485396.55</v>
      </c>
      <c r="F3" s="11" t="n">
        <f aca="false">F71-F7</f>
        <v>513430</v>
      </c>
      <c r="G3" s="11" t="n">
        <f aca="false">G71-G7</f>
        <v>514326.47</v>
      </c>
      <c r="H3" s="11" t="n">
        <f aca="false">H71-H7</f>
        <v>488742</v>
      </c>
      <c r="I3" s="11" t="n">
        <f aca="false">I71-I7</f>
        <v>0</v>
      </c>
      <c r="J3" s="11" t="n">
        <f aca="false">J71-J7</f>
        <v>1195</v>
      </c>
      <c r="K3" s="11" t="n">
        <f aca="false">K71-K7</f>
        <v>83</v>
      </c>
      <c r="L3" s="11" t="n">
        <f aca="false">L71-L7</f>
        <v>7965</v>
      </c>
      <c r="M3" s="11" t="n">
        <f aca="false">H3+SUM(I3:L3)</f>
        <v>497985</v>
      </c>
      <c r="N3" s="11" t="n">
        <f aca="false">N71-N7</f>
        <v>143253.28</v>
      </c>
      <c r="O3" s="12" t="n">
        <f aca="false">N3/$M3</f>
        <v>0.287665853389158</v>
      </c>
      <c r="P3" s="11" t="n">
        <f aca="false">P71-P7</f>
        <v>258422.33</v>
      </c>
      <c r="Q3" s="12" t="n">
        <f aca="false">P3/$M3</f>
        <v>0.518935971967027</v>
      </c>
      <c r="R3" s="11" t="n">
        <f aca="false">R71-R7</f>
        <v>372644.48</v>
      </c>
      <c r="S3" s="12" t="n">
        <f aca="false">R3/$M3</f>
        <v>0.748304627649427</v>
      </c>
      <c r="T3" s="11" t="n">
        <f aca="false">T71-T7</f>
        <v>498082.49</v>
      </c>
      <c r="U3" s="13" t="n">
        <f aca="false">T3/$M3</f>
        <v>1.00019576894886</v>
      </c>
      <c r="V3" s="11" t="n">
        <f aca="false">V71-V7</f>
        <v>478886</v>
      </c>
      <c r="W3" s="11" t="n">
        <f aca="false">W71-W7</f>
        <v>482886</v>
      </c>
    </row>
    <row r="4" customFormat="false" ht="12.8" hidden="false" customHeight="false" outlineLevel="0" collapsed="false">
      <c r="A4" s="9"/>
      <c r="B4" s="10" t="n">
        <v>41</v>
      </c>
      <c r="C4" s="10" t="s">
        <v>23</v>
      </c>
      <c r="D4" s="11" t="n">
        <f aca="false">D23+D41-D8</f>
        <v>815576.11</v>
      </c>
      <c r="E4" s="11" t="n">
        <f aca="false">E23+E41-E8</f>
        <v>900364.65</v>
      </c>
      <c r="F4" s="11" t="n">
        <f aca="false">F23+F41-F8</f>
        <v>954999</v>
      </c>
      <c r="G4" s="11" t="n">
        <f aca="false">G23+G41-G8</f>
        <v>1022076.97</v>
      </c>
      <c r="H4" s="11" t="n">
        <f aca="false">H23+H41-H8</f>
        <v>1056676</v>
      </c>
      <c r="I4" s="11" t="n">
        <f aca="false">I23+I41-I8</f>
        <v>506</v>
      </c>
      <c r="J4" s="11" t="n">
        <f aca="false">J23+J41-J8</f>
        <v>501</v>
      </c>
      <c r="K4" s="11" t="n">
        <f aca="false">K23+K41-K8</f>
        <v>2589</v>
      </c>
      <c r="L4" s="11" t="n">
        <f aca="false">L23+L41-L8</f>
        <v>-213</v>
      </c>
      <c r="M4" s="11" t="n">
        <f aca="false">H4+SUM(I4:L4)</f>
        <v>1060059</v>
      </c>
      <c r="N4" s="11" t="n">
        <f aca="false">N23+N41-N8</f>
        <v>289901.23</v>
      </c>
      <c r="O4" s="12" t="n">
        <f aca="false">N4/$M4</f>
        <v>0.273476504609649</v>
      </c>
      <c r="P4" s="11" t="n">
        <f aca="false">P23+P41-P8</f>
        <v>532096.54</v>
      </c>
      <c r="Q4" s="12" t="n">
        <f aca="false">P4/$M4</f>
        <v>0.501949929202054</v>
      </c>
      <c r="R4" s="11" t="n">
        <f aca="false">R23+R41-R8</f>
        <v>809996.71</v>
      </c>
      <c r="S4" s="12" t="n">
        <f aca="false">R4/$M4</f>
        <v>0.764105309232788</v>
      </c>
      <c r="T4" s="11" t="n">
        <f aca="false">T23+T41-T8</f>
        <v>1081720.24</v>
      </c>
      <c r="U4" s="13" t="n">
        <f aca="false">T4/$M4</f>
        <v>1.02043399471162</v>
      </c>
      <c r="V4" s="11" t="n">
        <f aca="false">V23+V41-V8</f>
        <v>1056676</v>
      </c>
      <c r="W4" s="11" t="n">
        <f aca="false">W23+W41-W8</f>
        <v>1056676</v>
      </c>
    </row>
    <row r="5" customFormat="false" ht="12.8" hidden="false" customHeight="false" outlineLevel="0" collapsed="false">
      <c r="A5" s="9"/>
      <c r="B5" s="10" t="n">
        <v>71</v>
      </c>
      <c r="C5" s="10" t="s">
        <v>24</v>
      </c>
      <c r="D5" s="11" t="n">
        <f aca="false">D72</f>
        <v>1620.36</v>
      </c>
      <c r="E5" s="11" t="n">
        <f aca="false">E72</f>
        <v>1317.12</v>
      </c>
      <c r="F5" s="11" t="n">
        <f aca="false">F72</f>
        <v>0</v>
      </c>
      <c r="G5" s="11" t="n">
        <f aca="false">G72</f>
        <v>700</v>
      </c>
      <c r="H5" s="11" t="n">
        <f aca="false">H72</f>
        <v>700</v>
      </c>
      <c r="I5" s="11" t="n">
        <f aca="false">I72</f>
        <v>0</v>
      </c>
      <c r="J5" s="11" t="n">
        <f aca="false">J72</f>
        <v>700</v>
      </c>
      <c r="K5" s="11" t="n">
        <f aca="false">K72</f>
        <v>0</v>
      </c>
      <c r="L5" s="11" t="n">
        <f aca="false">L72</f>
        <v>0</v>
      </c>
      <c r="M5" s="11" t="n">
        <f aca="false">H5+SUM(I5:L5)</f>
        <v>1400</v>
      </c>
      <c r="N5" s="11" t="n">
        <f aca="false">N72</f>
        <v>0</v>
      </c>
      <c r="O5" s="12" t="n">
        <f aca="false">N5/$M5</f>
        <v>0</v>
      </c>
      <c r="P5" s="11" t="n">
        <f aca="false">P72</f>
        <v>1400</v>
      </c>
      <c r="Q5" s="12" t="n">
        <f aca="false">P5/$M5</f>
        <v>1</v>
      </c>
      <c r="R5" s="11" t="n">
        <f aca="false">R72</f>
        <v>1400</v>
      </c>
      <c r="S5" s="12" t="n">
        <f aca="false">R5/$M5</f>
        <v>1</v>
      </c>
      <c r="T5" s="11" t="n">
        <f aca="false">T72</f>
        <v>1400</v>
      </c>
      <c r="U5" s="13" t="n">
        <f aca="false">T5/$M5</f>
        <v>1</v>
      </c>
      <c r="V5" s="11" t="n">
        <f aca="false">V72</f>
        <v>0</v>
      </c>
      <c r="W5" s="11" t="n">
        <f aca="false">W72</f>
        <v>0</v>
      </c>
    </row>
    <row r="6" customFormat="false" ht="12.8" hidden="false" customHeight="false" outlineLevel="0" collapsed="false">
      <c r="A6" s="9"/>
      <c r="B6" s="10"/>
      <c r="C6" s="14" t="s">
        <v>25</v>
      </c>
      <c r="D6" s="15" t="n">
        <f aca="false">SUM(D3:D5)</f>
        <v>1280314.63</v>
      </c>
      <c r="E6" s="15" t="n">
        <f aca="false">SUM(E3:E5)</f>
        <v>1387078.32</v>
      </c>
      <c r="F6" s="15" t="n">
        <f aca="false">SUM(F3:F5)</f>
        <v>1468429</v>
      </c>
      <c r="G6" s="15" t="n">
        <f aca="false">SUM(G3:G5)</f>
        <v>1537103.44</v>
      </c>
      <c r="H6" s="15" t="n">
        <f aca="false">SUM(H3:H5)</f>
        <v>1546118</v>
      </c>
      <c r="I6" s="15" t="n">
        <f aca="false">SUM(I3:I5)</f>
        <v>506</v>
      </c>
      <c r="J6" s="15" t="n">
        <f aca="false">SUM(J3:J5)</f>
        <v>2396</v>
      </c>
      <c r="K6" s="15" t="n">
        <f aca="false">SUM(K3:K5)</f>
        <v>2672</v>
      </c>
      <c r="L6" s="15" t="n">
        <f aca="false">SUM(L3:L5)</f>
        <v>7752</v>
      </c>
      <c r="M6" s="15" t="n">
        <f aca="false">SUM(M3:M5)</f>
        <v>1559444</v>
      </c>
      <c r="N6" s="15" t="n">
        <f aca="false">SUM(N3:N5)</f>
        <v>433154.51</v>
      </c>
      <c r="O6" s="16" t="n">
        <f aca="false">N6/$M6</f>
        <v>0.277762144713116</v>
      </c>
      <c r="P6" s="15" t="n">
        <f aca="false">SUM(P3:P5)</f>
        <v>791918.87</v>
      </c>
      <c r="Q6" s="16" t="n">
        <f aca="false">P6/$M6</f>
        <v>0.507821293999656</v>
      </c>
      <c r="R6" s="15" t="n">
        <f aca="false">SUM(R3:R5)</f>
        <v>1184041.19</v>
      </c>
      <c r="S6" s="16" t="n">
        <f aca="false">R6/$M6</f>
        <v>0.759271374925935</v>
      </c>
      <c r="T6" s="15" t="n">
        <f aca="false">SUM(T3:T5)</f>
        <v>1581202.73</v>
      </c>
      <c r="U6" s="17" t="n">
        <f aca="false">T6/$M6</f>
        <v>1.01395287679455</v>
      </c>
      <c r="V6" s="15" t="n">
        <f aca="false">SUM(V3:V5)</f>
        <v>1535562</v>
      </c>
      <c r="W6" s="15" t="n">
        <f aca="false">SUM(W3:W5)</f>
        <v>1539562</v>
      </c>
    </row>
    <row r="7" customFormat="false" ht="12.8" hidden="false" customHeight="false" outlineLevel="0" collapsed="false">
      <c r="A7" s="9"/>
      <c r="B7" s="10" t="n">
        <v>111</v>
      </c>
      <c r="C7" s="10" t="s">
        <v>22</v>
      </c>
      <c r="D7" s="11" t="n">
        <f aca="false">D104</f>
        <v>10000</v>
      </c>
      <c r="E7" s="11" t="n">
        <f aca="false">E104</f>
        <v>0</v>
      </c>
      <c r="F7" s="11" t="n">
        <f aca="false">F104</f>
        <v>0</v>
      </c>
      <c r="G7" s="11" t="n">
        <f aca="false">G104</f>
        <v>50000</v>
      </c>
      <c r="H7" s="11" t="n">
        <f aca="false">H100+H101+H103</f>
        <v>1505300</v>
      </c>
      <c r="I7" s="11" t="n">
        <f aca="false">I100+I101+I103</f>
        <v>0</v>
      </c>
      <c r="J7" s="11" t="n">
        <f aca="false">J100+J101+J103</f>
        <v>0</v>
      </c>
      <c r="K7" s="11" t="n">
        <f aca="false">K100+K101+K103</f>
        <v>0</v>
      </c>
      <c r="L7" s="11" t="n">
        <f aca="false">L100+L101+L103</f>
        <v>-1505300</v>
      </c>
      <c r="M7" s="11" t="n">
        <f aca="false">H7+SUM(I7:L7)</f>
        <v>0</v>
      </c>
      <c r="N7" s="11" t="n">
        <f aca="false">N100+N101+N103</f>
        <v>0</v>
      </c>
      <c r="O7" s="12" t="e">
        <f aca="false">N7/$M7</f>
        <v>#DIV/0!</v>
      </c>
      <c r="P7" s="11" t="n">
        <f aca="false">P100+P101+P103</f>
        <v>0</v>
      </c>
      <c r="Q7" s="12" t="e">
        <f aca="false">P7/$M7</f>
        <v>#DIV/0!</v>
      </c>
      <c r="R7" s="11" t="n">
        <f aca="false">R100+R101+R103</f>
        <v>0</v>
      </c>
      <c r="S7" s="12" t="e">
        <f aca="false">R7/$M7</f>
        <v>#DIV/0!</v>
      </c>
      <c r="T7" s="11" t="n">
        <f aca="false">T99+T100+T101+T103</f>
        <v>113000</v>
      </c>
      <c r="U7" s="13" t="e">
        <f aca="false">T7/$M7</f>
        <v>#DIV/0!</v>
      </c>
      <c r="V7" s="11" t="n">
        <f aca="false">V102</f>
        <v>274600</v>
      </c>
      <c r="W7" s="11" t="n">
        <f aca="false">W104</f>
        <v>0</v>
      </c>
    </row>
    <row r="8" customFormat="false" ht="12.8" hidden="false" customHeight="false" outlineLevel="0" collapsed="false">
      <c r="A8" s="9"/>
      <c r="B8" s="10" t="n">
        <v>43</v>
      </c>
      <c r="C8" s="10" t="s">
        <v>23</v>
      </c>
      <c r="D8" s="11" t="n">
        <f aca="false">D48</f>
        <v>1072.5</v>
      </c>
      <c r="E8" s="11" t="n">
        <f aca="false">E48</f>
        <v>280</v>
      </c>
      <c r="F8" s="11" t="n">
        <f aca="false">F48</f>
        <v>0</v>
      </c>
      <c r="G8" s="11" t="n">
        <f aca="false">G48</f>
        <v>0</v>
      </c>
      <c r="H8" s="11" t="n">
        <f aca="false">H48</f>
        <v>0</v>
      </c>
      <c r="I8" s="11" t="n">
        <f aca="false">I48</f>
        <v>0</v>
      </c>
      <c r="J8" s="11" t="n">
        <f aca="false">J48</f>
        <v>0</v>
      </c>
      <c r="K8" s="11" t="n">
        <f aca="false">K48</f>
        <v>0</v>
      </c>
      <c r="L8" s="11" t="n">
        <f aca="false">L48</f>
        <v>0</v>
      </c>
      <c r="M8" s="11" t="n">
        <f aca="false">H8+SUM(I8:L8)</f>
        <v>0</v>
      </c>
      <c r="N8" s="11" t="n">
        <f aca="false">N48</f>
        <v>0</v>
      </c>
      <c r="O8" s="12" t="e">
        <f aca="false">N8/$M8</f>
        <v>#DIV/0!</v>
      </c>
      <c r="P8" s="11" t="n">
        <f aca="false">P48</f>
        <v>0</v>
      </c>
      <c r="Q8" s="12" t="e">
        <f aca="false">P8/$M8</f>
        <v>#DIV/0!</v>
      </c>
      <c r="R8" s="11" t="n">
        <f aca="false">R48</f>
        <v>0</v>
      </c>
      <c r="S8" s="12" t="e">
        <f aca="false">R8/$M8</f>
        <v>#DIV/0!</v>
      </c>
      <c r="T8" s="11" t="n">
        <f aca="false">T48</f>
        <v>0</v>
      </c>
      <c r="U8" s="13" t="e">
        <f aca="false">T8/$M8</f>
        <v>#DIV/0!</v>
      </c>
      <c r="V8" s="11" t="n">
        <f aca="false">V48</f>
        <v>0</v>
      </c>
      <c r="W8" s="11" t="n">
        <f aca="false">W48</f>
        <v>0</v>
      </c>
    </row>
    <row r="9" customFormat="false" ht="12.8" hidden="false" customHeight="false" outlineLevel="0" collapsed="false">
      <c r="A9" s="9"/>
      <c r="B9" s="10"/>
      <c r="C9" s="14" t="s">
        <v>26</v>
      </c>
      <c r="D9" s="15" t="n">
        <f aca="false">SUM(D7:D8)</f>
        <v>11072.5</v>
      </c>
      <c r="E9" s="15" t="n">
        <f aca="false">SUM(E7:E8)</f>
        <v>280</v>
      </c>
      <c r="F9" s="15" t="n">
        <f aca="false">SUM(F7:F8)</f>
        <v>0</v>
      </c>
      <c r="G9" s="15" t="n">
        <f aca="false">SUM(G7:G8)</f>
        <v>50000</v>
      </c>
      <c r="H9" s="15" t="n">
        <f aca="false">SUM(H7:H8)</f>
        <v>1505300</v>
      </c>
      <c r="I9" s="15" t="n">
        <f aca="false">SUM(I7:I8)</f>
        <v>0</v>
      </c>
      <c r="J9" s="15" t="n">
        <f aca="false">SUM(J7:J8)</f>
        <v>0</v>
      </c>
      <c r="K9" s="15" t="n">
        <f aca="false">SUM(K7:K8)</f>
        <v>0</v>
      </c>
      <c r="L9" s="15" t="n">
        <f aca="false">SUM(L7:L8)</f>
        <v>-1505300</v>
      </c>
      <c r="M9" s="15" t="n">
        <f aca="false">SUM(M7:M8)</f>
        <v>0</v>
      </c>
      <c r="N9" s="15" t="n">
        <f aca="false">SUM(N7:N8)</f>
        <v>0</v>
      </c>
      <c r="O9" s="16" t="e">
        <f aca="false">N9/$M9</f>
        <v>#DIV/0!</v>
      </c>
      <c r="P9" s="15" t="n">
        <f aca="false">SUM(P7:P8)</f>
        <v>0</v>
      </c>
      <c r="Q9" s="16" t="e">
        <f aca="false">P9/$M9</f>
        <v>#DIV/0!</v>
      </c>
      <c r="R9" s="15" t="n">
        <f aca="false">SUM(R7:R8)</f>
        <v>0</v>
      </c>
      <c r="S9" s="16" t="e">
        <f aca="false">R9/$M9</f>
        <v>#DIV/0!</v>
      </c>
      <c r="T9" s="15" t="n">
        <f aca="false">SUM(T7:T8)</f>
        <v>113000</v>
      </c>
      <c r="U9" s="17" t="e">
        <f aca="false">T9/$M9</f>
        <v>#DIV/0!</v>
      </c>
      <c r="V9" s="15" t="n">
        <f aca="false">SUM(V7:V8)</f>
        <v>274600</v>
      </c>
      <c r="W9" s="15" t="n">
        <f aca="false">SUM(W7:W8)</f>
        <v>0</v>
      </c>
    </row>
    <row r="10" customFormat="false" ht="12.8" hidden="false" customHeight="false" outlineLevel="0" collapsed="false">
      <c r="A10" s="9"/>
      <c r="B10" s="10" t="n">
        <v>131</v>
      </c>
      <c r="C10" s="10" t="s">
        <v>22</v>
      </c>
      <c r="D10" s="11" t="n">
        <f aca="false">D109</f>
        <v>22382.36</v>
      </c>
      <c r="E10" s="11" t="n">
        <f aca="false">E109</f>
        <v>17330.41</v>
      </c>
      <c r="F10" s="11" t="n">
        <f aca="false">F109</f>
        <v>0</v>
      </c>
      <c r="G10" s="11" t="n">
        <f aca="false">G109</f>
        <v>3513</v>
      </c>
      <c r="H10" s="11" t="n">
        <f aca="false">H109</f>
        <v>0</v>
      </c>
      <c r="I10" s="11" t="n">
        <f aca="false">I109</f>
        <v>0</v>
      </c>
      <c r="J10" s="11" t="n">
        <f aca="false">J109</f>
        <v>0</v>
      </c>
      <c r="K10" s="11" t="n">
        <f aca="false">K109</f>
        <v>0</v>
      </c>
      <c r="L10" s="11" t="n">
        <f aca="false">L109</f>
        <v>1031</v>
      </c>
      <c r="M10" s="11" t="n">
        <f aca="false">H10+SUM(I10:L10)</f>
        <v>1031</v>
      </c>
      <c r="N10" s="11" t="n">
        <f aca="false">N109</f>
        <v>0</v>
      </c>
      <c r="O10" s="12" t="n">
        <f aca="false">N10/$M10</f>
        <v>0</v>
      </c>
      <c r="P10" s="11" t="n">
        <f aca="false">P109</f>
        <v>0</v>
      </c>
      <c r="Q10" s="12" t="n">
        <f aca="false">P10/$M10</f>
        <v>0</v>
      </c>
      <c r="R10" s="11" t="n">
        <f aca="false">R109</f>
        <v>0</v>
      </c>
      <c r="S10" s="12" t="n">
        <f aca="false">R10/$M10</f>
        <v>0</v>
      </c>
      <c r="T10" s="11" t="n">
        <f aca="false">T109</f>
        <v>1030.96</v>
      </c>
      <c r="U10" s="13" t="n">
        <f aca="false">T10/$M10</f>
        <v>0.99996120271581</v>
      </c>
      <c r="V10" s="11" t="n">
        <f aca="false">V109</f>
        <v>0</v>
      </c>
      <c r="W10" s="11" t="n">
        <f aca="false">W109</f>
        <v>0</v>
      </c>
    </row>
    <row r="11" customFormat="false" ht="12.8" hidden="false" customHeight="false" outlineLevel="0" collapsed="false">
      <c r="A11" s="9"/>
      <c r="B11" s="10" t="n">
        <v>41</v>
      </c>
      <c r="C11" s="10" t="s">
        <v>23</v>
      </c>
      <c r="D11" s="11" t="n">
        <f aca="false">D110</f>
        <v>3387.31</v>
      </c>
      <c r="E11" s="11" t="n">
        <f aca="false">E110</f>
        <v>12173.51</v>
      </c>
      <c r="F11" s="11" t="n">
        <f aca="false">F110</f>
        <v>182899</v>
      </c>
      <c r="G11" s="11" t="n">
        <f aca="false">G110</f>
        <v>11270.57</v>
      </c>
      <c r="H11" s="11" t="n">
        <f aca="false">H110</f>
        <v>147240</v>
      </c>
      <c r="I11" s="11" t="n">
        <f aca="false">I110</f>
        <v>0</v>
      </c>
      <c r="J11" s="11" t="n">
        <f aca="false">J110</f>
        <v>45000</v>
      </c>
      <c r="K11" s="11" t="n">
        <f aca="false">K110</f>
        <v>0</v>
      </c>
      <c r="L11" s="11" t="n">
        <f aca="false">L110</f>
        <v>-10577</v>
      </c>
      <c r="M11" s="11" t="n">
        <f aca="false">H11+SUM(I11:L11)</f>
        <v>181663</v>
      </c>
      <c r="N11" s="11" t="n">
        <f aca="false">N110</f>
        <v>0</v>
      </c>
      <c r="O11" s="12" t="n">
        <f aca="false">N11/$M11</f>
        <v>0</v>
      </c>
      <c r="P11" s="11" t="n">
        <f aca="false">P110</f>
        <v>0</v>
      </c>
      <c r="Q11" s="12" t="n">
        <f aca="false">P11/$M11</f>
        <v>0</v>
      </c>
      <c r="R11" s="11" t="n">
        <f aca="false">R110</f>
        <v>0</v>
      </c>
      <c r="S11" s="12" t="n">
        <f aca="false">R11/$M11</f>
        <v>0</v>
      </c>
      <c r="T11" s="11" t="n">
        <f aca="false">T110</f>
        <v>191209</v>
      </c>
      <c r="U11" s="13" t="n">
        <f aca="false">T11/$M11</f>
        <v>1.05254784958962</v>
      </c>
      <c r="V11" s="11" t="n">
        <f aca="false">V110</f>
        <v>0</v>
      </c>
      <c r="W11" s="11" t="n">
        <f aca="false">W110</f>
        <v>0</v>
      </c>
    </row>
    <row r="12" customFormat="false" ht="12.8" hidden="false" customHeight="false" outlineLevel="0" collapsed="false">
      <c r="A12" s="9"/>
      <c r="B12" s="10" t="n">
        <v>52</v>
      </c>
      <c r="C12" s="10" t="s">
        <v>27</v>
      </c>
      <c r="D12" s="11" t="n">
        <f aca="false">D112</f>
        <v>0</v>
      </c>
      <c r="E12" s="11" t="n">
        <f aca="false">E112</f>
        <v>0</v>
      </c>
      <c r="F12" s="11" t="n">
        <f aca="false">F112</f>
        <v>0</v>
      </c>
      <c r="G12" s="11" t="n">
        <f aca="false">G112</f>
        <v>0</v>
      </c>
      <c r="H12" s="11" t="n">
        <f aca="false">H111</f>
        <v>60000</v>
      </c>
      <c r="I12" s="11" t="n">
        <f aca="false">I112</f>
        <v>0</v>
      </c>
      <c r="J12" s="11" t="n">
        <f aca="false">J112</f>
        <v>0</v>
      </c>
      <c r="K12" s="11" t="n">
        <f aca="false">K112</f>
        <v>0</v>
      </c>
      <c r="L12" s="11" t="n">
        <f aca="false">L111</f>
        <v>-60000</v>
      </c>
      <c r="M12" s="11" t="n">
        <f aca="false">H12+SUM(I12:L12)</f>
        <v>0</v>
      </c>
      <c r="N12" s="11" t="n">
        <f aca="false">N112</f>
        <v>0</v>
      </c>
      <c r="O12" s="12" t="e">
        <f aca="false">N12/$M12</f>
        <v>#DIV/0!</v>
      </c>
      <c r="P12" s="11" t="n">
        <f aca="false">P111</f>
        <v>0</v>
      </c>
      <c r="Q12" s="12" t="e">
        <f aca="false">P12/$M12</f>
        <v>#DIV/0!</v>
      </c>
      <c r="R12" s="11" t="n">
        <f aca="false">R111</f>
        <v>0</v>
      </c>
      <c r="S12" s="12" t="e">
        <f aca="false">R12/$M12</f>
        <v>#DIV/0!</v>
      </c>
      <c r="T12" s="11" t="n">
        <f aca="false">T111</f>
        <v>0</v>
      </c>
      <c r="U12" s="13" t="e">
        <f aca="false">T12/$M12</f>
        <v>#DIV/0!</v>
      </c>
      <c r="V12" s="11" t="n">
        <f aca="false">V112</f>
        <v>0</v>
      </c>
      <c r="W12" s="11" t="n">
        <f aca="false">W112</f>
        <v>0</v>
      </c>
    </row>
    <row r="13" customFormat="false" ht="12.8" hidden="false" customHeight="false" outlineLevel="0" collapsed="false">
      <c r="A13" s="9"/>
      <c r="B13" s="10" t="n">
        <v>71</v>
      </c>
      <c r="C13" s="10" t="s">
        <v>24</v>
      </c>
      <c r="D13" s="11"/>
      <c r="E13" s="11"/>
      <c r="F13" s="11"/>
      <c r="G13" s="11"/>
      <c r="H13" s="11" t="n">
        <f aca="false">H112</f>
        <v>0</v>
      </c>
      <c r="I13" s="11" t="n">
        <f aca="false">I112</f>
        <v>0</v>
      </c>
      <c r="J13" s="11" t="n">
        <f aca="false">J112</f>
        <v>0</v>
      </c>
      <c r="K13" s="11" t="n">
        <f aca="false">K112</f>
        <v>0</v>
      </c>
      <c r="L13" s="11" t="n">
        <f aca="false">L112</f>
        <v>0</v>
      </c>
      <c r="M13" s="11" t="n">
        <f aca="false">H13+SUM(I13:L13)</f>
        <v>0</v>
      </c>
      <c r="N13" s="11" t="n">
        <f aca="false">N112</f>
        <v>0</v>
      </c>
      <c r="O13" s="12" t="e">
        <f aca="false">N13/$M13</f>
        <v>#DIV/0!</v>
      </c>
      <c r="P13" s="11" t="n">
        <f aca="false">P112</f>
        <v>13000</v>
      </c>
      <c r="Q13" s="12" t="e">
        <f aca="false">P13/$M13</f>
        <v>#DIV/0!</v>
      </c>
      <c r="R13" s="11" t="n">
        <f aca="false">R112</f>
        <v>22000</v>
      </c>
      <c r="S13" s="12" t="e">
        <f aca="false">R13/$M13</f>
        <v>#DIV/0!</v>
      </c>
      <c r="T13" s="11" t="n">
        <f aca="false">T112</f>
        <v>16000</v>
      </c>
      <c r="U13" s="13" t="e">
        <f aca="false">T13/$M13</f>
        <v>#DIV/0!</v>
      </c>
      <c r="V13" s="11"/>
      <c r="W13" s="11"/>
    </row>
    <row r="14" customFormat="false" ht="12.8" hidden="false" customHeight="false" outlineLevel="0" collapsed="false">
      <c r="A14" s="9"/>
      <c r="B14" s="10"/>
      <c r="C14" s="14" t="s">
        <v>28</v>
      </c>
      <c r="D14" s="15" t="n">
        <f aca="false">SUM(D10:D12)</f>
        <v>25769.67</v>
      </c>
      <c r="E14" s="15" t="n">
        <f aca="false">SUM(E10:E12)</f>
        <v>29503.92</v>
      </c>
      <c r="F14" s="15" t="n">
        <f aca="false">SUM(F10:F12)</f>
        <v>182899</v>
      </c>
      <c r="G14" s="15" t="n">
        <f aca="false">SUM(G10:G12)</f>
        <v>14783.57</v>
      </c>
      <c r="H14" s="15" t="n">
        <f aca="false">SUM(H10:H13)</f>
        <v>207240</v>
      </c>
      <c r="I14" s="15" t="n">
        <f aca="false">SUM(I10:I13)</f>
        <v>0</v>
      </c>
      <c r="J14" s="15" t="n">
        <f aca="false">SUM(J10:J13)</f>
        <v>45000</v>
      </c>
      <c r="K14" s="15" t="n">
        <f aca="false">SUM(K10:K13)</f>
        <v>0</v>
      </c>
      <c r="L14" s="15" t="n">
        <f aca="false">SUM(L10:L13)</f>
        <v>-69546</v>
      </c>
      <c r="M14" s="15" t="n">
        <f aca="false">SUM(M10:M13)</f>
        <v>182694</v>
      </c>
      <c r="N14" s="15" t="n">
        <f aca="false">SUM(N10:N13)</f>
        <v>0</v>
      </c>
      <c r="O14" s="16" t="n">
        <f aca="false">N14/$M14</f>
        <v>0</v>
      </c>
      <c r="P14" s="15" t="n">
        <f aca="false">SUM(P10:P13)</f>
        <v>13000</v>
      </c>
      <c r="Q14" s="16" t="n">
        <f aca="false">P14/$M14</f>
        <v>0.0711572355961334</v>
      </c>
      <c r="R14" s="15" t="n">
        <f aca="false">SUM(R10:R13)</f>
        <v>22000</v>
      </c>
      <c r="S14" s="16" t="n">
        <f aca="false">R14/$M14</f>
        <v>0.120419937162687</v>
      </c>
      <c r="T14" s="15" t="n">
        <f aca="false">SUM(T10:T13)</f>
        <v>208239.96</v>
      </c>
      <c r="U14" s="17" t="n">
        <f aca="false">T14/$M14</f>
        <v>1.13982922263457</v>
      </c>
      <c r="V14" s="15" t="n">
        <f aca="false">SUM(V10:V12)</f>
        <v>0</v>
      </c>
      <c r="W14" s="15" t="n">
        <f aca="false">SUM(W10:W12)</f>
        <v>0</v>
      </c>
    </row>
    <row r="15" customFormat="false" ht="12.8" hidden="false" customHeight="false" outlineLevel="0" collapsed="false">
      <c r="A15" s="9"/>
      <c r="B15" s="10" t="n">
        <v>111</v>
      </c>
      <c r="C15" s="10" t="s">
        <v>22</v>
      </c>
      <c r="D15" s="11" t="n">
        <f aca="false">D3+D7+D10</f>
        <v>495500.52</v>
      </c>
      <c r="E15" s="11" t="n">
        <f aca="false">E3+E7+E10</f>
        <v>502726.96</v>
      </c>
      <c r="F15" s="11" t="n">
        <f aca="false">F3+F7+F10</f>
        <v>513430</v>
      </c>
      <c r="G15" s="11" t="n">
        <f aca="false">G3+G7+G10</f>
        <v>567839.47</v>
      </c>
      <c r="H15" s="11" t="n">
        <f aca="false">H3+H7+H10</f>
        <v>1994042</v>
      </c>
      <c r="I15" s="11" t="n">
        <f aca="false">I3+I7+I10</f>
        <v>0</v>
      </c>
      <c r="J15" s="11" t="n">
        <f aca="false">J3+J7+J10</f>
        <v>1195</v>
      </c>
      <c r="K15" s="11" t="n">
        <f aca="false">K3+K7+K10</f>
        <v>83</v>
      </c>
      <c r="L15" s="11" t="n">
        <f aca="false">L3+L7+L10</f>
        <v>-1496304</v>
      </c>
      <c r="M15" s="11" t="n">
        <f aca="false">H15+SUM(I15:L15)</f>
        <v>499016</v>
      </c>
      <c r="N15" s="11" t="n">
        <f aca="false">N3+N7+N10</f>
        <v>143253.28</v>
      </c>
      <c r="O15" s="12" t="n">
        <f aca="false">N15/$M15</f>
        <v>0.287071516744954</v>
      </c>
      <c r="P15" s="11" t="n">
        <f aca="false">P3+P7+P10</f>
        <v>258422.33</v>
      </c>
      <c r="Q15" s="12" t="n">
        <f aca="false">P15/$M15</f>
        <v>0.517863815989868</v>
      </c>
      <c r="R15" s="11" t="n">
        <f aca="false">R3+R7+R10</f>
        <v>372644.48</v>
      </c>
      <c r="S15" s="12" t="n">
        <f aca="false">R15/$M15</f>
        <v>0.746758580887186</v>
      </c>
      <c r="T15" s="11" t="n">
        <f aca="false">T3+T7+T10</f>
        <v>612113.45</v>
      </c>
      <c r="U15" s="13" t="n">
        <f aca="false">T15/$M15</f>
        <v>1.22664092934896</v>
      </c>
      <c r="V15" s="11" t="n">
        <f aca="false">V3+V7+V10</f>
        <v>753486</v>
      </c>
      <c r="W15" s="11" t="n">
        <f aca="false">W3+W7+W10</f>
        <v>482886</v>
      </c>
    </row>
    <row r="16" customFormat="false" ht="12.8" hidden="false" customHeight="false" outlineLevel="0" collapsed="false">
      <c r="A16" s="9"/>
      <c r="B16" s="10" t="n">
        <v>41</v>
      </c>
      <c r="C16" s="10" t="s">
        <v>23</v>
      </c>
      <c r="D16" s="11" t="n">
        <f aca="false">D4+D8+D11</f>
        <v>820035.92</v>
      </c>
      <c r="E16" s="11" t="n">
        <f aca="false">E4+E8+E11</f>
        <v>912818.16</v>
      </c>
      <c r="F16" s="11" t="n">
        <f aca="false">F4+F8+F11</f>
        <v>1137898</v>
      </c>
      <c r="G16" s="11" t="n">
        <f aca="false">G4+G8+G11</f>
        <v>1033347.54</v>
      </c>
      <c r="H16" s="11" t="n">
        <f aca="false">H4+H8+H11</f>
        <v>1203916</v>
      </c>
      <c r="I16" s="11" t="n">
        <f aca="false">I4+I8+I11</f>
        <v>506</v>
      </c>
      <c r="J16" s="11" t="n">
        <f aca="false">J4+J8+J11</f>
        <v>45501</v>
      </c>
      <c r="K16" s="11" t="n">
        <f aca="false">K4+K8+K11</f>
        <v>2589</v>
      </c>
      <c r="L16" s="11" t="n">
        <f aca="false">L4+L8+L11</f>
        <v>-10790</v>
      </c>
      <c r="M16" s="11" t="n">
        <f aca="false">H16+SUM(I16:L16)</f>
        <v>1241722</v>
      </c>
      <c r="N16" s="11" t="n">
        <f aca="false">N4+N8+N11</f>
        <v>289901.23</v>
      </c>
      <c r="O16" s="12" t="n">
        <f aca="false">N16/$M16</f>
        <v>0.233467096499861</v>
      </c>
      <c r="P16" s="11" t="n">
        <f aca="false">P4+P8+P11</f>
        <v>532096.54</v>
      </c>
      <c r="Q16" s="12" t="n">
        <f aca="false">P16/$M16</f>
        <v>0.428515029934237</v>
      </c>
      <c r="R16" s="11" t="n">
        <f aca="false">R4+R8+R11</f>
        <v>809996.71</v>
      </c>
      <c r="S16" s="12" t="n">
        <f aca="false">R16/$M16</f>
        <v>0.652317273914773</v>
      </c>
      <c r="T16" s="11" t="n">
        <f aca="false">T4+T8+T11</f>
        <v>1272929.24</v>
      </c>
      <c r="U16" s="13" t="n">
        <f aca="false">T16/$M16</f>
        <v>1.02513222766449</v>
      </c>
      <c r="V16" s="11" t="n">
        <f aca="false">V4+V8+V11</f>
        <v>1056676</v>
      </c>
      <c r="W16" s="11" t="n">
        <f aca="false">W4+W8+W11</f>
        <v>1056676</v>
      </c>
    </row>
    <row r="17" customFormat="false" ht="12.8" hidden="false" customHeight="false" outlineLevel="0" collapsed="false">
      <c r="A17" s="9"/>
      <c r="B17" s="10" t="n">
        <v>52</v>
      </c>
      <c r="C17" s="10" t="s">
        <v>27</v>
      </c>
      <c r="D17" s="11" t="n">
        <f aca="false">D11</f>
        <v>3387.31</v>
      </c>
      <c r="E17" s="11" t="n">
        <f aca="false">E11</f>
        <v>12173.51</v>
      </c>
      <c r="F17" s="11" t="n">
        <f aca="false">F11</f>
        <v>182899</v>
      </c>
      <c r="G17" s="11" t="n">
        <f aca="false">G11</f>
        <v>11270.57</v>
      </c>
      <c r="H17" s="11" t="n">
        <f aca="false">H12</f>
        <v>60000</v>
      </c>
      <c r="I17" s="11" t="n">
        <f aca="false">I12</f>
        <v>0</v>
      </c>
      <c r="J17" s="11" t="n">
        <f aca="false">J12</f>
        <v>0</v>
      </c>
      <c r="K17" s="11" t="n">
        <f aca="false">K12</f>
        <v>0</v>
      </c>
      <c r="L17" s="11" t="n">
        <f aca="false">L12</f>
        <v>-60000</v>
      </c>
      <c r="M17" s="11" t="n">
        <f aca="false">H17+SUM(I17:L17)</f>
        <v>0</v>
      </c>
      <c r="N17" s="11" t="n">
        <f aca="false">N12</f>
        <v>0</v>
      </c>
      <c r="O17" s="12" t="e">
        <f aca="false">N17/$M17</f>
        <v>#DIV/0!</v>
      </c>
      <c r="P17" s="11" t="n">
        <f aca="false">P12</f>
        <v>0</v>
      </c>
      <c r="Q17" s="12" t="e">
        <f aca="false">P17/$M17</f>
        <v>#DIV/0!</v>
      </c>
      <c r="R17" s="11" t="n">
        <f aca="false">R12</f>
        <v>0</v>
      </c>
      <c r="S17" s="12" t="e">
        <f aca="false">R17/$M17</f>
        <v>#DIV/0!</v>
      </c>
      <c r="T17" s="11" t="n">
        <f aca="false">T12</f>
        <v>0</v>
      </c>
      <c r="U17" s="13" t="e">
        <f aca="false">T17/$M17</f>
        <v>#DIV/0!</v>
      </c>
      <c r="V17" s="11"/>
      <c r="W17" s="11"/>
    </row>
    <row r="18" customFormat="false" ht="12.8" hidden="false" customHeight="false" outlineLevel="0" collapsed="false">
      <c r="A18" s="9"/>
      <c r="B18" s="10" t="n">
        <v>71</v>
      </c>
      <c r="C18" s="10" t="s">
        <v>24</v>
      </c>
      <c r="D18" s="11" t="n">
        <f aca="false">D5+D13</f>
        <v>1620.36</v>
      </c>
      <c r="E18" s="11" t="n">
        <f aca="false">E5+E13</f>
        <v>1317.12</v>
      </c>
      <c r="F18" s="11" t="n">
        <f aca="false">F5+F13</f>
        <v>0</v>
      </c>
      <c r="G18" s="11" t="n">
        <f aca="false">G5+G13</f>
        <v>700</v>
      </c>
      <c r="H18" s="11" t="n">
        <f aca="false">H5+H13</f>
        <v>700</v>
      </c>
      <c r="I18" s="11" t="n">
        <f aca="false">I5+I13</f>
        <v>0</v>
      </c>
      <c r="J18" s="11" t="n">
        <f aca="false">J5+J13</f>
        <v>700</v>
      </c>
      <c r="K18" s="11" t="n">
        <f aca="false">K5+K13</f>
        <v>0</v>
      </c>
      <c r="L18" s="11" t="n">
        <f aca="false">L5+L13</f>
        <v>0</v>
      </c>
      <c r="M18" s="11" t="n">
        <f aca="false">H18+SUM(I18:L18)</f>
        <v>1400</v>
      </c>
      <c r="N18" s="11" t="n">
        <f aca="false">N5+N13</f>
        <v>0</v>
      </c>
      <c r="O18" s="12" t="n">
        <f aca="false">N18/$M18</f>
        <v>0</v>
      </c>
      <c r="P18" s="11" t="n">
        <f aca="false">P5+P13</f>
        <v>14400</v>
      </c>
      <c r="Q18" s="12" t="n">
        <f aca="false">P18/$M18</f>
        <v>10.2857142857143</v>
      </c>
      <c r="R18" s="11" t="n">
        <f aca="false">R5+R13</f>
        <v>23400</v>
      </c>
      <c r="S18" s="12" t="n">
        <f aca="false">R18/$M18</f>
        <v>16.7142857142857</v>
      </c>
      <c r="T18" s="11" t="n">
        <f aca="false">T5+T13</f>
        <v>17400</v>
      </c>
      <c r="U18" s="13" t="n">
        <f aca="false">T18/$M18</f>
        <v>12.4285714285714</v>
      </c>
      <c r="V18" s="11" t="n">
        <f aca="false">V5+V13</f>
        <v>0</v>
      </c>
      <c r="W18" s="11" t="n">
        <f aca="false">W5+W13</f>
        <v>0</v>
      </c>
    </row>
    <row r="19" customFormat="false" ht="12.8" hidden="false" customHeight="false" outlineLevel="0" collapsed="false">
      <c r="A19" s="18"/>
      <c r="B19" s="19"/>
      <c r="C19" s="14" t="s">
        <v>29</v>
      </c>
      <c r="D19" s="15" t="n">
        <f aca="false">SUM(D15:D18)</f>
        <v>1320544.11</v>
      </c>
      <c r="E19" s="15" t="n">
        <f aca="false">SUM(E15:E18)</f>
        <v>1429035.75</v>
      </c>
      <c r="F19" s="15" t="n">
        <f aca="false">SUM(F15:F18)</f>
        <v>1834227</v>
      </c>
      <c r="G19" s="15" t="n">
        <f aca="false">SUM(G15:G18)</f>
        <v>1613157.58</v>
      </c>
      <c r="H19" s="15" t="n">
        <f aca="false">SUM(H15:H18)</f>
        <v>3258658</v>
      </c>
      <c r="I19" s="15" t="n">
        <f aca="false">SUM(I15:I18)</f>
        <v>506</v>
      </c>
      <c r="J19" s="15" t="n">
        <f aca="false">SUM(J15:J18)</f>
        <v>47396</v>
      </c>
      <c r="K19" s="15" t="n">
        <f aca="false">SUM(K15:K18)</f>
        <v>2672</v>
      </c>
      <c r="L19" s="15" t="n">
        <f aca="false">SUM(L15:L18)</f>
        <v>-1567094</v>
      </c>
      <c r="M19" s="15" t="n">
        <f aca="false">SUM(M15:M18)</f>
        <v>1742138</v>
      </c>
      <c r="N19" s="15" t="n">
        <f aca="false">SUM(N15:N18)</f>
        <v>433154.51</v>
      </c>
      <c r="O19" s="16" t="n">
        <f aca="false">N19/$M19</f>
        <v>0.248633868269907</v>
      </c>
      <c r="P19" s="15" t="n">
        <f aca="false">SUM(P15:P18)</f>
        <v>804918.87</v>
      </c>
      <c r="Q19" s="16" t="n">
        <f aca="false">P19/$M19</f>
        <v>0.462029339811198</v>
      </c>
      <c r="R19" s="15" t="n">
        <f aca="false">SUM(R15:R18)</f>
        <v>1206041.19</v>
      </c>
      <c r="S19" s="16" t="n">
        <f aca="false">R19/$M19</f>
        <v>0.692276495891829</v>
      </c>
      <c r="T19" s="15" t="n">
        <f aca="false">SUM(T15:T18)</f>
        <v>1902442.69</v>
      </c>
      <c r="U19" s="17" t="n">
        <f aca="false">T19/$M19</f>
        <v>1.09201606876149</v>
      </c>
      <c r="V19" s="15" t="n">
        <f aca="false">SUM(V15:V18)</f>
        <v>1810162</v>
      </c>
      <c r="W19" s="15" t="n">
        <f aca="false">SUM(W15:W18)</f>
        <v>1539562</v>
      </c>
    </row>
    <row r="21" customFormat="false" ht="12.8" hidden="false" customHeight="false" outlineLevel="0" collapsed="false">
      <c r="A21" s="20" t="s">
        <v>30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1"/>
      <c r="P21" s="20"/>
      <c r="Q21" s="21"/>
      <c r="R21" s="20"/>
      <c r="S21" s="21"/>
      <c r="T21" s="20"/>
      <c r="U21" s="21"/>
      <c r="V21" s="20"/>
      <c r="W21" s="20"/>
    </row>
    <row r="22" customFormat="false" ht="12.8" hidden="false" customHeight="false" outlineLevel="0" collapsed="false">
      <c r="A22" s="6"/>
      <c r="B22" s="6"/>
      <c r="C22" s="6"/>
      <c r="D22" s="7" t="s">
        <v>1</v>
      </c>
      <c r="E22" s="7" t="s">
        <v>2</v>
      </c>
      <c r="F22" s="7" t="s">
        <v>3</v>
      </c>
      <c r="G22" s="7" t="s">
        <v>4</v>
      </c>
      <c r="H22" s="7" t="s">
        <v>5</v>
      </c>
      <c r="I22" s="7" t="s">
        <v>6</v>
      </c>
      <c r="J22" s="7" t="s">
        <v>7</v>
      </c>
      <c r="K22" s="7" t="s">
        <v>8</v>
      </c>
      <c r="L22" s="7" t="s">
        <v>9</v>
      </c>
      <c r="M22" s="7" t="s">
        <v>10</v>
      </c>
      <c r="N22" s="7" t="s">
        <v>11</v>
      </c>
      <c r="O22" s="8" t="s">
        <v>12</v>
      </c>
      <c r="P22" s="7" t="s">
        <v>13</v>
      </c>
      <c r="Q22" s="8" t="s">
        <v>14</v>
      </c>
      <c r="R22" s="7" t="s">
        <v>15</v>
      </c>
      <c r="S22" s="8" t="s">
        <v>16</v>
      </c>
      <c r="T22" s="7" t="s">
        <v>17</v>
      </c>
      <c r="U22" s="8" t="s">
        <v>18</v>
      </c>
      <c r="V22" s="7" t="s">
        <v>19</v>
      </c>
      <c r="W22" s="7" t="s">
        <v>20</v>
      </c>
    </row>
    <row r="23" customFormat="false" ht="12.8" hidden="false" customHeight="false" outlineLevel="0" collapsed="false">
      <c r="A23" s="22" t="s">
        <v>31</v>
      </c>
      <c r="B23" s="23" t="n">
        <v>41</v>
      </c>
      <c r="C23" s="23" t="s">
        <v>23</v>
      </c>
      <c r="D23" s="24" t="n">
        <f aca="false">D37</f>
        <v>727435</v>
      </c>
      <c r="E23" s="24" t="n">
        <f aca="false">E37</f>
        <v>807107.68</v>
      </c>
      <c r="F23" s="24" t="n">
        <f aca="false">F37</f>
        <v>867552</v>
      </c>
      <c r="G23" s="24" t="n">
        <f aca="false">G37</f>
        <v>917795.05</v>
      </c>
      <c r="H23" s="24" t="n">
        <f aca="false">H37</f>
        <v>970576</v>
      </c>
      <c r="I23" s="24" t="n">
        <f aca="false">I37</f>
        <v>0</v>
      </c>
      <c r="J23" s="24" t="n">
        <f aca="false">J37</f>
        <v>-1030</v>
      </c>
      <c r="K23" s="24" t="n">
        <f aca="false">K37</f>
        <v>0</v>
      </c>
      <c r="L23" s="24" t="n">
        <f aca="false">L37</f>
        <v>4781</v>
      </c>
      <c r="M23" s="24" t="n">
        <f aca="false">M37</f>
        <v>974327</v>
      </c>
      <c r="N23" s="24" t="n">
        <f aca="false">N37</f>
        <v>265772.78</v>
      </c>
      <c r="O23" s="25" t="n">
        <f aca="false">O37</f>
        <v>0.272775751877963</v>
      </c>
      <c r="P23" s="24" t="n">
        <f aca="false">P37</f>
        <v>483183.13</v>
      </c>
      <c r="Q23" s="25" t="n">
        <f aca="false">Q37</f>
        <v>0.495914749360328</v>
      </c>
      <c r="R23" s="24" t="n">
        <f aca="false">R37</f>
        <v>744293.03</v>
      </c>
      <c r="S23" s="25" t="n">
        <f aca="false">R23/$M23</f>
        <v>0.763904756821888</v>
      </c>
      <c r="T23" s="24" t="n">
        <f aca="false">T37</f>
        <v>985502.29</v>
      </c>
      <c r="U23" s="26" t="n">
        <f aca="false">T23/$M23</f>
        <v>1.01146975296795</v>
      </c>
      <c r="V23" s="24" t="n">
        <f aca="false">V37</f>
        <v>970576</v>
      </c>
      <c r="W23" s="24" t="n">
        <f aca="false">W37</f>
        <v>970576</v>
      </c>
    </row>
    <row r="24" customFormat="false" ht="12.8" hidden="false" customHeight="false" outlineLevel="0" collapsed="false">
      <c r="A24" s="18"/>
      <c r="B24" s="19"/>
      <c r="C24" s="27" t="s">
        <v>29</v>
      </c>
      <c r="D24" s="28" t="n">
        <f aca="false">SUM(D23:D23)</f>
        <v>727435</v>
      </c>
      <c r="E24" s="28" t="n">
        <f aca="false">SUM(E23:E23)</f>
        <v>807107.68</v>
      </c>
      <c r="F24" s="28" t="n">
        <f aca="false">SUM(F23:F23)</f>
        <v>867552</v>
      </c>
      <c r="G24" s="28" t="n">
        <f aca="false">SUM(G23:G23)</f>
        <v>917795.05</v>
      </c>
      <c r="H24" s="28" t="n">
        <f aca="false">SUM(H23:H23)</f>
        <v>970576</v>
      </c>
      <c r="I24" s="28" t="n">
        <f aca="false">SUM(I23:I23)</f>
        <v>0</v>
      </c>
      <c r="J24" s="28" t="n">
        <f aca="false">SUM(J23:J23)</f>
        <v>-1030</v>
      </c>
      <c r="K24" s="28" t="n">
        <f aca="false">SUM(K23:K23)</f>
        <v>0</v>
      </c>
      <c r="L24" s="28" t="n">
        <f aca="false">SUM(L23:L23)</f>
        <v>4781</v>
      </c>
      <c r="M24" s="28" t="n">
        <f aca="false">SUM(M23:M23)</f>
        <v>974327</v>
      </c>
      <c r="N24" s="28" t="n">
        <f aca="false">SUM(N23:N23)</f>
        <v>265772.78</v>
      </c>
      <c r="O24" s="29" t="n">
        <f aca="false">SUM(O23:O23)</f>
        <v>0.272775751877963</v>
      </c>
      <c r="P24" s="28" t="n">
        <f aca="false">SUM(P23:P23)</f>
        <v>483183.13</v>
      </c>
      <c r="Q24" s="29" t="n">
        <f aca="false">SUM(Q23:Q23)</f>
        <v>0.495914749360328</v>
      </c>
      <c r="R24" s="28" t="n">
        <f aca="false">SUM(R23:R23)</f>
        <v>744293.03</v>
      </c>
      <c r="S24" s="29" t="n">
        <f aca="false">R24/$M24</f>
        <v>0.763904756821888</v>
      </c>
      <c r="T24" s="28" t="n">
        <f aca="false">SUM(T23:T23)</f>
        <v>985502.29</v>
      </c>
      <c r="U24" s="30" t="n">
        <f aca="false">T24/$M24</f>
        <v>1.01146975296795</v>
      </c>
      <c r="V24" s="28" t="n">
        <f aca="false">SUM(V23:V23)</f>
        <v>970576</v>
      </c>
      <c r="W24" s="28" t="n">
        <f aca="false">SUM(W23:W23)</f>
        <v>970576</v>
      </c>
    </row>
    <row r="26" customFormat="false" ht="12.8" hidden="false" customHeight="false" outlineLevel="0" collapsed="false">
      <c r="A26" s="31" t="s">
        <v>32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2"/>
      <c r="P26" s="31"/>
      <c r="Q26" s="32"/>
      <c r="R26" s="31"/>
      <c r="S26" s="32"/>
      <c r="T26" s="31"/>
      <c r="U26" s="32"/>
      <c r="V26" s="31"/>
      <c r="W26" s="31"/>
    </row>
    <row r="27" customFormat="false" ht="12.8" hidden="false" customHeight="false" outlineLevel="0" collapsed="false">
      <c r="A27" s="7" t="s">
        <v>33</v>
      </c>
      <c r="B27" s="7" t="s">
        <v>34</v>
      </c>
      <c r="C27" s="7" t="s">
        <v>35</v>
      </c>
      <c r="D27" s="7" t="s">
        <v>1</v>
      </c>
      <c r="E27" s="7" t="s">
        <v>2</v>
      </c>
      <c r="F27" s="7" t="s">
        <v>3</v>
      </c>
      <c r="G27" s="7" t="s">
        <v>4</v>
      </c>
      <c r="H27" s="7" t="s">
        <v>5</v>
      </c>
      <c r="I27" s="7"/>
      <c r="J27" s="7"/>
      <c r="K27" s="7"/>
      <c r="L27" s="7"/>
      <c r="M27" s="7"/>
      <c r="N27" s="7"/>
      <c r="O27" s="8"/>
      <c r="P27" s="7"/>
      <c r="Q27" s="8"/>
      <c r="R27" s="7"/>
      <c r="S27" s="8"/>
      <c r="T27" s="7"/>
      <c r="U27" s="8"/>
      <c r="V27" s="7" t="s">
        <v>19</v>
      </c>
      <c r="W27" s="7" t="s">
        <v>20</v>
      </c>
    </row>
    <row r="28" customFormat="false" ht="12.8" hidden="false" customHeight="false" outlineLevel="0" collapsed="false">
      <c r="A28" s="33" t="s">
        <v>36</v>
      </c>
      <c r="B28" s="10" t="n">
        <v>111003</v>
      </c>
      <c r="C28" s="10" t="s">
        <v>37</v>
      </c>
      <c r="D28" s="11" t="n">
        <v>665548.61</v>
      </c>
      <c r="E28" s="11" t="n">
        <v>723616.41</v>
      </c>
      <c r="F28" s="11" t="n">
        <v>783927</v>
      </c>
      <c r="G28" s="11" t="n">
        <v>832585.1</v>
      </c>
      <c r="H28" s="11" t="n">
        <v>878696</v>
      </c>
      <c r="I28" s="11"/>
      <c r="J28" s="11"/>
      <c r="K28" s="11"/>
      <c r="L28" s="11"/>
      <c r="M28" s="11" t="n">
        <f aca="false">H28+SUM(I28:L28)</f>
        <v>878696</v>
      </c>
      <c r="N28" s="11" t="n">
        <v>255014.98</v>
      </c>
      <c r="O28" s="12" t="n">
        <f aca="false">N28/$M28</f>
        <v>0.290219802980781</v>
      </c>
      <c r="P28" s="11" t="n">
        <v>438545.98</v>
      </c>
      <c r="Q28" s="12" t="n">
        <f aca="false">P28/$M28</f>
        <v>0.499087261123301</v>
      </c>
      <c r="R28" s="11" t="n">
        <v>669654.98</v>
      </c>
      <c r="S28" s="12" t="n">
        <f aca="false">R28/$M28</f>
        <v>0.762100863097135</v>
      </c>
      <c r="T28" s="11" t="n">
        <v>895976.98</v>
      </c>
      <c r="U28" s="13" t="n">
        <f aca="false">T28/$M28</f>
        <v>1.01966661962727</v>
      </c>
      <c r="V28" s="11" t="n">
        <f aca="false">H28</f>
        <v>878696</v>
      </c>
      <c r="W28" s="11" t="n">
        <f aca="false">V28</f>
        <v>878696</v>
      </c>
    </row>
    <row r="29" customFormat="false" ht="12.8" hidden="false" customHeight="false" outlineLevel="0" collapsed="false">
      <c r="A29" s="33"/>
      <c r="B29" s="10" t="n">
        <v>121001</v>
      </c>
      <c r="C29" s="10" t="s">
        <v>38</v>
      </c>
      <c r="D29" s="11" t="n">
        <v>19434.1</v>
      </c>
      <c r="E29" s="11" t="n">
        <v>16830.32</v>
      </c>
      <c r="F29" s="11" t="n">
        <v>16800</v>
      </c>
      <c r="G29" s="11" t="n">
        <v>18996.12</v>
      </c>
      <c r="H29" s="11" t="n">
        <v>19500</v>
      </c>
      <c r="I29" s="11"/>
      <c r="J29" s="11" t="n">
        <v>-2000</v>
      </c>
      <c r="K29" s="11"/>
      <c r="L29" s="11" t="n">
        <v>2230</v>
      </c>
      <c r="M29" s="11" t="n">
        <f aca="false">H29+SUM(I29:L29)</f>
        <v>19730</v>
      </c>
      <c r="N29" s="11" t="n">
        <v>1091.91</v>
      </c>
      <c r="O29" s="12" t="n">
        <f aca="false">N29/$M29</f>
        <v>0.0553426254434871</v>
      </c>
      <c r="P29" s="11" t="n">
        <v>4133.34</v>
      </c>
      <c r="Q29" s="12" t="n">
        <f aca="false">P29/$M29</f>
        <v>0.209495184997466</v>
      </c>
      <c r="R29" s="11" t="n">
        <v>10465.08</v>
      </c>
      <c r="S29" s="12" t="n">
        <f aca="false">R29/$M29</f>
        <v>0.530414597060314</v>
      </c>
      <c r="T29" s="11" t="n">
        <v>16997.08</v>
      </c>
      <c r="U29" s="13" t="n">
        <f aca="false">T29/$M29</f>
        <v>0.861484034465281</v>
      </c>
      <c r="V29" s="11" t="n">
        <f aca="false">H29</f>
        <v>19500</v>
      </c>
      <c r="W29" s="11" t="n">
        <f aca="false">V29</f>
        <v>19500</v>
      </c>
    </row>
    <row r="30" customFormat="false" ht="12.8" hidden="false" customHeight="false" outlineLevel="0" collapsed="false">
      <c r="A30" s="33"/>
      <c r="B30" s="10" t="n">
        <v>121002</v>
      </c>
      <c r="C30" s="10" t="s">
        <v>39</v>
      </c>
      <c r="D30" s="11" t="n">
        <v>17418.94</v>
      </c>
      <c r="E30" s="11" t="n">
        <v>19766.12</v>
      </c>
      <c r="F30" s="11" t="n">
        <v>19800</v>
      </c>
      <c r="G30" s="11" t="n">
        <v>20327.07</v>
      </c>
      <c r="H30" s="11" t="n">
        <v>21000</v>
      </c>
      <c r="I30" s="11"/>
      <c r="J30" s="11"/>
      <c r="K30" s="11"/>
      <c r="L30" s="11" t="n">
        <v>360</v>
      </c>
      <c r="M30" s="11" t="n">
        <f aca="false">H30+SUM(I30:L30)</f>
        <v>21360</v>
      </c>
      <c r="N30" s="11" t="n">
        <v>2377.85</v>
      </c>
      <c r="O30" s="12" t="n">
        <f aca="false">N30/$M30</f>
        <v>0.111322565543071</v>
      </c>
      <c r="P30" s="11" t="n">
        <v>11078.79</v>
      </c>
      <c r="Q30" s="12" t="n">
        <f aca="false">P30/$M30</f>
        <v>0.518669943820225</v>
      </c>
      <c r="R30" s="11" t="n">
        <v>18162.13</v>
      </c>
      <c r="S30" s="12" t="n">
        <f aca="false">R30/$M30</f>
        <v>0.850286985018727</v>
      </c>
      <c r="T30" s="11" t="n">
        <v>20377.67</v>
      </c>
      <c r="U30" s="13" t="n">
        <f aca="false">T30/$M30</f>
        <v>0.954010767790262</v>
      </c>
      <c r="V30" s="11" t="n">
        <f aca="false">H30</f>
        <v>21000</v>
      </c>
      <c r="W30" s="11" t="n">
        <f aca="false">V30</f>
        <v>21000</v>
      </c>
    </row>
    <row r="31" customFormat="false" ht="12.8" hidden="false" customHeight="false" outlineLevel="0" collapsed="false">
      <c r="A31" s="33"/>
      <c r="B31" s="10" t="n">
        <v>121003</v>
      </c>
      <c r="C31" s="10" t="s">
        <v>40</v>
      </c>
      <c r="D31" s="11" t="n">
        <v>108.83</v>
      </c>
      <c r="E31" s="11" t="n">
        <v>124.83</v>
      </c>
      <c r="F31" s="11" t="n">
        <v>125</v>
      </c>
      <c r="G31" s="11" t="n">
        <v>0</v>
      </c>
      <c r="H31" s="11" t="n">
        <v>100</v>
      </c>
      <c r="I31" s="11"/>
      <c r="J31" s="11"/>
      <c r="K31" s="11"/>
      <c r="L31" s="11" t="n">
        <v>-5</v>
      </c>
      <c r="M31" s="11" t="n">
        <f aca="false">H31+SUM(I31:L31)</f>
        <v>95</v>
      </c>
      <c r="N31" s="11" t="n">
        <v>0</v>
      </c>
      <c r="O31" s="12" t="n">
        <f aca="false">N31/$M31</f>
        <v>0</v>
      </c>
      <c r="P31" s="11" t="n">
        <v>0</v>
      </c>
      <c r="Q31" s="12" t="n">
        <f aca="false">P31/$M31</f>
        <v>0</v>
      </c>
      <c r="R31" s="11" t="n">
        <v>94.98</v>
      </c>
      <c r="S31" s="12" t="n">
        <f aca="false">R31/$M31</f>
        <v>0.99978947368421</v>
      </c>
      <c r="T31" s="11" t="n">
        <v>94.98</v>
      </c>
      <c r="U31" s="13" t="n">
        <f aca="false">T31/$M31</f>
        <v>0.99978947368421</v>
      </c>
      <c r="V31" s="11" t="n">
        <f aca="false">H31</f>
        <v>100</v>
      </c>
      <c r="W31" s="11" t="n">
        <f aca="false">V31</f>
        <v>100</v>
      </c>
    </row>
    <row r="32" customFormat="false" ht="12.8" hidden="false" customHeight="false" outlineLevel="0" collapsed="false">
      <c r="A32" s="33"/>
      <c r="B32" s="10" t="n">
        <v>133001</v>
      </c>
      <c r="C32" s="10" t="s">
        <v>41</v>
      </c>
      <c r="D32" s="11" t="n">
        <v>2088.92</v>
      </c>
      <c r="E32" s="11" t="n">
        <v>2264</v>
      </c>
      <c r="F32" s="11" t="n">
        <v>2300</v>
      </c>
      <c r="G32" s="11" t="n">
        <v>2221.35</v>
      </c>
      <c r="H32" s="11" t="n">
        <v>2300</v>
      </c>
      <c r="I32" s="11"/>
      <c r="J32" s="11"/>
      <c r="K32" s="11"/>
      <c r="L32" s="11" t="n">
        <v>240</v>
      </c>
      <c r="M32" s="11" t="n">
        <f aca="false">H32+SUM(I32:L32)</f>
        <v>2540</v>
      </c>
      <c r="N32" s="11" t="n">
        <v>323.55</v>
      </c>
      <c r="O32" s="12" t="n">
        <f aca="false">N32/$M32</f>
        <v>0.12738188976378</v>
      </c>
      <c r="P32" s="11" t="n">
        <v>1452.38</v>
      </c>
      <c r="Q32" s="12" t="n">
        <f aca="false">P32/$M32</f>
        <v>0.571803149606299</v>
      </c>
      <c r="R32" s="11" t="n">
        <v>2216.01</v>
      </c>
      <c r="S32" s="12" t="n">
        <f aca="false">R32/$M32</f>
        <v>0.872444881889764</v>
      </c>
      <c r="T32" s="11" t="n">
        <v>2375.51</v>
      </c>
      <c r="U32" s="13" t="n">
        <f aca="false">T32/$M32</f>
        <v>0.935240157480315</v>
      </c>
      <c r="V32" s="11" t="n">
        <f aca="false">H32</f>
        <v>2300</v>
      </c>
      <c r="W32" s="11" t="n">
        <f aca="false">V32</f>
        <v>2300</v>
      </c>
    </row>
    <row r="33" customFormat="false" ht="12.8" hidden="false" customHeight="false" outlineLevel="0" collapsed="false">
      <c r="A33" s="33"/>
      <c r="B33" s="10" t="n">
        <v>133003</v>
      </c>
      <c r="C33" s="10" t="s">
        <v>42</v>
      </c>
      <c r="D33" s="11" t="n">
        <v>0</v>
      </c>
      <c r="E33" s="11" t="n">
        <v>0</v>
      </c>
      <c r="F33" s="11" t="n">
        <v>0</v>
      </c>
      <c r="G33" s="11" t="n">
        <v>30</v>
      </c>
      <c r="H33" s="11" t="n">
        <v>50</v>
      </c>
      <c r="I33" s="11"/>
      <c r="J33" s="11"/>
      <c r="K33" s="11"/>
      <c r="L33" s="11" t="n">
        <v>-50</v>
      </c>
      <c r="M33" s="11" t="n">
        <f aca="false">H33+SUM(I33:L33)</f>
        <v>0</v>
      </c>
      <c r="N33" s="11" t="n">
        <v>0</v>
      </c>
      <c r="O33" s="12" t="e">
        <f aca="false">N33/$M33</f>
        <v>#DIV/0!</v>
      </c>
      <c r="P33" s="11" t="n">
        <v>0</v>
      </c>
      <c r="Q33" s="12" t="e">
        <f aca="false">P33/$M33</f>
        <v>#DIV/0!</v>
      </c>
      <c r="R33" s="11" t="n">
        <v>0</v>
      </c>
      <c r="S33" s="12" t="e">
        <f aca="false">R33/$M33</f>
        <v>#DIV/0!</v>
      </c>
      <c r="T33" s="11" t="n">
        <v>0</v>
      </c>
      <c r="U33" s="13" t="e">
        <f aca="false">T33/$M33</f>
        <v>#DIV/0!</v>
      </c>
      <c r="V33" s="11" t="n">
        <f aca="false">H33</f>
        <v>50</v>
      </c>
      <c r="W33" s="11" t="n">
        <f aca="false">V33</f>
        <v>50</v>
      </c>
    </row>
    <row r="34" customFormat="false" ht="12.8" hidden="false" customHeight="false" outlineLevel="0" collapsed="false">
      <c r="A34" s="33"/>
      <c r="B34" s="10" t="n">
        <v>133006</v>
      </c>
      <c r="C34" s="10" t="s">
        <v>43</v>
      </c>
      <c r="D34" s="11" t="n">
        <v>0</v>
      </c>
      <c r="E34" s="11" t="n">
        <v>0</v>
      </c>
      <c r="F34" s="11" t="n">
        <v>0</v>
      </c>
      <c r="G34" s="11" t="n">
        <v>219</v>
      </c>
      <c r="H34" s="11" t="n">
        <v>250</v>
      </c>
      <c r="I34" s="11"/>
      <c r="J34" s="11"/>
      <c r="K34" s="11"/>
      <c r="L34" s="11" t="n">
        <v>-80</v>
      </c>
      <c r="M34" s="11" t="n">
        <f aca="false">H34+SUM(I34:L34)</f>
        <v>170</v>
      </c>
      <c r="N34" s="11" t="n">
        <v>18</v>
      </c>
      <c r="O34" s="12" t="n">
        <f aca="false">N34/$M34</f>
        <v>0.105882352941176</v>
      </c>
      <c r="P34" s="11" t="n">
        <v>36</v>
      </c>
      <c r="Q34" s="12" t="n">
        <f aca="false">P34/$M34</f>
        <v>0.211764705882353</v>
      </c>
      <c r="R34" s="11" t="n">
        <v>99</v>
      </c>
      <c r="S34" s="12" t="n">
        <f aca="false">R34/$M34</f>
        <v>0.582352941176471</v>
      </c>
      <c r="T34" s="11" t="n">
        <v>376.8</v>
      </c>
      <c r="U34" s="13" t="n">
        <f aca="false">T34/$M34</f>
        <v>2.21647058823529</v>
      </c>
      <c r="V34" s="11" t="n">
        <f aca="false">H34</f>
        <v>250</v>
      </c>
      <c r="W34" s="11" t="n">
        <f aca="false">V34</f>
        <v>250</v>
      </c>
    </row>
    <row r="35" customFormat="false" ht="12.8" hidden="false" customHeight="false" outlineLevel="0" collapsed="false">
      <c r="A35" s="33"/>
      <c r="B35" s="10" t="n">
        <v>133012</v>
      </c>
      <c r="C35" s="10" t="s">
        <v>44</v>
      </c>
      <c r="D35" s="11" t="n">
        <v>1029</v>
      </c>
      <c r="E35" s="11" t="n">
        <v>2145</v>
      </c>
      <c r="F35" s="11" t="n">
        <v>2200</v>
      </c>
      <c r="G35" s="11" t="n">
        <v>2108.78</v>
      </c>
      <c r="H35" s="11" t="n">
        <v>2150</v>
      </c>
      <c r="I35" s="11"/>
      <c r="J35" s="11" t="n">
        <v>970</v>
      </c>
      <c r="K35" s="11"/>
      <c r="L35" s="11" t="n">
        <v>25</v>
      </c>
      <c r="M35" s="11" t="n">
        <f aca="false">H35+SUM(I35:L35)</f>
        <v>3145</v>
      </c>
      <c r="N35" s="11" t="n">
        <v>145.52</v>
      </c>
      <c r="O35" s="12" t="n">
        <f aca="false">N35/$M35</f>
        <v>0.0462702702702703</v>
      </c>
      <c r="P35" s="11" t="n">
        <v>2566.72</v>
      </c>
      <c r="Q35" s="12" t="n">
        <f aca="false">P35/$M35</f>
        <v>0.816127186009539</v>
      </c>
      <c r="R35" s="11" t="n">
        <v>2788.72</v>
      </c>
      <c r="S35" s="12" t="n">
        <f aca="false">R35/$M35</f>
        <v>0.886715421303657</v>
      </c>
      <c r="T35" s="11" t="n">
        <v>2952.22</v>
      </c>
      <c r="U35" s="13" t="n">
        <f aca="false">T35/$M35</f>
        <v>0.938702702702703</v>
      </c>
      <c r="V35" s="11" t="n">
        <f aca="false">H35</f>
        <v>2150</v>
      </c>
      <c r="W35" s="11" t="n">
        <f aca="false">V35</f>
        <v>2150</v>
      </c>
    </row>
    <row r="36" customFormat="false" ht="12.8" hidden="false" customHeight="false" outlineLevel="0" collapsed="false">
      <c r="A36" s="33"/>
      <c r="B36" s="10" t="n">
        <v>133013</v>
      </c>
      <c r="C36" s="10" t="s">
        <v>45</v>
      </c>
      <c r="D36" s="11" t="n">
        <v>21806.6</v>
      </c>
      <c r="E36" s="11" t="n">
        <v>42361</v>
      </c>
      <c r="F36" s="11" t="n">
        <v>42400</v>
      </c>
      <c r="G36" s="11" t="n">
        <v>41307.63</v>
      </c>
      <c r="H36" s="11" t="n">
        <f aca="false">42000+4530</f>
        <v>46530</v>
      </c>
      <c r="I36" s="11"/>
      <c r="J36" s="11"/>
      <c r="K36" s="11"/>
      <c r="L36" s="11" t="n">
        <v>2061</v>
      </c>
      <c r="M36" s="11" t="n">
        <f aca="false">H36+SUM(I36:L36)</f>
        <v>48591</v>
      </c>
      <c r="N36" s="11" t="n">
        <v>6800.97</v>
      </c>
      <c r="O36" s="12" t="n">
        <f aca="false">N36/$M36</f>
        <v>0.139963573501266</v>
      </c>
      <c r="P36" s="11" t="n">
        <v>25369.92</v>
      </c>
      <c r="Q36" s="12" t="n">
        <f aca="false">P36/$M36</f>
        <v>0.522111502130024</v>
      </c>
      <c r="R36" s="11" t="n">
        <v>40812.13</v>
      </c>
      <c r="S36" s="12" t="n">
        <f aca="false">R36/$M36</f>
        <v>0.839911300446585</v>
      </c>
      <c r="T36" s="11" t="n">
        <v>46351.05</v>
      </c>
      <c r="U36" s="13" t="n">
        <f aca="false">T36/$M36</f>
        <v>0.953901957152559</v>
      </c>
      <c r="V36" s="11" t="n">
        <f aca="false">H36</f>
        <v>46530</v>
      </c>
      <c r="W36" s="11" t="n">
        <f aca="false">V36</f>
        <v>46530</v>
      </c>
    </row>
    <row r="37" s="35" customFormat="true" ht="12.8" hidden="false" customHeight="false" outlineLevel="0" collapsed="false">
      <c r="A37" s="34"/>
      <c r="B37" s="14" t="n">
        <v>41</v>
      </c>
      <c r="C37" s="14" t="s">
        <v>23</v>
      </c>
      <c r="D37" s="15" t="n">
        <f aca="false">SUM(D28:D36)</f>
        <v>727435</v>
      </c>
      <c r="E37" s="15" t="n">
        <f aca="false">SUM(E28:E36)</f>
        <v>807107.68</v>
      </c>
      <c r="F37" s="15" t="n">
        <f aca="false">SUM(F28:F36)</f>
        <v>867552</v>
      </c>
      <c r="G37" s="15" t="n">
        <f aca="false">SUM(G28:G36)</f>
        <v>917795.05</v>
      </c>
      <c r="H37" s="15" t="n">
        <f aca="false">SUM(H28:H36)</f>
        <v>970576</v>
      </c>
      <c r="I37" s="15" t="n">
        <f aca="false">SUM(I28:I36)</f>
        <v>0</v>
      </c>
      <c r="J37" s="15" t="n">
        <f aca="false">SUM(J28:J36)</f>
        <v>-1030</v>
      </c>
      <c r="K37" s="15" t="n">
        <f aca="false">SUM(K28:K36)</f>
        <v>0</v>
      </c>
      <c r="L37" s="15" t="n">
        <f aca="false">SUM(L28:L36)</f>
        <v>4781</v>
      </c>
      <c r="M37" s="15" t="n">
        <f aca="false">SUM(M28:M36)</f>
        <v>974327</v>
      </c>
      <c r="N37" s="15" t="n">
        <f aca="false">SUM(N28:N36)</f>
        <v>265772.78</v>
      </c>
      <c r="O37" s="16" t="n">
        <f aca="false">N37/$M37</f>
        <v>0.272775751877963</v>
      </c>
      <c r="P37" s="15" t="n">
        <f aca="false">SUM(P28:P36)</f>
        <v>483183.13</v>
      </c>
      <c r="Q37" s="16" t="n">
        <f aca="false">P37/$M37</f>
        <v>0.495914749360328</v>
      </c>
      <c r="R37" s="15" t="n">
        <f aca="false">SUM(R28:R36)</f>
        <v>744293.03</v>
      </c>
      <c r="S37" s="16" t="n">
        <f aca="false">R37/$M37</f>
        <v>0.763904756821888</v>
      </c>
      <c r="T37" s="15" t="n">
        <f aca="false">SUM(T28:T36)</f>
        <v>985502.29</v>
      </c>
      <c r="U37" s="17" t="n">
        <f aca="false">T37/$M37</f>
        <v>1.01146975296795</v>
      </c>
      <c r="V37" s="15" t="n">
        <f aca="false">SUM(V28:V36)</f>
        <v>970576</v>
      </c>
      <c r="W37" s="15" t="n">
        <f aca="false">SUM(W28:W36)</f>
        <v>970576</v>
      </c>
    </row>
    <row r="39" customFormat="false" ht="12.8" hidden="false" customHeight="false" outlineLevel="0" collapsed="false">
      <c r="A39" s="20" t="s">
        <v>46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1"/>
      <c r="P39" s="20"/>
      <c r="Q39" s="21"/>
      <c r="R39" s="20"/>
      <c r="S39" s="21"/>
      <c r="T39" s="20"/>
      <c r="U39" s="21"/>
      <c r="V39" s="20"/>
      <c r="W39" s="20"/>
    </row>
    <row r="40" customFormat="false" ht="12.8" hidden="false" customHeight="false" outlineLevel="0" collapsed="false">
      <c r="A40" s="6"/>
      <c r="B40" s="6"/>
      <c r="C40" s="6"/>
      <c r="D40" s="7" t="s">
        <v>1</v>
      </c>
      <c r="E40" s="7" t="s">
        <v>2</v>
      </c>
      <c r="F40" s="7" t="s">
        <v>3</v>
      </c>
      <c r="G40" s="7" t="s">
        <v>4</v>
      </c>
      <c r="H40" s="7" t="s">
        <v>5</v>
      </c>
      <c r="I40" s="7" t="s">
        <v>6</v>
      </c>
      <c r="J40" s="7" t="s">
        <v>7</v>
      </c>
      <c r="K40" s="7" t="s">
        <v>8</v>
      </c>
      <c r="L40" s="7" t="s">
        <v>9</v>
      </c>
      <c r="M40" s="7" t="s">
        <v>10</v>
      </c>
      <c r="N40" s="7" t="s">
        <v>11</v>
      </c>
      <c r="O40" s="8" t="s">
        <v>12</v>
      </c>
      <c r="P40" s="7" t="s">
        <v>13</v>
      </c>
      <c r="Q40" s="8" t="s">
        <v>14</v>
      </c>
      <c r="R40" s="7" t="s">
        <v>15</v>
      </c>
      <c r="S40" s="8" t="s">
        <v>16</v>
      </c>
      <c r="T40" s="7" t="s">
        <v>17</v>
      </c>
      <c r="U40" s="8" t="s">
        <v>18</v>
      </c>
      <c r="V40" s="7" t="s">
        <v>19</v>
      </c>
      <c r="W40" s="7" t="s">
        <v>20</v>
      </c>
    </row>
    <row r="41" customFormat="false" ht="12.8" hidden="false" customHeight="false" outlineLevel="0" collapsed="false">
      <c r="A41" s="22"/>
      <c r="B41" s="23" t="n">
        <v>41</v>
      </c>
      <c r="C41" s="23" t="s">
        <v>23</v>
      </c>
      <c r="D41" s="24" t="n">
        <f aca="false">D52</f>
        <v>89213.61</v>
      </c>
      <c r="E41" s="24" t="n">
        <f aca="false">E52</f>
        <v>93536.97</v>
      </c>
      <c r="F41" s="24" t="n">
        <f aca="false">F52</f>
        <v>87447</v>
      </c>
      <c r="G41" s="24" t="n">
        <f aca="false">G52</f>
        <v>104281.92</v>
      </c>
      <c r="H41" s="24" t="n">
        <f aca="false">H52</f>
        <v>86100</v>
      </c>
      <c r="I41" s="24" t="n">
        <f aca="false">I52</f>
        <v>506</v>
      </c>
      <c r="J41" s="24" t="n">
        <f aca="false">J52</f>
        <v>1531</v>
      </c>
      <c r="K41" s="24" t="n">
        <f aca="false">K52</f>
        <v>2589</v>
      </c>
      <c r="L41" s="24" t="n">
        <f aca="false">L52</f>
        <v>-4994</v>
      </c>
      <c r="M41" s="24" t="n">
        <f aca="false">M52</f>
        <v>85732</v>
      </c>
      <c r="N41" s="24" t="n">
        <f aca="false">N52</f>
        <v>24128.45</v>
      </c>
      <c r="O41" s="25" t="n">
        <f aca="false">N41/$M41</f>
        <v>0.281440418980077</v>
      </c>
      <c r="P41" s="24" t="n">
        <f aca="false">P52</f>
        <v>48913.41</v>
      </c>
      <c r="Q41" s="25" t="n">
        <f aca="false">P41/$M41</f>
        <v>0.570538538702002</v>
      </c>
      <c r="R41" s="24" t="n">
        <f aca="false">R52</f>
        <v>65703.68</v>
      </c>
      <c r="S41" s="25" t="n">
        <f aca="false">R41/$M41</f>
        <v>0.76638454719358</v>
      </c>
      <c r="T41" s="24" t="n">
        <f aca="false">T52</f>
        <v>96217.95</v>
      </c>
      <c r="U41" s="26" t="n">
        <f aca="false">T41/$M41</f>
        <v>1.12231080576681</v>
      </c>
      <c r="V41" s="24" t="n">
        <f aca="false">V52</f>
        <v>86100</v>
      </c>
      <c r="W41" s="24" t="n">
        <f aca="false">W52</f>
        <v>86100</v>
      </c>
    </row>
    <row r="42" customFormat="false" ht="12.8" hidden="false" customHeight="false" outlineLevel="0" collapsed="false">
      <c r="A42" s="18"/>
      <c r="B42" s="19"/>
      <c r="C42" s="27" t="s">
        <v>29</v>
      </c>
      <c r="D42" s="28" t="n">
        <f aca="false">SUM(D41:D41)</f>
        <v>89213.61</v>
      </c>
      <c r="E42" s="28" t="n">
        <f aca="false">SUM(E41:E41)</f>
        <v>93536.97</v>
      </c>
      <c r="F42" s="28" t="n">
        <f aca="false">SUM(F41:F41)</f>
        <v>87447</v>
      </c>
      <c r="G42" s="28" t="n">
        <f aca="false">SUM(G41:G41)</f>
        <v>104281.92</v>
      </c>
      <c r="H42" s="28" t="n">
        <f aca="false">SUM(H41:H41)</f>
        <v>86100</v>
      </c>
      <c r="I42" s="28" t="n">
        <f aca="false">SUM(I41:I41)</f>
        <v>506</v>
      </c>
      <c r="J42" s="28" t="n">
        <f aca="false">SUM(J41:J41)</f>
        <v>1531</v>
      </c>
      <c r="K42" s="28" t="n">
        <f aca="false">SUM(K41:K41)</f>
        <v>2589</v>
      </c>
      <c r="L42" s="28" t="n">
        <f aca="false">SUM(L41:L41)</f>
        <v>-4994</v>
      </c>
      <c r="M42" s="28" t="n">
        <f aca="false">SUM(M41:M41)</f>
        <v>85732</v>
      </c>
      <c r="N42" s="28" t="n">
        <f aca="false">SUM(N41:N41)</f>
        <v>24128.45</v>
      </c>
      <c r="O42" s="29" t="n">
        <f aca="false">N42/$M42</f>
        <v>0.281440418980077</v>
      </c>
      <c r="P42" s="28" t="n">
        <f aca="false">SUM(P41:P41)</f>
        <v>48913.41</v>
      </c>
      <c r="Q42" s="29" t="n">
        <f aca="false">P42/$M42</f>
        <v>0.570538538702002</v>
      </c>
      <c r="R42" s="28" t="n">
        <f aca="false">SUM(R41:R41)</f>
        <v>65703.68</v>
      </c>
      <c r="S42" s="29" t="n">
        <f aca="false">R42/$M42</f>
        <v>0.76638454719358</v>
      </c>
      <c r="T42" s="28" t="n">
        <f aca="false">SUM(T41:T41)</f>
        <v>96217.95</v>
      </c>
      <c r="U42" s="30" t="n">
        <f aca="false">T42/$M42</f>
        <v>1.12231080576681</v>
      </c>
      <c r="V42" s="28" t="n">
        <f aca="false">SUM(V41:V41)</f>
        <v>86100</v>
      </c>
      <c r="W42" s="28" t="n">
        <f aca="false">SUM(W41:W41)</f>
        <v>86100</v>
      </c>
    </row>
    <row r="44" customFormat="false" ht="12.8" hidden="false" customHeight="false" outlineLevel="0" collapsed="false">
      <c r="A44" s="31" t="s">
        <v>47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/>
      <c r="P44" s="31"/>
      <c r="Q44" s="32"/>
      <c r="R44" s="31"/>
      <c r="S44" s="32"/>
      <c r="T44" s="31"/>
      <c r="U44" s="32"/>
      <c r="V44" s="31"/>
      <c r="W44" s="31"/>
    </row>
    <row r="45" customFormat="false" ht="12.8" hidden="false" customHeight="false" outlineLevel="0" collapsed="false">
      <c r="A45" s="7" t="s">
        <v>33</v>
      </c>
      <c r="B45" s="7" t="s">
        <v>34</v>
      </c>
      <c r="C45" s="7" t="s">
        <v>35</v>
      </c>
      <c r="D45" s="7" t="s">
        <v>1</v>
      </c>
      <c r="E45" s="7" t="s">
        <v>2</v>
      </c>
      <c r="F45" s="7" t="s">
        <v>3</v>
      </c>
      <c r="G45" s="7" t="s">
        <v>4</v>
      </c>
      <c r="H45" s="7" t="s">
        <v>5</v>
      </c>
      <c r="I45" s="7" t="s">
        <v>6</v>
      </c>
      <c r="J45" s="7" t="s">
        <v>7</v>
      </c>
      <c r="K45" s="7" t="s">
        <v>8</v>
      </c>
      <c r="L45" s="7" t="s">
        <v>9</v>
      </c>
      <c r="M45" s="7" t="s">
        <v>10</v>
      </c>
      <c r="N45" s="7" t="s">
        <v>11</v>
      </c>
      <c r="O45" s="8" t="s">
        <v>12</v>
      </c>
      <c r="P45" s="7" t="s">
        <v>13</v>
      </c>
      <c r="Q45" s="8" t="s">
        <v>14</v>
      </c>
      <c r="R45" s="7" t="s">
        <v>15</v>
      </c>
      <c r="S45" s="8" t="s">
        <v>16</v>
      </c>
      <c r="T45" s="7" t="s">
        <v>17</v>
      </c>
      <c r="U45" s="8" t="s">
        <v>18</v>
      </c>
      <c r="V45" s="7" t="s">
        <v>19</v>
      </c>
      <c r="W45" s="7" t="s">
        <v>20</v>
      </c>
    </row>
    <row r="46" customFormat="false" ht="12.8" hidden="false" customHeight="false" outlineLevel="0" collapsed="false">
      <c r="A46" s="36" t="s">
        <v>48</v>
      </c>
      <c r="B46" s="10" t="n">
        <v>210</v>
      </c>
      <c r="C46" s="10" t="s">
        <v>49</v>
      </c>
      <c r="D46" s="11" t="n">
        <v>10954.51</v>
      </c>
      <c r="E46" s="11" t="n">
        <v>9992.05</v>
      </c>
      <c r="F46" s="11" t="n">
        <v>1860</v>
      </c>
      <c r="G46" s="11" t="n">
        <v>6940.41</v>
      </c>
      <c r="H46" s="11" t="n">
        <v>6900</v>
      </c>
      <c r="I46" s="11"/>
      <c r="J46" s="11"/>
      <c r="K46" s="11"/>
      <c r="L46" s="11" t="n">
        <v>-940</v>
      </c>
      <c r="M46" s="11" t="n">
        <f aca="false">H46+SUM(I46:L46)</f>
        <v>5960</v>
      </c>
      <c r="N46" s="11" t="n">
        <v>2143.81</v>
      </c>
      <c r="O46" s="12" t="n">
        <f aca="false">N46/$M46</f>
        <v>0.35969966442953</v>
      </c>
      <c r="P46" s="11" t="n">
        <v>4021.81</v>
      </c>
      <c r="Q46" s="12" t="n">
        <f aca="false">P46/$M46</f>
        <v>0.67480033557047</v>
      </c>
      <c r="R46" s="11" t="n">
        <v>4986.81</v>
      </c>
      <c r="S46" s="12" t="n">
        <f aca="false">R46/$M46</f>
        <v>0.836713087248322</v>
      </c>
      <c r="T46" s="11" t="n">
        <v>6450.89</v>
      </c>
      <c r="U46" s="13" t="n">
        <f aca="false">T46/$M46</f>
        <v>1.08236409395973</v>
      </c>
      <c r="V46" s="11" t="n">
        <f aca="false">H46</f>
        <v>6900</v>
      </c>
      <c r="W46" s="11" t="n">
        <f aca="false">V46</f>
        <v>6900</v>
      </c>
    </row>
    <row r="47" customFormat="false" ht="12.8" hidden="false" customHeight="false" outlineLevel="0" collapsed="false">
      <c r="A47" s="36"/>
      <c r="B47" s="10" t="n">
        <v>220</v>
      </c>
      <c r="C47" s="10" t="s">
        <v>50</v>
      </c>
      <c r="D47" s="11" t="n">
        <v>68764.51</v>
      </c>
      <c r="E47" s="11" t="n">
        <v>63741.24</v>
      </c>
      <c r="F47" s="11" t="n">
        <v>63890</v>
      </c>
      <c r="G47" s="11" t="n">
        <v>65784.01</v>
      </c>
      <c r="H47" s="11" t="n">
        <v>64500</v>
      </c>
      <c r="I47" s="11" t="n">
        <v>480</v>
      </c>
      <c r="J47" s="11" t="n">
        <v>610</v>
      </c>
      <c r="K47" s="11"/>
      <c r="L47" s="11" t="n">
        <v>-5296</v>
      </c>
      <c r="M47" s="11" t="n">
        <f aca="false">H47+SUM(I47:L47)</f>
        <v>60294</v>
      </c>
      <c r="N47" s="11" t="n">
        <v>14924.21</v>
      </c>
      <c r="O47" s="12" t="n">
        <f aca="false">N47/$M47</f>
        <v>0.247523965900421</v>
      </c>
      <c r="P47" s="11" t="n">
        <v>32563.11</v>
      </c>
      <c r="Q47" s="12" t="n">
        <f aca="false">P47/$M47</f>
        <v>0.540072146482237</v>
      </c>
      <c r="R47" s="11" t="n">
        <v>43848.39</v>
      </c>
      <c r="S47" s="12" t="n">
        <f aca="false">R47/$M47</f>
        <v>0.727243009254652</v>
      </c>
      <c r="T47" s="11" t="n">
        <v>61587.09</v>
      </c>
      <c r="U47" s="13" t="n">
        <f aca="false">T47/$M47</f>
        <v>1.02144641257837</v>
      </c>
      <c r="V47" s="11" t="n">
        <f aca="false">H47</f>
        <v>64500</v>
      </c>
      <c r="W47" s="11" t="n">
        <f aca="false">V47</f>
        <v>64500</v>
      </c>
    </row>
    <row r="48" customFormat="false" ht="12.8" hidden="true" customHeight="false" outlineLevel="0" collapsed="false">
      <c r="A48" s="36"/>
      <c r="B48" s="10" t="n">
        <v>230</v>
      </c>
      <c r="C48" s="10" t="s">
        <v>51</v>
      </c>
      <c r="D48" s="11" t="n">
        <v>1072.5</v>
      </c>
      <c r="E48" s="11" t="n">
        <v>280</v>
      </c>
      <c r="F48" s="11" t="n">
        <v>0</v>
      </c>
      <c r="G48" s="11" t="n">
        <v>0</v>
      </c>
      <c r="H48" s="11" t="n">
        <v>0</v>
      </c>
      <c r="I48" s="11"/>
      <c r="J48" s="11"/>
      <c r="K48" s="11"/>
      <c r="L48" s="11"/>
      <c r="M48" s="11" t="n">
        <f aca="false">H48+SUM(I48:L48)</f>
        <v>0</v>
      </c>
      <c r="N48" s="11" t="n">
        <v>0</v>
      </c>
      <c r="O48" s="12" t="e">
        <f aca="false">N48/$M48</f>
        <v>#DIV/0!</v>
      </c>
      <c r="P48" s="11"/>
      <c r="Q48" s="12" t="e">
        <f aca="false">P48/$M48</f>
        <v>#DIV/0!</v>
      </c>
      <c r="R48" s="11"/>
      <c r="S48" s="12" t="e">
        <f aca="false">R48/$M48</f>
        <v>#DIV/0!</v>
      </c>
      <c r="T48" s="11"/>
      <c r="U48" s="13" t="e">
        <f aca="false">T48/$M48</f>
        <v>#DIV/0!</v>
      </c>
      <c r="V48" s="11" t="n">
        <f aca="false">H48</f>
        <v>0</v>
      </c>
      <c r="W48" s="11" t="n">
        <f aca="false">V48</f>
        <v>0</v>
      </c>
    </row>
    <row r="49" customFormat="false" ht="12.8" hidden="false" customHeight="false" outlineLevel="0" collapsed="false">
      <c r="A49" s="36"/>
      <c r="B49" s="10" t="n">
        <v>240</v>
      </c>
      <c r="C49" s="10" t="s">
        <v>52</v>
      </c>
      <c r="D49" s="11" t="n">
        <v>37.93</v>
      </c>
      <c r="E49" s="11" t="n">
        <v>20.59</v>
      </c>
      <c r="F49" s="11" t="n">
        <v>20</v>
      </c>
      <c r="G49" s="11" t="n">
        <v>701.63</v>
      </c>
      <c r="H49" s="11" t="n">
        <v>150</v>
      </c>
      <c r="I49" s="11" t="n">
        <v>26</v>
      </c>
      <c r="J49" s="11" t="n">
        <v>300</v>
      </c>
      <c r="K49" s="11" t="n">
        <v>589</v>
      </c>
      <c r="L49" s="11" t="n">
        <v>15</v>
      </c>
      <c r="M49" s="11" t="n">
        <f aca="false">H49+SUM(I49:L49)</f>
        <v>1080</v>
      </c>
      <c r="N49" s="11" t="n">
        <v>193.98</v>
      </c>
      <c r="O49" s="12" t="n">
        <f aca="false">N49/$M49</f>
        <v>0.179611111111111</v>
      </c>
      <c r="P49" s="11" t="n">
        <v>475.68</v>
      </c>
      <c r="Q49" s="12" t="n">
        <f aca="false">P49/$M49</f>
        <v>0.440444444444444</v>
      </c>
      <c r="R49" s="11" t="n">
        <v>789.81</v>
      </c>
      <c r="S49" s="12" t="n">
        <f aca="false">R49/$M49</f>
        <v>0.731305555555556</v>
      </c>
      <c r="T49" s="11" t="n">
        <v>1084.76</v>
      </c>
      <c r="U49" s="13" t="n">
        <f aca="false">T49/$M49</f>
        <v>1.00440740740741</v>
      </c>
      <c r="V49" s="11" t="n">
        <f aca="false">H49</f>
        <v>150</v>
      </c>
      <c r="W49" s="11" t="n">
        <f aca="false">V49</f>
        <v>150</v>
      </c>
    </row>
    <row r="50" customFormat="false" ht="12.8" hidden="false" customHeight="false" outlineLevel="0" collapsed="false">
      <c r="A50" s="36"/>
      <c r="B50" s="10" t="n">
        <v>290</v>
      </c>
      <c r="C50" s="10" t="s">
        <v>53</v>
      </c>
      <c r="D50" s="11" t="n">
        <v>490.01</v>
      </c>
      <c r="E50" s="11" t="n">
        <v>11064.09</v>
      </c>
      <c r="F50" s="11" t="n">
        <v>8950</v>
      </c>
      <c r="G50" s="11" t="n">
        <v>19155.16</v>
      </c>
      <c r="H50" s="11" t="n">
        <v>8600</v>
      </c>
      <c r="I50" s="11"/>
      <c r="J50" s="11" t="n">
        <v>621</v>
      </c>
      <c r="K50" s="11" t="n">
        <v>2000</v>
      </c>
      <c r="L50" s="11" t="n">
        <f aca="false">3519+2512+267</f>
        <v>6298</v>
      </c>
      <c r="M50" s="11" t="n">
        <f aca="false">H50+SUM(I50:L50)</f>
        <v>17519</v>
      </c>
      <c r="N50" s="11" t="n">
        <v>5132.08</v>
      </c>
      <c r="O50" s="12" t="n">
        <f aca="false">N50/$M50</f>
        <v>0.292943661167875</v>
      </c>
      <c r="P50" s="11" t="n">
        <v>6803.04</v>
      </c>
      <c r="Q50" s="12" t="n">
        <f aca="false">P50/$M50</f>
        <v>0.388323534448313</v>
      </c>
      <c r="R50" s="11" t="n">
        <v>10716</v>
      </c>
      <c r="S50" s="12" t="n">
        <f aca="false">R50/$M50</f>
        <v>0.611678748787031</v>
      </c>
      <c r="T50" s="11" t="n">
        <v>17507.57</v>
      </c>
      <c r="U50" s="13" t="n">
        <f aca="false">T50/$M50</f>
        <v>0.999347565500314</v>
      </c>
      <c r="V50" s="11" t="n">
        <f aca="false">H50</f>
        <v>8600</v>
      </c>
      <c r="W50" s="11" t="n">
        <f aca="false">V50</f>
        <v>8600</v>
      </c>
    </row>
    <row r="51" customFormat="false" ht="12.8" hidden="false" customHeight="false" outlineLevel="0" collapsed="false">
      <c r="A51" s="36"/>
      <c r="B51" s="10" t="s">
        <v>54</v>
      </c>
      <c r="C51" s="10" t="s">
        <v>55</v>
      </c>
      <c r="D51" s="11" t="n">
        <v>7894.15</v>
      </c>
      <c r="E51" s="11" t="n">
        <v>8439</v>
      </c>
      <c r="F51" s="11" t="n">
        <v>12727</v>
      </c>
      <c r="G51" s="37" t="n">
        <v>11700.71</v>
      </c>
      <c r="H51" s="37" t="n">
        <v>5950</v>
      </c>
      <c r="I51" s="37"/>
      <c r="J51" s="37"/>
      <c r="K51" s="37"/>
      <c r="L51" s="37" t="n">
        <v>-5071</v>
      </c>
      <c r="M51" s="37" t="n">
        <f aca="false">H51+SUM(I51:L51)</f>
        <v>879</v>
      </c>
      <c r="N51" s="37" t="n">
        <v>1734.37</v>
      </c>
      <c r="O51" s="38" t="n">
        <f aca="false">N51/$M51</f>
        <v>1.97311717861206</v>
      </c>
      <c r="P51" s="37" t="n">
        <v>5049.77</v>
      </c>
      <c r="Q51" s="38" t="n">
        <f aca="false">P51/$M51</f>
        <v>5.74490329920364</v>
      </c>
      <c r="R51" s="37" t="n">
        <v>5362.67</v>
      </c>
      <c r="S51" s="12" t="n">
        <f aca="false">R51/$M51</f>
        <v>6.10087599544938</v>
      </c>
      <c r="T51" s="37" t="n">
        <v>9587.64</v>
      </c>
      <c r="U51" s="39" t="n">
        <f aca="false">T51/$M51</f>
        <v>10.9074402730375</v>
      </c>
      <c r="V51" s="11" t="n">
        <f aca="false">H51</f>
        <v>5950</v>
      </c>
      <c r="W51" s="11" t="n">
        <f aca="false">V51</f>
        <v>5950</v>
      </c>
    </row>
    <row r="52" customFormat="false" ht="12.8" hidden="false" customHeight="false" outlineLevel="0" collapsed="false">
      <c r="A52" s="18"/>
      <c r="B52" s="40" t="n">
        <v>41</v>
      </c>
      <c r="C52" s="40" t="s">
        <v>23</v>
      </c>
      <c r="D52" s="41" t="n">
        <f aca="false">SUM(D46:D51)</f>
        <v>89213.61</v>
      </c>
      <c r="E52" s="41" t="n">
        <f aca="false">SUM(E46:E51)</f>
        <v>93536.97</v>
      </c>
      <c r="F52" s="41" t="n">
        <f aca="false">SUM(F46:F51)</f>
        <v>87447</v>
      </c>
      <c r="G52" s="41" t="n">
        <f aca="false">SUM(G46:G51)</f>
        <v>104281.92</v>
      </c>
      <c r="H52" s="41" t="n">
        <f aca="false">SUM(H46:H51)</f>
        <v>86100</v>
      </c>
      <c r="I52" s="41" t="n">
        <f aca="false">SUM(I46:I51)</f>
        <v>506</v>
      </c>
      <c r="J52" s="41" t="n">
        <f aca="false">SUM(J46:J51)</f>
        <v>1531</v>
      </c>
      <c r="K52" s="41" t="n">
        <f aca="false">SUM(K46:K51)</f>
        <v>2589</v>
      </c>
      <c r="L52" s="41" t="n">
        <f aca="false">SUM(L46:L51)</f>
        <v>-4994</v>
      </c>
      <c r="M52" s="41" t="n">
        <f aca="false">SUM(M46:M51)</f>
        <v>85732</v>
      </c>
      <c r="N52" s="41" t="n">
        <f aca="false">SUM(N46:N51)</f>
        <v>24128.45</v>
      </c>
      <c r="O52" s="42" t="n">
        <f aca="false">N52/$M52</f>
        <v>0.281440418980077</v>
      </c>
      <c r="P52" s="41" t="n">
        <f aca="false">SUM(P46:P51)</f>
        <v>48913.41</v>
      </c>
      <c r="Q52" s="42" t="n">
        <f aca="false">P52/$M52</f>
        <v>0.570538538702002</v>
      </c>
      <c r="R52" s="41" t="n">
        <f aca="false">SUM(R46:R51)</f>
        <v>65703.68</v>
      </c>
      <c r="S52" s="42" t="n">
        <f aca="false">R52/$M52</f>
        <v>0.76638454719358</v>
      </c>
      <c r="T52" s="41" t="n">
        <f aca="false">SUM(T46:T51)</f>
        <v>96217.95</v>
      </c>
      <c r="U52" s="43" t="n">
        <f aca="false">T52/$M52</f>
        <v>1.12231080576681</v>
      </c>
      <c r="V52" s="41" t="n">
        <f aca="false">SUM(V46:V51)</f>
        <v>86100</v>
      </c>
      <c r="W52" s="41" t="n">
        <f aca="false">SUM(W46:W51)</f>
        <v>86100</v>
      </c>
    </row>
    <row r="54" customFormat="false" ht="12.8" hidden="false" customHeight="false" outlineLevel="0" collapsed="false">
      <c r="B54" s="44" t="s">
        <v>56</v>
      </c>
      <c r="C54" s="18" t="s">
        <v>57</v>
      </c>
      <c r="D54" s="45" t="n">
        <v>10600.88</v>
      </c>
      <c r="E54" s="45" t="n">
        <v>9629</v>
      </c>
      <c r="F54" s="45" t="n">
        <v>1500</v>
      </c>
      <c r="G54" s="45" t="n">
        <v>6576.64</v>
      </c>
      <c r="H54" s="45" t="n">
        <v>6300</v>
      </c>
      <c r="I54" s="45"/>
      <c r="J54" s="45"/>
      <c r="K54" s="45"/>
      <c r="L54" s="45" t="n">
        <v>-930</v>
      </c>
      <c r="M54" s="45" t="n">
        <f aca="false">H54+SUM(I54:L54)</f>
        <v>5370</v>
      </c>
      <c r="N54" s="45" t="n">
        <v>1847.78</v>
      </c>
      <c r="O54" s="46" t="n">
        <f aca="false">N54/$M54</f>
        <v>0.344093109869646</v>
      </c>
      <c r="P54" s="45" t="n">
        <v>3589.78</v>
      </c>
      <c r="Q54" s="46" t="n">
        <f aca="false">P54/$M54</f>
        <v>0.668487895716946</v>
      </c>
      <c r="R54" s="45" t="n">
        <v>4554.78</v>
      </c>
      <c r="S54" s="46" t="n">
        <f aca="false">R54/$M54</f>
        <v>0.848189944134078</v>
      </c>
      <c r="T54" s="45" t="n">
        <v>5860.78</v>
      </c>
      <c r="U54" s="47" t="n">
        <f aca="false">T54/$M54</f>
        <v>1.09139292364991</v>
      </c>
      <c r="V54" s="45" t="n">
        <f aca="false">H54</f>
        <v>6300</v>
      </c>
      <c r="W54" s="48" t="n">
        <f aca="false">V54</f>
        <v>6300</v>
      </c>
    </row>
    <row r="55" customFormat="false" ht="12.8" hidden="false" customHeight="false" outlineLevel="0" collapsed="false">
      <c r="B55" s="49"/>
      <c r="C55" s="50" t="s">
        <v>58</v>
      </c>
      <c r="D55" s="51" t="n">
        <v>8219.5</v>
      </c>
      <c r="E55" s="51" t="n">
        <v>7544.18</v>
      </c>
      <c r="F55" s="51" t="n">
        <v>7500</v>
      </c>
      <c r="G55" s="51" t="n">
        <v>8783.3</v>
      </c>
      <c r="H55" s="51" t="n">
        <v>8900</v>
      </c>
      <c r="I55" s="51"/>
      <c r="J55" s="51"/>
      <c r="K55" s="51"/>
      <c r="L55" s="51" t="n">
        <f aca="false">-880-600</f>
        <v>-1480</v>
      </c>
      <c r="M55" s="51" t="n">
        <f aca="false">H55+SUM(I55:L55)</f>
        <v>7420</v>
      </c>
      <c r="N55" s="51" t="n">
        <v>1851</v>
      </c>
      <c r="O55" s="2" t="n">
        <f aca="false">N55/$M55</f>
        <v>0.249460916442048</v>
      </c>
      <c r="P55" s="51" t="n">
        <v>4114.5</v>
      </c>
      <c r="Q55" s="2" t="n">
        <f aca="false">P55/$M55</f>
        <v>0.554514824797844</v>
      </c>
      <c r="R55" s="51" t="n">
        <v>5479</v>
      </c>
      <c r="S55" s="2" t="n">
        <f aca="false">R55/$M55</f>
        <v>0.738409703504043</v>
      </c>
      <c r="T55" s="51" t="n">
        <v>7219.5</v>
      </c>
      <c r="U55" s="52" t="n">
        <f aca="false">T55/$M55</f>
        <v>0.972978436657682</v>
      </c>
      <c r="V55" s="51" t="n">
        <f aca="false">H55</f>
        <v>8900</v>
      </c>
      <c r="W55" s="53" t="n">
        <f aca="false">V55</f>
        <v>8900</v>
      </c>
    </row>
    <row r="56" customFormat="false" ht="12.8" hidden="false" customHeight="false" outlineLevel="0" collapsed="false">
      <c r="B56" s="49"/>
      <c r="C56" s="50" t="s">
        <v>59</v>
      </c>
      <c r="D56" s="51" t="n">
        <v>2400</v>
      </c>
      <c r="E56" s="51" t="n">
        <v>3200</v>
      </c>
      <c r="F56" s="51" t="n">
        <v>3200</v>
      </c>
      <c r="G56" s="51" t="n">
        <v>3200</v>
      </c>
      <c r="H56" s="51" t="n">
        <v>3200</v>
      </c>
      <c r="I56" s="51"/>
      <c r="J56" s="51"/>
      <c r="K56" s="51"/>
      <c r="L56" s="51" t="n">
        <v>-1070</v>
      </c>
      <c r="M56" s="51" t="n">
        <f aca="false">H56+SUM(I56:L56)</f>
        <v>2130</v>
      </c>
      <c r="N56" s="51" t="n">
        <v>0</v>
      </c>
      <c r="O56" s="2" t="n">
        <f aca="false">N56/$M56</f>
        <v>0</v>
      </c>
      <c r="P56" s="51" t="n">
        <v>1064.8</v>
      </c>
      <c r="Q56" s="2" t="n">
        <f aca="false">P56/$M56</f>
        <v>0.499906103286385</v>
      </c>
      <c r="R56" s="51" t="n">
        <v>1064.8</v>
      </c>
      <c r="S56" s="2" t="n">
        <f aca="false">R56/$M56</f>
        <v>0.499906103286385</v>
      </c>
      <c r="T56" s="51" t="n">
        <v>3212</v>
      </c>
      <c r="U56" s="52" t="n">
        <f aca="false">T56/$M56</f>
        <v>1.50798122065728</v>
      </c>
      <c r="V56" s="51" t="n">
        <f aca="false">H56</f>
        <v>3200</v>
      </c>
      <c r="W56" s="53" t="n">
        <f aca="false">V56</f>
        <v>3200</v>
      </c>
    </row>
    <row r="57" customFormat="false" ht="12.8" hidden="false" customHeight="false" outlineLevel="0" collapsed="false">
      <c r="B57" s="49"/>
      <c r="C57" s="50" t="s">
        <v>60</v>
      </c>
      <c r="D57" s="51" t="n">
        <v>15149.35</v>
      </c>
      <c r="E57" s="51" t="n">
        <v>20772.49</v>
      </c>
      <c r="F57" s="51" t="n">
        <v>21000</v>
      </c>
      <c r="G57" s="51" t="n">
        <v>17460.64</v>
      </c>
      <c r="H57" s="51" t="n">
        <v>18000</v>
      </c>
      <c r="I57" s="51"/>
      <c r="J57" s="51"/>
      <c r="K57" s="51"/>
      <c r="L57" s="51" t="n">
        <v>2400</v>
      </c>
      <c r="M57" s="51" t="n">
        <f aca="false">H57+SUM(I57:L57)</f>
        <v>20400</v>
      </c>
      <c r="N57" s="51" t="n">
        <v>5097.27</v>
      </c>
      <c r="O57" s="2" t="n">
        <f aca="false">N57/$M57</f>
        <v>0.249866176470588</v>
      </c>
      <c r="P57" s="51" t="n">
        <v>11295.46</v>
      </c>
      <c r="Q57" s="2" t="n">
        <f aca="false">P57/$M57</f>
        <v>0.553699019607843</v>
      </c>
      <c r="R57" s="51" t="n">
        <v>15214.01</v>
      </c>
      <c r="S57" s="2" t="n">
        <f aca="false">R57/$M57</f>
        <v>0.745784803921569</v>
      </c>
      <c r="T57" s="51" t="n">
        <v>21368.48</v>
      </c>
      <c r="U57" s="52" t="n">
        <f aca="false">T57/$M57</f>
        <v>1.04747450980392</v>
      </c>
      <c r="V57" s="51" t="n">
        <f aca="false">H57</f>
        <v>18000</v>
      </c>
      <c r="W57" s="53" t="n">
        <f aca="false">V57</f>
        <v>18000</v>
      </c>
    </row>
    <row r="58" customFormat="false" ht="12.8" hidden="false" customHeight="false" outlineLevel="0" collapsed="false">
      <c r="B58" s="49"/>
      <c r="C58" s="50" t="s">
        <v>61</v>
      </c>
      <c r="D58" s="51" t="n">
        <v>3437.59</v>
      </c>
      <c r="E58" s="51" t="n">
        <v>1358.39</v>
      </c>
      <c r="F58" s="51" t="n">
        <v>1360</v>
      </c>
      <c r="G58" s="51" t="n">
        <v>503.8</v>
      </c>
      <c r="H58" s="51" t="n">
        <v>50</v>
      </c>
      <c r="I58" s="51"/>
      <c r="J58" s="51"/>
      <c r="K58" s="51"/>
      <c r="L58" s="51"/>
      <c r="M58" s="51" t="n">
        <f aca="false">H58+SUM(I58:L58)</f>
        <v>50</v>
      </c>
      <c r="N58" s="51" t="n">
        <v>46.2</v>
      </c>
      <c r="O58" s="2" t="n">
        <f aca="false">N58/$M58</f>
        <v>0.924</v>
      </c>
      <c r="P58" s="51" t="n">
        <v>46.2</v>
      </c>
      <c r="Q58" s="2" t="n">
        <f aca="false">P58/$M58</f>
        <v>0.924</v>
      </c>
      <c r="R58" s="51" t="n">
        <v>46.2</v>
      </c>
      <c r="S58" s="2" t="n">
        <f aca="false">R58/$M58</f>
        <v>0.924</v>
      </c>
      <c r="T58" s="51" t="n">
        <v>86.9</v>
      </c>
      <c r="U58" s="52" t="n">
        <f aca="false">T58/$M58</f>
        <v>1.738</v>
      </c>
      <c r="V58" s="51" t="n">
        <f aca="false">H58</f>
        <v>50</v>
      </c>
      <c r="W58" s="53" t="n">
        <f aca="false">V58</f>
        <v>50</v>
      </c>
    </row>
    <row r="59" customFormat="false" ht="12.8" hidden="false" customHeight="false" outlineLevel="0" collapsed="false">
      <c r="B59" s="49"/>
      <c r="C59" s="50" t="s">
        <v>62</v>
      </c>
      <c r="D59" s="51" t="n">
        <v>1607.13</v>
      </c>
      <c r="E59" s="51" t="n">
        <v>99.86</v>
      </c>
      <c r="F59" s="51" t="n">
        <v>100</v>
      </c>
      <c r="G59" s="51" t="n">
        <v>40.33</v>
      </c>
      <c r="H59" s="51" t="n">
        <v>40</v>
      </c>
      <c r="I59" s="51"/>
      <c r="J59" s="51"/>
      <c r="K59" s="51"/>
      <c r="L59" s="51" t="n">
        <v>-40</v>
      </c>
      <c r="M59" s="51" t="n">
        <f aca="false">H59+SUM(I59:L59)</f>
        <v>0</v>
      </c>
      <c r="N59" s="51" t="n">
        <v>0</v>
      </c>
      <c r="O59" s="2" t="e">
        <f aca="false">N59/$M59</f>
        <v>#DIV/0!</v>
      </c>
      <c r="P59" s="51" t="n">
        <v>0</v>
      </c>
      <c r="Q59" s="2" t="e">
        <f aca="false">P59/$M59</f>
        <v>#DIV/0!</v>
      </c>
      <c r="R59" s="51" t="n">
        <v>0</v>
      </c>
      <c r="S59" s="2" t="e">
        <f aca="false">R59/$M59</f>
        <v>#DIV/0!</v>
      </c>
      <c r="T59" s="51" t="n">
        <v>0</v>
      </c>
      <c r="U59" s="52" t="e">
        <f aca="false">T59/$M59</f>
        <v>#DIV/0!</v>
      </c>
      <c r="V59" s="51" t="n">
        <f aca="false">H59</f>
        <v>40</v>
      </c>
      <c r="W59" s="53" t="n">
        <f aca="false">V59</f>
        <v>40</v>
      </c>
    </row>
    <row r="60" customFormat="false" ht="12.8" hidden="false" customHeight="false" outlineLevel="0" collapsed="false">
      <c r="B60" s="49"/>
      <c r="C60" s="50" t="s">
        <v>63</v>
      </c>
      <c r="D60" s="54" t="n">
        <v>2162</v>
      </c>
      <c r="E60" s="51" t="n">
        <v>0</v>
      </c>
      <c r="F60" s="51" t="n">
        <v>0</v>
      </c>
      <c r="G60" s="51" t="n">
        <v>1269</v>
      </c>
      <c r="H60" s="51" t="n">
        <v>0</v>
      </c>
      <c r="I60" s="51" t="n">
        <v>480</v>
      </c>
      <c r="J60" s="51"/>
      <c r="K60" s="51"/>
      <c r="L60" s="51"/>
      <c r="M60" s="51" t="n">
        <f aca="false">H60+SUM(I60:L60)</f>
        <v>480</v>
      </c>
      <c r="N60" s="51" t="n">
        <v>480</v>
      </c>
      <c r="O60" s="2" t="n">
        <f aca="false">N60/$M60</f>
        <v>1</v>
      </c>
      <c r="P60" s="51" t="n">
        <v>480</v>
      </c>
      <c r="Q60" s="2" t="n">
        <f aca="false">P60/$M60</f>
        <v>1</v>
      </c>
      <c r="R60" s="51" t="n">
        <v>480</v>
      </c>
      <c r="S60" s="2" t="n">
        <f aca="false">R60/$M60</f>
        <v>1</v>
      </c>
      <c r="T60" s="51" t="n">
        <v>480</v>
      </c>
      <c r="U60" s="52" t="n">
        <f aca="false">T60/$M60</f>
        <v>1</v>
      </c>
      <c r="V60" s="51" t="n">
        <f aca="false">H60</f>
        <v>0</v>
      </c>
      <c r="W60" s="53" t="n">
        <f aca="false">V60</f>
        <v>0</v>
      </c>
    </row>
    <row r="61" customFormat="false" ht="12.8" hidden="false" customHeight="false" outlineLevel="0" collapsed="false">
      <c r="B61" s="49"/>
      <c r="C61" s="50" t="s">
        <v>64</v>
      </c>
      <c r="D61" s="54" t="n">
        <v>18499.98</v>
      </c>
      <c r="E61" s="54" t="n">
        <v>19583.23</v>
      </c>
      <c r="F61" s="54" t="n">
        <v>19600</v>
      </c>
      <c r="G61" s="54" t="n">
        <v>19749.61</v>
      </c>
      <c r="H61" s="54" t="n">
        <v>18000</v>
      </c>
      <c r="I61" s="54"/>
      <c r="J61" s="54"/>
      <c r="K61" s="54"/>
      <c r="L61" s="54" t="n">
        <v>2360</v>
      </c>
      <c r="M61" s="54" t="n">
        <f aca="false">H61+SUM(I61:L61)</f>
        <v>20360</v>
      </c>
      <c r="N61" s="54" t="n">
        <v>5123.74</v>
      </c>
      <c r="O61" s="55" t="n">
        <f aca="false">N61/$M61</f>
        <v>0.251657170923379</v>
      </c>
      <c r="P61" s="54" t="n">
        <v>10663.29</v>
      </c>
      <c r="Q61" s="55" t="n">
        <f aca="false">P61/$M61</f>
        <v>0.523737229862476</v>
      </c>
      <c r="R61" s="54" t="n">
        <v>15480.84</v>
      </c>
      <c r="S61" s="55" t="n">
        <f aca="false">R61/$M61</f>
        <v>0.760355599214145</v>
      </c>
      <c r="T61" s="54" t="n">
        <v>20131.04</v>
      </c>
      <c r="U61" s="56" t="n">
        <f aca="false">T61/$M61</f>
        <v>0.98875442043222</v>
      </c>
      <c r="V61" s="51" t="n">
        <f aca="false">H61</f>
        <v>18000</v>
      </c>
      <c r="W61" s="53" t="n">
        <f aca="false">V61</f>
        <v>18000</v>
      </c>
    </row>
    <row r="62" customFormat="false" ht="12.8" hidden="false" customHeight="false" outlineLevel="0" collapsed="false">
      <c r="B62" s="49"/>
      <c r="C62" s="50" t="s">
        <v>65</v>
      </c>
      <c r="D62" s="54" t="n">
        <v>5342.44</v>
      </c>
      <c r="E62" s="51" t="n">
        <v>2245.45</v>
      </c>
      <c r="F62" s="54" t="n">
        <v>2200</v>
      </c>
      <c r="G62" s="54" t="n">
        <v>5280</v>
      </c>
      <c r="H62" s="54" t="n">
        <v>5000</v>
      </c>
      <c r="I62" s="54"/>
      <c r="J62" s="54"/>
      <c r="K62" s="54"/>
      <c r="L62" s="54" t="n">
        <v>-5000</v>
      </c>
      <c r="M62" s="54" t="n">
        <f aca="false">H62+SUM(I62:L62)</f>
        <v>0</v>
      </c>
      <c r="N62" s="54" t="n">
        <v>0</v>
      </c>
      <c r="O62" s="55" t="e">
        <f aca="false">N62/$M62</f>
        <v>#DIV/0!</v>
      </c>
      <c r="P62" s="54" t="n">
        <v>0</v>
      </c>
      <c r="Q62" s="55" t="e">
        <f aca="false">P62/$M62</f>
        <v>#DIV/0!</v>
      </c>
      <c r="R62" s="54" t="n">
        <v>0</v>
      </c>
      <c r="S62" s="55" t="e">
        <f aca="false">R62/$M62</f>
        <v>#DIV/0!</v>
      </c>
      <c r="T62" s="54" t="n">
        <v>0</v>
      </c>
      <c r="U62" s="56" t="e">
        <f aca="false">T62/$M62</f>
        <v>#DIV/0!</v>
      </c>
      <c r="V62" s="51" t="n">
        <f aca="false">H62</f>
        <v>5000</v>
      </c>
      <c r="W62" s="53" t="n">
        <f aca="false">V62</f>
        <v>5000</v>
      </c>
    </row>
    <row r="63" customFormat="false" ht="12.8" hidden="false" customHeight="false" outlineLevel="0" collapsed="false">
      <c r="B63" s="49"/>
      <c r="C63" s="50" t="s">
        <v>66</v>
      </c>
      <c r="D63" s="54" t="n">
        <v>3246</v>
      </c>
      <c r="E63" s="54" t="n">
        <v>2786</v>
      </c>
      <c r="F63" s="54" t="n">
        <v>2800</v>
      </c>
      <c r="G63" s="54" t="n">
        <v>3339</v>
      </c>
      <c r="H63" s="54" t="n">
        <v>4400</v>
      </c>
      <c r="I63" s="54"/>
      <c r="J63" s="54"/>
      <c r="K63" s="54"/>
      <c r="L63" s="54" t="n">
        <v>-976</v>
      </c>
      <c r="M63" s="54" t="n">
        <f aca="false">H63+SUM(I63:L63)</f>
        <v>3424</v>
      </c>
      <c r="N63" s="54" t="n">
        <v>917</v>
      </c>
      <c r="O63" s="55" t="n">
        <f aca="false">N63/$M63</f>
        <v>0.267815420560748</v>
      </c>
      <c r="P63" s="54" t="n">
        <v>1862</v>
      </c>
      <c r="Q63" s="55" t="n">
        <f aca="false">P63/$M63</f>
        <v>0.543808411214953</v>
      </c>
      <c r="R63" s="54" t="n">
        <v>2406</v>
      </c>
      <c r="S63" s="55" t="n">
        <f aca="false">R63/$M63</f>
        <v>0.70268691588785</v>
      </c>
      <c r="T63" s="54" t="n">
        <v>3424</v>
      </c>
      <c r="U63" s="56" t="n">
        <f aca="false">T63/$M63</f>
        <v>1</v>
      </c>
      <c r="V63" s="51" t="n">
        <f aca="false">H63</f>
        <v>4400</v>
      </c>
      <c r="W63" s="53" t="n">
        <f aca="false">V63</f>
        <v>4400</v>
      </c>
    </row>
    <row r="64" customFormat="false" ht="12.8" hidden="false" customHeight="false" outlineLevel="0" collapsed="false">
      <c r="B64" s="49"/>
      <c r="C64" s="50" t="s">
        <v>67</v>
      </c>
      <c r="D64" s="54" t="n">
        <v>1289.2</v>
      </c>
      <c r="E64" s="54" t="n">
        <v>1624</v>
      </c>
      <c r="F64" s="54" t="n">
        <v>1600</v>
      </c>
      <c r="G64" s="54" t="n">
        <v>391</v>
      </c>
      <c r="H64" s="54" t="n">
        <v>400</v>
      </c>
      <c r="I64" s="54"/>
      <c r="J64" s="54" t="n">
        <v>198</v>
      </c>
      <c r="K64" s="54"/>
      <c r="L64" s="54" t="n">
        <v>330</v>
      </c>
      <c r="M64" s="54" t="n">
        <f aca="false">H64+SUM(I64:L64)</f>
        <v>928</v>
      </c>
      <c r="N64" s="54" t="n">
        <v>0</v>
      </c>
      <c r="O64" s="55" t="n">
        <f aca="false">N64/$M64</f>
        <v>0</v>
      </c>
      <c r="P64" s="54" t="n">
        <v>598</v>
      </c>
      <c r="Q64" s="55" t="n">
        <f aca="false">P64/$M64</f>
        <v>0.644396551724138</v>
      </c>
      <c r="R64" s="54" t="n">
        <v>598</v>
      </c>
      <c r="S64" s="55" t="n">
        <f aca="false">R64/$M64</f>
        <v>0.644396551724138</v>
      </c>
      <c r="T64" s="54" t="n">
        <v>927</v>
      </c>
      <c r="U64" s="56" t="n">
        <f aca="false">T64/$M64</f>
        <v>0.998922413793103</v>
      </c>
      <c r="V64" s="51" t="n">
        <f aca="false">H64</f>
        <v>400</v>
      </c>
      <c r="W64" s="53" t="n">
        <f aca="false">V64</f>
        <v>400</v>
      </c>
    </row>
    <row r="65" customFormat="false" ht="12.8" hidden="false" customHeight="false" outlineLevel="0" collapsed="false">
      <c r="B65" s="49"/>
      <c r="C65" s="50" t="s">
        <v>68</v>
      </c>
      <c r="D65" s="54" t="n">
        <v>2460</v>
      </c>
      <c r="E65" s="54" t="n">
        <v>600</v>
      </c>
      <c r="F65" s="54" t="n">
        <v>600</v>
      </c>
      <c r="G65" s="54" t="n">
        <v>0</v>
      </c>
      <c r="H65" s="54" t="n">
        <v>660</v>
      </c>
      <c r="I65" s="54"/>
      <c r="J65" s="54"/>
      <c r="K65" s="54"/>
      <c r="L65" s="54"/>
      <c r="M65" s="54" t="n">
        <f aca="false">H65+SUM(I65:L65)</f>
        <v>660</v>
      </c>
      <c r="N65" s="54" t="n">
        <v>0</v>
      </c>
      <c r="O65" s="55" t="n">
        <f aca="false">N65/$M65</f>
        <v>0</v>
      </c>
      <c r="P65" s="54" t="n">
        <v>0</v>
      </c>
      <c r="Q65" s="55" t="n">
        <f aca="false">P65/$M65</f>
        <v>0</v>
      </c>
      <c r="R65" s="54" t="n">
        <v>0</v>
      </c>
      <c r="S65" s="55" t="n">
        <f aca="false">R65/$M65</f>
        <v>0</v>
      </c>
      <c r="T65" s="54" t="n">
        <v>480</v>
      </c>
      <c r="U65" s="56" t="n">
        <f aca="false">T65/$M65</f>
        <v>0.727272727272727</v>
      </c>
      <c r="V65" s="51" t="n">
        <f aca="false">H65</f>
        <v>660</v>
      </c>
      <c r="W65" s="53" t="n">
        <f aca="false">V65</f>
        <v>660</v>
      </c>
    </row>
    <row r="66" customFormat="false" ht="12.8" hidden="false" customHeight="false" outlineLevel="0" collapsed="false">
      <c r="B66" s="49"/>
      <c r="C66" s="50" t="s">
        <v>69</v>
      </c>
      <c r="D66" s="54" t="n">
        <v>0</v>
      </c>
      <c r="E66" s="51" t="n">
        <v>1997.99</v>
      </c>
      <c r="F66" s="51" t="n">
        <v>0</v>
      </c>
      <c r="G66" s="51" t="n">
        <v>5768.62</v>
      </c>
      <c r="H66" s="51" t="n">
        <v>0</v>
      </c>
      <c r="I66" s="51"/>
      <c r="J66" s="51"/>
      <c r="K66" s="51"/>
      <c r="L66" s="51" t="n">
        <v>3519</v>
      </c>
      <c r="M66" s="51" t="n">
        <f aca="false">H66+SUM(I66:L66)</f>
        <v>3519</v>
      </c>
      <c r="N66" s="51" t="n">
        <v>3319.09</v>
      </c>
      <c r="O66" s="2" t="n">
        <f aca="false">N66/$M66</f>
        <v>0.943191247513498</v>
      </c>
      <c r="P66" s="51" t="n">
        <v>3518.98</v>
      </c>
      <c r="Q66" s="2" t="n">
        <f aca="false">P66/$M66</f>
        <v>0.999994316567207</v>
      </c>
      <c r="R66" s="51" t="n">
        <v>3518.98</v>
      </c>
      <c r="S66" s="2" t="n">
        <f aca="false">R66/$M66</f>
        <v>0.999994316567207</v>
      </c>
      <c r="T66" s="51" t="n">
        <v>3518.98</v>
      </c>
      <c r="U66" s="52" t="n">
        <f aca="false">T66/$M66</f>
        <v>0.999994316567207</v>
      </c>
      <c r="V66" s="51" t="n">
        <f aca="false">H66</f>
        <v>0</v>
      </c>
      <c r="W66" s="53" t="n">
        <f aca="false">V66</f>
        <v>0</v>
      </c>
    </row>
    <row r="67" customFormat="false" ht="12.8" hidden="false" customHeight="false" outlineLevel="0" collapsed="false">
      <c r="B67" s="57"/>
      <c r="C67" s="58" t="s">
        <v>70</v>
      </c>
      <c r="D67" s="59" t="n">
        <v>0</v>
      </c>
      <c r="E67" s="59" t="n">
        <v>8820.15</v>
      </c>
      <c r="F67" s="59" t="n">
        <v>8800</v>
      </c>
      <c r="G67" s="59" t="n">
        <v>6400.84</v>
      </c>
      <c r="H67" s="59" t="n">
        <v>8600</v>
      </c>
      <c r="I67" s="59"/>
      <c r="J67" s="59"/>
      <c r="K67" s="59"/>
      <c r="L67" s="59" t="n">
        <v>-218</v>
      </c>
      <c r="M67" s="59" t="n">
        <f aca="false">H67+SUM(I67:L67)</f>
        <v>8382</v>
      </c>
      <c r="N67" s="59" t="n">
        <v>1413</v>
      </c>
      <c r="O67" s="60" t="n">
        <f aca="false">N67/$M67</f>
        <v>0.16857551896922</v>
      </c>
      <c r="P67" s="59" t="n">
        <v>2731</v>
      </c>
      <c r="Q67" s="60" t="n">
        <f aca="false">P67/$M67</f>
        <v>0.325817227392031</v>
      </c>
      <c r="R67" s="59" t="n">
        <v>4120</v>
      </c>
      <c r="S67" s="60" t="n">
        <f aca="false">R67/$M67</f>
        <v>0.491529467907421</v>
      </c>
      <c r="T67" s="59" t="n">
        <v>8367.37</v>
      </c>
      <c r="U67" s="61" t="n">
        <f aca="false">T67/$M67</f>
        <v>0.998254593175853</v>
      </c>
      <c r="V67" s="59" t="n">
        <f aca="false">H67</f>
        <v>8600</v>
      </c>
      <c r="W67" s="62" t="n">
        <f aca="false">V67</f>
        <v>8600</v>
      </c>
    </row>
    <row r="69" customFormat="false" ht="12.8" hidden="false" customHeight="false" outlineLevel="0" collapsed="false">
      <c r="A69" s="20" t="s">
        <v>71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20"/>
      <c r="Q69" s="21"/>
      <c r="R69" s="20"/>
      <c r="S69" s="21"/>
      <c r="T69" s="20"/>
      <c r="U69" s="21"/>
      <c r="V69" s="20"/>
      <c r="W69" s="20"/>
    </row>
    <row r="70" customFormat="false" ht="12.8" hidden="false" customHeight="false" outlineLevel="0" collapsed="false">
      <c r="A70" s="6"/>
      <c r="B70" s="6"/>
      <c r="C70" s="6"/>
      <c r="D70" s="7" t="s">
        <v>1</v>
      </c>
      <c r="E70" s="7" t="s">
        <v>2</v>
      </c>
      <c r="F70" s="7" t="s">
        <v>3</v>
      </c>
      <c r="G70" s="7" t="s">
        <v>4</v>
      </c>
      <c r="H70" s="7" t="s">
        <v>5</v>
      </c>
      <c r="I70" s="7" t="s">
        <v>6</v>
      </c>
      <c r="J70" s="7" t="s">
        <v>7</v>
      </c>
      <c r="K70" s="7" t="s">
        <v>8</v>
      </c>
      <c r="L70" s="7" t="s">
        <v>9</v>
      </c>
      <c r="M70" s="7" t="s">
        <v>10</v>
      </c>
      <c r="N70" s="7" t="s">
        <v>11</v>
      </c>
      <c r="O70" s="8" t="s">
        <v>12</v>
      </c>
      <c r="P70" s="7" t="s">
        <v>13</v>
      </c>
      <c r="Q70" s="8" t="s">
        <v>14</v>
      </c>
      <c r="R70" s="7" t="s">
        <v>15</v>
      </c>
      <c r="S70" s="8" t="s">
        <v>16</v>
      </c>
      <c r="T70" s="7" t="s">
        <v>17</v>
      </c>
      <c r="U70" s="8" t="s">
        <v>18</v>
      </c>
      <c r="V70" s="7" t="s">
        <v>19</v>
      </c>
      <c r="W70" s="7" t="s">
        <v>20</v>
      </c>
    </row>
    <row r="71" customFormat="false" ht="12.8" hidden="false" customHeight="false" outlineLevel="0" collapsed="false">
      <c r="A71" s="22" t="s">
        <v>21</v>
      </c>
      <c r="B71" s="23" t="n">
        <v>111</v>
      </c>
      <c r="C71" s="23" t="s">
        <v>22</v>
      </c>
      <c r="D71" s="24" t="n">
        <f aca="false">D105-D72</f>
        <v>473118.16</v>
      </c>
      <c r="E71" s="24" t="n">
        <f aca="false">E105-E72</f>
        <v>485396.55</v>
      </c>
      <c r="F71" s="24" t="n">
        <f aca="false">F105-F72</f>
        <v>513430</v>
      </c>
      <c r="G71" s="24" t="n">
        <f aca="false">G105-G72</f>
        <v>564326.47</v>
      </c>
      <c r="H71" s="24" t="n">
        <f aca="false">H105-H72</f>
        <v>1994042</v>
      </c>
      <c r="I71" s="24" t="n">
        <f aca="false">I105-I72</f>
        <v>0</v>
      </c>
      <c r="J71" s="24" t="n">
        <f aca="false">J105-J72</f>
        <v>1195</v>
      </c>
      <c r="K71" s="24" t="n">
        <f aca="false">K105-K72</f>
        <v>83</v>
      </c>
      <c r="L71" s="24" t="n">
        <f aca="false">L105-L72</f>
        <v>-1497335</v>
      </c>
      <c r="M71" s="63" t="n">
        <f aca="false">H71+SUM(I71:L71)</f>
        <v>497985</v>
      </c>
      <c r="N71" s="24" t="n">
        <f aca="false">N105-N72</f>
        <v>143253.28</v>
      </c>
      <c r="O71" s="64" t="n">
        <f aca="false">N71/$M71</f>
        <v>0.287665853389158</v>
      </c>
      <c r="P71" s="24" t="n">
        <f aca="false">P105-P72</f>
        <v>258422.33</v>
      </c>
      <c r="Q71" s="64" t="n">
        <f aca="false">P71/$M71</f>
        <v>0.518935971967027</v>
      </c>
      <c r="R71" s="24" t="n">
        <f aca="false">R105-R72</f>
        <v>372644.48</v>
      </c>
      <c r="S71" s="64" t="n">
        <f aca="false">R71/$M71</f>
        <v>0.748304627649427</v>
      </c>
      <c r="T71" s="24" t="n">
        <f aca="false">T105-T72</f>
        <v>611082.49</v>
      </c>
      <c r="U71" s="65" t="n">
        <f aca="false">T71/$M71</f>
        <v>1.227110234244</v>
      </c>
      <c r="V71" s="24" t="n">
        <f aca="false">V105-V72</f>
        <v>753486</v>
      </c>
      <c r="W71" s="24" t="n">
        <f aca="false">W105-W72</f>
        <v>482886</v>
      </c>
    </row>
    <row r="72" customFormat="false" ht="12.8" hidden="false" customHeight="false" outlineLevel="0" collapsed="false">
      <c r="A72" s="22"/>
      <c r="B72" s="23" t="n">
        <v>71</v>
      </c>
      <c r="C72" s="23" t="s">
        <v>24</v>
      </c>
      <c r="D72" s="24" t="n">
        <f aca="false">D77</f>
        <v>1620.36</v>
      </c>
      <c r="E72" s="24" t="n">
        <f aca="false">E77</f>
        <v>1317.12</v>
      </c>
      <c r="F72" s="24" t="n">
        <f aca="false">F77</f>
        <v>0</v>
      </c>
      <c r="G72" s="24" t="n">
        <f aca="false">G77</f>
        <v>700</v>
      </c>
      <c r="H72" s="24" t="n">
        <f aca="false">H77</f>
        <v>700</v>
      </c>
      <c r="I72" s="24" t="n">
        <f aca="false">I77</f>
        <v>0</v>
      </c>
      <c r="J72" s="24" t="n">
        <f aca="false">J77</f>
        <v>700</v>
      </c>
      <c r="K72" s="24" t="n">
        <f aca="false">K77</f>
        <v>0</v>
      </c>
      <c r="L72" s="24" t="n">
        <f aca="false">L77</f>
        <v>0</v>
      </c>
      <c r="M72" s="24" t="n">
        <f aca="false">M77</f>
        <v>1400</v>
      </c>
      <c r="N72" s="24" t="n">
        <f aca="false">N77</f>
        <v>0</v>
      </c>
      <c r="O72" s="64" t="n">
        <f aca="false">N72/$M72</f>
        <v>0</v>
      </c>
      <c r="P72" s="24" t="n">
        <f aca="false">P77</f>
        <v>1400</v>
      </c>
      <c r="Q72" s="64" t="n">
        <f aca="false">P72/$M72</f>
        <v>1</v>
      </c>
      <c r="R72" s="24" t="n">
        <f aca="false">R77</f>
        <v>1400</v>
      </c>
      <c r="S72" s="64" t="n">
        <f aca="false">R72/$M72</f>
        <v>1</v>
      </c>
      <c r="T72" s="24" t="n">
        <f aca="false">T77</f>
        <v>1400</v>
      </c>
      <c r="U72" s="65" t="n">
        <f aca="false">T72/$M72</f>
        <v>1</v>
      </c>
      <c r="V72" s="24" t="n">
        <f aca="false">V77</f>
        <v>0</v>
      </c>
      <c r="W72" s="24" t="n">
        <f aca="false">W77</f>
        <v>0</v>
      </c>
    </row>
    <row r="73" customFormat="false" ht="12.8" hidden="false" customHeight="false" outlineLevel="0" collapsed="false">
      <c r="A73" s="18"/>
      <c r="B73" s="19"/>
      <c r="C73" s="27" t="s">
        <v>29</v>
      </c>
      <c r="D73" s="28" t="n">
        <f aca="false">SUM(D71:D72)</f>
        <v>474738.52</v>
      </c>
      <c r="E73" s="28" t="n">
        <f aca="false">SUM(E71:E72)</f>
        <v>486713.67</v>
      </c>
      <c r="F73" s="28" t="n">
        <f aca="false">SUM(F71:F72)</f>
        <v>513430</v>
      </c>
      <c r="G73" s="28" t="n">
        <f aca="false">SUM(G71:G72)</f>
        <v>565026.47</v>
      </c>
      <c r="H73" s="28" t="n">
        <f aca="false">SUM(H71:H72)</f>
        <v>1994742</v>
      </c>
      <c r="I73" s="28" t="n">
        <f aca="false">SUM(I71:I72)</f>
        <v>0</v>
      </c>
      <c r="J73" s="28" t="n">
        <f aca="false">SUM(J71:J72)</f>
        <v>1895</v>
      </c>
      <c r="K73" s="28" t="n">
        <f aca="false">SUM(K71:K72)</f>
        <v>83</v>
      </c>
      <c r="L73" s="28" t="n">
        <f aca="false">SUM(L71:L72)</f>
        <v>-1497335</v>
      </c>
      <c r="M73" s="28" t="n">
        <f aca="false">SUM(M71:M72)</f>
        <v>499385</v>
      </c>
      <c r="N73" s="28" t="n">
        <f aca="false">SUM(N71:N72)</f>
        <v>143253.28</v>
      </c>
      <c r="O73" s="29" t="n">
        <f aca="false">N73/$M73</f>
        <v>0.286859397058382</v>
      </c>
      <c r="P73" s="28" t="n">
        <f aca="false">SUM(P71:P72)</f>
        <v>259822.33</v>
      </c>
      <c r="Q73" s="29" t="n">
        <f aca="false">P73/$M73</f>
        <v>0.520284610070387</v>
      </c>
      <c r="R73" s="28" t="n">
        <f aca="false">SUM(R71:R72)</f>
        <v>374044.48</v>
      </c>
      <c r="S73" s="29" t="n">
        <f aca="false">R73/$M73</f>
        <v>0.749010242598396</v>
      </c>
      <c r="T73" s="28" t="n">
        <f aca="false">SUM(T71:T72)</f>
        <v>612482.49</v>
      </c>
      <c r="U73" s="30" t="n">
        <f aca="false">T73/$M73</f>
        <v>1.22647354245722</v>
      </c>
      <c r="V73" s="28" t="n">
        <f aca="false">SUM(V71:V72)</f>
        <v>753486</v>
      </c>
      <c r="W73" s="28" t="n">
        <f aca="false">SUM(W71:W72)</f>
        <v>482886</v>
      </c>
    </row>
    <row r="75" customFormat="false" ht="12.8" hidden="false" customHeight="false" outlineLevel="0" collapsed="false">
      <c r="A75" s="66" t="s">
        <v>72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7"/>
      <c r="P75" s="66"/>
      <c r="Q75" s="67"/>
      <c r="R75" s="66"/>
      <c r="S75" s="67"/>
      <c r="T75" s="66"/>
      <c r="U75" s="67"/>
      <c r="V75" s="66"/>
      <c r="W75" s="66"/>
    </row>
    <row r="76" customFormat="false" ht="12.8" hidden="false" customHeight="false" outlineLevel="0" collapsed="false">
      <c r="A76" s="7" t="s">
        <v>33</v>
      </c>
      <c r="B76" s="7" t="s">
        <v>34</v>
      </c>
      <c r="C76" s="7" t="s">
        <v>35</v>
      </c>
      <c r="D76" s="7" t="s">
        <v>1</v>
      </c>
      <c r="E76" s="7" t="s">
        <v>2</v>
      </c>
      <c r="F76" s="7" t="s">
        <v>3</v>
      </c>
      <c r="G76" s="7" t="s">
        <v>4</v>
      </c>
      <c r="H76" s="7" t="s">
        <v>5</v>
      </c>
      <c r="I76" s="7" t="s">
        <v>6</v>
      </c>
      <c r="J76" s="7" t="s">
        <v>7</v>
      </c>
      <c r="K76" s="7" t="s">
        <v>8</v>
      </c>
      <c r="L76" s="7" t="s">
        <v>9</v>
      </c>
      <c r="M76" s="7" t="s">
        <v>10</v>
      </c>
      <c r="N76" s="7" t="s">
        <v>11</v>
      </c>
      <c r="O76" s="8" t="s">
        <v>12</v>
      </c>
      <c r="P76" s="7" t="s">
        <v>13</v>
      </c>
      <c r="Q76" s="8" t="s">
        <v>14</v>
      </c>
      <c r="R76" s="7" t="s">
        <v>15</v>
      </c>
      <c r="S76" s="8" t="s">
        <v>16</v>
      </c>
      <c r="T76" s="7" t="s">
        <v>17</v>
      </c>
      <c r="U76" s="8" t="s">
        <v>18</v>
      </c>
      <c r="V76" s="7" t="s">
        <v>19</v>
      </c>
      <c r="W76" s="7" t="s">
        <v>20</v>
      </c>
    </row>
    <row r="77" customFormat="false" ht="12.8" hidden="false" customHeight="false" outlineLevel="0" collapsed="false">
      <c r="A77" s="68" t="s">
        <v>48</v>
      </c>
      <c r="B77" s="10" t="n">
        <v>311</v>
      </c>
      <c r="C77" s="10" t="s">
        <v>73</v>
      </c>
      <c r="D77" s="11" t="n">
        <v>1620.36</v>
      </c>
      <c r="E77" s="11" t="n">
        <v>1317.12</v>
      </c>
      <c r="F77" s="69" t="n">
        <v>0</v>
      </c>
      <c r="G77" s="69" t="n">
        <v>700</v>
      </c>
      <c r="H77" s="70" t="n">
        <v>700</v>
      </c>
      <c r="I77" s="70"/>
      <c r="J77" s="70" t="n">
        <v>700</v>
      </c>
      <c r="K77" s="70"/>
      <c r="L77" s="70"/>
      <c r="M77" s="70" t="n">
        <f aca="false">H77+SUM(I77:L77)</f>
        <v>1400</v>
      </c>
      <c r="N77" s="70" t="n">
        <v>0</v>
      </c>
      <c r="O77" s="71" t="n">
        <f aca="false">N77/$M77</f>
        <v>0</v>
      </c>
      <c r="P77" s="70" t="n">
        <v>1400</v>
      </c>
      <c r="Q77" s="71" t="n">
        <f aca="false">P77/$M77</f>
        <v>1</v>
      </c>
      <c r="R77" s="70" t="n">
        <v>1400</v>
      </c>
      <c r="S77" s="71" t="n">
        <f aca="false">R77/$M77</f>
        <v>1</v>
      </c>
      <c r="T77" s="70" t="n">
        <v>1400</v>
      </c>
      <c r="U77" s="72" t="n">
        <f aca="false">T77/$M77</f>
        <v>1</v>
      </c>
      <c r="V77" s="69" t="n">
        <v>0</v>
      </c>
      <c r="W77" s="69" t="n">
        <f aca="false">V77</f>
        <v>0</v>
      </c>
    </row>
    <row r="78" customFormat="false" ht="12.8" hidden="false" customHeight="false" outlineLevel="0" collapsed="false">
      <c r="A78" s="68"/>
      <c r="B78" s="10" t="n">
        <v>312001</v>
      </c>
      <c r="C78" s="10" t="s">
        <v>74</v>
      </c>
      <c r="D78" s="11" t="n">
        <v>350826</v>
      </c>
      <c r="E78" s="11" t="n">
        <f aca="false">373433+57.39+792</f>
        <v>374282.39</v>
      </c>
      <c r="F78" s="69" t="n">
        <v>394085</v>
      </c>
      <c r="G78" s="69" t="n">
        <v>391633</v>
      </c>
      <c r="H78" s="70" t="n">
        <f aca="false">398932+963</f>
        <v>399895</v>
      </c>
      <c r="I78" s="70"/>
      <c r="J78" s="70"/>
      <c r="K78" s="70"/>
      <c r="L78" s="70" t="n">
        <v>5427</v>
      </c>
      <c r="M78" s="70" t="n">
        <f aca="false">H78+SUM(I78:L78)</f>
        <v>405322</v>
      </c>
      <c r="N78" s="70" t="n">
        <v>99733</v>
      </c>
      <c r="O78" s="71" t="n">
        <f aca="false">N78/$M78</f>
        <v>0.246058689140979</v>
      </c>
      <c r="P78" s="70" t="n">
        <v>199465</v>
      </c>
      <c r="Q78" s="71" t="n">
        <f aca="false">P78/$M78</f>
        <v>0.492114911107712</v>
      </c>
      <c r="R78" s="70" t="n">
        <v>299198</v>
      </c>
      <c r="S78" s="71" t="n">
        <f aca="false">R78/$M78</f>
        <v>0.738173600248691</v>
      </c>
      <c r="T78" s="70" t="n">
        <v>405813</v>
      </c>
      <c r="U78" s="72" t="n">
        <f aca="false">T78/$M78</f>
        <v>1.0012113825551</v>
      </c>
      <c r="V78" s="69" t="n">
        <f aca="false">H78</f>
        <v>399895</v>
      </c>
      <c r="W78" s="69" t="n">
        <f aca="false">V78</f>
        <v>399895</v>
      </c>
    </row>
    <row r="79" customFormat="false" ht="12.8" hidden="false" customHeight="false" outlineLevel="0" collapsed="false">
      <c r="A79" s="68"/>
      <c r="B79" s="10" t="n">
        <v>312001</v>
      </c>
      <c r="C79" s="10" t="s">
        <v>75</v>
      </c>
      <c r="D79" s="11" t="n">
        <v>3553</v>
      </c>
      <c r="E79" s="11" t="n">
        <v>5045</v>
      </c>
      <c r="F79" s="69" t="n">
        <v>11510</v>
      </c>
      <c r="G79" s="69" t="n">
        <v>1889</v>
      </c>
      <c r="H79" s="70" t="n">
        <v>0</v>
      </c>
      <c r="I79" s="70"/>
      <c r="J79" s="70"/>
      <c r="K79" s="70"/>
      <c r="L79" s="70" t="n">
        <v>1127</v>
      </c>
      <c r="M79" s="70" t="n">
        <f aca="false">H79+SUM(I79:L79)</f>
        <v>1127</v>
      </c>
      <c r="N79" s="70" t="n">
        <v>0</v>
      </c>
      <c r="O79" s="71" t="n">
        <f aca="false">N79/$M79</f>
        <v>0</v>
      </c>
      <c r="P79" s="70" t="n">
        <v>0</v>
      </c>
      <c r="Q79" s="71" t="n">
        <f aca="false">P79/$M79</f>
        <v>0</v>
      </c>
      <c r="R79" s="70" t="n">
        <v>0</v>
      </c>
      <c r="S79" s="71" t="n">
        <f aca="false">R79/$M79</f>
        <v>0</v>
      </c>
      <c r="T79" s="70" t="n">
        <v>1127</v>
      </c>
      <c r="U79" s="72" t="n">
        <f aca="false">T79/$M79</f>
        <v>1</v>
      </c>
      <c r="V79" s="69" t="n">
        <f aca="false">H79</f>
        <v>0</v>
      </c>
      <c r="W79" s="69" t="n">
        <f aca="false">V79</f>
        <v>0</v>
      </c>
    </row>
    <row r="80" customFormat="false" ht="12.8" hidden="false" customHeight="false" outlineLevel="0" collapsed="false">
      <c r="A80" s="68"/>
      <c r="B80" s="10" t="n">
        <v>312001</v>
      </c>
      <c r="C80" s="10" t="s">
        <v>76</v>
      </c>
      <c r="D80" s="11" t="n">
        <v>1300</v>
      </c>
      <c r="E80" s="11" t="n">
        <v>3412.5</v>
      </c>
      <c r="F80" s="69" t="n">
        <v>4095</v>
      </c>
      <c r="G80" s="69" t="n">
        <v>4346</v>
      </c>
      <c r="H80" s="70" t="n">
        <v>4610</v>
      </c>
      <c r="I80" s="70"/>
      <c r="J80" s="70"/>
      <c r="K80" s="70"/>
      <c r="L80" s="70" t="n">
        <v>2</v>
      </c>
      <c r="M80" s="70" t="n">
        <f aca="false">H80+SUM(I80:L80)</f>
        <v>4612</v>
      </c>
      <c r="N80" s="70" t="n">
        <v>2259</v>
      </c>
      <c r="O80" s="71" t="n">
        <f aca="false">N80/$M80</f>
        <v>0.4898091934085</v>
      </c>
      <c r="P80" s="70" t="n">
        <v>3012</v>
      </c>
      <c r="Q80" s="71" t="n">
        <f aca="false">P80/$M80</f>
        <v>0.653078924544666</v>
      </c>
      <c r="R80" s="70" t="n">
        <v>3765</v>
      </c>
      <c r="S80" s="71" t="n">
        <f aca="false">R80/$M80</f>
        <v>0.816348655680832</v>
      </c>
      <c r="T80" s="70" t="n">
        <v>4612</v>
      </c>
      <c r="U80" s="72" t="n">
        <f aca="false">T80/$M80</f>
        <v>1</v>
      </c>
      <c r="V80" s="69" t="n">
        <f aca="false">H80</f>
        <v>4610</v>
      </c>
      <c r="W80" s="69" t="n">
        <f aca="false">V80</f>
        <v>4610</v>
      </c>
    </row>
    <row r="81" customFormat="false" ht="12.8" hidden="false" customHeight="false" outlineLevel="0" collapsed="false">
      <c r="A81" s="68"/>
      <c r="B81" s="10" t="n">
        <v>312001</v>
      </c>
      <c r="C81" s="10" t="s">
        <v>77</v>
      </c>
      <c r="D81" s="11" t="n">
        <v>4507</v>
      </c>
      <c r="E81" s="11" t="n">
        <v>4992</v>
      </c>
      <c r="F81" s="69" t="n">
        <v>5640</v>
      </c>
      <c r="G81" s="69" t="n">
        <v>5803</v>
      </c>
      <c r="H81" s="70" t="n">
        <v>5830</v>
      </c>
      <c r="I81" s="70"/>
      <c r="J81" s="70"/>
      <c r="K81" s="70"/>
      <c r="L81" s="70" t="n">
        <v>83</v>
      </c>
      <c r="M81" s="70" t="n">
        <f aca="false">H81+SUM(I81:L81)</f>
        <v>5913</v>
      </c>
      <c r="N81" s="70" t="n">
        <v>3571</v>
      </c>
      <c r="O81" s="71" t="n">
        <f aca="false">N81/$M81</f>
        <v>0.603923558261458</v>
      </c>
      <c r="P81" s="70" t="n">
        <v>3571</v>
      </c>
      <c r="Q81" s="71" t="n">
        <f aca="false">P81/$M81</f>
        <v>0.603923558261458</v>
      </c>
      <c r="R81" s="70" t="n">
        <v>3571</v>
      </c>
      <c r="S81" s="71" t="n">
        <f aca="false">R81/$M81</f>
        <v>0.603923558261458</v>
      </c>
      <c r="T81" s="70" t="n">
        <v>5913</v>
      </c>
      <c r="U81" s="72" t="n">
        <f aca="false">T81/$M81</f>
        <v>1</v>
      </c>
      <c r="V81" s="69" t="n">
        <f aca="false">H81</f>
        <v>5830</v>
      </c>
      <c r="W81" s="69" t="n">
        <f aca="false">V81</f>
        <v>5830</v>
      </c>
    </row>
    <row r="82" customFormat="false" ht="12.8" hidden="false" customHeight="false" outlineLevel="0" collapsed="false">
      <c r="A82" s="68"/>
      <c r="B82" s="10" t="n">
        <v>312001</v>
      </c>
      <c r="C82" s="10" t="s">
        <v>78</v>
      </c>
      <c r="D82" s="11" t="n">
        <v>6280</v>
      </c>
      <c r="E82" s="11" t="n">
        <v>6089</v>
      </c>
      <c r="F82" s="69" t="n">
        <v>6089</v>
      </c>
      <c r="G82" s="69" t="n">
        <v>3312</v>
      </c>
      <c r="H82" s="70" t="n">
        <v>3500</v>
      </c>
      <c r="I82" s="70"/>
      <c r="J82" s="70"/>
      <c r="K82" s="70"/>
      <c r="L82" s="70" t="n">
        <v>-385</v>
      </c>
      <c r="M82" s="70" t="n">
        <f aca="false">H82+SUM(I82:L82)</f>
        <v>3115</v>
      </c>
      <c r="N82" s="70" t="n">
        <v>1249</v>
      </c>
      <c r="O82" s="71" t="n">
        <f aca="false">N82/$M82</f>
        <v>0.400963081861958</v>
      </c>
      <c r="P82" s="70" t="n">
        <v>1984</v>
      </c>
      <c r="Q82" s="71" t="n">
        <f aca="false">P82/$M82</f>
        <v>0.636918138041734</v>
      </c>
      <c r="R82" s="70" t="n">
        <v>2600</v>
      </c>
      <c r="S82" s="71" t="n">
        <f aca="false">R82/$M82</f>
        <v>0.834670947030498</v>
      </c>
      <c r="T82" s="70" t="n">
        <v>3115</v>
      </c>
      <c r="U82" s="72" t="n">
        <f aca="false">T82/$M82</f>
        <v>1</v>
      </c>
      <c r="V82" s="69" t="n">
        <f aca="false">H82</f>
        <v>3500</v>
      </c>
      <c r="W82" s="69" t="n">
        <f aca="false">V82</f>
        <v>3500</v>
      </c>
    </row>
    <row r="83" customFormat="false" ht="12.8" hidden="false" customHeight="false" outlineLevel="0" collapsed="false">
      <c r="A83" s="68"/>
      <c r="B83" s="10" t="n">
        <v>312001</v>
      </c>
      <c r="C83" s="10" t="s">
        <v>79</v>
      </c>
      <c r="D83" s="11" t="n">
        <v>1162</v>
      </c>
      <c r="E83" s="11" t="n">
        <v>1029.2</v>
      </c>
      <c r="F83" s="69" t="n">
        <v>1000</v>
      </c>
      <c r="G83" s="69" t="n">
        <v>564.4</v>
      </c>
      <c r="H83" s="70" t="n">
        <v>560</v>
      </c>
      <c r="I83" s="70"/>
      <c r="J83" s="70"/>
      <c r="K83" s="70" t="n">
        <v>-128</v>
      </c>
      <c r="L83" s="70"/>
      <c r="M83" s="70" t="n">
        <f aca="false">H83+SUM(I83:L83)</f>
        <v>432</v>
      </c>
      <c r="N83" s="70" t="n">
        <v>232.4</v>
      </c>
      <c r="O83" s="71" t="n">
        <f aca="false">N83/$M83</f>
        <v>0.537962962962963</v>
      </c>
      <c r="P83" s="70" t="n">
        <v>232.4</v>
      </c>
      <c r="Q83" s="71" t="n">
        <f aca="false">P83/$M83</f>
        <v>0.537962962962963</v>
      </c>
      <c r="R83" s="70" t="n">
        <v>431.6</v>
      </c>
      <c r="S83" s="71" t="n">
        <f aca="false">R83/$M83</f>
        <v>0.999074074074074</v>
      </c>
      <c r="T83" s="70" t="n">
        <v>431.6</v>
      </c>
      <c r="U83" s="72" t="n">
        <f aca="false">T83/$M83</f>
        <v>0.999074074074074</v>
      </c>
      <c r="V83" s="69" t="n">
        <f aca="false">H83</f>
        <v>560</v>
      </c>
      <c r="W83" s="69" t="n">
        <f aca="false">V83</f>
        <v>560</v>
      </c>
    </row>
    <row r="84" customFormat="false" ht="12.8" hidden="false" customHeight="false" outlineLevel="0" collapsed="false">
      <c r="A84" s="68"/>
      <c r="B84" s="10" t="n">
        <v>312001</v>
      </c>
      <c r="C84" s="10" t="s">
        <v>80</v>
      </c>
      <c r="D84" s="11" t="n">
        <v>0</v>
      </c>
      <c r="E84" s="11" t="n">
        <v>0</v>
      </c>
      <c r="F84" s="69" t="n">
        <v>0</v>
      </c>
      <c r="G84" s="69" t="n">
        <v>11732</v>
      </c>
      <c r="H84" s="70" t="n">
        <f aca="false">5250+3500+1000</f>
        <v>9750</v>
      </c>
      <c r="I84" s="70"/>
      <c r="J84" s="70" t="n">
        <v>470</v>
      </c>
      <c r="K84" s="70"/>
      <c r="L84" s="70"/>
      <c r="M84" s="70" t="n">
        <f aca="false">H84+SUM(I84:L84)</f>
        <v>10220</v>
      </c>
      <c r="N84" s="70" t="n">
        <v>8750</v>
      </c>
      <c r="O84" s="71" t="n">
        <f aca="false">N84/$M84</f>
        <v>0.856164383561644</v>
      </c>
      <c r="P84" s="70" t="n">
        <v>8863</v>
      </c>
      <c r="Q84" s="71" t="n">
        <f aca="false">P84/$M84</f>
        <v>0.867221135029354</v>
      </c>
      <c r="R84" s="70" t="n">
        <v>9826</v>
      </c>
      <c r="S84" s="71" t="n">
        <f aca="false">R84/$M84</f>
        <v>0.961448140900196</v>
      </c>
      <c r="T84" s="70" t="n">
        <v>9826</v>
      </c>
      <c r="U84" s="72" t="n">
        <f aca="false">T84/$M84</f>
        <v>0.961448140900196</v>
      </c>
      <c r="V84" s="69" t="n">
        <f aca="false">H84</f>
        <v>9750</v>
      </c>
      <c r="W84" s="69" t="n">
        <f aca="false">V84</f>
        <v>9750</v>
      </c>
    </row>
    <row r="85" customFormat="false" ht="12.8" hidden="false" customHeight="false" outlineLevel="0" collapsed="false">
      <c r="A85" s="68"/>
      <c r="B85" s="10" t="n">
        <v>312001</v>
      </c>
      <c r="C85" s="10" t="s">
        <v>81</v>
      </c>
      <c r="D85" s="11" t="n">
        <v>4937</v>
      </c>
      <c r="E85" s="11" t="n">
        <v>5045</v>
      </c>
      <c r="F85" s="69" t="n">
        <v>5045</v>
      </c>
      <c r="G85" s="69" t="n">
        <v>4774</v>
      </c>
      <c r="H85" s="70" t="n">
        <v>4232</v>
      </c>
      <c r="I85" s="70"/>
      <c r="J85" s="70"/>
      <c r="K85" s="70"/>
      <c r="L85" s="70" t="n">
        <v>64</v>
      </c>
      <c r="M85" s="70" t="n">
        <f aca="false">H85+SUM(I85:L85)</f>
        <v>4296</v>
      </c>
      <c r="N85" s="70" t="n">
        <v>2116</v>
      </c>
      <c r="O85" s="71" t="n">
        <f aca="false">N85/$M85</f>
        <v>0.492551210428305</v>
      </c>
      <c r="P85" s="70" t="n">
        <v>2821</v>
      </c>
      <c r="Q85" s="71" t="n">
        <f aca="false">P85/$M85</f>
        <v>0.656657355679702</v>
      </c>
      <c r="R85" s="70" t="n">
        <v>2821</v>
      </c>
      <c r="S85" s="71" t="n">
        <f aca="false">R85/$M85</f>
        <v>0.656657355679702</v>
      </c>
      <c r="T85" s="70" t="n">
        <v>4296</v>
      </c>
      <c r="U85" s="72" t="n">
        <f aca="false">T85/$M85</f>
        <v>1</v>
      </c>
      <c r="V85" s="69" t="n">
        <f aca="false">H85</f>
        <v>4232</v>
      </c>
      <c r="W85" s="69" t="n">
        <f aca="false">V85</f>
        <v>4232</v>
      </c>
    </row>
    <row r="86" customFormat="false" ht="12.8" hidden="false" customHeight="false" outlineLevel="0" collapsed="false">
      <c r="A86" s="68"/>
      <c r="B86" s="10" t="n">
        <v>312001</v>
      </c>
      <c r="C86" s="10" t="s">
        <v>82</v>
      </c>
      <c r="D86" s="11" t="n">
        <v>1745</v>
      </c>
      <c r="E86" s="11" t="n">
        <v>1350</v>
      </c>
      <c r="F86" s="69" t="n">
        <v>720</v>
      </c>
      <c r="G86" s="69" t="n">
        <v>781</v>
      </c>
      <c r="H86" s="70" t="n">
        <f aca="false">G86</f>
        <v>781</v>
      </c>
      <c r="I86" s="70"/>
      <c r="J86" s="70"/>
      <c r="K86" s="70"/>
      <c r="L86" s="70" t="n">
        <v>108</v>
      </c>
      <c r="M86" s="70" t="n">
        <f aca="false">H86+SUM(I86:L86)</f>
        <v>889</v>
      </c>
      <c r="N86" s="70" t="n">
        <v>518</v>
      </c>
      <c r="O86" s="71" t="n">
        <f aca="false">N86/$M86</f>
        <v>0.582677165354331</v>
      </c>
      <c r="P86" s="70" t="n">
        <v>518</v>
      </c>
      <c r="Q86" s="71" t="n">
        <f aca="false">P86/$M86</f>
        <v>0.582677165354331</v>
      </c>
      <c r="R86" s="70" t="n">
        <v>518</v>
      </c>
      <c r="S86" s="71" t="n">
        <f aca="false">R86/$M86</f>
        <v>0.582677165354331</v>
      </c>
      <c r="T86" s="70" t="n">
        <v>889</v>
      </c>
      <c r="U86" s="72" t="n">
        <f aca="false">T86/$M86</f>
        <v>1</v>
      </c>
      <c r="V86" s="69" t="n">
        <f aca="false">H86</f>
        <v>781</v>
      </c>
      <c r="W86" s="69" t="n">
        <f aca="false">V86</f>
        <v>781</v>
      </c>
    </row>
    <row r="87" customFormat="false" ht="12.8" hidden="false" customHeight="false" outlineLevel="0" collapsed="false">
      <c r="A87" s="68"/>
      <c r="B87" s="10" t="n">
        <v>312001</v>
      </c>
      <c r="C87" s="10" t="s">
        <v>83</v>
      </c>
      <c r="D87" s="11" t="n">
        <v>1620.36</v>
      </c>
      <c r="E87" s="11" t="n">
        <v>1317.12</v>
      </c>
      <c r="F87" s="69" t="n">
        <v>1300</v>
      </c>
      <c r="G87" s="69" t="n">
        <v>540.96</v>
      </c>
      <c r="H87" s="70" t="n">
        <v>500</v>
      </c>
      <c r="I87" s="70"/>
      <c r="J87" s="70" t="n">
        <v>206</v>
      </c>
      <c r="K87" s="70" t="n">
        <v>211</v>
      </c>
      <c r="L87" s="70" t="n">
        <v>141</v>
      </c>
      <c r="M87" s="70" t="n">
        <f aca="false">H87+SUM(I87:L87)</f>
        <v>1058</v>
      </c>
      <c r="N87" s="70" t="n">
        <v>376.32</v>
      </c>
      <c r="O87" s="71" t="n">
        <f aca="false">N87/$M87</f>
        <v>0.355689981096408</v>
      </c>
      <c r="P87" s="70" t="n">
        <v>635.04</v>
      </c>
      <c r="Q87" s="71" t="n">
        <f aca="false">P87/$M87</f>
        <v>0.600226843100189</v>
      </c>
      <c r="R87" s="70" t="n">
        <v>846.72</v>
      </c>
      <c r="S87" s="71" t="n">
        <f aca="false">R87/$M87</f>
        <v>0.800302457466919</v>
      </c>
      <c r="T87" s="70" t="n">
        <v>1058.4</v>
      </c>
      <c r="U87" s="72" t="n">
        <f aca="false">T87/$M87</f>
        <v>1.00037807183365</v>
      </c>
      <c r="V87" s="69" t="n">
        <f aca="false">H87</f>
        <v>500</v>
      </c>
      <c r="W87" s="69" t="n">
        <f aca="false">V87</f>
        <v>500</v>
      </c>
    </row>
    <row r="88" customFormat="false" ht="12.8" hidden="false" customHeight="false" outlineLevel="0" collapsed="false">
      <c r="A88" s="68"/>
      <c r="B88" s="10" t="n">
        <v>312012</v>
      </c>
      <c r="C88" s="10" t="s">
        <v>84</v>
      </c>
      <c r="D88" s="11" t="n">
        <v>2945.31</v>
      </c>
      <c r="E88" s="11" t="n">
        <v>2936.01</v>
      </c>
      <c r="F88" s="69" t="n">
        <v>2936</v>
      </c>
      <c r="G88" s="69" t="n">
        <v>2935.08</v>
      </c>
      <c r="H88" s="70" t="n">
        <v>2935</v>
      </c>
      <c r="I88" s="70"/>
      <c r="J88" s="70"/>
      <c r="K88" s="70"/>
      <c r="L88" s="70"/>
      <c r="M88" s="70" t="n">
        <f aca="false">H88+SUM(I88:L88)</f>
        <v>2935</v>
      </c>
      <c r="N88" s="70" t="n">
        <v>0</v>
      </c>
      <c r="O88" s="71" t="n">
        <f aca="false">N88/$M88</f>
        <v>0</v>
      </c>
      <c r="P88" s="70" t="n">
        <v>2935.08</v>
      </c>
      <c r="Q88" s="71" t="n">
        <f aca="false">P88/$M88</f>
        <v>1.0000272572402</v>
      </c>
      <c r="R88" s="70" t="n">
        <v>2935.08</v>
      </c>
      <c r="S88" s="71" t="n">
        <f aca="false">R88/$M88</f>
        <v>1.0000272572402</v>
      </c>
      <c r="T88" s="70" t="n">
        <v>2935.08</v>
      </c>
      <c r="U88" s="72" t="n">
        <f aca="false">T88/$M88</f>
        <v>1.0000272572402</v>
      </c>
      <c r="V88" s="69" t="n">
        <f aca="false">H88</f>
        <v>2935</v>
      </c>
      <c r="W88" s="69" t="n">
        <f aca="false">V88</f>
        <v>2935</v>
      </c>
    </row>
    <row r="89" customFormat="false" ht="12.8" hidden="false" customHeight="false" outlineLevel="0" collapsed="false">
      <c r="A89" s="68"/>
      <c r="B89" s="10" t="n">
        <v>312012</v>
      </c>
      <c r="C89" s="10" t="s">
        <v>85</v>
      </c>
      <c r="D89" s="11" t="n">
        <v>136.81</v>
      </c>
      <c r="E89" s="11" t="n">
        <v>136.38</v>
      </c>
      <c r="F89" s="69" t="n">
        <v>136</v>
      </c>
      <c r="G89" s="69" t="n">
        <v>136.34</v>
      </c>
      <c r="H89" s="70" t="n">
        <v>136</v>
      </c>
      <c r="I89" s="70"/>
      <c r="J89" s="70"/>
      <c r="K89" s="70"/>
      <c r="L89" s="70"/>
      <c r="M89" s="70" t="n">
        <f aca="false">H89+SUM(I89:L89)</f>
        <v>136</v>
      </c>
      <c r="N89" s="70" t="n">
        <v>0</v>
      </c>
      <c r="O89" s="71" t="n">
        <f aca="false">N89/$M89</f>
        <v>0</v>
      </c>
      <c r="P89" s="70" t="n">
        <v>0</v>
      </c>
      <c r="Q89" s="71" t="n">
        <f aca="false">P89/$M89</f>
        <v>0</v>
      </c>
      <c r="R89" s="70" t="n">
        <v>136.34</v>
      </c>
      <c r="S89" s="71" t="n">
        <f aca="false">R89/$M89</f>
        <v>1.0025</v>
      </c>
      <c r="T89" s="70" t="n">
        <v>136.34</v>
      </c>
      <c r="U89" s="72" t="n">
        <f aca="false">T89/$M89</f>
        <v>1.0025</v>
      </c>
      <c r="V89" s="69" t="n">
        <f aca="false">H89</f>
        <v>136</v>
      </c>
      <c r="W89" s="69" t="n">
        <f aca="false">V89</f>
        <v>136</v>
      </c>
    </row>
    <row r="90" customFormat="false" ht="12.8" hidden="false" customHeight="false" outlineLevel="0" collapsed="false">
      <c r="A90" s="68"/>
      <c r="B90" s="10" t="n">
        <v>312012</v>
      </c>
      <c r="C90" s="10" t="s">
        <v>86</v>
      </c>
      <c r="D90" s="11" t="n">
        <v>296.81</v>
      </c>
      <c r="E90" s="11" t="n">
        <v>295.58</v>
      </c>
      <c r="F90" s="69" t="n">
        <v>295</v>
      </c>
      <c r="G90" s="69" t="n">
        <v>295.2</v>
      </c>
      <c r="H90" s="70" t="n">
        <v>295</v>
      </c>
      <c r="I90" s="70"/>
      <c r="J90" s="70"/>
      <c r="K90" s="70"/>
      <c r="L90" s="70"/>
      <c r="M90" s="70" t="n">
        <f aca="false">H90+SUM(I90:L90)</f>
        <v>295</v>
      </c>
      <c r="N90" s="70" t="n">
        <v>0</v>
      </c>
      <c r="O90" s="71" t="n">
        <f aca="false">N90/$M90</f>
        <v>0</v>
      </c>
      <c r="P90" s="70" t="n">
        <v>294.93</v>
      </c>
      <c r="Q90" s="71" t="n">
        <f aca="false">P90/$M90</f>
        <v>0.999762711864407</v>
      </c>
      <c r="R90" s="70" t="n">
        <v>294.93</v>
      </c>
      <c r="S90" s="71" t="n">
        <f aca="false">R90/$M90</f>
        <v>0.999762711864407</v>
      </c>
      <c r="T90" s="70" t="n">
        <v>294.93</v>
      </c>
      <c r="U90" s="72" t="n">
        <f aca="false">T90/$M90</f>
        <v>0.999762711864407</v>
      </c>
      <c r="V90" s="69" t="n">
        <f aca="false">H90</f>
        <v>295</v>
      </c>
      <c r="W90" s="69" t="n">
        <f aca="false">V90</f>
        <v>295</v>
      </c>
    </row>
    <row r="91" customFormat="false" ht="12.8" hidden="false" customHeight="false" outlineLevel="0" collapsed="false">
      <c r="A91" s="68"/>
      <c r="B91" s="10" t="n">
        <v>312012</v>
      </c>
      <c r="C91" s="10" t="s">
        <v>87</v>
      </c>
      <c r="D91" s="11" t="n">
        <v>3905.31</v>
      </c>
      <c r="E91" s="11" t="n">
        <v>4000.79</v>
      </c>
      <c r="F91" s="69" t="n">
        <v>4000</v>
      </c>
      <c r="G91" s="69" t="n">
        <v>4103.17</v>
      </c>
      <c r="H91" s="70" t="n">
        <v>4039</v>
      </c>
      <c r="I91" s="70"/>
      <c r="J91" s="70" t="n">
        <v>165</v>
      </c>
      <c r="K91" s="70"/>
      <c r="L91" s="70"/>
      <c r="M91" s="70" t="n">
        <f aca="false">H91+SUM(I91:L91)</f>
        <v>4204</v>
      </c>
      <c r="N91" s="70" t="n">
        <v>4039.29</v>
      </c>
      <c r="O91" s="71" t="n">
        <f aca="false">N91/$M91</f>
        <v>0.960820647002854</v>
      </c>
      <c r="P91" s="70" t="n">
        <v>4039.29</v>
      </c>
      <c r="Q91" s="71" t="n">
        <f aca="false">P91/$M91</f>
        <v>0.960820647002854</v>
      </c>
      <c r="R91" s="70" t="n">
        <v>4204.14</v>
      </c>
      <c r="S91" s="71" t="n">
        <f aca="false">R91/$M91</f>
        <v>1.00003330161751</v>
      </c>
      <c r="T91" s="70" t="n">
        <v>4204.14</v>
      </c>
      <c r="U91" s="72" t="n">
        <f aca="false">T91/$M91</f>
        <v>1.00003330161751</v>
      </c>
      <c r="V91" s="69" t="n">
        <f aca="false">H91</f>
        <v>4039</v>
      </c>
      <c r="W91" s="69" t="n">
        <f aca="false">V91</f>
        <v>4039</v>
      </c>
    </row>
    <row r="92" customFormat="false" ht="12.8" hidden="false" customHeight="false" outlineLevel="0" collapsed="false">
      <c r="A92" s="68"/>
      <c r="B92" s="10" t="n">
        <v>312012</v>
      </c>
      <c r="C92" s="10" t="s">
        <v>88</v>
      </c>
      <c r="D92" s="11" t="n">
        <v>1045.11</v>
      </c>
      <c r="E92" s="11" t="n">
        <v>1041.81</v>
      </c>
      <c r="F92" s="69" t="n">
        <v>1042</v>
      </c>
      <c r="G92" s="69" t="n">
        <v>1061.68</v>
      </c>
      <c r="H92" s="70" t="n">
        <f aca="false">1041+172</f>
        <v>1213</v>
      </c>
      <c r="I92" s="70"/>
      <c r="J92" s="70"/>
      <c r="K92" s="70"/>
      <c r="L92" s="70"/>
      <c r="M92" s="70" t="n">
        <f aca="false">H92+SUM(I92:L92)</f>
        <v>1213</v>
      </c>
      <c r="N92" s="70" t="n">
        <v>1213.08</v>
      </c>
      <c r="O92" s="71" t="n">
        <f aca="false">N92/$M92</f>
        <v>1.00006595218467</v>
      </c>
      <c r="P92" s="70" t="n">
        <v>1213.08</v>
      </c>
      <c r="Q92" s="71" t="n">
        <f aca="false">P92/$M92</f>
        <v>1.00006595218467</v>
      </c>
      <c r="R92" s="70" t="n">
        <v>1213.08</v>
      </c>
      <c r="S92" s="71" t="n">
        <f aca="false">R92/$M92</f>
        <v>1.00006595218467</v>
      </c>
      <c r="T92" s="70" t="n">
        <v>1213.08</v>
      </c>
      <c r="U92" s="72" t="n">
        <f aca="false">T92/$M92</f>
        <v>1.00006595218467</v>
      </c>
      <c r="V92" s="69" t="n">
        <f aca="false">H92</f>
        <v>1213</v>
      </c>
      <c r="W92" s="69" t="n">
        <f aca="false">V92</f>
        <v>1213</v>
      </c>
    </row>
    <row r="93" customFormat="false" ht="12.8" hidden="false" customHeight="false" outlineLevel="0" collapsed="false">
      <c r="A93" s="68"/>
      <c r="B93" s="10" t="n">
        <v>312001</v>
      </c>
      <c r="C93" s="10" t="s">
        <v>89</v>
      </c>
      <c r="D93" s="11" t="n">
        <v>7289.6</v>
      </c>
      <c r="E93" s="11" t="n">
        <v>1280</v>
      </c>
      <c r="F93" s="69" t="n">
        <v>2000</v>
      </c>
      <c r="G93" s="69" t="n">
        <v>1803.52</v>
      </c>
      <c r="H93" s="70" t="n">
        <v>2000</v>
      </c>
      <c r="I93" s="70"/>
      <c r="J93" s="70"/>
      <c r="K93" s="70"/>
      <c r="L93" s="70" t="n">
        <v>-671</v>
      </c>
      <c r="M93" s="70" t="n">
        <f aca="false">H93+SUM(I93:L93)</f>
        <v>1329</v>
      </c>
      <c r="N93" s="70" t="n">
        <v>0</v>
      </c>
      <c r="O93" s="71" t="n">
        <f aca="false">N93/$M93</f>
        <v>0</v>
      </c>
      <c r="P93" s="70" t="n">
        <v>0</v>
      </c>
      <c r="Q93" s="71" t="n">
        <f aca="false">P93/$M93</f>
        <v>0</v>
      </c>
      <c r="R93" s="70" t="n">
        <v>560</v>
      </c>
      <c r="S93" s="71" t="n">
        <f aca="false">R93/$M93</f>
        <v>0.421369450714823</v>
      </c>
      <c r="T93" s="70" t="n">
        <v>1328.8</v>
      </c>
      <c r="U93" s="72" t="n">
        <f aca="false">T93/$M93</f>
        <v>0.999849510910459</v>
      </c>
      <c r="V93" s="69" t="n">
        <f aca="false">H93</f>
        <v>2000</v>
      </c>
      <c r="W93" s="69" t="n">
        <v>6000</v>
      </c>
    </row>
    <row r="94" customFormat="false" ht="12.8" hidden="false" customHeight="false" outlineLevel="0" collapsed="false">
      <c r="A94" s="68"/>
      <c r="B94" s="10" t="n">
        <v>312012</v>
      </c>
      <c r="C94" s="10" t="s">
        <v>90</v>
      </c>
      <c r="D94" s="11" t="n">
        <v>241.2</v>
      </c>
      <c r="E94" s="11" t="n">
        <v>241.23</v>
      </c>
      <c r="F94" s="69" t="n">
        <v>241</v>
      </c>
      <c r="G94" s="69" t="n">
        <v>210.77</v>
      </c>
      <c r="H94" s="70" t="n">
        <v>210</v>
      </c>
      <c r="I94" s="70"/>
      <c r="J94" s="70"/>
      <c r="K94" s="70"/>
      <c r="L94" s="70"/>
      <c r="M94" s="70" t="n">
        <f aca="false">H94+SUM(I94:L94)</f>
        <v>210</v>
      </c>
      <c r="N94" s="70" t="n">
        <v>0</v>
      </c>
      <c r="O94" s="71" t="n">
        <f aca="false">N94/$M94</f>
        <v>0</v>
      </c>
      <c r="P94" s="70" t="n">
        <v>0</v>
      </c>
      <c r="Q94" s="71" t="n">
        <f aca="false">P94/$M94</f>
        <v>0</v>
      </c>
      <c r="R94" s="70" t="n">
        <v>0</v>
      </c>
      <c r="S94" s="71" t="n">
        <f aca="false">R94/$M94</f>
        <v>0</v>
      </c>
      <c r="T94" s="70" t="n">
        <v>210</v>
      </c>
      <c r="U94" s="72" t="n">
        <f aca="false">T94/$M94</f>
        <v>1</v>
      </c>
      <c r="V94" s="69" t="n">
        <f aca="false">H94</f>
        <v>210</v>
      </c>
      <c r="W94" s="69" t="n">
        <f aca="false">V94</f>
        <v>210</v>
      </c>
    </row>
    <row r="95" customFormat="false" ht="12.8" hidden="false" customHeight="false" outlineLevel="0" collapsed="false">
      <c r="A95" s="68"/>
      <c r="B95" s="10" t="n">
        <v>312001</v>
      </c>
      <c r="C95" s="10" t="s">
        <v>91</v>
      </c>
      <c r="D95" s="11" t="n">
        <v>38400</v>
      </c>
      <c r="E95" s="11" t="n">
        <v>38400</v>
      </c>
      <c r="F95" s="69" t="n">
        <v>38400</v>
      </c>
      <c r="G95" s="69" t="n">
        <v>38400</v>
      </c>
      <c r="H95" s="70" t="n">
        <f aca="false">G95</f>
        <v>38400</v>
      </c>
      <c r="I95" s="70"/>
      <c r="J95" s="70"/>
      <c r="K95" s="70"/>
      <c r="L95" s="70"/>
      <c r="M95" s="70" t="n">
        <f aca="false">H95+SUM(I95:L95)</f>
        <v>38400</v>
      </c>
      <c r="N95" s="70" t="n">
        <v>9600</v>
      </c>
      <c r="O95" s="71" t="n">
        <f aca="false">N95/$M95</f>
        <v>0.25</v>
      </c>
      <c r="P95" s="70" t="n">
        <v>19200</v>
      </c>
      <c r="Q95" s="71" t="n">
        <f aca="false">P95/$M95</f>
        <v>0.5</v>
      </c>
      <c r="R95" s="70" t="n">
        <v>28800</v>
      </c>
      <c r="S95" s="71" t="n">
        <f aca="false">R95/$M95</f>
        <v>0.75</v>
      </c>
      <c r="T95" s="70" t="n">
        <v>38400</v>
      </c>
      <c r="U95" s="72" t="n">
        <f aca="false">T95/$M95</f>
        <v>1</v>
      </c>
      <c r="V95" s="69" t="n">
        <f aca="false">H95</f>
        <v>38400</v>
      </c>
      <c r="W95" s="69" t="n">
        <f aca="false">V95</f>
        <v>38400</v>
      </c>
    </row>
    <row r="96" customFormat="false" ht="12.8" hidden="true" customHeight="false" outlineLevel="0" collapsed="false">
      <c r="A96" s="68"/>
      <c r="B96" s="10" t="n">
        <v>312001</v>
      </c>
      <c r="C96" s="10" t="s">
        <v>92</v>
      </c>
      <c r="D96" s="11" t="n">
        <v>0</v>
      </c>
      <c r="E96" s="11" t="n">
        <v>0</v>
      </c>
      <c r="F96" s="69" t="n">
        <v>8568</v>
      </c>
      <c r="G96" s="69" t="n">
        <v>0</v>
      </c>
      <c r="H96" s="70" t="n">
        <f aca="false">G96</f>
        <v>0</v>
      </c>
      <c r="I96" s="70"/>
      <c r="J96" s="70"/>
      <c r="K96" s="70"/>
      <c r="L96" s="70"/>
      <c r="M96" s="70" t="n">
        <f aca="false">H96+SUM(I96:L96)</f>
        <v>0</v>
      </c>
      <c r="N96" s="70" t="n">
        <v>0</v>
      </c>
      <c r="O96" s="71" t="e">
        <f aca="false">N96/$M96</f>
        <v>#DIV/0!</v>
      </c>
      <c r="P96" s="70"/>
      <c r="Q96" s="71" t="e">
        <f aca="false">P96/$M96</f>
        <v>#DIV/0!</v>
      </c>
      <c r="R96" s="70"/>
      <c r="S96" s="71" t="e">
        <f aca="false">R96/$M96</f>
        <v>#DIV/0!</v>
      </c>
      <c r="T96" s="70"/>
      <c r="U96" s="72" t="e">
        <f aca="false">T96/$M96</f>
        <v>#DIV/0!</v>
      </c>
      <c r="V96" s="69" t="n">
        <f aca="false">H96</f>
        <v>0</v>
      </c>
      <c r="W96" s="69" t="n">
        <f aca="false">V96</f>
        <v>0</v>
      </c>
    </row>
    <row r="97" customFormat="false" ht="12.8" hidden="false" customHeight="false" outlineLevel="0" collapsed="false">
      <c r="A97" s="68"/>
      <c r="B97" s="10" t="n">
        <v>312001</v>
      </c>
      <c r="C97" s="10" t="s">
        <v>93</v>
      </c>
      <c r="D97" s="11" t="n">
        <v>17749.35</v>
      </c>
      <c r="E97" s="11" t="n">
        <v>25239.92</v>
      </c>
      <c r="F97" s="69" t="n">
        <v>26328</v>
      </c>
      <c r="G97" s="69" t="n">
        <f aca="false">5851+34154+0.35</f>
        <v>40005.35</v>
      </c>
      <c r="H97" s="70" t="n">
        <v>9856</v>
      </c>
      <c r="I97" s="70"/>
      <c r="J97" s="70" t="n">
        <v>354</v>
      </c>
      <c r="K97" s="70"/>
      <c r="L97" s="70" t="n">
        <v>2069</v>
      </c>
      <c r="M97" s="70" t="n">
        <f aca="false">H97+SUM(I97:L97)</f>
        <v>12279</v>
      </c>
      <c r="N97" s="70" t="n">
        <v>9596.19</v>
      </c>
      <c r="O97" s="71" t="n">
        <f aca="false">N97/$M97</f>
        <v>0.781512338138285</v>
      </c>
      <c r="P97" s="70" t="n">
        <v>9638.51</v>
      </c>
      <c r="Q97" s="71" t="n">
        <f aca="false">P97/$M97</f>
        <v>0.784958872872384</v>
      </c>
      <c r="R97" s="70" t="n">
        <v>10923.59</v>
      </c>
      <c r="S97" s="71" t="n">
        <f aca="false">R97/$M97</f>
        <v>0.889615603876537</v>
      </c>
      <c r="T97" s="70" t="n">
        <v>12279.12</v>
      </c>
      <c r="U97" s="72" t="n">
        <f aca="false">T97/$M97</f>
        <v>1.0000097727828</v>
      </c>
      <c r="V97" s="69" t="n">
        <v>0</v>
      </c>
      <c r="W97" s="69" t="n">
        <f aca="false">V97</f>
        <v>0</v>
      </c>
    </row>
    <row r="98" customFormat="false" ht="12.8" hidden="true" customHeight="false" outlineLevel="0" collapsed="false">
      <c r="A98" s="68"/>
      <c r="B98" s="10" t="n">
        <v>312001</v>
      </c>
      <c r="C98" s="10" t="s">
        <v>94</v>
      </c>
      <c r="D98" s="11" t="n">
        <v>16798.66</v>
      </c>
      <c r="E98" s="11" t="n">
        <v>10579.74</v>
      </c>
      <c r="F98" s="69"/>
      <c r="G98" s="69"/>
      <c r="H98" s="70"/>
      <c r="I98" s="70"/>
      <c r="J98" s="70"/>
      <c r="K98" s="70"/>
      <c r="L98" s="70"/>
      <c r="M98" s="70" t="n">
        <f aca="false">H98+SUM(I98:L98)</f>
        <v>0</v>
      </c>
      <c r="N98" s="70" t="n">
        <v>0</v>
      </c>
      <c r="O98" s="71" t="e">
        <f aca="false">N98/$M98</f>
        <v>#DIV/0!</v>
      </c>
      <c r="P98" s="70"/>
      <c r="Q98" s="71" t="e">
        <f aca="false">P98/$M98</f>
        <v>#DIV/0!</v>
      </c>
      <c r="R98" s="70"/>
      <c r="S98" s="71" t="e">
        <f aca="false">R98/$M98</f>
        <v>#DIV/0!</v>
      </c>
      <c r="T98" s="70"/>
      <c r="U98" s="72" t="e">
        <f aca="false">T98/$M98</f>
        <v>#DIV/0!</v>
      </c>
      <c r="V98" s="69"/>
      <c r="W98" s="69"/>
    </row>
    <row r="99" customFormat="false" ht="12.8" hidden="false" customHeight="false" outlineLevel="0" collapsed="false">
      <c r="A99" s="68"/>
      <c r="B99" s="10" t="n">
        <v>322001</v>
      </c>
      <c r="C99" s="10" t="s">
        <v>95</v>
      </c>
      <c r="D99" s="11"/>
      <c r="E99" s="11"/>
      <c r="F99" s="69"/>
      <c r="G99" s="69"/>
      <c r="H99" s="70" t="n">
        <v>0</v>
      </c>
      <c r="I99" s="70"/>
      <c r="J99" s="70"/>
      <c r="K99" s="70"/>
      <c r="L99" s="70"/>
      <c r="M99" s="70" t="n">
        <f aca="false">H99+SUM(I99:L99)</f>
        <v>0</v>
      </c>
      <c r="N99" s="70" t="n">
        <v>0</v>
      </c>
      <c r="O99" s="71" t="e">
        <f aca="false">N99/$M99</f>
        <v>#DIV/0!</v>
      </c>
      <c r="P99" s="70" t="n">
        <v>0</v>
      </c>
      <c r="Q99" s="71" t="e">
        <f aca="false">P99/$M99</f>
        <v>#DIV/0!</v>
      </c>
      <c r="R99" s="70" t="n">
        <v>0</v>
      </c>
      <c r="S99" s="71" t="e">
        <f aca="false">R99/$M99</f>
        <v>#DIV/0!</v>
      </c>
      <c r="T99" s="70" t="n">
        <v>113000</v>
      </c>
      <c r="U99" s="72" t="e">
        <f aca="false">T99/$M99</f>
        <v>#DIV/0!</v>
      </c>
      <c r="V99" s="69"/>
      <c r="W99" s="69"/>
    </row>
    <row r="100" customFormat="false" ht="12.8" hidden="false" customHeight="false" outlineLevel="0" collapsed="false">
      <c r="A100" s="68"/>
      <c r="B100" s="10" t="n">
        <v>322001</v>
      </c>
      <c r="C100" s="10" t="s">
        <v>96</v>
      </c>
      <c r="D100" s="11"/>
      <c r="E100" s="11"/>
      <c r="F100" s="69"/>
      <c r="G100" s="69"/>
      <c r="H100" s="70" t="n">
        <v>888000</v>
      </c>
      <c r="I100" s="70"/>
      <c r="J100" s="70"/>
      <c r="K100" s="70"/>
      <c r="L100" s="70" t="n">
        <v>-888000</v>
      </c>
      <c r="M100" s="70" t="n">
        <f aca="false">H100+SUM(I100:L100)</f>
        <v>0</v>
      </c>
      <c r="N100" s="70" t="n">
        <v>0</v>
      </c>
      <c r="O100" s="71" t="e">
        <f aca="false">N100/$M100</f>
        <v>#DIV/0!</v>
      </c>
      <c r="P100" s="70" t="n">
        <v>0</v>
      </c>
      <c r="Q100" s="71" t="e">
        <f aca="false">P100/$M100</f>
        <v>#DIV/0!</v>
      </c>
      <c r="R100" s="70" t="n">
        <v>0</v>
      </c>
      <c r="S100" s="71" t="e">
        <f aca="false">R100/$M100</f>
        <v>#DIV/0!</v>
      </c>
      <c r="T100" s="70" t="n">
        <v>0</v>
      </c>
      <c r="U100" s="72" t="e">
        <f aca="false">T100/$M100</f>
        <v>#DIV/0!</v>
      </c>
      <c r="V100" s="69"/>
      <c r="W100" s="69"/>
    </row>
    <row r="101" customFormat="false" ht="12.8" hidden="false" customHeight="false" outlineLevel="0" collapsed="false">
      <c r="A101" s="68"/>
      <c r="B101" s="10" t="n">
        <v>322001</v>
      </c>
      <c r="C101" s="10" t="s">
        <v>97</v>
      </c>
      <c r="D101" s="11"/>
      <c r="E101" s="11"/>
      <c r="F101" s="69"/>
      <c r="G101" s="69"/>
      <c r="H101" s="70" t="n">
        <v>417300</v>
      </c>
      <c r="I101" s="70"/>
      <c r="J101" s="70"/>
      <c r="K101" s="70"/>
      <c r="L101" s="70" t="n">
        <v>-417300</v>
      </c>
      <c r="M101" s="70" t="n">
        <f aca="false">H101+SUM(I101:L101)</f>
        <v>0</v>
      </c>
      <c r="N101" s="70" t="n">
        <v>0</v>
      </c>
      <c r="O101" s="71" t="e">
        <f aca="false">N101/$M101</f>
        <v>#DIV/0!</v>
      </c>
      <c r="P101" s="70" t="n">
        <v>0</v>
      </c>
      <c r="Q101" s="71" t="e">
        <f aca="false">P101/$M101</f>
        <v>#DIV/0!</v>
      </c>
      <c r="R101" s="70" t="n">
        <v>0</v>
      </c>
      <c r="S101" s="71" t="e">
        <f aca="false">R101/$M101</f>
        <v>#DIV/0!</v>
      </c>
      <c r="T101" s="70" t="n">
        <v>0</v>
      </c>
      <c r="U101" s="72" t="e">
        <f aca="false">T101/$M101</f>
        <v>#DIV/0!</v>
      </c>
      <c r="V101" s="69"/>
      <c r="W101" s="69"/>
    </row>
    <row r="102" customFormat="false" ht="12.8" hidden="true" customHeight="false" outlineLevel="0" collapsed="false">
      <c r="A102" s="68"/>
      <c r="B102" s="10" t="n">
        <v>322001</v>
      </c>
      <c r="C102" s="10" t="s">
        <v>98</v>
      </c>
      <c r="D102" s="11"/>
      <c r="E102" s="11"/>
      <c r="F102" s="69"/>
      <c r="G102" s="69"/>
      <c r="H102" s="70"/>
      <c r="I102" s="70"/>
      <c r="J102" s="70"/>
      <c r="K102" s="70"/>
      <c r="L102" s="70"/>
      <c r="M102" s="70" t="n">
        <f aca="false">H102+SUM(I102:L102)</f>
        <v>0</v>
      </c>
      <c r="N102" s="70" t="n">
        <v>0</v>
      </c>
      <c r="O102" s="71" t="e">
        <f aca="false">N102/$M102</f>
        <v>#DIV/0!</v>
      </c>
      <c r="P102" s="70"/>
      <c r="Q102" s="71" t="e">
        <f aca="false">P102/$M102</f>
        <v>#DIV/0!</v>
      </c>
      <c r="R102" s="70"/>
      <c r="S102" s="71" t="e">
        <f aca="false">R102/$M102</f>
        <v>#DIV/0!</v>
      </c>
      <c r="T102" s="70"/>
      <c r="U102" s="72" t="e">
        <f aca="false">T102/$M102</f>
        <v>#DIV/0!</v>
      </c>
      <c r="V102" s="70" t="n">
        <v>274600</v>
      </c>
      <c r="W102" s="69"/>
    </row>
    <row r="103" customFormat="false" ht="12.8" hidden="false" customHeight="false" outlineLevel="0" collapsed="false">
      <c r="A103" s="68"/>
      <c r="B103" s="10" t="n">
        <v>322001</v>
      </c>
      <c r="C103" s="10" t="s">
        <v>99</v>
      </c>
      <c r="D103" s="11"/>
      <c r="E103" s="11"/>
      <c r="F103" s="69"/>
      <c r="G103" s="69"/>
      <c r="H103" s="70" t="n">
        <v>200000</v>
      </c>
      <c r="I103" s="70"/>
      <c r="J103" s="70"/>
      <c r="K103" s="70"/>
      <c r="L103" s="70" t="n">
        <v>-200000</v>
      </c>
      <c r="M103" s="70" t="n">
        <f aca="false">H103+SUM(I103:L103)</f>
        <v>0</v>
      </c>
      <c r="N103" s="70" t="n">
        <v>0</v>
      </c>
      <c r="O103" s="71" t="e">
        <f aca="false">N103/$M103</f>
        <v>#DIV/0!</v>
      </c>
      <c r="P103" s="70" t="n">
        <v>0</v>
      </c>
      <c r="Q103" s="71" t="e">
        <f aca="false">P103/$M103</f>
        <v>#DIV/0!</v>
      </c>
      <c r="R103" s="70" t="n">
        <v>0</v>
      </c>
      <c r="S103" s="71" t="e">
        <f aca="false">R103/$M103</f>
        <v>#DIV/0!</v>
      </c>
      <c r="T103" s="70" t="n">
        <v>0</v>
      </c>
      <c r="U103" s="72" t="e">
        <f aca="false">T103/$M103</f>
        <v>#DIV/0!</v>
      </c>
      <c r="V103" s="69"/>
      <c r="W103" s="69"/>
    </row>
    <row r="104" customFormat="false" ht="12.8" hidden="false" customHeight="false" outlineLevel="0" collapsed="false">
      <c r="A104" s="68"/>
      <c r="B104" s="10" t="n">
        <v>322001</v>
      </c>
      <c r="C104" s="10" t="s">
        <v>100</v>
      </c>
      <c r="D104" s="11" t="n">
        <v>10000</v>
      </c>
      <c r="E104" s="11" t="n">
        <v>0</v>
      </c>
      <c r="F104" s="69" t="n">
        <v>0</v>
      </c>
      <c r="G104" s="69" t="n">
        <v>50000</v>
      </c>
      <c r="H104" s="69" t="n">
        <v>0</v>
      </c>
      <c r="I104" s="69"/>
      <c r="J104" s="69"/>
      <c r="K104" s="69"/>
      <c r="L104" s="69"/>
      <c r="M104" s="69" t="n">
        <f aca="false">H104+SUM(I104:L104)</f>
        <v>0</v>
      </c>
      <c r="N104" s="69" t="n">
        <v>0</v>
      </c>
      <c r="O104" s="73" t="e">
        <f aca="false">N104/$M104</f>
        <v>#DIV/0!</v>
      </c>
      <c r="P104" s="69"/>
      <c r="Q104" s="73" t="e">
        <f aca="false">P104/$M104</f>
        <v>#DIV/0!</v>
      </c>
      <c r="R104" s="69"/>
      <c r="S104" s="73" t="e">
        <f aca="false">R104/$M104</f>
        <v>#DIV/0!</v>
      </c>
      <c r="T104" s="69"/>
      <c r="U104" s="74" t="e">
        <f aca="false">T104/$M104</f>
        <v>#DIV/0!</v>
      </c>
      <c r="V104" s="69" t="n">
        <f aca="false">H104</f>
        <v>0</v>
      </c>
      <c r="W104" s="69" t="n">
        <f aca="false">V104</f>
        <v>0</v>
      </c>
    </row>
    <row r="105" customFormat="false" ht="12.8" hidden="false" customHeight="false" outlineLevel="0" collapsed="false">
      <c r="A105" s="75" t="s">
        <v>101</v>
      </c>
      <c r="B105" s="14" t="n">
        <v>111</v>
      </c>
      <c r="C105" s="14" t="s">
        <v>22</v>
      </c>
      <c r="D105" s="15" t="n">
        <f aca="false">SUM(D78:D104)</f>
        <v>474738.52</v>
      </c>
      <c r="E105" s="15" t="n">
        <f aca="false">SUM(E78:E104)</f>
        <v>486713.67</v>
      </c>
      <c r="F105" s="15" t="n">
        <f aca="false">SUM(F77:F104)</f>
        <v>513430</v>
      </c>
      <c r="G105" s="15" t="n">
        <f aca="false">SUM(G77:G104)</f>
        <v>565026.47</v>
      </c>
      <c r="H105" s="15" t="n">
        <f aca="false">SUM(H77:H104)</f>
        <v>1994742</v>
      </c>
      <c r="I105" s="15" t="n">
        <f aca="false">SUM(I77:I104)</f>
        <v>0</v>
      </c>
      <c r="J105" s="15" t="n">
        <f aca="false">SUM(J77:J104)</f>
        <v>1895</v>
      </c>
      <c r="K105" s="15" t="n">
        <f aca="false">SUM(K77:K104)</f>
        <v>83</v>
      </c>
      <c r="L105" s="15" t="n">
        <f aca="false">SUM(L77:L104)</f>
        <v>-1497335</v>
      </c>
      <c r="M105" s="15" t="n">
        <f aca="false">SUM(M77:M104)</f>
        <v>499385</v>
      </c>
      <c r="N105" s="15" t="n">
        <f aca="false">SUM(N77:N104)</f>
        <v>143253.28</v>
      </c>
      <c r="O105" s="16" t="n">
        <f aca="false">N105/$M105</f>
        <v>0.286859397058382</v>
      </c>
      <c r="P105" s="15" t="n">
        <f aca="false">SUM(P77:P104)</f>
        <v>259822.33</v>
      </c>
      <c r="Q105" s="16" t="n">
        <f aca="false">P105/$M105</f>
        <v>0.520284610070387</v>
      </c>
      <c r="R105" s="15" t="n">
        <f aca="false">SUM(R77:R104)</f>
        <v>374044.48</v>
      </c>
      <c r="S105" s="16" t="n">
        <f aca="false">R105/$M105</f>
        <v>0.749010242598396</v>
      </c>
      <c r="T105" s="15" t="n">
        <f aca="false">SUM(T77:T104)</f>
        <v>612482.49</v>
      </c>
      <c r="U105" s="17" t="n">
        <f aca="false">T105/$M105</f>
        <v>1.22647354245722</v>
      </c>
      <c r="V105" s="15" t="n">
        <f aca="false">SUM(V77:V104)</f>
        <v>753486</v>
      </c>
      <c r="W105" s="15" t="n">
        <f aca="false">SUM(W77:W104)</f>
        <v>482886</v>
      </c>
    </row>
    <row r="107" customFormat="false" ht="12.8" hidden="false" customHeight="false" outlineLevel="0" collapsed="false">
      <c r="A107" s="20" t="s">
        <v>102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1"/>
      <c r="P107" s="20"/>
      <c r="Q107" s="21"/>
      <c r="R107" s="20"/>
      <c r="S107" s="21"/>
      <c r="T107" s="20"/>
      <c r="U107" s="21"/>
      <c r="V107" s="20"/>
      <c r="W107" s="20"/>
    </row>
    <row r="108" customFormat="false" ht="12.8" hidden="false" customHeight="false" outlineLevel="0" collapsed="false">
      <c r="A108" s="6"/>
      <c r="B108" s="6"/>
      <c r="C108" s="6"/>
      <c r="D108" s="7" t="s">
        <v>1</v>
      </c>
      <c r="E108" s="7" t="s">
        <v>2</v>
      </c>
      <c r="F108" s="7" t="s">
        <v>3</v>
      </c>
      <c r="G108" s="7" t="s">
        <v>4</v>
      </c>
      <c r="H108" s="7" t="s">
        <v>5</v>
      </c>
      <c r="I108" s="7" t="s">
        <v>6</v>
      </c>
      <c r="J108" s="7" t="s">
        <v>7</v>
      </c>
      <c r="K108" s="7" t="s">
        <v>8</v>
      </c>
      <c r="L108" s="7" t="s">
        <v>9</v>
      </c>
      <c r="M108" s="7" t="s">
        <v>10</v>
      </c>
      <c r="N108" s="7" t="s">
        <v>11</v>
      </c>
      <c r="O108" s="8" t="s">
        <v>12</v>
      </c>
      <c r="P108" s="7" t="s">
        <v>13</v>
      </c>
      <c r="Q108" s="8" t="s">
        <v>14</v>
      </c>
      <c r="R108" s="7" t="s">
        <v>15</v>
      </c>
      <c r="S108" s="8" t="s">
        <v>16</v>
      </c>
      <c r="T108" s="7" t="s">
        <v>17</v>
      </c>
      <c r="U108" s="8" t="s">
        <v>18</v>
      </c>
      <c r="V108" s="7" t="s">
        <v>19</v>
      </c>
      <c r="W108" s="7" t="s">
        <v>20</v>
      </c>
    </row>
    <row r="109" customFormat="false" ht="12.8" hidden="false" customHeight="false" outlineLevel="0" collapsed="false">
      <c r="A109" s="22" t="s">
        <v>21</v>
      </c>
      <c r="B109" s="23" t="n">
        <v>131</v>
      </c>
      <c r="C109" s="23" t="s">
        <v>103</v>
      </c>
      <c r="D109" s="24" t="n">
        <f aca="false">D115</f>
        <v>22382.36</v>
      </c>
      <c r="E109" s="24" t="n">
        <f aca="false">E115</f>
        <v>17330.41</v>
      </c>
      <c r="F109" s="24" t="n">
        <v>0</v>
      </c>
      <c r="G109" s="24" t="n">
        <v>3513</v>
      </c>
      <c r="H109" s="24" t="n">
        <v>0</v>
      </c>
      <c r="I109" s="24" t="n">
        <v>0</v>
      </c>
      <c r="J109" s="24" t="n">
        <v>0</v>
      </c>
      <c r="K109" s="24" t="n">
        <v>0</v>
      </c>
      <c r="L109" s="24" t="n">
        <f aca="false">L115</f>
        <v>1031</v>
      </c>
      <c r="M109" s="24" t="n">
        <f aca="false">H109+SUM(I109:L109)</f>
        <v>1031</v>
      </c>
      <c r="N109" s="24" t="n">
        <f aca="false">N115</f>
        <v>0</v>
      </c>
      <c r="O109" s="25" t="n">
        <f aca="false">N109/$M109</f>
        <v>0</v>
      </c>
      <c r="P109" s="24" t="n">
        <f aca="false">P115</f>
        <v>0</v>
      </c>
      <c r="Q109" s="25" t="n">
        <f aca="false">P109/$M109</f>
        <v>0</v>
      </c>
      <c r="R109" s="24" t="n">
        <f aca="false">R115</f>
        <v>0</v>
      </c>
      <c r="S109" s="25" t="n">
        <f aca="false">R109/$M109</f>
        <v>0</v>
      </c>
      <c r="T109" s="24" t="n">
        <f aca="false">T115</f>
        <v>1030.96</v>
      </c>
      <c r="U109" s="26" t="n">
        <f aca="false">T109/$M109</f>
        <v>0.99996120271581</v>
      </c>
      <c r="V109" s="24" t="n">
        <v>0</v>
      </c>
      <c r="W109" s="24" t="n">
        <v>0</v>
      </c>
    </row>
    <row r="110" customFormat="false" ht="12.8" hidden="false" customHeight="false" outlineLevel="0" collapsed="false">
      <c r="A110" s="22"/>
      <c r="B110" s="23" t="n">
        <v>41</v>
      </c>
      <c r="C110" s="23" t="s">
        <v>23</v>
      </c>
      <c r="D110" s="24" t="n">
        <f aca="false">D116</f>
        <v>3387.31</v>
      </c>
      <c r="E110" s="24" t="n">
        <f aca="false">E116</f>
        <v>12173.51</v>
      </c>
      <c r="F110" s="24" t="n">
        <f aca="false">F116</f>
        <v>182899</v>
      </c>
      <c r="G110" s="24" t="n">
        <f aca="false">G116</f>
        <v>11270.57</v>
      </c>
      <c r="H110" s="24" t="n">
        <f aca="false">H117</f>
        <v>147240</v>
      </c>
      <c r="I110" s="24" t="n">
        <f aca="false">I117</f>
        <v>0</v>
      </c>
      <c r="J110" s="24" t="n">
        <f aca="false">J117</f>
        <v>45000</v>
      </c>
      <c r="K110" s="24" t="n">
        <f aca="false">K117</f>
        <v>0</v>
      </c>
      <c r="L110" s="24" t="n">
        <f aca="false">L116+L117</f>
        <v>-10577</v>
      </c>
      <c r="M110" s="24" t="n">
        <f aca="false">H110+SUM(I110:L110)</f>
        <v>181663</v>
      </c>
      <c r="N110" s="24" t="n">
        <f aca="false">N116+N117</f>
        <v>0</v>
      </c>
      <c r="O110" s="25" t="n">
        <f aca="false">N110/$M110</f>
        <v>0</v>
      </c>
      <c r="P110" s="24" t="n">
        <f aca="false">P116+P117</f>
        <v>0</v>
      </c>
      <c r="Q110" s="25" t="n">
        <f aca="false">P110/$M110</f>
        <v>0</v>
      </c>
      <c r="R110" s="24" t="n">
        <f aca="false">R116+R117</f>
        <v>0</v>
      </c>
      <c r="S110" s="25" t="n">
        <f aca="false">R110/$M110</f>
        <v>0</v>
      </c>
      <c r="T110" s="24" t="n">
        <f aca="false">T116+T117</f>
        <v>191209</v>
      </c>
      <c r="U110" s="26" t="n">
        <f aca="false">T110/$M110</f>
        <v>1.05254784958962</v>
      </c>
      <c r="V110" s="24" t="n">
        <v>0</v>
      </c>
      <c r="W110" s="24" t="n">
        <v>0</v>
      </c>
    </row>
    <row r="111" customFormat="false" ht="12.8" hidden="false" customHeight="false" outlineLevel="0" collapsed="false">
      <c r="A111" s="22"/>
      <c r="B111" s="23" t="n">
        <v>52</v>
      </c>
      <c r="C111" s="23" t="s">
        <v>27</v>
      </c>
      <c r="D111" s="24" t="n">
        <v>0</v>
      </c>
      <c r="E111" s="24" t="n">
        <v>0</v>
      </c>
      <c r="F111" s="24" t="n">
        <v>0</v>
      </c>
      <c r="G111" s="24" t="n">
        <v>0</v>
      </c>
      <c r="H111" s="24" t="n">
        <f aca="false">H118</f>
        <v>60000</v>
      </c>
      <c r="I111" s="24" t="n">
        <f aca="false">I118</f>
        <v>0</v>
      </c>
      <c r="J111" s="24" t="n">
        <f aca="false">J118</f>
        <v>0</v>
      </c>
      <c r="K111" s="24" t="n">
        <f aca="false">K118</f>
        <v>0</v>
      </c>
      <c r="L111" s="24" t="n">
        <f aca="false">L118</f>
        <v>-60000</v>
      </c>
      <c r="M111" s="24" t="n">
        <f aca="false">H111+SUM(I111:L111)</f>
        <v>0</v>
      </c>
      <c r="N111" s="24" t="n">
        <f aca="false">N118</f>
        <v>0</v>
      </c>
      <c r="O111" s="25" t="e">
        <f aca="false">N111/$M111</f>
        <v>#DIV/0!</v>
      </c>
      <c r="P111" s="24" t="n">
        <f aca="false">P118</f>
        <v>0</v>
      </c>
      <c r="Q111" s="25" t="e">
        <f aca="false">P111/$M111</f>
        <v>#DIV/0!</v>
      </c>
      <c r="R111" s="24" t="n">
        <f aca="false">R118</f>
        <v>0</v>
      </c>
      <c r="S111" s="25" t="e">
        <f aca="false">R111/$M111</f>
        <v>#DIV/0!</v>
      </c>
      <c r="T111" s="24" t="n">
        <f aca="false">T118</f>
        <v>0</v>
      </c>
      <c r="U111" s="26" t="e">
        <f aca="false">T111/$M111</f>
        <v>#DIV/0!</v>
      </c>
      <c r="V111" s="24"/>
      <c r="W111" s="24"/>
    </row>
    <row r="112" customFormat="false" ht="12.8" hidden="false" customHeight="false" outlineLevel="0" collapsed="false">
      <c r="A112" s="22"/>
      <c r="B112" s="23" t="n">
        <v>71</v>
      </c>
      <c r="C112" s="23" t="s">
        <v>24</v>
      </c>
      <c r="D112" s="24" t="n">
        <v>0</v>
      </c>
      <c r="E112" s="24" t="n">
        <v>0</v>
      </c>
      <c r="F112" s="24" t="n">
        <v>0</v>
      </c>
      <c r="G112" s="24" t="n">
        <v>0</v>
      </c>
      <c r="H112" s="24" t="n">
        <f aca="false">H119</f>
        <v>0</v>
      </c>
      <c r="I112" s="24" t="n">
        <f aca="false">I119</f>
        <v>0</v>
      </c>
      <c r="J112" s="24" t="n">
        <f aca="false">J119</f>
        <v>0</v>
      </c>
      <c r="K112" s="24" t="n">
        <f aca="false">K119</f>
        <v>0</v>
      </c>
      <c r="L112" s="24" t="n">
        <f aca="false">L119</f>
        <v>0</v>
      </c>
      <c r="M112" s="24" t="n">
        <f aca="false">H112+SUM(I112:L112)</f>
        <v>0</v>
      </c>
      <c r="N112" s="24" t="n">
        <f aca="false">N119</f>
        <v>0</v>
      </c>
      <c r="O112" s="25" t="e">
        <f aca="false">N112/$M112</f>
        <v>#DIV/0!</v>
      </c>
      <c r="P112" s="24" t="n">
        <f aca="false">P119</f>
        <v>13000</v>
      </c>
      <c r="Q112" s="25" t="e">
        <f aca="false">P112/$M112</f>
        <v>#DIV/0!</v>
      </c>
      <c r="R112" s="24" t="n">
        <f aca="false">R119</f>
        <v>22000</v>
      </c>
      <c r="S112" s="25" t="e">
        <f aca="false">R112/$M112</f>
        <v>#DIV/0!</v>
      </c>
      <c r="T112" s="24" t="n">
        <f aca="false">T119</f>
        <v>16000</v>
      </c>
      <c r="U112" s="26" t="e">
        <f aca="false">T112/$M112</f>
        <v>#DIV/0!</v>
      </c>
      <c r="V112" s="24" t="n">
        <v>0</v>
      </c>
      <c r="W112" s="24" t="n">
        <v>0</v>
      </c>
    </row>
    <row r="113" customFormat="false" ht="12.8" hidden="false" customHeight="false" outlineLevel="0" collapsed="false">
      <c r="A113" s="18"/>
      <c r="B113" s="19"/>
      <c r="C113" s="27" t="s">
        <v>29</v>
      </c>
      <c r="D113" s="28" t="n">
        <f aca="false">SUM(D109:D112)</f>
        <v>25769.67</v>
      </c>
      <c r="E113" s="28" t="n">
        <f aca="false">SUM(E109:E112)</f>
        <v>29503.92</v>
      </c>
      <c r="F113" s="28" t="n">
        <f aca="false">SUM(F109:F112)</f>
        <v>182899</v>
      </c>
      <c r="G113" s="28" t="n">
        <f aca="false">SUM(G109:G112)</f>
        <v>14783.57</v>
      </c>
      <c r="H113" s="28" t="n">
        <f aca="false">SUM(H109:H112)</f>
        <v>207240</v>
      </c>
      <c r="I113" s="28" t="n">
        <f aca="false">SUM(I109:I112)</f>
        <v>0</v>
      </c>
      <c r="J113" s="28" t="n">
        <f aca="false">SUM(J109:J112)</f>
        <v>45000</v>
      </c>
      <c r="K113" s="28" t="n">
        <f aca="false">SUM(K109:K112)</f>
        <v>0</v>
      </c>
      <c r="L113" s="28" t="n">
        <f aca="false">SUM(L109:L112)</f>
        <v>-69546</v>
      </c>
      <c r="M113" s="28" t="n">
        <f aca="false">SUM(M109:M112)</f>
        <v>182694</v>
      </c>
      <c r="N113" s="28" t="n">
        <f aca="false">SUM(N109:N112)</f>
        <v>0</v>
      </c>
      <c r="O113" s="29" t="n">
        <f aca="false">N113/$M113</f>
        <v>0</v>
      </c>
      <c r="P113" s="28" t="n">
        <f aca="false">SUM(P109:P112)</f>
        <v>13000</v>
      </c>
      <c r="Q113" s="29" t="n">
        <f aca="false">P113/$M113</f>
        <v>0.0711572355961334</v>
      </c>
      <c r="R113" s="28" t="n">
        <f aca="false">SUM(R109:R112)</f>
        <v>22000</v>
      </c>
      <c r="S113" s="29" t="n">
        <f aca="false">R113/$M113</f>
        <v>0.120419937162687</v>
      </c>
      <c r="T113" s="28" t="n">
        <f aca="false">SUM(T109:T112)</f>
        <v>208239.96</v>
      </c>
      <c r="U113" s="30" t="n">
        <f aca="false">T113/$M113</f>
        <v>1.13982922263457</v>
      </c>
      <c r="V113" s="28" t="n">
        <f aca="false">SUM(V109:V112)</f>
        <v>0</v>
      </c>
      <c r="W113" s="28" t="n">
        <f aca="false">SUM(W109:W112)</f>
        <v>0</v>
      </c>
    </row>
    <row r="115" customFormat="false" ht="12.8" hidden="false" customHeight="false" outlineLevel="0" collapsed="false">
      <c r="B115" s="44" t="s">
        <v>56</v>
      </c>
      <c r="C115" s="18" t="s">
        <v>104</v>
      </c>
      <c r="D115" s="45" t="n">
        <v>22382.36</v>
      </c>
      <c r="E115" s="45" t="n">
        <v>17330.41</v>
      </c>
      <c r="F115" s="45"/>
      <c r="G115" s="45" t="n">
        <v>3513.02</v>
      </c>
      <c r="H115" s="45"/>
      <c r="I115" s="45"/>
      <c r="J115" s="45"/>
      <c r="K115" s="45"/>
      <c r="L115" s="45" t="n">
        <v>1031</v>
      </c>
      <c r="M115" s="45" t="n">
        <f aca="false">H115+SUM(I115:L115)</f>
        <v>1031</v>
      </c>
      <c r="N115" s="45" t="n">
        <v>0</v>
      </c>
      <c r="O115" s="46" t="n">
        <f aca="false">N115/$M115</f>
        <v>0</v>
      </c>
      <c r="P115" s="45" t="n">
        <v>0</v>
      </c>
      <c r="Q115" s="46" t="n">
        <f aca="false">P115/$M115</f>
        <v>0</v>
      </c>
      <c r="R115" s="45" t="n">
        <v>0</v>
      </c>
      <c r="S115" s="46" t="n">
        <f aca="false">R115/$M115</f>
        <v>0</v>
      </c>
      <c r="T115" s="45" t="n">
        <v>1030.96</v>
      </c>
      <c r="U115" s="47" t="n">
        <f aca="false">T115/$M115</f>
        <v>0.99996120271581</v>
      </c>
      <c r="V115" s="45"/>
      <c r="W115" s="48"/>
    </row>
    <row r="116" customFormat="false" ht="12.8" hidden="false" customHeight="false" outlineLevel="0" collapsed="false">
      <c r="B116" s="49"/>
      <c r="C116" s="1" t="s">
        <v>105</v>
      </c>
      <c r="D116" s="51" t="n">
        <v>3387.31</v>
      </c>
      <c r="E116" s="51" t="n">
        <v>12173.51</v>
      </c>
      <c r="F116" s="51" t="n">
        <v>182899</v>
      </c>
      <c r="G116" s="51" t="n">
        <f aca="false">199703.57-188433</f>
        <v>11270.57</v>
      </c>
      <c r="H116" s="51"/>
      <c r="I116" s="51"/>
      <c r="J116" s="51"/>
      <c r="K116" s="51"/>
      <c r="L116" s="51" t="n">
        <v>58819</v>
      </c>
      <c r="M116" s="51" t="n">
        <f aca="false">H116+SUM(I116:L116)</f>
        <v>58819</v>
      </c>
      <c r="N116" s="51" t="n">
        <v>0</v>
      </c>
      <c r="O116" s="2" t="n">
        <f aca="false">N116/$M116</f>
        <v>0</v>
      </c>
      <c r="P116" s="51" t="n">
        <v>0</v>
      </c>
      <c r="Q116" s="2" t="n">
        <f aca="false">P116/$M116</f>
        <v>0</v>
      </c>
      <c r="R116" s="51" t="n">
        <v>0</v>
      </c>
      <c r="S116" s="2" t="n">
        <f aca="false">R116/$M116</f>
        <v>0</v>
      </c>
      <c r="T116" s="51" t="n">
        <v>58819</v>
      </c>
      <c r="U116" s="52" t="n">
        <f aca="false">T116/$M116</f>
        <v>1</v>
      </c>
      <c r="V116" s="51"/>
      <c r="W116" s="53"/>
    </row>
    <row r="117" customFormat="false" ht="12.8" hidden="false" customHeight="false" outlineLevel="0" collapsed="false">
      <c r="B117" s="49"/>
      <c r="C117" s="50" t="s">
        <v>106</v>
      </c>
      <c r="D117" s="51"/>
      <c r="E117" s="51"/>
      <c r="F117" s="51"/>
      <c r="G117" s="51" t="n">
        <f aca="false">6887.05-6887.05</f>
        <v>0</v>
      </c>
      <c r="H117" s="51" t="n">
        <f aca="false">6887+188433-48080</f>
        <v>147240</v>
      </c>
      <c r="I117" s="51"/>
      <c r="J117" s="51" t="n">
        <f aca="false">15000+30000</f>
        <v>45000</v>
      </c>
      <c r="K117" s="51"/>
      <c r="L117" s="51" t="n">
        <v>-69396</v>
      </c>
      <c r="M117" s="51" t="n">
        <f aca="false">H117+SUM(I117:L117)</f>
        <v>122844</v>
      </c>
      <c r="N117" s="51" t="n">
        <v>0</v>
      </c>
      <c r="O117" s="2" t="n">
        <f aca="false">N117/$M117</f>
        <v>0</v>
      </c>
      <c r="P117" s="51" t="n">
        <v>0</v>
      </c>
      <c r="Q117" s="2" t="n">
        <f aca="false">P117/$M117</f>
        <v>0</v>
      </c>
      <c r="R117" s="51" t="n">
        <v>0</v>
      </c>
      <c r="S117" s="2" t="n">
        <f aca="false">R117/$M117</f>
        <v>0</v>
      </c>
      <c r="T117" s="51" t="n">
        <v>132390</v>
      </c>
      <c r="U117" s="52" t="n">
        <f aca="false">T117/$M117</f>
        <v>1.07770831298232</v>
      </c>
      <c r="V117" s="51"/>
      <c r="W117" s="53"/>
    </row>
    <row r="118" customFormat="false" ht="12.8" hidden="false" customHeight="false" outlineLevel="0" collapsed="false">
      <c r="B118" s="49"/>
      <c r="C118" s="50" t="s">
        <v>107</v>
      </c>
      <c r="D118" s="51"/>
      <c r="E118" s="51"/>
      <c r="F118" s="51"/>
      <c r="G118" s="51"/>
      <c r="H118" s="51" t="n">
        <v>60000</v>
      </c>
      <c r="I118" s="51"/>
      <c r="J118" s="51"/>
      <c r="K118" s="51"/>
      <c r="L118" s="51" t="n">
        <v>-60000</v>
      </c>
      <c r="M118" s="51" t="n">
        <f aca="false">H118+SUM(I118:L118)</f>
        <v>0</v>
      </c>
      <c r="N118" s="51" t="n">
        <v>0</v>
      </c>
      <c r="O118" s="2" t="e">
        <f aca="false">N118/$M118</f>
        <v>#DIV/0!</v>
      </c>
      <c r="P118" s="51" t="n">
        <v>0</v>
      </c>
      <c r="Q118" s="2" t="e">
        <f aca="false">P118/$M118</f>
        <v>#DIV/0!</v>
      </c>
      <c r="R118" s="51" t="n">
        <v>0</v>
      </c>
      <c r="S118" s="2" t="e">
        <f aca="false">R118/$M118</f>
        <v>#DIV/0!</v>
      </c>
      <c r="T118" s="51" t="n">
        <v>0</v>
      </c>
      <c r="U118" s="52" t="e">
        <f aca="false">T118/$M118</f>
        <v>#DIV/0!</v>
      </c>
      <c r="V118" s="51"/>
      <c r="W118" s="53"/>
    </row>
    <row r="119" customFormat="false" ht="12.8" hidden="false" customHeight="false" outlineLevel="0" collapsed="false">
      <c r="B119" s="57"/>
      <c r="C119" s="76" t="s">
        <v>108</v>
      </c>
      <c r="D119" s="59"/>
      <c r="E119" s="59"/>
      <c r="F119" s="59"/>
      <c r="G119" s="59"/>
      <c r="H119" s="59" t="n">
        <v>0</v>
      </c>
      <c r="I119" s="59"/>
      <c r="J119" s="59"/>
      <c r="K119" s="59"/>
      <c r="L119" s="59"/>
      <c r="M119" s="59" t="n">
        <f aca="false">H119+SUM(I119:L119)</f>
        <v>0</v>
      </c>
      <c r="N119" s="59" t="n">
        <v>0</v>
      </c>
      <c r="O119" s="60" t="e">
        <f aca="false">N119/$M119</f>
        <v>#DIV/0!</v>
      </c>
      <c r="P119" s="59" t="n">
        <v>13000</v>
      </c>
      <c r="Q119" s="60" t="e">
        <f aca="false">P119/$M119</f>
        <v>#DIV/0!</v>
      </c>
      <c r="R119" s="59" t="n">
        <v>22000</v>
      </c>
      <c r="S119" s="60" t="e">
        <f aca="false">R119/$M119</f>
        <v>#DIV/0!</v>
      </c>
      <c r="T119" s="59" t="n">
        <v>16000</v>
      </c>
      <c r="U119" s="61" t="e">
        <f aca="false">T119/$M119</f>
        <v>#DIV/0!</v>
      </c>
      <c r="V119" s="59"/>
      <c r="W119" s="62"/>
    </row>
    <row r="121" customFormat="false" ht="12.8" hidden="false" customHeight="false" outlineLevel="0" collapsed="false">
      <c r="A121" s="20" t="s">
        <v>109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1"/>
      <c r="P121" s="20"/>
      <c r="Q121" s="21"/>
      <c r="R121" s="20"/>
      <c r="S121" s="21"/>
      <c r="T121" s="20"/>
      <c r="U121" s="21"/>
      <c r="V121" s="20"/>
      <c r="W121" s="20"/>
    </row>
    <row r="122" customFormat="false" ht="12.8" hidden="false" customHeight="false" outlineLevel="0" collapsed="false">
      <c r="A122" s="6"/>
      <c r="B122" s="6"/>
      <c r="C122" s="6"/>
      <c r="D122" s="7" t="s">
        <v>1</v>
      </c>
      <c r="E122" s="7" t="s">
        <v>2</v>
      </c>
      <c r="F122" s="7" t="s">
        <v>3</v>
      </c>
      <c r="G122" s="7" t="s">
        <v>4</v>
      </c>
      <c r="H122" s="7" t="s">
        <v>5</v>
      </c>
      <c r="I122" s="7" t="s">
        <v>6</v>
      </c>
      <c r="J122" s="7" t="s">
        <v>7</v>
      </c>
      <c r="K122" s="7" t="s">
        <v>8</v>
      </c>
      <c r="L122" s="7" t="s">
        <v>9</v>
      </c>
      <c r="M122" s="7" t="s">
        <v>10</v>
      </c>
      <c r="N122" s="7" t="s">
        <v>11</v>
      </c>
      <c r="O122" s="8" t="s">
        <v>12</v>
      </c>
      <c r="P122" s="7" t="s">
        <v>13</v>
      </c>
      <c r="Q122" s="8" t="s">
        <v>14</v>
      </c>
      <c r="R122" s="7" t="s">
        <v>15</v>
      </c>
      <c r="S122" s="8" t="s">
        <v>16</v>
      </c>
      <c r="T122" s="7" t="s">
        <v>17</v>
      </c>
      <c r="U122" s="8" t="s">
        <v>18</v>
      </c>
      <c r="V122" s="7" t="s">
        <v>19</v>
      </c>
      <c r="W122" s="7" t="s">
        <v>20</v>
      </c>
    </row>
    <row r="123" customFormat="false" ht="12.8" hidden="false" customHeight="false" outlineLevel="0" collapsed="false">
      <c r="D123" s="24" t="n">
        <f aca="false">D19-výdaje!G17</f>
        <v>42238.1200000003</v>
      </c>
      <c r="E123" s="24" t="n">
        <f aca="false">E19-výdaje!H17</f>
        <v>225019.88</v>
      </c>
      <c r="F123" s="24" t="n">
        <f aca="false">F19-výdaje!I17</f>
        <v>237229</v>
      </c>
      <c r="G123" s="24" t="n">
        <f aca="false">G19-výdaje!J17</f>
        <v>72456.6200000001</v>
      </c>
      <c r="H123" s="24" t="n">
        <f aca="false">H19-výdaje!K17</f>
        <v>0</v>
      </c>
      <c r="I123" s="24" t="n">
        <f aca="false">I19-výdaje!L17</f>
        <v>0</v>
      </c>
      <c r="J123" s="24" t="n">
        <f aca="false">J19-výdaje!M17</f>
        <v>0</v>
      </c>
      <c r="K123" s="24" t="n">
        <f aca="false">K19-výdaje!N17</f>
        <v>0</v>
      </c>
      <c r="L123" s="24" t="n">
        <f aca="false">L19-výdaje!O17</f>
        <v>0</v>
      </c>
      <c r="M123" s="24" t="n">
        <f aca="false">M19-výdaje!P17</f>
        <v>0</v>
      </c>
      <c r="N123" s="24" t="n">
        <f aca="false">N19-výdaje!Q17</f>
        <v>153745.52</v>
      </c>
      <c r="O123" s="25" t="e">
        <f aca="false">N123/$M123</f>
        <v>#DIV/0!</v>
      </c>
      <c r="P123" s="24" t="n">
        <f aca="false">P19-výdaje!S17</f>
        <v>202572.33</v>
      </c>
      <c r="Q123" s="25" t="e">
        <f aca="false">P123/$M123</f>
        <v>#DIV/0!</v>
      </c>
      <c r="R123" s="24" t="n">
        <f aca="false">R19-výdaje!U17</f>
        <v>261074.08</v>
      </c>
      <c r="S123" s="25" t="e">
        <f aca="false">R123/$M123</f>
        <v>#DIV/0!</v>
      </c>
      <c r="T123" s="24" t="n">
        <f aca="false">T19-výdaje!W17</f>
        <v>403186.8</v>
      </c>
      <c r="U123" s="26" t="e">
        <f aca="false">T123/$M123</f>
        <v>#DIV/0!</v>
      </c>
      <c r="V123" s="24" t="n">
        <f aca="false">V19-výdaje!Y17</f>
        <v>0</v>
      </c>
      <c r="W123" s="24" t="n">
        <f aca="false">W19-výdaje!Z17</f>
        <v>0</v>
      </c>
    </row>
  </sheetData>
  <mergeCells count="6">
    <mergeCell ref="A3:A18"/>
    <mergeCell ref="A28:A36"/>
    <mergeCell ref="A46:A51"/>
    <mergeCell ref="A71:A72"/>
    <mergeCell ref="A77:A104"/>
    <mergeCell ref="A109:A112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&amp;L&amp;"Arial,Standaard"&amp;10Čerpanie a plnenie rozpočtu 2017&amp;C&amp;"Arial,Standaard"&amp;10Obec Nesluša&amp;R&amp;"Arial,Standaard"&amp;10Stav k 31. 12. 2017</oddHeader>
    <oddFooter>&amp;L&amp;"Arial,Standaard"&amp;10Schválený: UOZ_I-3/2017, 03. 03. 2017&amp;R&amp;"Arial,Standaard"&amp;10Posledná úprava: starostka, 11. 12. 2017</oddFooter>
  </headerFooter>
  <rowBreaks count="4" manualBreakCount="4">
    <brk id="20" man="true" max="16383" min="0"/>
    <brk id="38" man="true" max="16383" min="0"/>
    <brk id="68" man="true" max="16383" min="0"/>
    <brk id="106" man="true" max="16383" min="0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57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Y1" activeCellId="0" sqref="Y1"/>
    </sheetView>
  </sheetViews>
  <sheetFormatPr defaultRowHeight="12.8" zeroHeight="false" outlineLevelRow="0" outlineLevelCol="0"/>
  <cols>
    <col collapsed="false" customWidth="true" hidden="true" outlineLevel="0" max="1" min="1" style="1" width="2.7"/>
    <col collapsed="false" customWidth="true" hidden="true" outlineLevel="0" max="2" min="2" style="1" width="3.11"/>
    <col collapsed="false" customWidth="true" hidden="true" outlineLevel="0" max="3" min="3" style="1" width="2.97"/>
    <col collapsed="false" customWidth="true" hidden="false" outlineLevel="0" max="4" min="4" style="1" width="11.22"/>
    <col collapsed="false" customWidth="true" hidden="false" outlineLevel="0" max="5" min="5" style="1" width="8.64"/>
    <col collapsed="false" customWidth="true" hidden="false" outlineLevel="0" max="6" min="6" style="1" width="18.09"/>
    <col collapsed="false" customWidth="true" hidden="true" outlineLevel="0" max="8" min="7" style="1" width="11.22"/>
    <col collapsed="false" customWidth="true" hidden="true" outlineLevel="0" max="10" min="9" style="1" width="10.97"/>
    <col collapsed="false" customWidth="true" hidden="false" outlineLevel="0" max="11" min="11" style="1" width="10.97"/>
    <col collapsed="false" customWidth="true" hidden="true" outlineLevel="0" max="15" min="12" style="1" width="10.82"/>
    <col collapsed="false" customWidth="true" hidden="false" outlineLevel="0" max="17" min="16" style="1" width="10.97"/>
    <col collapsed="false" customWidth="true" hidden="false" outlineLevel="0" max="18" min="18" style="2" width="5.41"/>
    <col collapsed="false" customWidth="true" hidden="false" outlineLevel="0" max="19" min="19" style="1" width="10.97"/>
    <col collapsed="false" customWidth="true" hidden="false" outlineLevel="0" max="20" min="20" style="2" width="5.41"/>
    <col collapsed="false" customWidth="true" hidden="false" outlineLevel="0" max="21" min="21" style="1" width="10.97"/>
    <col collapsed="false" customWidth="true" hidden="false" outlineLevel="0" max="22" min="22" style="2" width="5.41"/>
    <col collapsed="false" customWidth="true" hidden="false" outlineLevel="0" max="23" min="23" style="1" width="10.97"/>
    <col collapsed="false" customWidth="true" hidden="false" outlineLevel="0" max="24" min="24" style="2" width="5.62"/>
    <col collapsed="false" customWidth="true" hidden="true" outlineLevel="0" max="26" min="25" style="1" width="11.22"/>
    <col collapsed="false" customWidth="true" hidden="false" outlineLevel="0" max="1025" min="27" style="1" width="8.64"/>
  </cols>
  <sheetData>
    <row r="1" customFormat="false" ht="12.8" hidden="false" customHeight="false" outlineLevel="0" collapsed="false">
      <c r="A1" s="1" t="s">
        <v>110</v>
      </c>
      <c r="B1" s="1" t="s">
        <v>111</v>
      </c>
      <c r="C1" s="1" t="s">
        <v>112</v>
      </c>
      <c r="D1" s="3" t="s">
        <v>113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5"/>
      <c r="U1" s="4"/>
      <c r="V1" s="5"/>
      <c r="W1" s="4"/>
      <c r="X1" s="5"/>
      <c r="Y1" s="4"/>
      <c r="Z1" s="4"/>
    </row>
    <row r="2" customFormat="false" ht="12.8" hidden="false" customHeight="false" outlineLevel="0" collapsed="false">
      <c r="D2" s="6"/>
      <c r="E2" s="6"/>
      <c r="F2" s="6"/>
      <c r="G2" s="7" t="s">
        <v>1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10</v>
      </c>
      <c r="Q2" s="7" t="s">
        <v>11</v>
      </c>
      <c r="R2" s="8" t="s">
        <v>12</v>
      </c>
      <c r="S2" s="7" t="s">
        <v>13</v>
      </c>
      <c r="T2" s="8" t="s">
        <v>14</v>
      </c>
      <c r="U2" s="7" t="s">
        <v>15</v>
      </c>
      <c r="V2" s="8" t="s">
        <v>16</v>
      </c>
      <c r="W2" s="7" t="s">
        <v>17</v>
      </c>
      <c r="X2" s="8" t="s">
        <v>18</v>
      </c>
      <c r="Y2" s="7" t="s">
        <v>19</v>
      </c>
      <c r="Z2" s="7" t="s">
        <v>20</v>
      </c>
    </row>
    <row r="3" customFormat="false" ht="12.8" hidden="false" customHeight="true" outlineLevel="0" collapsed="false">
      <c r="D3" s="77" t="s">
        <v>21</v>
      </c>
      <c r="E3" s="10" t="n">
        <v>111</v>
      </c>
      <c r="F3" s="10" t="s">
        <v>22</v>
      </c>
      <c r="G3" s="11" t="n">
        <f aca="false">G21+G133+G230+G398</f>
        <v>482576.37</v>
      </c>
      <c r="H3" s="11" t="n">
        <f aca="false">H21+H133+H230+H398</f>
        <v>488245.51</v>
      </c>
      <c r="I3" s="11" t="n">
        <f aca="false">I21+I133+I230+I398</f>
        <v>507598</v>
      </c>
      <c r="J3" s="11" t="n">
        <f aca="false">J21+J133+J230+J398</f>
        <v>513863.27</v>
      </c>
      <c r="K3" s="11" t="n">
        <f aca="false">K21+K133+K230+K398</f>
        <v>495923</v>
      </c>
      <c r="L3" s="11" t="n">
        <f aca="false">L21+L133+L230+L398</f>
        <v>0</v>
      </c>
      <c r="M3" s="11" t="n">
        <f aca="false">M21+M133+M230+M398</f>
        <v>-162</v>
      </c>
      <c r="N3" s="11" t="n">
        <f aca="false">N21+N133+N230+N398</f>
        <v>-1306</v>
      </c>
      <c r="O3" s="11" t="n">
        <f aca="false">O21+O133+O230+O398</f>
        <v>-4800</v>
      </c>
      <c r="P3" s="11" t="n">
        <f aca="false">K3+SUM(L3:O3)</f>
        <v>489655</v>
      </c>
      <c r="Q3" s="11" t="n">
        <f aca="false">Q21+Q133+Q230+Q398</f>
        <v>84467.93</v>
      </c>
      <c r="R3" s="12" t="n">
        <f aca="false">Q3/$P3</f>
        <v>0.172504988205982</v>
      </c>
      <c r="S3" s="11" t="n">
        <f aca="false">S21+S133+S230+S398</f>
        <v>195763</v>
      </c>
      <c r="T3" s="12" t="n">
        <f aca="false">S3/$P3</f>
        <v>0.399797816830217</v>
      </c>
      <c r="U3" s="11" t="n">
        <f aca="false">U21+U133+U230+U398</f>
        <v>314094.94</v>
      </c>
      <c r="V3" s="12" t="n">
        <f aca="false">U3/$P3</f>
        <v>0.641461723049902</v>
      </c>
      <c r="W3" s="11" t="n">
        <f aca="false">W21+W133+W230+W398</f>
        <v>487164.73</v>
      </c>
      <c r="X3" s="12" t="n">
        <f aca="false">W3/$P3</f>
        <v>0.994914235533182</v>
      </c>
      <c r="Y3" s="11" t="n">
        <f aca="false">Y21+Y133+Y230+Y398</f>
        <v>481402</v>
      </c>
      <c r="Z3" s="11" t="n">
        <f aca="false">Z21+Z133+Z230+Z398</f>
        <v>483185</v>
      </c>
    </row>
    <row r="4" customFormat="false" ht="12.8" hidden="false" customHeight="false" outlineLevel="0" collapsed="false">
      <c r="D4" s="77"/>
      <c r="E4" s="10" t="n">
        <v>41</v>
      </c>
      <c r="F4" s="10" t="s">
        <v>23</v>
      </c>
      <c r="G4" s="11" t="n">
        <f aca="false">G22+G134+G176+G202+G231+G310+G399+G573</f>
        <v>735831.41</v>
      </c>
      <c r="H4" s="11" t="n">
        <f aca="false">H22+H134+H176+H202+H231+H310+H399+H573</f>
        <v>681453.7</v>
      </c>
      <c r="I4" s="11" t="n">
        <f aca="false">I22+I134+I176+I202+I231+I310+I399+I573</f>
        <v>724731</v>
      </c>
      <c r="J4" s="11" t="n">
        <f aca="false">J22+J134+J176+J202+J231+J310+J399+J573</f>
        <v>692801.23</v>
      </c>
      <c r="K4" s="11" t="n">
        <f aca="false">K22+K134+K176+K202+K231+K310+K399+K573</f>
        <v>767532</v>
      </c>
      <c r="L4" s="11" t="n">
        <f aca="false">L22+L134+L176+L202+L231+L310+L399+L573</f>
        <v>506</v>
      </c>
      <c r="M4" s="11" t="n">
        <f aca="false">M22+M134+M176+M202+M231+M310+M399+M573</f>
        <v>558</v>
      </c>
      <c r="N4" s="11" t="n">
        <f aca="false">N22+N134+N176+N202+N231+N310+N399+N573</f>
        <v>3978</v>
      </c>
      <c r="O4" s="11" t="n">
        <f aca="false">O22+O134+O176+O202+O231+O310+O399+O573</f>
        <v>487</v>
      </c>
      <c r="P4" s="11" t="n">
        <f aca="false">K4+SUM(L4:O4)</f>
        <v>773061</v>
      </c>
      <c r="Q4" s="11" t="n">
        <f aca="false">Q22+Q134+Q176+Q202+Q231+Q310+Q399+Q573</f>
        <v>169182.41</v>
      </c>
      <c r="R4" s="12" t="n">
        <f aca="false">Q4/$P4</f>
        <v>0.21884742601166</v>
      </c>
      <c r="S4" s="11" t="n">
        <f aca="false">S22+S134+S176+S202+S231+S310+S399+S573</f>
        <v>336282.04</v>
      </c>
      <c r="T4" s="12" t="n">
        <f aca="false">S4/$P4</f>
        <v>0.435000653247286</v>
      </c>
      <c r="U4" s="11" t="n">
        <f aca="false">U22+U134+U176+U202+U231+U310+U399+U573</f>
        <v>503460.18</v>
      </c>
      <c r="V4" s="12" t="n">
        <f aca="false">U4/$P4</f>
        <v>0.65125543779857</v>
      </c>
      <c r="W4" s="11" t="n">
        <f aca="false">W22+W134+W176+W202+W231+W310+W399+W573</f>
        <v>734793.98</v>
      </c>
      <c r="X4" s="12" t="n">
        <f aca="false">W4/$P4</f>
        <v>0.95049935257373</v>
      </c>
      <c r="Y4" s="11" t="n">
        <f aca="false">Y22+Y134+Y176+Y202+Y231+Y310+Y399+Y573</f>
        <v>712951</v>
      </c>
      <c r="Z4" s="11" t="n">
        <f aca="false">Z22+Z134+Z176+Z202+Z231+Z310+Z399+Z573</f>
        <v>724098</v>
      </c>
    </row>
    <row r="5" customFormat="false" ht="12.8" hidden="false" customHeight="false" outlineLevel="0" collapsed="false">
      <c r="D5" s="77"/>
      <c r="E5" s="10" t="n">
        <v>71</v>
      </c>
      <c r="F5" s="10" t="s">
        <v>24</v>
      </c>
      <c r="G5" s="11" t="n">
        <f aca="false">G232</f>
        <v>0</v>
      </c>
      <c r="H5" s="11" t="n">
        <f aca="false">H232</f>
        <v>0</v>
      </c>
      <c r="I5" s="11" t="n">
        <f aca="false">I232</f>
        <v>0</v>
      </c>
      <c r="J5" s="11" t="n">
        <f aca="false">J232</f>
        <v>0</v>
      </c>
      <c r="K5" s="11" t="n">
        <f aca="false">K232</f>
        <v>0</v>
      </c>
      <c r="L5" s="11" t="n">
        <f aca="false">L232</f>
        <v>0</v>
      </c>
      <c r="M5" s="11" t="n">
        <f aca="false">M232</f>
        <v>1400</v>
      </c>
      <c r="N5" s="11" t="n">
        <f aca="false">N232</f>
        <v>0</v>
      </c>
      <c r="O5" s="11" t="n">
        <f aca="false">O232</f>
        <v>0</v>
      </c>
      <c r="P5" s="11" t="n">
        <f aca="false">P232</f>
        <v>1400</v>
      </c>
      <c r="Q5" s="11" t="n">
        <f aca="false">Q232</f>
        <v>0</v>
      </c>
      <c r="R5" s="12" t="n">
        <f aca="false">Q5/$P5</f>
        <v>0</v>
      </c>
      <c r="S5" s="11" t="n">
        <f aca="false">S232</f>
        <v>0</v>
      </c>
      <c r="T5" s="12" t="n">
        <f aca="false">S5/$P5</f>
        <v>0</v>
      </c>
      <c r="U5" s="11" t="n">
        <f aca="false">U232</f>
        <v>1400</v>
      </c>
      <c r="V5" s="12" t="n">
        <f aca="false">U5/$P5</f>
        <v>1</v>
      </c>
      <c r="W5" s="11" t="n">
        <f aca="false">W232</f>
        <v>1400</v>
      </c>
      <c r="X5" s="12" t="n">
        <f aca="false">W5/$P5</f>
        <v>1</v>
      </c>
      <c r="Y5" s="11"/>
      <c r="Z5" s="11"/>
    </row>
    <row r="6" customFormat="false" ht="12.8" hidden="false" customHeight="false" outlineLevel="0" collapsed="false">
      <c r="D6" s="77"/>
      <c r="E6" s="10"/>
      <c r="F6" s="14" t="s">
        <v>114</v>
      </c>
      <c r="G6" s="15" t="n">
        <f aca="false">SUM(G3:G5)</f>
        <v>1218407.78</v>
      </c>
      <c r="H6" s="15" t="n">
        <f aca="false">SUM(H3:H5)</f>
        <v>1169699.21</v>
      </c>
      <c r="I6" s="15" t="n">
        <f aca="false">SUM(I3:I5)</f>
        <v>1232329</v>
      </c>
      <c r="J6" s="15" t="n">
        <f aca="false">SUM(J3:J5)</f>
        <v>1206664.5</v>
      </c>
      <c r="K6" s="15" t="n">
        <f aca="false">SUM(K3:K5)</f>
        <v>1263455</v>
      </c>
      <c r="L6" s="15" t="n">
        <f aca="false">SUM(L3:L5)</f>
        <v>506</v>
      </c>
      <c r="M6" s="15" t="n">
        <f aca="false">SUM(M3:M5)</f>
        <v>1796</v>
      </c>
      <c r="N6" s="15" t="n">
        <f aca="false">SUM(N3:N5)</f>
        <v>2672</v>
      </c>
      <c r="O6" s="15" t="n">
        <f aca="false">SUM(O3:O5)</f>
        <v>-4313</v>
      </c>
      <c r="P6" s="15" t="n">
        <f aca="false">SUM(P3:P5)</f>
        <v>1264116</v>
      </c>
      <c r="Q6" s="15" t="n">
        <f aca="false">SUM(Q3:Q5)</f>
        <v>253650.34</v>
      </c>
      <c r="R6" s="16" t="n">
        <f aca="false">Q6/$P6</f>
        <v>0.200654322862775</v>
      </c>
      <c r="S6" s="15" t="n">
        <f aca="false">SUM(S3:S5)</f>
        <v>532045.04</v>
      </c>
      <c r="T6" s="16" t="n">
        <f aca="false">S6/$P6</f>
        <v>0.420883083514488</v>
      </c>
      <c r="U6" s="15" t="n">
        <f aca="false">SUM(U3:U5)</f>
        <v>818955.12</v>
      </c>
      <c r="V6" s="16" t="n">
        <f aca="false">U6/$P6</f>
        <v>0.647848077233418</v>
      </c>
      <c r="W6" s="15" t="n">
        <f aca="false">SUM(W3:W5)</f>
        <v>1223358.71</v>
      </c>
      <c r="X6" s="16" t="n">
        <f aca="false">W6/$P6</f>
        <v>0.967758267437482</v>
      </c>
      <c r="Y6" s="15" t="n">
        <f aca="false">SUM(Y3:Y4)</f>
        <v>1194353</v>
      </c>
      <c r="Z6" s="15" t="n">
        <f aca="false">SUM(Z3:Z4)</f>
        <v>1207283</v>
      </c>
    </row>
    <row r="7" customFormat="false" ht="12.8" hidden="false" customHeight="false" outlineLevel="0" collapsed="false">
      <c r="D7" s="77"/>
      <c r="E7" s="10" t="n">
        <v>111</v>
      </c>
      <c r="F7" s="10" t="s">
        <v>22</v>
      </c>
      <c r="G7" s="11" t="n">
        <f aca="false">G458</f>
        <v>0</v>
      </c>
      <c r="H7" s="11" t="n">
        <f aca="false">H458</f>
        <v>10000</v>
      </c>
      <c r="I7" s="11" t="n">
        <f aca="false">I458</f>
        <v>0</v>
      </c>
      <c r="J7" s="11" t="n">
        <f aca="false">J458</f>
        <v>50000</v>
      </c>
      <c r="K7" s="11" t="n">
        <f aca="false">K458</f>
        <v>1505300</v>
      </c>
      <c r="L7" s="11" t="n">
        <f aca="false">L458</f>
        <v>0</v>
      </c>
      <c r="M7" s="11" t="n">
        <f aca="false">M458</f>
        <v>0</v>
      </c>
      <c r="N7" s="11" t="n">
        <f aca="false">N458</f>
        <v>0</v>
      </c>
      <c r="O7" s="11" t="n">
        <f aca="false">O458</f>
        <v>-1505300</v>
      </c>
      <c r="P7" s="11" t="n">
        <f aca="false">K7+SUM(L7:O7)</f>
        <v>0</v>
      </c>
      <c r="Q7" s="11" t="n">
        <f aca="false">Q458</f>
        <v>0</v>
      </c>
      <c r="R7" s="12" t="e">
        <f aca="false">Q7/$P7</f>
        <v>#DIV/0!</v>
      </c>
      <c r="S7" s="11" t="n">
        <f aca="false">S458</f>
        <v>0</v>
      </c>
      <c r="T7" s="12" t="e">
        <f aca="false">S7/$P7</f>
        <v>#DIV/0!</v>
      </c>
      <c r="U7" s="11" t="n">
        <f aca="false">U458</f>
        <v>0</v>
      </c>
      <c r="V7" s="12" t="e">
        <f aca="false">U7/$P7</f>
        <v>#DIV/0!</v>
      </c>
      <c r="W7" s="11" t="n">
        <f aca="false">W458</f>
        <v>0</v>
      </c>
      <c r="X7" s="12" t="e">
        <f aca="false">W7/$P7</f>
        <v>#DIV/0!</v>
      </c>
      <c r="Y7" s="11" t="n">
        <f aca="false">Y458</f>
        <v>274600</v>
      </c>
      <c r="Z7" s="11" t="n">
        <f aca="false">Z458</f>
        <v>0</v>
      </c>
    </row>
    <row r="8" customFormat="false" ht="12.8" hidden="false" customHeight="false" outlineLevel="0" collapsed="false">
      <c r="D8" s="77"/>
      <c r="E8" s="10" t="n">
        <v>41</v>
      </c>
      <c r="F8" s="10" t="s">
        <v>23</v>
      </c>
      <c r="G8" s="11" t="n">
        <f aca="false">G459</f>
        <v>48692.63</v>
      </c>
      <c r="H8" s="11" t="n">
        <f aca="false">H459</f>
        <v>12262.35</v>
      </c>
      <c r="I8" s="11" t="n">
        <f aca="false">I459</f>
        <v>360450</v>
      </c>
      <c r="J8" s="11" t="n">
        <f aca="false">J459</f>
        <v>279817.53</v>
      </c>
      <c r="K8" s="11" t="n">
        <f aca="false">K459</f>
        <v>409903</v>
      </c>
      <c r="L8" s="11" t="n">
        <f aca="false">L459</f>
        <v>0</v>
      </c>
      <c r="M8" s="11" t="n">
        <f aca="false">M459</f>
        <v>45600</v>
      </c>
      <c r="N8" s="11" t="n">
        <f aca="false">N459</f>
        <v>0</v>
      </c>
      <c r="O8" s="11" t="n">
        <f aca="false">O459</f>
        <v>22519</v>
      </c>
      <c r="P8" s="11" t="n">
        <f aca="false">K8+SUM(L8:O8)</f>
        <v>478022</v>
      </c>
      <c r="Q8" s="11" t="n">
        <f aca="false">Q459</f>
        <v>25758.65</v>
      </c>
      <c r="R8" s="12" t="n">
        <f aca="false">Q8/$P8</f>
        <v>0.0538859090167398</v>
      </c>
      <c r="S8" s="11" t="n">
        <f aca="false">S459</f>
        <v>70301.5</v>
      </c>
      <c r="T8" s="12" t="n">
        <f aca="false">S8/$P8</f>
        <v>0.147067498985402</v>
      </c>
      <c r="U8" s="11" t="n">
        <f aca="false">U459</f>
        <v>126011.99</v>
      </c>
      <c r="V8" s="12" t="n">
        <f aca="false">U8/$P8</f>
        <v>0.263611277305229</v>
      </c>
      <c r="W8" s="11" t="n">
        <f aca="false">W459</f>
        <v>275897.18</v>
      </c>
      <c r="X8" s="12" t="n">
        <f aca="false">W8/$P8</f>
        <v>0.577164189095899</v>
      </c>
      <c r="Y8" s="11" t="n">
        <f aca="false">Y459</f>
        <v>321209</v>
      </c>
      <c r="Z8" s="11" t="n">
        <f aca="false">Z459</f>
        <v>312279</v>
      </c>
    </row>
    <row r="9" customFormat="false" ht="12.8" hidden="false" customHeight="false" outlineLevel="0" collapsed="false">
      <c r="D9" s="77"/>
      <c r="E9" s="10" t="n">
        <v>52</v>
      </c>
      <c r="F9" s="10" t="s">
        <v>27</v>
      </c>
      <c r="G9" s="11" t="n">
        <f aca="false">G460</f>
        <v>0</v>
      </c>
      <c r="H9" s="11" t="n">
        <f aca="false">H460</f>
        <v>0</v>
      </c>
      <c r="I9" s="11" t="n">
        <f aca="false">I460</f>
        <v>0</v>
      </c>
      <c r="J9" s="11" t="n">
        <f aca="false">J460</f>
        <v>0</v>
      </c>
      <c r="K9" s="11" t="n">
        <f aca="false">K460</f>
        <v>60000</v>
      </c>
      <c r="L9" s="11" t="n">
        <f aca="false">L460</f>
        <v>0</v>
      </c>
      <c r="M9" s="11" t="n">
        <f aca="false">M460</f>
        <v>0</v>
      </c>
      <c r="N9" s="11" t="n">
        <f aca="false">N460</f>
        <v>0</v>
      </c>
      <c r="O9" s="11" t="n">
        <f aca="false">O460</f>
        <v>-60000</v>
      </c>
      <c r="P9" s="11" t="n">
        <f aca="false">K9+SUM(L9:O9)</f>
        <v>0</v>
      </c>
      <c r="Q9" s="11" t="n">
        <f aca="false">Q460</f>
        <v>0</v>
      </c>
      <c r="R9" s="12" t="e">
        <f aca="false">Q9/$P9</f>
        <v>#DIV/0!</v>
      </c>
      <c r="S9" s="11" t="n">
        <f aca="false">S460</f>
        <v>0</v>
      </c>
      <c r="T9" s="12" t="e">
        <f aca="false">S9/$P9</f>
        <v>#DIV/0!</v>
      </c>
      <c r="U9" s="11" t="n">
        <f aca="false">U460</f>
        <v>0</v>
      </c>
      <c r="V9" s="12" t="e">
        <f aca="false">U9/$P9</f>
        <v>#DIV/0!</v>
      </c>
      <c r="W9" s="11" t="n">
        <f aca="false">W460</f>
        <v>0</v>
      </c>
      <c r="X9" s="12" t="e">
        <f aca="false">W9/$P9</f>
        <v>#DIV/0!</v>
      </c>
      <c r="Y9" s="11" t="n">
        <f aca="false">Y460</f>
        <v>0</v>
      </c>
      <c r="Z9" s="11" t="n">
        <f aca="false">Z460</f>
        <v>0</v>
      </c>
    </row>
    <row r="10" customFormat="false" ht="12.8" hidden="false" customHeight="false" outlineLevel="0" collapsed="false">
      <c r="D10" s="77"/>
      <c r="E10" s="10"/>
      <c r="F10" s="14" t="s">
        <v>115</v>
      </c>
      <c r="G10" s="15" t="n">
        <f aca="false">SUM(G7:G9)</f>
        <v>48692.63</v>
      </c>
      <c r="H10" s="15" t="n">
        <f aca="false">SUM(H7:H9)</f>
        <v>22262.35</v>
      </c>
      <c r="I10" s="15" t="n">
        <f aca="false">SUM(I7:I9)</f>
        <v>360450</v>
      </c>
      <c r="J10" s="15" t="n">
        <f aca="false">SUM(J7:J9)</f>
        <v>329817.53</v>
      </c>
      <c r="K10" s="15" t="n">
        <f aca="false">SUM(K7:K9)</f>
        <v>1975203</v>
      </c>
      <c r="L10" s="15" t="n">
        <f aca="false">SUM(L7:L9)</f>
        <v>0</v>
      </c>
      <c r="M10" s="15" t="n">
        <f aca="false">SUM(M7:M9)</f>
        <v>45600</v>
      </c>
      <c r="N10" s="15" t="n">
        <f aca="false">SUM(N7:N9)</f>
        <v>0</v>
      </c>
      <c r="O10" s="15" t="n">
        <f aca="false">SUM(O7:O9)</f>
        <v>-1542781</v>
      </c>
      <c r="P10" s="15" t="n">
        <f aca="false">SUM(P7:P9)</f>
        <v>478022</v>
      </c>
      <c r="Q10" s="15" t="n">
        <f aca="false">SUM(Q7:Q9)</f>
        <v>25758.65</v>
      </c>
      <c r="R10" s="16" t="n">
        <f aca="false">Q10/$P10</f>
        <v>0.0538859090167398</v>
      </c>
      <c r="S10" s="15" t="n">
        <f aca="false">SUM(S7:S9)</f>
        <v>70301.5</v>
      </c>
      <c r="T10" s="16" t="n">
        <f aca="false">S10/$P10</f>
        <v>0.147067498985402</v>
      </c>
      <c r="U10" s="15" t="n">
        <f aca="false">SUM(U7:U9)</f>
        <v>126011.99</v>
      </c>
      <c r="V10" s="16" t="n">
        <f aca="false">U10/$P10</f>
        <v>0.263611277305229</v>
      </c>
      <c r="W10" s="15" t="n">
        <f aca="false">SUM(W7:W9)</f>
        <v>275897.18</v>
      </c>
      <c r="X10" s="16" t="n">
        <f aca="false">W10/$P10</f>
        <v>0.577164189095899</v>
      </c>
      <c r="Y10" s="15" t="n">
        <f aca="false">SUM(Y7:Y9)</f>
        <v>595809</v>
      </c>
      <c r="Z10" s="15" t="n">
        <f aca="false">SUM(Z7:Z9)</f>
        <v>312279</v>
      </c>
    </row>
    <row r="11" customFormat="false" ht="12.8" hidden="false" customHeight="false" outlineLevel="0" collapsed="false">
      <c r="D11" s="77"/>
      <c r="E11" s="10" t="n">
        <v>41</v>
      </c>
      <c r="F11" s="10" t="s">
        <v>23</v>
      </c>
      <c r="G11" s="11" t="n">
        <f aca="false">G574</f>
        <v>11205.58</v>
      </c>
      <c r="H11" s="11" t="n">
        <f aca="false">H574</f>
        <v>12054.31</v>
      </c>
      <c r="I11" s="11" t="n">
        <f aca="false">I574</f>
        <v>4219</v>
      </c>
      <c r="J11" s="11" t="n">
        <f aca="false">J574</f>
        <v>4218.93</v>
      </c>
      <c r="K11" s="11" t="n">
        <f aca="false">K574</f>
        <v>20000</v>
      </c>
      <c r="L11" s="11" t="n">
        <f aca="false">L574</f>
        <v>0</v>
      </c>
      <c r="M11" s="11" t="n">
        <f aca="false">M574</f>
        <v>0</v>
      </c>
      <c r="N11" s="11" t="n">
        <f aca="false">N574</f>
        <v>0</v>
      </c>
      <c r="O11" s="11" t="n">
        <f aca="false">O574</f>
        <v>-20000</v>
      </c>
      <c r="P11" s="11" t="n">
        <f aca="false">K11+SUM(L11:O11)</f>
        <v>0</v>
      </c>
      <c r="Q11" s="11" t="n">
        <f aca="false">Q574</f>
        <v>0</v>
      </c>
      <c r="R11" s="12" t="e">
        <f aca="false">Q11/$P11</f>
        <v>#DIV/0!</v>
      </c>
      <c r="S11" s="11" t="n">
        <f aca="false">S574</f>
        <v>0</v>
      </c>
      <c r="T11" s="12" t="e">
        <f aca="false">S11/$P11</f>
        <v>#DIV/0!</v>
      </c>
      <c r="U11" s="11" t="n">
        <f aca="false">U574</f>
        <v>0</v>
      </c>
      <c r="V11" s="12" t="e">
        <f aca="false">U11/$P11</f>
        <v>#DIV/0!</v>
      </c>
      <c r="W11" s="11" t="n">
        <f aca="false">W574</f>
        <v>0</v>
      </c>
      <c r="X11" s="12" t="e">
        <f aca="false">W11/$P11</f>
        <v>#DIV/0!</v>
      </c>
      <c r="Y11" s="11" t="n">
        <f aca="false">Y574</f>
        <v>20000</v>
      </c>
      <c r="Z11" s="11" t="n">
        <f aca="false">Z574</f>
        <v>20000</v>
      </c>
    </row>
    <row r="12" customFormat="false" ht="12.8" hidden="false" customHeight="false" outlineLevel="0" collapsed="false">
      <c r="D12" s="77"/>
      <c r="E12" s="10"/>
      <c r="F12" s="14" t="s">
        <v>28</v>
      </c>
      <c r="G12" s="15" t="n">
        <f aca="false">SUM(G11)</f>
        <v>11205.58</v>
      </c>
      <c r="H12" s="15" t="n">
        <f aca="false">SUM(H11)</f>
        <v>12054.31</v>
      </c>
      <c r="I12" s="15" t="n">
        <f aca="false">SUM(I11)</f>
        <v>4219</v>
      </c>
      <c r="J12" s="15" t="n">
        <f aca="false">SUM(J11)</f>
        <v>4218.93</v>
      </c>
      <c r="K12" s="15" t="n">
        <f aca="false">SUM(K11)</f>
        <v>20000</v>
      </c>
      <c r="L12" s="15" t="n">
        <f aca="false">SUM(L11)</f>
        <v>0</v>
      </c>
      <c r="M12" s="15" t="n">
        <f aca="false">SUM(M11)</f>
        <v>0</v>
      </c>
      <c r="N12" s="15" t="n">
        <f aca="false">SUM(N11)</f>
        <v>0</v>
      </c>
      <c r="O12" s="15" t="n">
        <f aca="false">SUM(O11)</f>
        <v>-20000</v>
      </c>
      <c r="P12" s="15" t="n">
        <f aca="false">SUM(P11)</f>
        <v>0</v>
      </c>
      <c r="Q12" s="15" t="n">
        <f aca="false">SUM(Q11)</f>
        <v>0</v>
      </c>
      <c r="R12" s="16" t="e">
        <f aca="false">Q12/$P12</f>
        <v>#DIV/0!</v>
      </c>
      <c r="S12" s="15" t="n">
        <f aca="false">SUM(S11)</f>
        <v>0</v>
      </c>
      <c r="T12" s="16" t="e">
        <f aca="false">S12/$P12</f>
        <v>#DIV/0!</v>
      </c>
      <c r="U12" s="15" t="n">
        <f aca="false">SUM(U11)</f>
        <v>0</v>
      </c>
      <c r="V12" s="16" t="e">
        <f aca="false">U12/$P12</f>
        <v>#DIV/0!</v>
      </c>
      <c r="W12" s="15" t="n">
        <f aca="false">SUM(W11)</f>
        <v>0</v>
      </c>
      <c r="X12" s="16" t="e">
        <f aca="false">W12/$P12</f>
        <v>#DIV/0!</v>
      </c>
      <c r="Y12" s="15" t="n">
        <f aca="false">SUM(Y11)</f>
        <v>20000</v>
      </c>
      <c r="Z12" s="15" t="n">
        <f aca="false">SUM(Z11)</f>
        <v>20000</v>
      </c>
    </row>
    <row r="13" customFormat="false" ht="12.8" hidden="false" customHeight="false" outlineLevel="0" collapsed="false">
      <c r="D13" s="77"/>
      <c r="E13" s="10" t="n">
        <v>111</v>
      </c>
      <c r="F13" s="10" t="s">
        <v>22</v>
      </c>
      <c r="G13" s="11" t="n">
        <f aca="false">G3+G7</f>
        <v>482576.37</v>
      </c>
      <c r="H13" s="11" t="n">
        <f aca="false">H3+H7</f>
        <v>498245.51</v>
      </c>
      <c r="I13" s="11" t="n">
        <f aca="false">I3+I7</f>
        <v>507598</v>
      </c>
      <c r="J13" s="11" t="n">
        <f aca="false">J3+J7</f>
        <v>563863.27</v>
      </c>
      <c r="K13" s="11" t="n">
        <f aca="false">K3+K7</f>
        <v>2001223</v>
      </c>
      <c r="L13" s="11" t="n">
        <f aca="false">L3+L7</f>
        <v>0</v>
      </c>
      <c r="M13" s="11" t="n">
        <f aca="false">M3+M7</f>
        <v>-162</v>
      </c>
      <c r="N13" s="11" t="n">
        <f aca="false">N3+N7</f>
        <v>-1306</v>
      </c>
      <c r="O13" s="11" t="n">
        <f aca="false">O3+O7</f>
        <v>-1510100</v>
      </c>
      <c r="P13" s="11" t="n">
        <f aca="false">K13+SUM(L13:O13)</f>
        <v>489655</v>
      </c>
      <c r="Q13" s="11" t="n">
        <f aca="false">Q3+Q7</f>
        <v>84467.93</v>
      </c>
      <c r="R13" s="12" t="n">
        <f aca="false">Q13/$P13</f>
        <v>0.172504988205982</v>
      </c>
      <c r="S13" s="11" t="n">
        <f aca="false">S3+S7</f>
        <v>195763</v>
      </c>
      <c r="T13" s="12" t="n">
        <f aca="false">S13/$P13</f>
        <v>0.399797816830217</v>
      </c>
      <c r="U13" s="11" t="n">
        <f aca="false">U3+U7</f>
        <v>314094.94</v>
      </c>
      <c r="V13" s="12" t="n">
        <f aca="false">U13/$P13</f>
        <v>0.641461723049902</v>
      </c>
      <c r="W13" s="11" t="n">
        <f aca="false">W3+W7</f>
        <v>487164.73</v>
      </c>
      <c r="X13" s="12" t="n">
        <f aca="false">W13/$P13</f>
        <v>0.994914235533182</v>
      </c>
      <c r="Y13" s="11" t="n">
        <f aca="false">Y3+Y7</f>
        <v>756002</v>
      </c>
      <c r="Z13" s="11" t="n">
        <f aca="false">Z3+Z7</f>
        <v>483185</v>
      </c>
    </row>
    <row r="14" customFormat="false" ht="12.8" hidden="false" customHeight="false" outlineLevel="0" collapsed="false">
      <c r="D14" s="77"/>
      <c r="E14" s="10" t="n">
        <v>41</v>
      </c>
      <c r="F14" s="10" t="s">
        <v>23</v>
      </c>
      <c r="G14" s="11" t="n">
        <f aca="false">G4+G8+G11</f>
        <v>795729.62</v>
      </c>
      <c r="H14" s="11" t="n">
        <f aca="false">H4+H8+H11</f>
        <v>705770.36</v>
      </c>
      <c r="I14" s="11" t="n">
        <f aca="false">I4+I8+I11</f>
        <v>1089400</v>
      </c>
      <c r="J14" s="11" t="n">
        <f aca="false">J4+J8+J11</f>
        <v>976837.69</v>
      </c>
      <c r="K14" s="11" t="n">
        <f aca="false">K4+K8+K11</f>
        <v>1197435</v>
      </c>
      <c r="L14" s="11" t="n">
        <f aca="false">L4+L8+L11</f>
        <v>506</v>
      </c>
      <c r="M14" s="11" t="n">
        <f aca="false">M4+M8+M11</f>
        <v>46158</v>
      </c>
      <c r="N14" s="11" t="n">
        <f aca="false">N4+N8+N11</f>
        <v>3978</v>
      </c>
      <c r="O14" s="11" t="n">
        <f aca="false">O4+O8+O11</f>
        <v>3006</v>
      </c>
      <c r="P14" s="11" t="n">
        <f aca="false">K14+SUM(L14:O14)</f>
        <v>1251083</v>
      </c>
      <c r="Q14" s="11" t="n">
        <f aca="false">Q4+Q8+Q11</f>
        <v>194941.06</v>
      </c>
      <c r="R14" s="12" t="n">
        <f aca="false">Q14/$P14</f>
        <v>0.155817847416998</v>
      </c>
      <c r="S14" s="11" t="n">
        <f aca="false">S4+S8+S11</f>
        <v>406583.54</v>
      </c>
      <c r="T14" s="12" t="n">
        <f aca="false">S14/$P14</f>
        <v>0.324985264766606</v>
      </c>
      <c r="U14" s="11" t="n">
        <f aca="false">U4+U8+U11</f>
        <v>629472.17</v>
      </c>
      <c r="V14" s="12" t="n">
        <f aca="false">U14/$P14</f>
        <v>0.503141813932409</v>
      </c>
      <c r="W14" s="11" t="n">
        <f aca="false">W4+W8+W11</f>
        <v>1010691.16</v>
      </c>
      <c r="X14" s="12" t="n">
        <f aca="false">W14/$P14</f>
        <v>0.807853004157198</v>
      </c>
      <c r="Y14" s="11" t="n">
        <f aca="false">Y4+Y8+Y11</f>
        <v>1054160</v>
      </c>
      <c r="Z14" s="11" t="n">
        <f aca="false">Z4+Z8+Z11</f>
        <v>1056377</v>
      </c>
    </row>
    <row r="15" customFormat="false" ht="12.8" hidden="false" customHeight="false" outlineLevel="0" collapsed="false">
      <c r="D15" s="77"/>
      <c r="E15" s="10" t="n">
        <v>52</v>
      </c>
      <c r="F15" s="10" t="s">
        <v>27</v>
      </c>
      <c r="G15" s="11" t="n">
        <f aca="false">G9</f>
        <v>0</v>
      </c>
      <c r="H15" s="11" t="n">
        <f aca="false">H9</f>
        <v>0</v>
      </c>
      <c r="I15" s="11" t="n">
        <f aca="false">I9</f>
        <v>0</v>
      </c>
      <c r="J15" s="11" t="n">
        <f aca="false">J9</f>
        <v>0</v>
      </c>
      <c r="K15" s="11" t="n">
        <f aca="false">K9</f>
        <v>60000</v>
      </c>
      <c r="L15" s="11" t="n">
        <f aca="false">L9</f>
        <v>0</v>
      </c>
      <c r="M15" s="11" t="n">
        <f aca="false">M9</f>
        <v>0</v>
      </c>
      <c r="N15" s="11" t="n">
        <f aca="false">N9</f>
        <v>0</v>
      </c>
      <c r="O15" s="11" t="n">
        <f aca="false">O9</f>
        <v>-60000</v>
      </c>
      <c r="P15" s="11" t="n">
        <f aca="false">K15+SUM(L15:O15)</f>
        <v>0</v>
      </c>
      <c r="Q15" s="11" t="n">
        <f aca="false">Q9</f>
        <v>0</v>
      </c>
      <c r="R15" s="12" t="e">
        <f aca="false">Q15/$P15</f>
        <v>#DIV/0!</v>
      </c>
      <c r="S15" s="11" t="n">
        <f aca="false">S9</f>
        <v>0</v>
      </c>
      <c r="T15" s="12" t="e">
        <f aca="false">S15/$P15</f>
        <v>#DIV/0!</v>
      </c>
      <c r="U15" s="11" t="n">
        <f aca="false">U9</f>
        <v>0</v>
      </c>
      <c r="V15" s="12" t="e">
        <f aca="false">U15/$P15</f>
        <v>#DIV/0!</v>
      </c>
      <c r="W15" s="11" t="n">
        <f aca="false">W9</f>
        <v>0</v>
      </c>
      <c r="X15" s="12" t="e">
        <f aca="false">W15/$P15</f>
        <v>#DIV/0!</v>
      </c>
      <c r="Y15" s="11" t="n">
        <f aca="false">Y9</f>
        <v>0</v>
      </c>
      <c r="Z15" s="11" t="n">
        <f aca="false">Z9</f>
        <v>0</v>
      </c>
    </row>
    <row r="16" customFormat="false" ht="12.8" hidden="false" customHeight="false" outlineLevel="0" collapsed="false">
      <c r="D16" s="77"/>
      <c r="E16" s="10" t="n">
        <v>71</v>
      </c>
      <c r="F16" s="10" t="s">
        <v>24</v>
      </c>
      <c r="G16" s="11" t="n">
        <f aca="false">G5</f>
        <v>0</v>
      </c>
      <c r="H16" s="11" t="n">
        <f aca="false">H5</f>
        <v>0</v>
      </c>
      <c r="I16" s="11" t="n">
        <f aca="false">I5</f>
        <v>0</v>
      </c>
      <c r="J16" s="11" t="n">
        <f aca="false">J5</f>
        <v>0</v>
      </c>
      <c r="K16" s="11" t="n">
        <f aca="false">K5</f>
        <v>0</v>
      </c>
      <c r="L16" s="11" t="n">
        <f aca="false">L5</f>
        <v>0</v>
      </c>
      <c r="M16" s="11" t="n">
        <f aca="false">M5</f>
        <v>1400</v>
      </c>
      <c r="N16" s="11" t="n">
        <f aca="false">N5</f>
        <v>0</v>
      </c>
      <c r="O16" s="11" t="n">
        <f aca="false">O5</f>
        <v>0</v>
      </c>
      <c r="P16" s="11" t="n">
        <f aca="false">K16+SUM(L16:O16)</f>
        <v>1400</v>
      </c>
      <c r="Q16" s="11" t="n">
        <f aca="false">Q5</f>
        <v>0</v>
      </c>
      <c r="R16" s="12" t="n">
        <f aca="false">Q16/$P16</f>
        <v>0</v>
      </c>
      <c r="S16" s="11" t="n">
        <f aca="false">S5</f>
        <v>0</v>
      </c>
      <c r="T16" s="12" t="n">
        <f aca="false">S16/$P16</f>
        <v>0</v>
      </c>
      <c r="U16" s="11" t="n">
        <f aca="false">U5</f>
        <v>1400</v>
      </c>
      <c r="V16" s="12" t="n">
        <f aca="false">U16/$P16</f>
        <v>1</v>
      </c>
      <c r="W16" s="11" t="n">
        <f aca="false">W5</f>
        <v>1400</v>
      </c>
      <c r="X16" s="12" t="n">
        <f aca="false">W16/$P16</f>
        <v>1</v>
      </c>
      <c r="Y16" s="11"/>
      <c r="Z16" s="11"/>
    </row>
    <row r="17" customFormat="false" ht="12.8" hidden="false" customHeight="false" outlineLevel="0" collapsed="false">
      <c r="D17" s="18"/>
      <c r="E17" s="19"/>
      <c r="F17" s="14" t="s">
        <v>116</v>
      </c>
      <c r="G17" s="15" t="n">
        <f aca="false">SUM(G13:G16)</f>
        <v>1278305.99</v>
      </c>
      <c r="H17" s="15" t="n">
        <f aca="false">SUM(H13:H16)</f>
        <v>1204015.87</v>
      </c>
      <c r="I17" s="15" t="n">
        <f aca="false">SUM(I13:I16)</f>
        <v>1596998</v>
      </c>
      <c r="J17" s="15" t="n">
        <f aca="false">SUM(J13:J16)</f>
        <v>1540700.96</v>
      </c>
      <c r="K17" s="15" t="n">
        <f aca="false">SUM(K13:K16)</f>
        <v>3258658</v>
      </c>
      <c r="L17" s="15" t="n">
        <f aca="false">SUM(L13:L16)</f>
        <v>506</v>
      </c>
      <c r="M17" s="15" t="n">
        <f aca="false">SUM(M13:M16)</f>
        <v>47396</v>
      </c>
      <c r="N17" s="15" t="n">
        <f aca="false">SUM(N13:N16)</f>
        <v>2672</v>
      </c>
      <c r="O17" s="15" t="n">
        <f aca="false">SUM(O13:O16)</f>
        <v>-1567094</v>
      </c>
      <c r="P17" s="15" t="n">
        <f aca="false">SUM(P13:P16)</f>
        <v>1742138</v>
      </c>
      <c r="Q17" s="15" t="n">
        <f aca="false">SUM(Q13:Q16)</f>
        <v>279408.99</v>
      </c>
      <c r="R17" s="16" t="n">
        <f aca="false">Q17/$P17</f>
        <v>0.16038281123539</v>
      </c>
      <c r="S17" s="15" t="n">
        <f aca="false">SUM(S13:S16)</f>
        <v>602346.54</v>
      </c>
      <c r="T17" s="16" t="n">
        <f aca="false">S17/$P17</f>
        <v>0.345751335428077</v>
      </c>
      <c r="U17" s="15" t="n">
        <f aca="false">SUM(U13:U16)</f>
        <v>944967.11</v>
      </c>
      <c r="V17" s="16" t="n">
        <f aca="false">U17/$P17</f>
        <v>0.54241805758212</v>
      </c>
      <c r="W17" s="15" t="n">
        <f aca="false">SUM(W13:W16)</f>
        <v>1499255.89</v>
      </c>
      <c r="X17" s="16" t="n">
        <f aca="false">W17/$P17</f>
        <v>0.860583886006734</v>
      </c>
      <c r="Y17" s="15" t="n">
        <f aca="false">SUM(Y13:Y15)</f>
        <v>1810162</v>
      </c>
      <c r="Z17" s="15" t="n">
        <f aca="false">SUM(Z13:Z15)</f>
        <v>1539562</v>
      </c>
    </row>
    <row r="19" customFormat="false" ht="12.8" hidden="false" customHeight="false" outlineLevel="0" collapsed="false">
      <c r="D19" s="20" t="s">
        <v>117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customFormat="false" ht="12.8" hidden="false" customHeight="false" outlineLevel="0" collapsed="false">
      <c r="D20" s="6"/>
      <c r="E20" s="6"/>
      <c r="F20" s="6"/>
      <c r="G20" s="7" t="s">
        <v>1</v>
      </c>
      <c r="H20" s="7" t="s">
        <v>2</v>
      </c>
      <c r="I20" s="7" t="s">
        <v>3</v>
      </c>
      <c r="J20" s="7" t="s">
        <v>4</v>
      </c>
      <c r="K20" s="7" t="s">
        <v>5</v>
      </c>
      <c r="L20" s="7" t="s">
        <v>6</v>
      </c>
      <c r="M20" s="7" t="s">
        <v>7</v>
      </c>
      <c r="N20" s="7" t="s">
        <v>8</v>
      </c>
      <c r="O20" s="7" t="s">
        <v>9</v>
      </c>
      <c r="P20" s="7" t="s">
        <v>10</v>
      </c>
      <c r="Q20" s="7" t="s">
        <v>11</v>
      </c>
      <c r="R20" s="8" t="s">
        <v>12</v>
      </c>
      <c r="S20" s="7" t="s">
        <v>13</v>
      </c>
      <c r="T20" s="8" t="s">
        <v>14</v>
      </c>
      <c r="U20" s="7" t="s">
        <v>15</v>
      </c>
      <c r="V20" s="8" t="s">
        <v>16</v>
      </c>
      <c r="W20" s="7" t="s">
        <v>17</v>
      </c>
      <c r="X20" s="8" t="s">
        <v>18</v>
      </c>
      <c r="Y20" s="7" t="s">
        <v>19</v>
      </c>
      <c r="Z20" s="7" t="s">
        <v>20</v>
      </c>
    </row>
    <row r="21" customFormat="false" ht="12.8" hidden="false" customHeight="false" outlineLevel="0" collapsed="false">
      <c r="A21" s="1" t="n">
        <v>1</v>
      </c>
      <c r="D21" s="22" t="s">
        <v>21</v>
      </c>
      <c r="E21" s="23" t="n">
        <v>111</v>
      </c>
      <c r="F21" s="23" t="s">
        <v>103</v>
      </c>
      <c r="G21" s="24" t="n">
        <f aca="false">G27+G104+G129</f>
        <v>15518.85</v>
      </c>
      <c r="H21" s="24" t="n">
        <f aca="false">H27+H104+H129</f>
        <v>9258.61</v>
      </c>
      <c r="I21" s="24" t="n">
        <f aca="false">I27+I104+I129</f>
        <v>9978</v>
      </c>
      <c r="J21" s="24" t="n">
        <f aca="false">J27+J104+J129</f>
        <v>10335.49</v>
      </c>
      <c r="K21" s="24" t="n">
        <f aca="false">K27+K104+K129</f>
        <v>10618</v>
      </c>
      <c r="L21" s="24" t="n">
        <f aca="false">L27+L104+L129</f>
        <v>0</v>
      </c>
      <c r="M21" s="24" t="n">
        <f aca="false">M27+M104+M129</f>
        <v>0</v>
      </c>
      <c r="N21" s="24" t="n">
        <f aca="false">N27+N104+N129</f>
        <v>0</v>
      </c>
      <c r="O21" s="24" t="n">
        <f aca="false">O27+O104+O129</f>
        <v>-342</v>
      </c>
      <c r="P21" s="24" t="n">
        <f aca="false">P27+P104+P129</f>
        <v>10276</v>
      </c>
      <c r="Q21" s="24" t="n">
        <f aca="false">Q27+Q104+Q129</f>
        <v>1285.39</v>
      </c>
      <c r="R21" s="25" t="n">
        <f aca="false">Q21/$P21</f>
        <v>0.12508660957571</v>
      </c>
      <c r="S21" s="24" t="n">
        <f aca="false">S27+S104+S129</f>
        <v>2706.63</v>
      </c>
      <c r="T21" s="25" t="n">
        <f aca="false">S21/$P21</f>
        <v>0.263393343713507</v>
      </c>
      <c r="U21" s="24" t="n">
        <f aca="false">U27+U104+U129</f>
        <v>6760.59</v>
      </c>
      <c r="V21" s="25" t="n">
        <f aca="false">U21/$P21</f>
        <v>0.657900934215648</v>
      </c>
      <c r="W21" s="24" t="n">
        <f aca="false">W27+W104+W129</f>
        <v>10112.37</v>
      </c>
      <c r="X21" s="25" t="n">
        <f aca="false">W21/$P21</f>
        <v>0.984076488906189</v>
      </c>
      <c r="Y21" s="24" t="n">
        <f aca="false">Y27+Y104+Y129</f>
        <v>10618</v>
      </c>
      <c r="Z21" s="24" t="n">
        <f aca="false">Z27+Z104+Z129</f>
        <v>14618</v>
      </c>
    </row>
    <row r="22" customFormat="false" ht="12.8" hidden="false" customHeight="false" outlineLevel="0" collapsed="false">
      <c r="A22" s="1" t="n">
        <v>1</v>
      </c>
      <c r="D22" s="22"/>
      <c r="E22" s="23" t="n">
        <v>41</v>
      </c>
      <c r="F22" s="23" t="s">
        <v>23</v>
      </c>
      <c r="G22" s="24" t="n">
        <f aca="false">G28+G108+G118</f>
        <v>208865.63</v>
      </c>
      <c r="H22" s="24" t="n">
        <f aca="false">H28+H108+H118</f>
        <v>215078.16</v>
      </c>
      <c r="I22" s="24" t="n">
        <f aca="false">I28+I108+I118</f>
        <v>233155</v>
      </c>
      <c r="J22" s="24" t="n">
        <f aca="false">J28+J108+J118</f>
        <v>206016.96</v>
      </c>
      <c r="K22" s="24" t="n">
        <f aca="false">K28+K108+K118</f>
        <v>234504</v>
      </c>
      <c r="L22" s="24" t="n">
        <f aca="false">L28+L108+L118</f>
        <v>0</v>
      </c>
      <c r="M22" s="24" t="n">
        <f aca="false">M28+M108+M118</f>
        <v>235</v>
      </c>
      <c r="N22" s="24" t="n">
        <f aca="false">N28+N108+N118</f>
        <v>1640</v>
      </c>
      <c r="O22" s="24" t="n">
        <f aca="false">O28+O108+O118</f>
        <v>-992</v>
      </c>
      <c r="P22" s="24" t="n">
        <f aca="false">P28+P108+P118</f>
        <v>235387</v>
      </c>
      <c r="Q22" s="24" t="n">
        <f aca="false">Q28+Q108+Q118</f>
        <v>52640.9</v>
      </c>
      <c r="R22" s="25" t="n">
        <f aca="false">Q22/$P22</f>
        <v>0.223635544868663</v>
      </c>
      <c r="S22" s="24" t="n">
        <f aca="false">S28+S108+S118</f>
        <v>104409.24</v>
      </c>
      <c r="T22" s="25" t="n">
        <f aca="false">S22/$P22</f>
        <v>0.443564173042691</v>
      </c>
      <c r="U22" s="24" t="n">
        <f aca="false">U28+U108+U118</f>
        <v>151658.04</v>
      </c>
      <c r="V22" s="25" t="n">
        <f aca="false">U22/$P22</f>
        <v>0.644292335600522</v>
      </c>
      <c r="W22" s="24" t="n">
        <f aca="false">W28+W108+W118</f>
        <v>223431.35</v>
      </c>
      <c r="X22" s="25" t="n">
        <f aca="false">W22/$P22</f>
        <v>0.94920853742985</v>
      </c>
      <c r="Y22" s="24" t="n">
        <f aca="false">Y28+Y108+Y118</f>
        <v>219141</v>
      </c>
      <c r="Z22" s="24" t="n">
        <f aca="false">Z28+Z108+Z118</f>
        <v>222992</v>
      </c>
    </row>
    <row r="23" customFormat="false" ht="12.8" hidden="false" customHeight="false" outlineLevel="0" collapsed="false">
      <c r="A23" s="1" t="n">
        <v>1</v>
      </c>
      <c r="D23" s="18"/>
      <c r="E23" s="19"/>
      <c r="F23" s="27" t="s">
        <v>116</v>
      </c>
      <c r="G23" s="28" t="n">
        <f aca="false">SUM(G21:G22)</f>
        <v>224384.48</v>
      </c>
      <c r="H23" s="28" t="n">
        <f aca="false">SUM(H21:H22)</f>
        <v>224336.77</v>
      </c>
      <c r="I23" s="28" t="n">
        <f aca="false">SUM(I21:I22)</f>
        <v>243133</v>
      </c>
      <c r="J23" s="28" t="n">
        <f aca="false">SUM(J21:J22)</f>
        <v>216352.45</v>
      </c>
      <c r="K23" s="28" t="n">
        <f aca="false">SUM(K21:K22)</f>
        <v>245122</v>
      </c>
      <c r="L23" s="28" t="n">
        <f aca="false">SUM(L21:L22)</f>
        <v>0</v>
      </c>
      <c r="M23" s="28" t="n">
        <f aca="false">SUM(M21:M22)</f>
        <v>235</v>
      </c>
      <c r="N23" s="28" t="n">
        <f aca="false">SUM(N21:N22)</f>
        <v>1640</v>
      </c>
      <c r="O23" s="28" t="n">
        <f aca="false">SUM(O21:O22)</f>
        <v>-1334</v>
      </c>
      <c r="P23" s="28" t="n">
        <f aca="false">SUM(P21:P22)</f>
        <v>245663</v>
      </c>
      <c r="Q23" s="28" t="n">
        <f aca="false">SUM(Q21:Q22)</f>
        <v>53926.29</v>
      </c>
      <c r="R23" s="29" t="n">
        <f aca="false">Q23/$P23</f>
        <v>0.219513276317557</v>
      </c>
      <c r="S23" s="28" t="n">
        <f aca="false">SUM(S21:S22)</f>
        <v>107115.87</v>
      </c>
      <c r="T23" s="29" t="n">
        <f aca="false">S23/$P23</f>
        <v>0.436027688337275</v>
      </c>
      <c r="U23" s="28" t="n">
        <f aca="false">SUM(U21:U22)</f>
        <v>158418.63</v>
      </c>
      <c r="V23" s="29" t="n">
        <f aca="false">U23/$P23</f>
        <v>0.64486157866671</v>
      </c>
      <c r="W23" s="28" t="n">
        <f aca="false">SUM(W21:W22)</f>
        <v>233543.72</v>
      </c>
      <c r="X23" s="29" t="n">
        <f aca="false">W23/$P23</f>
        <v>0.950667052018416</v>
      </c>
      <c r="Y23" s="28" t="n">
        <f aca="false">SUM(Y21:Y22)</f>
        <v>229759</v>
      </c>
      <c r="Z23" s="28" t="n">
        <f aca="false">SUM(Z21:Z22)</f>
        <v>237610</v>
      </c>
    </row>
    <row r="25" customFormat="false" ht="12.8" hidden="false" customHeight="false" outlineLevel="0" collapsed="false">
      <c r="D25" s="31" t="s">
        <v>118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customFormat="false" ht="12.8" hidden="false" customHeight="false" outlineLevel="0" collapsed="false">
      <c r="D26" s="7"/>
      <c r="E26" s="7"/>
      <c r="F26" s="7"/>
      <c r="G26" s="7" t="s">
        <v>1</v>
      </c>
      <c r="H26" s="7" t="s">
        <v>2</v>
      </c>
      <c r="I26" s="7" t="s">
        <v>3</v>
      </c>
      <c r="J26" s="7" t="s">
        <v>4</v>
      </c>
      <c r="K26" s="7" t="s">
        <v>5</v>
      </c>
      <c r="L26" s="7" t="s">
        <v>6</v>
      </c>
      <c r="M26" s="7" t="s">
        <v>7</v>
      </c>
      <c r="N26" s="7" t="s">
        <v>8</v>
      </c>
      <c r="O26" s="7" t="s">
        <v>9</v>
      </c>
      <c r="P26" s="7" t="s">
        <v>10</v>
      </c>
      <c r="Q26" s="7" t="s">
        <v>11</v>
      </c>
      <c r="R26" s="8" t="s">
        <v>12</v>
      </c>
      <c r="S26" s="7" t="s">
        <v>13</v>
      </c>
      <c r="T26" s="8" t="s">
        <v>14</v>
      </c>
      <c r="U26" s="7" t="s">
        <v>15</v>
      </c>
      <c r="V26" s="8" t="s">
        <v>16</v>
      </c>
      <c r="W26" s="7" t="s">
        <v>17</v>
      </c>
      <c r="X26" s="8" t="s">
        <v>18</v>
      </c>
      <c r="Y26" s="7" t="s">
        <v>19</v>
      </c>
      <c r="Z26" s="7" t="s">
        <v>20</v>
      </c>
    </row>
    <row r="27" customFormat="false" ht="12.8" hidden="false" customHeight="false" outlineLevel="0" collapsed="false">
      <c r="A27" s="1" t="n">
        <v>1</v>
      </c>
      <c r="B27" s="1" t="n">
        <v>1</v>
      </c>
      <c r="D27" s="33" t="s">
        <v>21</v>
      </c>
      <c r="E27" s="10" t="n">
        <v>111</v>
      </c>
      <c r="F27" s="10" t="s">
        <v>103</v>
      </c>
      <c r="G27" s="11" t="n">
        <f aca="false">G44+G93</f>
        <v>4850.42</v>
      </c>
      <c r="H27" s="11" t="n">
        <f aca="false">H44+H93</f>
        <v>5042.6</v>
      </c>
      <c r="I27" s="11" t="n">
        <f aca="false">I44+I93</f>
        <v>5042</v>
      </c>
      <c r="J27" s="11" t="n">
        <f aca="false">J44+J93</f>
        <v>5164.85</v>
      </c>
      <c r="K27" s="11" t="n">
        <f aca="false">K44+K93</f>
        <v>5252</v>
      </c>
      <c r="L27" s="11" t="n">
        <f aca="false">L44+L93</f>
        <v>0</v>
      </c>
      <c r="M27" s="11" t="n">
        <f aca="false">M44+M93</f>
        <v>0</v>
      </c>
      <c r="N27" s="11" t="n">
        <f aca="false">N44+N93</f>
        <v>0</v>
      </c>
      <c r="O27" s="11" t="n">
        <f aca="false">O44+O93</f>
        <v>759</v>
      </c>
      <c r="P27" s="11" t="n">
        <f aca="false">P44+P93</f>
        <v>6011</v>
      </c>
      <c r="Q27" s="11" t="n">
        <f aca="false">Q44+Q93</f>
        <v>1285.39</v>
      </c>
      <c r="R27" s="12" t="n">
        <f aca="false">Q27/$P27</f>
        <v>0.213839627349859</v>
      </c>
      <c r="S27" s="11" t="n">
        <f aca="false">S44+S93</f>
        <v>2706.63</v>
      </c>
      <c r="T27" s="12" t="n">
        <f aca="false">S27/$P27</f>
        <v>0.450279487606056</v>
      </c>
      <c r="U27" s="11" t="n">
        <f aca="false">U44+U93</f>
        <v>3825.51</v>
      </c>
      <c r="V27" s="12" t="n">
        <f aca="false">U27/$P27</f>
        <v>0.636418233239062</v>
      </c>
      <c r="W27" s="11" t="n">
        <f aca="false">W44+W93</f>
        <v>5848.49</v>
      </c>
      <c r="X27" s="12" t="n">
        <f aca="false">W27/$P27</f>
        <v>0.972964564964232</v>
      </c>
      <c r="Y27" s="11" t="n">
        <f aca="false">Y44+Y93</f>
        <v>5252</v>
      </c>
      <c r="Z27" s="11" t="n">
        <f aca="false">Z44+Z93</f>
        <v>5252</v>
      </c>
    </row>
    <row r="28" customFormat="false" ht="12.8" hidden="false" customHeight="false" outlineLevel="0" collapsed="false">
      <c r="A28" s="1" t="n">
        <v>1</v>
      </c>
      <c r="B28" s="1" t="n">
        <v>1</v>
      </c>
      <c r="D28" s="33"/>
      <c r="E28" s="10" t="n">
        <v>41</v>
      </c>
      <c r="F28" s="10" t="s">
        <v>23</v>
      </c>
      <c r="G28" s="11" t="n">
        <f aca="false">G37+G49+G57+G63+G76+G86+G98</f>
        <v>185967.83</v>
      </c>
      <c r="H28" s="11" t="n">
        <f aca="false">H37+H49+H57+H63+H76+H86+H98</f>
        <v>202158.88</v>
      </c>
      <c r="I28" s="11" t="n">
        <f aca="false">I37+I49+I57+I63+I76+I86+I98</f>
        <v>216905</v>
      </c>
      <c r="J28" s="11" t="n">
        <f aca="false">J37+J49+J57+J63+J76+J86+J98</f>
        <v>185918.53</v>
      </c>
      <c r="K28" s="11" t="n">
        <f aca="false">K37+K49+K57+K63+K76+K86+K98</f>
        <v>214277</v>
      </c>
      <c r="L28" s="11" t="n">
        <f aca="false">L37+L49+L57+L63+L76+L86+L98</f>
        <v>0</v>
      </c>
      <c r="M28" s="11" t="n">
        <f aca="false">M37+M49+M57+M63+M76+M86+M98</f>
        <v>235</v>
      </c>
      <c r="N28" s="11" t="n">
        <f aca="false">N37+N49+N57+N63+N76+N86+N98</f>
        <v>1640</v>
      </c>
      <c r="O28" s="11" t="n">
        <f aca="false">O37+O49+O57+O63+O76+O86+O98</f>
        <v>1411</v>
      </c>
      <c r="P28" s="11" t="n">
        <f aca="false">P37+P49+P57+P63+P76+P86+P98</f>
        <v>217563</v>
      </c>
      <c r="Q28" s="11" t="n">
        <f aca="false">Q37+Q49+Q57+Q63+Q76+Q86+Q98</f>
        <v>51628.7</v>
      </c>
      <c r="R28" s="12" t="n">
        <f aca="false">Q28/$P28</f>
        <v>0.237304596829424</v>
      </c>
      <c r="S28" s="11" t="n">
        <f aca="false">S37+S49+S57+S63+S76+S86+S98</f>
        <v>97278.53</v>
      </c>
      <c r="T28" s="12" t="n">
        <f aca="false">S28/$P28</f>
        <v>0.447128096229598</v>
      </c>
      <c r="U28" s="11" t="n">
        <f aca="false">U37+U49+U57+U63+U76+U86+U98</f>
        <v>143405.95</v>
      </c>
      <c r="V28" s="12" t="n">
        <f aca="false">U28/$P28</f>
        <v>0.659146775876413</v>
      </c>
      <c r="W28" s="11" t="n">
        <f aca="false">W37+W49+W57+W63+W76+W86+W98</f>
        <v>208855.4</v>
      </c>
      <c r="X28" s="12" t="n">
        <f aca="false">W28/$P28</f>
        <v>0.959976650441481</v>
      </c>
      <c r="Y28" s="11" t="n">
        <f aca="false">Y37+Y49+Y57+Y63+Y76+Y86+Y98</f>
        <v>198914</v>
      </c>
      <c r="Z28" s="11" t="n">
        <f aca="false">Z37+Z49+Z57+Z63+Z76+Z86+Z98</f>
        <v>202765</v>
      </c>
    </row>
    <row r="29" customFormat="false" ht="12.8" hidden="false" customHeight="false" outlineLevel="0" collapsed="false">
      <c r="A29" s="1" t="n">
        <v>1</v>
      </c>
      <c r="B29" s="1" t="n">
        <v>1</v>
      </c>
      <c r="D29" s="18"/>
      <c r="E29" s="19"/>
      <c r="F29" s="14" t="s">
        <v>116</v>
      </c>
      <c r="G29" s="15" t="n">
        <f aca="false">SUM(G27:G28)</f>
        <v>190818.25</v>
      </c>
      <c r="H29" s="15" t="n">
        <f aca="false">SUM(H27:H28)</f>
        <v>207201.48</v>
      </c>
      <c r="I29" s="15" t="n">
        <f aca="false">SUM(I27:I28)</f>
        <v>221947</v>
      </c>
      <c r="J29" s="15" t="n">
        <f aca="false">SUM(J27:J28)</f>
        <v>191083.38</v>
      </c>
      <c r="K29" s="15" t="n">
        <f aca="false">SUM(K27:K28)</f>
        <v>219529</v>
      </c>
      <c r="L29" s="15" t="n">
        <f aca="false">SUM(L27:L28)</f>
        <v>0</v>
      </c>
      <c r="M29" s="15" t="n">
        <f aca="false">SUM(M27:M28)</f>
        <v>235</v>
      </c>
      <c r="N29" s="15" t="n">
        <f aca="false">SUM(N27:N28)</f>
        <v>1640</v>
      </c>
      <c r="O29" s="15" t="n">
        <f aca="false">SUM(O27:O28)</f>
        <v>2170</v>
      </c>
      <c r="P29" s="15" t="n">
        <f aca="false">SUM(P27:P28)</f>
        <v>223574</v>
      </c>
      <c r="Q29" s="15" t="n">
        <f aca="false">SUM(Q27:Q28)</f>
        <v>52914.09</v>
      </c>
      <c r="R29" s="16" t="n">
        <f aca="false">Q29/$P29</f>
        <v>0.23667371876873</v>
      </c>
      <c r="S29" s="15" t="n">
        <f aca="false">SUM(S27:S28)</f>
        <v>99985.16</v>
      </c>
      <c r="T29" s="16" t="n">
        <f aca="false">S29/$P29</f>
        <v>0.44721282438924</v>
      </c>
      <c r="U29" s="15" t="n">
        <f aca="false">SUM(U27:U28)</f>
        <v>147231.46</v>
      </c>
      <c r="V29" s="16" t="n">
        <f aca="false">U29/$P29</f>
        <v>0.658535697353002</v>
      </c>
      <c r="W29" s="15" t="n">
        <f aca="false">SUM(W27:W28)</f>
        <v>214703.89</v>
      </c>
      <c r="X29" s="16" t="n">
        <f aca="false">W29/$P29</f>
        <v>0.960325842897654</v>
      </c>
      <c r="Y29" s="15" t="n">
        <f aca="false">SUM(Y27:Y28)</f>
        <v>204166</v>
      </c>
      <c r="Z29" s="15" t="n">
        <f aca="false">SUM(Z27:Z28)</f>
        <v>208017</v>
      </c>
    </row>
    <row r="31" customFormat="false" ht="12.8" hidden="false" customHeight="false" outlineLevel="0" collapsed="false">
      <c r="D31" s="66" t="s">
        <v>119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 t="e">
        <f aca="false">N31/$M31</f>
        <v>#DIV/0!</v>
      </c>
      <c r="P31" s="66"/>
      <c r="Q31" s="66" t="e">
        <f aca="false">P31/$M31</f>
        <v>#DIV/0!</v>
      </c>
      <c r="R31" s="66"/>
      <c r="S31" s="66" t="e">
        <f aca="false">R31/$M31</f>
        <v>#DIV/0!</v>
      </c>
      <c r="T31" s="66"/>
      <c r="U31" s="66" t="e">
        <f aca="false">T31/$M31</f>
        <v>#DIV/0!</v>
      </c>
      <c r="V31" s="66"/>
      <c r="W31" s="66"/>
      <c r="X31" s="66"/>
      <c r="Y31" s="66"/>
      <c r="Z31" s="66"/>
    </row>
    <row r="32" customFormat="false" ht="12.8" hidden="false" customHeight="false" outlineLevel="0" collapsed="false">
      <c r="D32" s="7" t="s">
        <v>33</v>
      </c>
      <c r="E32" s="7" t="s">
        <v>34</v>
      </c>
      <c r="F32" s="7" t="s">
        <v>35</v>
      </c>
      <c r="G32" s="7" t="s">
        <v>1</v>
      </c>
      <c r="H32" s="7" t="s">
        <v>2</v>
      </c>
      <c r="I32" s="7" t="s">
        <v>3</v>
      </c>
      <c r="J32" s="7" t="s">
        <v>4</v>
      </c>
      <c r="K32" s="7" t="s">
        <v>5</v>
      </c>
      <c r="L32" s="7" t="s">
        <v>6</v>
      </c>
      <c r="M32" s="7" t="s">
        <v>7</v>
      </c>
      <c r="N32" s="7" t="s">
        <v>8</v>
      </c>
      <c r="O32" s="7" t="s">
        <v>9</v>
      </c>
      <c r="P32" s="7" t="s">
        <v>10</v>
      </c>
      <c r="Q32" s="7" t="s">
        <v>11</v>
      </c>
      <c r="R32" s="8" t="s">
        <v>12</v>
      </c>
      <c r="S32" s="7" t="s">
        <v>13</v>
      </c>
      <c r="T32" s="8" t="s">
        <v>14</v>
      </c>
      <c r="U32" s="7" t="s">
        <v>15</v>
      </c>
      <c r="V32" s="8" t="s">
        <v>16</v>
      </c>
      <c r="W32" s="7" t="s">
        <v>17</v>
      </c>
      <c r="X32" s="8" t="s">
        <v>18</v>
      </c>
      <c r="Y32" s="7" t="s">
        <v>19</v>
      </c>
      <c r="Z32" s="7" t="s">
        <v>20</v>
      </c>
    </row>
    <row r="33" customFormat="false" ht="12.8" hidden="false" customHeight="false" outlineLevel="0" collapsed="false">
      <c r="A33" s="1" t="n">
        <v>1</v>
      </c>
      <c r="B33" s="1" t="n">
        <v>1</v>
      </c>
      <c r="C33" s="1" t="n">
        <v>1</v>
      </c>
      <c r="D33" s="36" t="s">
        <v>120</v>
      </c>
      <c r="E33" s="10" t="n">
        <v>610</v>
      </c>
      <c r="F33" s="10" t="s">
        <v>121</v>
      </c>
      <c r="G33" s="11" t="n">
        <v>28804.21</v>
      </c>
      <c r="H33" s="11" t="n">
        <v>28444.91</v>
      </c>
      <c r="I33" s="11" t="n">
        <v>28452</v>
      </c>
      <c r="J33" s="11" t="n">
        <v>28464.29</v>
      </c>
      <c r="K33" s="11" t="n">
        <v>28430</v>
      </c>
      <c r="L33" s="11"/>
      <c r="M33" s="11"/>
      <c r="N33" s="11"/>
      <c r="O33" s="11" t="n">
        <v>20</v>
      </c>
      <c r="P33" s="11" t="n">
        <f aca="false">K33+SUM(L33:O33)</f>
        <v>28450</v>
      </c>
      <c r="Q33" s="11" t="n">
        <v>7113</v>
      </c>
      <c r="R33" s="12" t="n">
        <f aca="false">Q33/$P33</f>
        <v>0.250017574692443</v>
      </c>
      <c r="S33" s="11" t="n">
        <v>14226</v>
      </c>
      <c r="T33" s="12" t="n">
        <f aca="false">S33/$P33</f>
        <v>0.500035149384886</v>
      </c>
      <c r="U33" s="11" t="n">
        <v>21339</v>
      </c>
      <c r="V33" s="12" t="n">
        <f aca="false">U33/$P33</f>
        <v>0.750052724077329</v>
      </c>
      <c r="W33" s="11" t="n">
        <v>28450</v>
      </c>
      <c r="X33" s="12" t="n">
        <f aca="false">W33/$P33</f>
        <v>1</v>
      </c>
      <c r="Y33" s="11" t="n">
        <f aca="false">K33</f>
        <v>28430</v>
      </c>
      <c r="Z33" s="11" t="n">
        <f aca="false">Y33</f>
        <v>28430</v>
      </c>
    </row>
    <row r="34" customFormat="false" ht="12.8" hidden="false" customHeight="false" outlineLevel="0" collapsed="false">
      <c r="A34" s="1" t="n">
        <v>1</v>
      </c>
      <c r="B34" s="1" t="n">
        <v>1</v>
      </c>
      <c r="C34" s="1" t="n">
        <v>1</v>
      </c>
      <c r="D34" s="36"/>
      <c r="E34" s="10" t="n">
        <v>620</v>
      </c>
      <c r="F34" s="10" t="s">
        <v>122</v>
      </c>
      <c r="G34" s="11" t="n">
        <v>12216.88</v>
      </c>
      <c r="H34" s="11" t="n">
        <v>12391.13</v>
      </c>
      <c r="I34" s="11" t="n">
        <v>10489</v>
      </c>
      <c r="J34" s="11" t="n">
        <v>12861.72</v>
      </c>
      <c r="K34" s="11" t="n">
        <v>12816</v>
      </c>
      <c r="L34" s="11"/>
      <c r="M34" s="11"/>
      <c r="N34" s="11"/>
      <c r="O34" s="11" t="n">
        <v>-20</v>
      </c>
      <c r="P34" s="11" t="n">
        <f aca="false">K34+SUM(L34:O34)</f>
        <v>12796</v>
      </c>
      <c r="Q34" s="11" t="n">
        <v>4075.86</v>
      </c>
      <c r="R34" s="12" t="n">
        <f aca="false">Q34/$P34</f>
        <v>0.318526101906846</v>
      </c>
      <c r="S34" s="11" t="n">
        <v>6709.29</v>
      </c>
      <c r="T34" s="12" t="n">
        <f aca="false">S34/$P34</f>
        <v>0.524327133479212</v>
      </c>
      <c r="U34" s="11" t="n">
        <v>9342.72</v>
      </c>
      <c r="V34" s="12" t="n">
        <f aca="false">U34/$P34</f>
        <v>0.730128165051579</v>
      </c>
      <c r="W34" s="11" t="n">
        <v>11988.79</v>
      </c>
      <c r="X34" s="12" t="n">
        <f aca="false">W34/$P34</f>
        <v>0.936917005314161</v>
      </c>
      <c r="Y34" s="11" t="n">
        <f aca="false">K34</f>
        <v>12816</v>
      </c>
      <c r="Z34" s="11" t="n">
        <f aca="false">Y34</f>
        <v>12816</v>
      </c>
    </row>
    <row r="35" customFormat="false" ht="12.8" hidden="false" customHeight="false" outlineLevel="0" collapsed="false">
      <c r="A35" s="1" t="n">
        <v>1</v>
      </c>
      <c r="B35" s="1" t="n">
        <v>1</v>
      </c>
      <c r="C35" s="1" t="n">
        <v>1</v>
      </c>
      <c r="D35" s="36"/>
      <c r="E35" s="10" t="n">
        <v>630</v>
      </c>
      <c r="F35" s="10" t="s">
        <v>123</v>
      </c>
      <c r="G35" s="11" t="n">
        <v>8328.33</v>
      </c>
      <c r="H35" s="11" t="n">
        <v>5767.31</v>
      </c>
      <c r="I35" s="11" t="n">
        <v>10934</v>
      </c>
      <c r="J35" s="11" t="n">
        <v>9574.24</v>
      </c>
      <c r="K35" s="37" t="n">
        <v>10554</v>
      </c>
      <c r="L35" s="37"/>
      <c r="M35" s="37"/>
      <c r="N35" s="37"/>
      <c r="O35" s="37" t="n">
        <v>-1989</v>
      </c>
      <c r="P35" s="37" t="n">
        <f aca="false">K35+SUM(L35:O35)</f>
        <v>8565</v>
      </c>
      <c r="Q35" s="37" t="n">
        <v>5237.78</v>
      </c>
      <c r="R35" s="38" t="n">
        <f aca="false">Q35/$P35</f>
        <v>0.611532983070636</v>
      </c>
      <c r="S35" s="37" t="n">
        <v>6785.01</v>
      </c>
      <c r="T35" s="38" t="n">
        <f aca="false">S35/$P35</f>
        <v>0.792178633975482</v>
      </c>
      <c r="U35" s="37" t="n">
        <v>7548.1</v>
      </c>
      <c r="V35" s="38" t="n">
        <f aca="false">U35/$P35</f>
        <v>0.881272621132516</v>
      </c>
      <c r="W35" s="37" t="n">
        <v>8555.7</v>
      </c>
      <c r="X35" s="38" t="n">
        <f aca="false">W35/$P35</f>
        <v>0.998914185639229</v>
      </c>
      <c r="Y35" s="11" t="n">
        <f aca="false">K35</f>
        <v>10554</v>
      </c>
      <c r="Z35" s="11" t="n">
        <f aca="false">Y35</f>
        <v>10554</v>
      </c>
    </row>
    <row r="36" customFormat="false" ht="12.8" hidden="false" customHeight="false" outlineLevel="0" collapsed="false">
      <c r="A36" s="1" t="n">
        <v>1</v>
      </c>
      <c r="B36" s="1" t="n">
        <v>1</v>
      </c>
      <c r="C36" s="1" t="n">
        <v>1</v>
      </c>
      <c r="D36" s="36"/>
      <c r="E36" s="10" t="n">
        <v>640</v>
      </c>
      <c r="F36" s="10" t="s">
        <v>124</v>
      </c>
      <c r="G36" s="11" t="n">
        <v>0</v>
      </c>
      <c r="H36" s="11" t="n">
        <v>6792.35</v>
      </c>
      <c r="I36" s="11" t="n">
        <v>0</v>
      </c>
      <c r="J36" s="11" t="n">
        <v>0</v>
      </c>
      <c r="K36" s="11" t="n">
        <v>0</v>
      </c>
      <c r="L36" s="11"/>
      <c r="M36" s="11"/>
      <c r="N36" s="11"/>
      <c r="O36" s="11"/>
      <c r="P36" s="11" t="n">
        <f aca="false">K36+SUM(L36:O36)</f>
        <v>0</v>
      </c>
      <c r="Q36" s="11" t="n">
        <v>0</v>
      </c>
      <c r="R36" s="12" t="e">
        <f aca="false">Q36/$P36</f>
        <v>#DIV/0!</v>
      </c>
      <c r="S36" s="11" t="n">
        <v>0</v>
      </c>
      <c r="T36" s="12" t="e">
        <f aca="false">S36/$P36</f>
        <v>#DIV/0!</v>
      </c>
      <c r="U36" s="11" t="n">
        <v>0</v>
      </c>
      <c r="V36" s="12" t="e">
        <f aca="false">U36/$P36</f>
        <v>#DIV/0!</v>
      </c>
      <c r="W36" s="11" t="n">
        <v>0</v>
      </c>
      <c r="X36" s="12" t="e">
        <f aca="false">W36/$P36</f>
        <v>#DIV/0!</v>
      </c>
      <c r="Y36" s="11" t="n">
        <f aca="false">K36</f>
        <v>0</v>
      </c>
      <c r="Z36" s="11" t="n">
        <f aca="false">Y36</f>
        <v>0</v>
      </c>
    </row>
    <row r="37" customFormat="false" ht="12.8" hidden="false" customHeight="false" outlineLevel="0" collapsed="false">
      <c r="A37" s="1" t="n">
        <v>1</v>
      </c>
      <c r="B37" s="1" t="n">
        <v>1</v>
      </c>
      <c r="C37" s="1" t="n">
        <v>1</v>
      </c>
      <c r="D37" s="75" t="s">
        <v>21</v>
      </c>
      <c r="E37" s="14" t="n">
        <v>41</v>
      </c>
      <c r="F37" s="14" t="s">
        <v>23</v>
      </c>
      <c r="G37" s="15" t="n">
        <f aca="false">SUM(G33:G36)</f>
        <v>49349.42</v>
      </c>
      <c r="H37" s="15" t="n">
        <f aca="false">SUM(H33:H36)</f>
        <v>53395.7</v>
      </c>
      <c r="I37" s="15" t="n">
        <f aca="false">SUM(I33:I36)</f>
        <v>49875</v>
      </c>
      <c r="J37" s="15" t="n">
        <f aca="false">SUM(J33:J36)</f>
        <v>50900.25</v>
      </c>
      <c r="K37" s="15" t="n">
        <f aca="false">SUM(K33:K36)</f>
        <v>51800</v>
      </c>
      <c r="L37" s="15" t="n">
        <f aca="false">SUM(L33:L36)</f>
        <v>0</v>
      </c>
      <c r="M37" s="15" t="n">
        <f aca="false">SUM(M33:M36)</f>
        <v>0</v>
      </c>
      <c r="N37" s="15" t="n">
        <f aca="false">SUM(N33:N36)</f>
        <v>0</v>
      </c>
      <c r="O37" s="15" t="n">
        <f aca="false">SUM(O33:O36)</f>
        <v>-1989</v>
      </c>
      <c r="P37" s="15" t="n">
        <f aca="false">SUM(P33:P36)</f>
        <v>49811</v>
      </c>
      <c r="Q37" s="15" t="n">
        <f aca="false">SUM(Q33:Q36)</f>
        <v>16426.64</v>
      </c>
      <c r="R37" s="16" t="n">
        <f aca="false">Q37/$P37</f>
        <v>0.329779366003493</v>
      </c>
      <c r="S37" s="15" t="n">
        <f aca="false">SUM(S33:S36)</f>
        <v>27720.3</v>
      </c>
      <c r="T37" s="16" t="n">
        <f aca="false">S37/$P37</f>
        <v>0.556509606311859</v>
      </c>
      <c r="U37" s="15" t="n">
        <f aca="false">SUM(U33:U36)</f>
        <v>38229.82</v>
      </c>
      <c r="V37" s="16" t="n">
        <f aca="false">U37/$P37</f>
        <v>0.767497540703861</v>
      </c>
      <c r="W37" s="15" t="n">
        <f aca="false">SUM(W33:W36)</f>
        <v>48994.49</v>
      </c>
      <c r="X37" s="16" t="n">
        <f aca="false">W37/$P37</f>
        <v>0.983607837626227</v>
      </c>
      <c r="Y37" s="15" t="n">
        <f aca="false">SUM(Y33:Y36)</f>
        <v>51800</v>
      </c>
      <c r="Z37" s="15" t="n">
        <f aca="false">SUM(Z33:Z36)</f>
        <v>51800</v>
      </c>
    </row>
    <row r="38" customFormat="false" ht="12.8" hidden="true" customHeight="false" outlineLevel="0" collapsed="false">
      <c r="D38" s="34"/>
      <c r="E38" s="35"/>
      <c r="F38" s="35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9"/>
      <c r="S38" s="78"/>
      <c r="T38" s="79"/>
      <c r="U38" s="78"/>
      <c r="V38" s="79"/>
      <c r="W38" s="78"/>
      <c r="X38" s="79"/>
      <c r="Y38" s="78"/>
      <c r="Z38" s="78"/>
    </row>
    <row r="39" customFormat="false" ht="12.8" hidden="true" customHeight="false" outlineLevel="0" collapsed="false">
      <c r="D39" s="34"/>
      <c r="E39" s="80" t="s">
        <v>56</v>
      </c>
      <c r="F39" s="81" t="s">
        <v>125</v>
      </c>
      <c r="G39" s="82"/>
      <c r="H39" s="82" t="n">
        <v>6777</v>
      </c>
      <c r="I39" s="82"/>
      <c r="J39" s="82"/>
      <c r="K39" s="82"/>
      <c r="L39" s="82"/>
      <c r="M39" s="82"/>
      <c r="N39" s="82"/>
      <c r="O39" s="82"/>
      <c r="P39" s="82"/>
      <c r="Q39" s="82"/>
      <c r="R39" s="83" t="e">
        <f aca="false">Q39/$P39</f>
        <v>#DIV/0!</v>
      </c>
      <c r="S39" s="82"/>
      <c r="T39" s="83" t="e">
        <f aca="false">S39/$P39</f>
        <v>#DIV/0!</v>
      </c>
      <c r="U39" s="82"/>
      <c r="V39" s="83" t="e">
        <f aca="false">U39/$P39</f>
        <v>#DIV/0!</v>
      </c>
      <c r="W39" s="82"/>
      <c r="X39" s="83" t="e">
        <f aca="false">W39/$P39</f>
        <v>#DIV/0!</v>
      </c>
      <c r="Y39" s="82"/>
      <c r="Z39" s="84"/>
    </row>
    <row r="40" customFormat="false" ht="12.8" hidden="false" customHeight="false" outlineLevel="0" collapsed="false">
      <c r="D40" s="34"/>
      <c r="E40" s="35"/>
      <c r="F40" s="35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9"/>
      <c r="S40" s="78"/>
      <c r="T40" s="79"/>
      <c r="U40" s="78"/>
      <c r="V40" s="79"/>
      <c r="W40" s="78"/>
      <c r="X40" s="79"/>
      <c r="Y40" s="78"/>
      <c r="Z40" s="78"/>
    </row>
    <row r="41" customFormat="false" ht="12.8" hidden="false" customHeight="false" outlineLevel="0" collapsed="false">
      <c r="D41" s="66" t="s">
        <v>126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 t="e">
        <f aca="false">N41/$M41</f>
        <v>#DIV/0!</v>
      </c>
      <c r="P41" s="66"/>
      <c r="Q41" s="66" t="e">
        <f aca="false">P41/$M41</f>
        <v>#DIV/0!</v>
      </c>
      <c r="R41" s="66"/>
      <c r="S41" s="66" t="e">
        <f aca="false">R41/$M41</f>
        <v>#DIV/0!</v>
      </c>
      <c r="T41" s="66"/>
      <c r="U41" s="66" t="e">
        <f aca="false">T41/$M41</f>
        <v>#DIV/0!</v>
      </c>
      <c r="V41" s="66"/>
      <c r="W41" s="66"/>
      <c r="X41" s="66"/>
      <c r="Y41" s="66"/>
      <c r="Z41" s="66"/>
    </row>
    <row r="42" customFormat="false" ht="12.8" hidden="false" customHeight="false" outlineLevel="0" collapsed="false">
      <c r="D42" s="7" t="s">
        <v>33</v>
      </c>
      <c r="E42" s="7" t="s">
        <v>34</v>
      </c>
      <c r="F42" s="7" t="s">
        <v>35</v>
      </c>
      <c r="G42" s="7" t="s">
        <v>1</v>
      </c>
      <c r="H42" s="7" t="s">
        <v>2</v>
      </c>
      <c r="I42" s="7" t="s">
        <v>3</v>
      </c>
      <c r="J42" s="7" t="s">
        <v>4</v>
      </c>
      <c r="K42" s="7" t="s">
        <v>5</v>
      </c>
      <c r="L42" s="7" t="s">
        <v>6</v>
      </c>
      <c r="M42" s="7" t="s">
        <v>7</v>
      </c>
      <c r="N42" s="7" t="s">
        <v>8</v>
      </c>
      <c r="O42" s="7" t="s">
        <v>9</v>
      </c>
      <c r="P42" s="7" t="s">
        <v>10</v>
      </c>
      <c r="Q42" s="7" t="s">
        <v>11</v>
      </c>
      <c r="R42" s="8" t="s">
        <v>12</v>
      </c>
      <c r="S42" s="7" t="s">
        <v>13</v>
      </c>
      <c r="T42" s="8" t="s">
        <v>14</v>
      </c>
      <c r="U42" s="7" t="s">
        <v>15</v>
      </c>
      <c r="V42" s="8" t="s">
        <v>16</v>
      </c>
      <c r="W42" s="7" t="s">
        <v>17</v>
      </c>
      <c r="X42" s="8" t="s">
        <v>18</v>
      </c>
      <c r="Y42" s="7" t="s">
        <v>19</v>
      </c>
      <c r="Z42" s="7" t="s">
        <v>20</v>
      </c>
    </row>
    <row r="43" customFormat="false" ht="12.8" hidden="false" customHeight="false" outlineLevel="0" collapsed="false">
      <c r="D43" s="36" t="s">
        <v>120</v>
      </c>
      <c r="E43" s="10" t="n">
        <v>610</v>
      </c>
      <c r="F43" s="10" t="s">
        <v>121</v>
      </c>
      <c r="G43" s="11"/>
      <c r="H43" s="11"/>
      <c r="I43" s="11"/>
      <c r="J43" s="11"/>
      <c r="K43" s="37" t="n">
        <v>0</v>
      </c>
      <c r="L43" s="37"/>
      <c r="M43" s="37"/>
      <c r="N43" s="37"/>
      <c r="O43" s="37" t="n">
        <v>431</v>
      </c>
      <c r="P43" s="37" t="n">
        <f aca="false">K43+SUM(L43:O43)</f>
        <v>431</v>
      </c>
      <c r="Q43" s="37" t="n">
        <v>0</v>
      </c>
      <c r="R43" s="38" t="n">
        <f aca="false">Q43/$P43</f>
        <v>0</v>
      </c>
      <c r="S43" s="37" t="n">
        <v>0</v>
      </c>
      <c r="T43" s="38" t="n">
        <f aca="false">S43/$P43</f>
        <v>0</v>
      </c>
      <c r="U43" s="37" t="n">
        <v>0</v>
      </c>
      <c r="V43" s="38" t="n">
        <f aca="false">U43/$P43</f>
        <v>0</v>
      </c>
      <c r="W43" s="37" t="n">
        <v>431.27</v>
      </c>
      <c r="X43" s="38" t="n">
        <f aca="false">W43/$P43</f>
        <v>1.00062645011601</v>
      </c>
      <c r="Y43" s="37"/>
      <c r="Z43" s="37"/>
    </row>
    <row r="44" customFormat="false" ht="12.8" hidden="false" customHeight="false" outlineLevel="0" collapsed="false">
      <c r="D44" s="85" t="s">
        <v>21</v>
      </c>
      <c r="E44" s="86" t="n">
        <v>111</v>
      </c>
      <c r="F44" s="86" t="s">
        <v>127</v>
      </c>
      <c r="G44" s="87" t="n">
        <f aca="false">SUM(G43:G43)</f>
        <v>0</v>
      </c>
      <c r="H44" s="87" t="n">
        <f aca="false">SUM(H43:H43)</f>
        <v>0</v>
      </c>
      <c r="I44" s="87" t="n">
        <f aca="false">SUM(I43:I43)</f>
        <v>0</v>
      </c>
      <c r="J44" s="87" t="n">
        <f aca="false">SUM(J43:J43)</f>
        <v>0</v>
      </c>
      <c r="K44" s="87" t="n">
        <f aca="false">SUM(K43:K43)</f>
        <v>0</v>
      </c>
      <c r="L44" s="87" t="n">
        <f aca="false">SUM(L43:L43)</f>
        <v>0</v>
      </c>
      <c r="M44" s="87" t="n">
        <f aca="false">SUM(M43:M43)</f>
        <v>0</v>
      </c>
      <c r="N44" s="87" t="n">
        <f aca="false">SUM(N43:N43)</f>
        <v>0</v>
      </c>
      <c r="O44" s="87" t="n">
        <f aca="false">SUM(O43:O43)</f>
        <v>431</v>
      </c>
      <c r="P44" s="87" t="n">
        <f aca="false">SUM(P43:P43)</f>
        <v>431</v>
      </c>
      <c r="Q44" s="87" t="n">
        <f aca="false">SUM(Q43:Q43)</f>
        <v>0</v>
      </c>
      <c r="R44" s="88" t="n">
        <f aca="false">Q44/$P44</f>
        <v>0</v>
      </c>
      <c r="S44" s="87" t="n">
        <f aca="false">SUM(S43:S43)</f>
        <v>0</v>
      </c>
      <c r="T44" s="88" t="n">
        <f aca="false">S44/$P44</f>
        <v>0</v>
      </c>
      <c r="U44" s="87" t="n">
        <f aca="false">SUM(U43:U43)</f>
        <v>0</v>
      </c>
      <c r="V44" s="88" t="n">
        <f aca="false">U44/$P44</f>
        <v>0</v>
      </c>
      <c r="W44" s="87" t="n">
        <f aca="false">SUM(W43:W43)</f>
        <v>431.27</v>
      </c>
      <c r="X44" s="88" t="n">
        <f aca="false">W44/$P44</f>
        <v>1.00062645011601</v>
      </c>
      <c r="Y44" s="87" t="n">
        <f aca="false">SUM(Y43:Y43)</f>
        <v>0</v>
      </c>
      <c r="Z44" s="87" t="n">
        <f aca="false">SUM(Z43:Z43)</f>
        <v>0</v>
      </c>
    </row>
    <row r="45" customFormat="false" ht="12.8" hidden="false" customHeight="false" outlineLevel="0" collapsed="false">
      <c r="A45" s="1" t="n">
        <v>1</v>
      </c>
      <c r="B45" s="1" t="n">
        <v>1</v>
      </c>
      <c r="C45" s="1" t="n">
        <v>2</v>
      </c>
      <c r="D45" s="89" t="s">
        <v>120</v>
      </c>
      <c r="E45" s="10" t="n">
        <v>610</v>
      </c>
      <c r="F45" s="10" t="s">
        <v>121</v>
      </c>
      <c r="G45" s="11" t="n">
        <v>46254.4</v>
      </c>
      <c r="H45" s="11" t="n">
        <v>48214.27</v>
      </c>
      <c r="I45" s="11" t="n">
        <v>47517</v>
      </c>
      <c r="J45" s="11" t="n">
        <v>39593.61</v>
      </c>
      <c r="K45" s="37" t="n">
        <v>44910</v>
      </c>
      <c r="L45" s="37"/>
      <c r="M45" s="37"/>
      <c r="N45" s="37" t="n">
        <v>-229</v>
      </c>
      <c r="O45" s="37" t="n">
        <f aca="false">1805-431</f>
        <v>1374</v>
      </c>
      <c r="P45" s="37" t="n">
        <f aca="false">K45+SUM(L45:O45)</f>
        <v>46055</v>
      </c>
      <c r="Q45" s="37" t="n">
        <v>10450.71</v>
      </c>
      <c r="R45" s="38" t="n">
        <f aca="false">Q45/$P45</f>
        <v>0.226918032786885</v>
      </c>
      <c r="S45" s="37" t="n">
        <v>21785.54</v>
      </c>
      <c r="T45" s="38" t="n">
        <f aca="false">S45/$P45</f>
        <v>0.473033112582781</v>
      </c>
      <c r="U45" s="37" t="n">
        <v>32724.95</v>
      </c>
      <c r="V45" s="38" t="n">
        <f aca="false">U45/$P45</f>
        <v>0.710562371078059</v>
      </c>
      <c r="W45" s="37" t="n">
        <v>46054.6</v>
      </c>
      <c r="X45" s="38" t="n">
        <f aca="false">W45/$P45</f>
        <v>0.999991314732385</v>
      </c>
      <c r="Y45" s="11" t="n">
        <v>46635</v>
      </c>
      <c r="Z45" s="11" t="n">
        <v>48429</v>
      </c>
    </row>
    <row r="46" customFormat="false" ht="12.8" hidden="false" customHeight="false" outlineLevel="0" collapsed="false">
      <c r="A46" s="1" t="n">
        <v>1</v>
      </c>
      <c r="B46" s="1" t="n">
        <v>1</v>
      </c>
      <c r="C46" s="1" t="n">
        <v>2</v>
      </c>
      <c r="D46" s="89"/>
      <c r="E46" s="10" t="n">
        <v>620</v>
      </c>
      <c r="F46" s="10" t="s">
        <v>122</v>
      </c>
      <c r="G46" s="11" t="n">
        <v>16286.66</v>
      </c>
      <c r="H46" s="11" t="n">
        <v>17328.6</v>
      </c>
      <c r="I46" s="11" t="n">
        <v>18359</v>
      </c>
      <c r="J46" s="11" t="n">
        <v>16359.24</v>
      </c>
      <c r="K46" s="11" t="n">
        <v>16843</v>
      </c>
      <c r="L46" s="11"/>
      <c r="M46" s="11"/>
      <c r="N46" s="11"/>
      <c r="O46" s="11" t="n">
        <v>468</v>
      </c>
      <c r="P46" s="11" t="n">
        <f aca="false">K46+SUM(L46:O46)</f>
        <v>17311</v>
      </c>
      <c r="Q46" s="11" t="n">
        <v>4071.64</v>
      </c>
      <c r="R46" s="12" t="n">
        <f aca="false">Q46/$P46</f>
        <v>0.235205360753278</v>
      </c>
      <c r="S46" s="11" t="n">
        <v>8234.68</v>
      </c>
      <c r="T46" s="12" t="n">
        <f aca="false">S46/$P46</f>
        <v>0.475690601351742</v>
      </c>
      <c r="U46" s="11" t="n">
        <v>12255.15</v>
      </c>
      <c r="V46" s="12" t="n">
        <f aca="false">U46/$P46</f>
        <v>0.707940038126047</v>
      </c>
      <c r="W46" s="11" t="n">
        <v>17312.18</v>
      </c>
      <c r="X46" s="12" t="n">
        <f aca="false">W46/$P46</f>
        <v>1.00006816475074</v>
      </c>
      <c r="Y46" s="11" t="n">
        <v>18457</v>
      </c>
      <c r="Z46" s="11" t="n">
        <v>19128</v>
      </c>
    </row>
    <row r="47" customFormat="false" ht="12.8" hidden="false" customHeight="false" outlineLevel="0" collapsed="false">
      <c r="A47" s="1" t="n">
        <v>1</v>
      </c>
      <c r="B47" s="1" t="n">
        <v>1</v>
      </c>
      <c r="C47" s="1" t="n">
        <v>2</v>
      </c>
      <c r="D47" s="89"/>
      <c r="E47" s="10" t="n">
        <v>630</v>
      </c>
      <c r="F47" s="10" t="s">
        <v>123</v>
      </c>
      <c r="G47" s="11" t="n">
        <v>3019.15</v>
      </c>
      <c r="H47" s="11" t="n">
        <v>5447.21</v>
      </c>
      <c r="I47" s="11" t="n">
        <v>9389</v>
      </c>
      <c r="J47" s="11" t="n">
        <v>9911.81</v>
      </c>
      <c r="K47" s="11" t="n">
        <v>3283</v>
      </c>
      <c r="L47" s="11"/>
      <c r="M47" s="11" t="n">
        <v>187</v>
      </c>
      <c r="N47" s="11" t="n">
        <v>741</v>
      </c>
      <c r="O47" s="11" t="n">
        <v>561</v>
      </c>
      <c r="P47" s="11" t="n">
        <f aca="false">K47+SUM(L47:O47)</f>
        <v>4772</v>
      </c>
      <c r="Q47" s="11" t="n">
        <v>1765.23</v>
      </c>
      <c r="R47" s="12" t="n">
        <f aca="false">Q47/$P47</f>
        <v>0.369914082145851</v>
      </c>
      <c r="S47" s="11" t="n">
        <v>2917.45</v>
      </c>
      <c r="T47" s="12" t="n">
        <f aca="false">S47/$P47</f>
        <v>0.611368398994132</v>
      </c>
      <c r="U47" s="11" t="n">
        <v>3833.66</v>
      </c>
      <c r="V47" s="12" t="n">
        <f aca="false">U47/$P47</f>
        <v>0.803365465213747</v>
      </c>
      <c r="W47" s="11" t="n">
        <v>4771.82</v>
      </c>
      <c r="X47" s="12" t="n">
        <f aca="false">W47/$P47</f>
        <v>0.999962279966471</v>
      </c>
      <c r="Y47" s="11" t="n">
        <v>3303</v>
      </c>
      <c r="Z47" s="11" t="n">
        <v>3362</v>
      </c>
    </row>
    <row r="48" customFormat="false" ht="12.8" hidden="false" customHeight="false" outlineLevel="0" collapsed="false">
      <c r="A48" s="1" t="n">
        <v>1</v>
      </c>
      <c r="B48" s="1" t="n">
        <v>1</v>
      </c>
      <c r="C48" s="1" t="n">
        <v>2</v>
      </c>
      <c r="D48" s="89"/>
      <c r="E48" s="10" t="n">
        <v>640</v>
      </c>
      <c r="F48" s="10" t="s">
        <v>124</v>
      </c>
      <c r="G48" s="11" t="n">
        <v>68.31</v>
      </c>
      <c r="H48" s="11" t="n">
        <v>767.93</v>
      </c>
      <c r="I48" s="11" t="n">
        <v>1051</v>
      </c>
      <c r="J48" s="11" t="n">
        <v>1755</v>
      </c>
      <c r="K48" s="11" t="n">
        <v>0</v>
      </c>
      <c r="L48" s="11"/>
      <c r="M48" s="11"/>
      <c r="N48" s="11" t="n">
        <v>229</v>
      </c>
      <c r="O48" s="11"/>
      <c r="P48" s="11" t="n">
        <f aca="false">K48+SUM(L48:O48)</f>
        <v>229</v>
      </c>
      <c r="Q48" s="11" t="n">
        <v>0</v>
      </c>
      <c r="R48" s="12" t="n">
        <f aca="false">Q48/$P48</f>
        <v>0</v>
      </c>
      <c r="S48" s="11" t="n">
        <v>0</v>
      </c>
      <c r="T48" s="12" t="n">
        <f aca="false">S48/$P48</f>
        <v>0</v>
      </c>
      <c r="U48" s="11" t="n">
        <v>228.94</v>
      </c>
      <c r="V48" s="12" t="n">
        <f aca="false">U48/$P48</f>
        <v>0.999737991266376</v>
      </c>
      <c r="W48" s="11" t="n">
        <v>228.94</v>
      </c>
      <c r="X48" s="12" t="n">
        <f aca="false">W48/$P48</f>
        <v>0.999737991266376</v>
      </c>
      <c r="Y48" s="11" t="n">
        <v>0</v>
      </c>
      <c r="Z48" s="11" t="n">
        <v>0</v>
      </c>
    </row>
    <row r="49" customFormat="false" ht="12.8" hidden="false" customHeight="false" outlineLevel="0" collapsed="false">
      <c r="D49" s="85" t="s">
        <v>21</v>
      </c>
      <c r="E49" s="86" t="n">
        <v>41</v>
      </c>
      <c r="F49" s="86" t="s">
        <v>23</v>
      </c>
      <c r="G49" s="87" t="n">
        <f aca="false">SUM(G45:G48)</f>
        <v>65628.52</v>
      </c>
      <c r="H49" s="87" t="n">
        <f aca="false">SUM(H45:H48)</f>
        <v>71758.01</v>
      </c>
      <c r="I49" s="87" t="n">
        <f aca="false">SUM(I45:I48)</f>
        <v>76316</v>
      </c>
      <c r="J49" s="87" t="n">
        <f aca="false">SUM(J45:J48)</f>
        <v>67619.66</v>
      </c>
      <c r="K49" s="87" t="n">
        <f aca="false">SUM(K45:K48)</f>
        <v>65036</v>
      </c>
      <c r="L49" s="87" t="n">
        <f aca="false">SUM(L45:L48)</f>
        <v>0</v>
      </c>
      <c r="M49" s="87" t="n">
        <f aca="false">SUM(M45:M48)</f>
        <v>187</v>
      </c>
      <c r="N49" s="87" t="n">
        <f aca="false">SUM(N45:N48)</f>
        <v>741</v>
      </c>
      <c r="O49" s="87" t="n">
        <f aca="false">SUM(O45:O48)</f>
        <v>2403</v>
      </c>
      <c r="P49" s="87" t="n">
        <f aca="false">SUM(P45:P48)</f>
        <v>68367</v>
      </c>
      <c r="Q49" s="87" t="n">
        <f aca="false">SUM(Q45:Q48)</f>
        <v>16287.58</v>
      </c>
      <c r="R49" s="88" t="n">
        <f aca="false">Q49/$P49</f>
        <v>0.238237453742303</v>
      </c>
      <c r="S49" s="87" t="n">
        <f aca="false">SUM(S45:S48)</f>
        <v>32937.67</v>
      </c>
      <c r="T49" s="88" t="n">
        <f aca="false">S49/$P49</f>
        <v>0.481777319466994</v>
      </c>
      <c r="U49" s="87" t="n">
        <f aca="false">SUM(U45:U48)</f>
        <v>49042.7</v>
      </c>
      <c r="V49" s="88" t="n">
        <f aca="false">U49/$P49</f>
        <v>0.717344625330934</v>
      </c>
      <c r="W49" s="87" t="n">
        <f aca="false">SUM(W45:W48)</f>
        <v>68367.54</v>
      </c>
      <c r="X49" s="88" t="n">
        <f aca="false">W49/$P49</f>
        <v>1.00000789854754</v>
      </c>
      <c r="Y49" s="87" t="n">
        <f aca="false">SUM(Y45:Y48)</f>
        <v>68395</v>
      </c>
      <c r="Z49" s="87" t="n">
        <f aca="false">SUM(Z45:Z48)</f>
        <v>70919</v>
      </c>
    </row>
    <row r="50" customFormat="false" ht="12.8" hidden="false" customHeight="false" outlineLevel="0" collapsed="false">
      <c r="A50" s="1" t="n">
        <v>1</v>
      </c>
      <c r="B50" s="1" t="n">
        <v>1</v>
      </c>
      <c r="C50" s="1" t="n">
        <v>2</v>
      </c>
      <c r="D50" s="90"/>
      <c r="E50" s="91"/>
      <c r="F50" s="14" t="s">
        <v>116</v>
      </c>
      <c r="G50" s="15" t="n">
        <f aca="false">G44+G49</f>
        <v>65628.52</v>
      </c>
      <c r="H50" s="15" t="n">
        <f aca="false">H44+H49</f>
        <v>71758.01</v>
      </c>
      <c r="I50" s="15" t="n">
        <f aca="false">I44+I49</f>
        <v>76316</v>
      </c>
      <c r="J50" s="15" t="n">
        <f aca="false">J44+J49</f>
        <v>67619.66</v>
      </c>
      <c r="K50" s="15" t="n">
        <f aca="false">K44+K49</f>
        <v>65036</v>
      </c>
      <c r="L50" s="15" t="n">
        <f aca="false">L44+L49</f>
        <v>0</v>
      </c>
      <c r="M50" s="15" t="n">
        <f aca="false">M44+M49</f>
        <v>187</v>
      </c>
      <c r="N50" s="15" t="n">
        <f aca="false">N44+N49</f>
        <v>741</v>
      </c>
      <c r="O50" s="15" t="n">
        <f aca="false">O44+O49</f>
        <v>2834</v>
      </c>
      <c r="P50" s="15" t="n">
        <f aca="false">P44+P49</f>
        <v>68798</v>
      </c>
      <c r="Q50" s="15" t="n">
        <f aca="false">Q44+Q49</f>
        <v>16287.58</v>
      </c>
      <c r="R50" s="16" t="n">
        <f aca="false">Q50/$P50</f>
        <v>0.236744963516381</v>
      </c>
      <c r="S50" s="15" t="n">
        <f aca="false">S44+S49</f>
        <v>32937.67</v>
      </c>
      <c r="T50" s="16" t="n">
        <f aca="false">S50/$P50</f>
        <v>0.478759120904677</v>
      </c>
      <c r="U50" s="15" t="n">
        <f aca="false">U44+U49</f>
        <v>49042.7</v>
      </c>
      <c r="V50" s="16" t="n">
        <f aca="false">U50/$P50</f>
        <v>0.712850664263496</v>
      </c>
      <c r="W50" s="15" t="n">
        <f aca="false">W44+W49</f>
        <v>68798.81</v>
      </c>
      <c r="X50" s="16" t="n">
        <f aca="false">W50/$P50</f>
        <v>1.00001177359807</v>
      </c>
      <c r="Y50" s="15" t="n">
        <f aca="false">Y44+Y49</f>
        <v>68395</v>
      </c>
      <c r="Z50" s="15" t="n">
        <f aca="false">Z44+Z49</f>
        <v>70919</v>
      </c>
    </row>
    <row r="51" customFormat="false" ht="12.8" hidden="false" customHeight="false" outlineLevel="0" collapsed="false">
      <c r="D51" s="34"/>
      <c r="E51" s="35"/>
      <c r="F51" s="35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9"/>
      <c r="S51" s="78"/>
      <c r="T51" s="79"/>
      <c r="U51" s="78"/>
      <c r="V51" s="79"/>
      <c r="W51" s="78"/>
      <c r="X51" s="79"/>
      <c r="Y51" s="78"/>
      <c r="Z51" s="78"/>
    </row>
    <row r="52" customFormat="false" ht="12.8" hidden="false" customHeight="false" outlineLevel="0" collapsed="false">
      <c r="D52" s="66" t="s">
        <v>128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 t="e">
        <f aca="false">N52/$M52</f>
        <v>#DIV/0!</v>
      </c>
      <c r="P52" s="66"/>
      <c r="Q52" s="66" t="e">
        <f aca="false">P52/$M52</f>
        <v>#DIV/0!</v>
      </c>
      <c r="R52" s="66"/>
      <c r="S52" s="66" t="e">
        <f aca="false">R52/$M52</f>
        <v>#DIV/0!</v>
      </c>
      <c r="T52" s="66"/>
      <c r="U52" s="66" t="e">
        <f aca="false">T52/$M52</f>
        <v>#DIV/0!</v>
      </c>
      <c r="V52" s="66"/>
      <c r="W52" s="66"/>
      <c r="X52" s="66"/>
      <c r="Y52" s="66"/>
      <c r="Z52" s="66"/>
    </row>
    <row r="53" customFormat="false" ht="12.8" hidden="false" customHeight="false" outlineLevel="0" collapsed="false">
      <c r="D53" s="7" t="s">
        <v>33</v>
      </c>
      <c r="E53" s="7" t="s">
        <v>34</v>
      </c>
      <c r="F53" s="7" t="s">
        <v>35</v>
      </c>
      <c r="G53" s="7" t="s">
        <v>1</v>
      </c>
      <c r="H53" s="7" t="s">
        <v>2</v>
      </c>
      <c r="I53" s="7" t="s">
        <v>3</v>
      </c>
      <c r="J53" s="7" t="s">
        <v>4</v>
      </c>
      <c r="K53" s="7" t="s">
        <v>5</v>
      </c>
      <c r="L53" s="7" t="s">
        <v>6</v>
      </c>
      <c r="M53" s="7" t="s">
        <v>7</v>
      </c>
      <c r="N53" s="7" t="s">
        <v>8</v>
      </c>
      <c r="O53" s="7" t="s">
        <v>9</v>
      </c>
      <c r="P53" s="7" t="s">
        <v>10</v>
      </c>
      <c r="Q53" s="7" t="s">
        <v>11</v>
      </c>
      <c r="R53" s="8" t="s">
        <v>12</v>
      </c>
      <c r="S53" s="7" t="s">
        <v>13</v>
      </c>
      <c r="T53" s="8" t="s">
        <v>14</v>
      </c>
      <c r="U53" s="7" t="s">
        <v>15</v>
      </c>
      <c r="V53" s="8" t="s">
        <v>16</v>
      </c>
      <c r="W53" s="7" t="s">
        <v>17</v>
      </c>
      <c r="X53" s="8" t="s">
        <v>18</v>
      </c>
      <c r="Y53" s="7" t="s">
        <v>19</v>
      </c>
      <c r="Z53" s="7" t="s">
        <v>20</v>
      </c>
    </row>
    <row r="54" customFormat="false" ht="12.8" hidden="false" customHeight="false" outlineLevel="0" collapsed="false">
      <c r="A54" s="1" t="n">
        <v>1</v>
      </c>
      <c r="B54" s="1" t="n">
        <v>1</v>
      </c>
      <c r="C54" s="1" t="n">
        <v>3</v>
      </c>
      <c r="D54" s="36" t="s">
        <v>129</v>
      </c>
      <c r="E54" s="10" t="n">
        <v>610</v>
      </c>
      <c r="F54" s="10" t="s">
        <v>121</v>
      </c>
      <c r="G54" s="11" t="n">
        <v>8533.22</v>
      </c>
      <c r="H54" s="11" t="n">
        <v>8310.74</v>
      </c>
      <c r="I54" s="11" t="n">
        <v>3468</v>
      </c>
      <c r="J54" s="11" t="n">
        <v>3556</v>
      </c>
      <c r="K54" s="11" t="n">
        <f aca="false">ROUND(J54*J54/I54,0)</f>
        <v>3646</v>
      </c>
      <c r="L54" s="11"/>
      <c r="M54" s="11"/>
      <c r="N54" s="11"/>
      <c r="O54" s="11" t="n">
        <v>28</v>
      </c>
      <c r="P54" s="11" t="n">
        <f aca="false">K54+SUM(L54:O54)</f>
        <v>3674</v>
      </c>
      <c r="Q54" s="11" t="n">
        <v>891</v>
      </c>
      <c r="R54" s="12" t="n">
        <f aca="false">Q54/$P54</f>
        <v>0.24251497005988</v>
      </c>
      <c r="S54" s="11" t="n">
        <v>1782</v>
      </c>
      <c r="T54" s="12" t="n">
        <f aca="false">S54/$P54</f>
        <v>0.48502994011976</v>
      </c>
      <c r="U54" s="11" t="n">
        <v>2753</v>
      </c>
      <c r="V54" s="12" t="n">
        <f aca="false">U54/$P54</f>
        <v>0.749319542732716</v>
      </c>
      <c r="W54" s="11" t="n">
        <v>3674</v>
      </c>
      <c r="X54" s="12" t="n">
        <f aca="false">W54/$P54</f>
        <v>1</v>
      </c>
      <c r="Y54" s="11" t="n">
        <f aca="false">ROUND(K54*K54/J54,0)</f>
        <v>3738</v>
      </c>
      <c r="Z54" s="11" t="n">
        <f aca="false">ROUND(Y54*Y54/K54,0)</f>
        <v>3832</v>
      </c>
    </row>
    <row r="55" customFormat="false" ht="12.8" hidden="false" customHeight="false" outlineLevel="0" collapsed="false">
      <c r="A55" s="1" t="n">
        <v>1</v>
      </c>
      <c r="B55" s="1" t="n">
        <v>1</v>
      </c>
      <c r="C55" s="1" t="n">
        <v>3</v>
      </c>
      <c r="D55" s="36"/>
      <c r="E55" s="10" t="n">
        <v>620</v>
      </c>
      <c r="F55" s="10" t="s">
        <v>122</v>
      </c>
      <c r="G55" s="11" t="n">
        <v>2995.51</v>
      </c>
      <c r="H55" s="11" t="n">
        <v>2917.24</v>
      </c>
      <c r="I55" s="11" t="n">
        <v>1214</v>
      </c>
      <c r="J55" s="11" t="n">
        <v>1242.47</v>
      </c>
      <c r="K55" s="11" t="n">
        <f aca="false">ROUND(J55*J55/I55,0)</f>
        <v>1272</v>
      </c>
      <c r="L55" s="11"/>
      <c r="M55" s="11"/>
      <c r="N55" s="11"/>
      <c r="O55" s="11" t="n">
        <v>10</v>
      </c>
      <c r="P55" s="11" t="n">
        <f aca="false">K55+SUM(L55:O55)</f>
        <v>1282</v>
      </c>
      <c r="Q55" s="11" t="n">
        <v>311.34</v>
      </c>
      <c r="R55" s="12" t="n">
        <f aca="false">Q55/$P55</f>
        <v>0.242854914196568</v>
      </c>
      <c r="S55" s="11" t="n">
        <v>622.68</v>
      </c>
      <c r="T55" s="12" t="n">
        <f aca="false">S55/$P55</f>
        <v>0.485709828393136</v>
      </c>
      <c r="U55" s="11" t="n">
        <v>961.99</v>
      </c>
      <c r="V55" s="12" t="n">
        <f aca="false">U55/$P55</f>
        <v>0.750382215288612</v>
      </c>
      <c r="W55" s="11" t="n">
        <v>1283.83</v>
      </c>
      <c r="X55" s="12" t="n">
        <f aca="false">W55/$P55</f>
        <v>1.00142745709828</v>
      </c>
      <c r="Y55" s="11" t="n">
        <f aca="false">ROUND(K55*K55/J55,0)</f>
        <v>1302</v>
      </c>
      <c r="Z55" s="11" t="n">
        <f aca="false">ROUND(Y55*Y55/K55,0)</f>
        <v>1333</v>
      </c>
    </row>
    <row r="56" customFormat="false" ht="12.8" hidden="false" customHeight="false" outlineLevel="0" collapsed="false">
      <c r="A56" s="1" t="n">
        <v>1</v>
      </c>
      <c r="B56" s="1" t="n">
        <v>1</v>
      </c>
      <c r="C56" s="1" t="n">
        <v>3</v>
      </c>
      <c r="D56" s="36"/>
      <c r="E56" s="10" t="n">
        <v>630</v>
      </c>
      <c r="F56" s="10" t="s">
        <v>123</v>
      </c>
      <c r="G56" s="11" t="n">
        <v>969.53</v>
      </c>
      <c r="H56" s="11" t="n">
        <v>1220.34</v>
      </c>
      <c r="I56" s="11" t="n">
        <v>1697</v>
      </c>
      <c r="J56" s="11" t="n">
        <v>3523.71</v>
      </c>
      <c r="K56" s="11" t="n">
        <v>1526</v>
      </c>
      <c r="L56" s="11"/>
      <c r="M56" s="11"/>
      <c r="N56" s="11"/>
      <c r="O56" s="11" t="n">
        <v>-13</v>
      </c>
      <c r="P56" s="11" t="n">
        <f aca="false">K56+SUM(L56:O56)</f>
        <v>1513</v>
      </c>
      <c r="Q56" s="11" t="n">
        <v>51.11</v>
      </c>
      <c r="R56" s="12" t="n">
        <f aca="false">Q56/$P56</f>
        <v>0.0337805684071381</v>
      </c>
      <c r="S56" s="11" t="n">
        <v>1418.86</v>
      </c>
      <c r="T56" s="12" t="n">
        <f aca="false">S56/$P56</f>
        <v>0.937779246530073</v>
      </c>
      <c r="U56" s="11" t="n">
        <v>1461.51</v>
      </c>
      <c r="V56" s="12" t="n">
        <f aca="false">U56/$P56</f>
        <v>0.96596827495043</v>
      </c>
      <c r="W56" s="11" t="n">
        <v>1512.96</v>
      </c>
      <c r="X56" s="12" t="n">
        <f aca="false">W56/$P56</f>
        <v>0.999973562458691</v>
      </c>
      <c r="Y56" s="11" t="n">
        <f aca="false">K56</f>
        <v>1526</v>
      </c>
      <c r="Z56" s="11" t="n">
        <f aca="false">Y56</f>
        <v>1526</v>
      </c>
    </row>
    <row r="57" customFormat="false" ht="12.8" hidden="false" customHeight="false" outlineLevel="0" collapsed="false">
      <c r="A57" s="1" t="n">
        <v>1</v>
      </c>
      <c r="B57" s="1" t="n">
        <v>1</v>
      </c>
      <c r="C57" s="1" t="n">
        <v>3</v>
      </c>
      <c r="D57" s="75" t="s">
        <v>21</v>
      </c>
      <c r="E57" s="14" t="n">
        <v>41</v>
      </c>
      <c r="F57" s="14" t="s">
        <v>23</v>
      </c>
      <c r="G57" s="15" t="n">
        <f aca="false">SUM(G54:G56)</f>
        <v>12498.26</v>
      </c>
      <c r="H57" s="15" t="n">
        <f aca="false">SUM(H54:H56)</f>
        <v>12448.32</v>
      </c>
      <c r="I57" s="15" t="n">
        <f aca="false">SUM(I54:I56)</f>
        <v>6379</v>
      </c>
      <c r="J57" s="15" t="n">
        <f aca="false">SUM(J54:J56)</f>
        <v>8322.18</v>
      </c>
      <c r="K57" s="15" t="n">
        <f aca="false">SUM(K54:K56)</f>
        <v>6444</v>
      </c>
      <c r="L57" s="15" t="n">
        <f aca="false">SUM(L54:L56)</f>
        <v>0</v>
      </c>
      <c r="M57" s="15" t="n">
        <f aca="false">SUM(M54:M56)</f>
        <v>0</v>
      </c>
      <c r="N57" s="15" t="n">
        <f aca="false">SUM(N54:N56)</f>
        <v>0</v>
      </c>
      <c r="O57" s="15" t="n">
        <f aca="false">SUM(O54:O56)</f>
        <v>25</v>
      </c>
      <c r="P57" s="15" t="n">
        <f aca="false">SUM(P54:P56)</f>
        <v>6469</v>
      </c>
      <c r="Q57" s="15" t="n">
        <f aca="false">SUM(Q54:Q56)</f>
        <v>1253.45</v>
      </c>
      <c r="R57" s="16" t="n">
        <f aca="false">Q57/$P57</f>
        <v>0.193762559901067</v>
      </c>
      <c r="S57" s="15" t="n">
        <f aca="false">SUM(S54:S56)</f>
        <v>3823.54</v>
      </c>
      <c r="T57" s="16" t="n">
        <f aca="false">S57/$P57</f>
        <v>0.591055804606585</v>
      </c>
      <c r="U57" s="15" t="n">
        <f aca="false">SUM(U54:U56)</f>
        <v>5176.5</v>
      </c>
      <c r="V57" s="16" t="n">
        <f aca="false">U57/$P57</f>
        <v>0.800200958417066</v>
      </c>
      <c r="W57" s="15" t="n">
        <f aca="false">SUM(W54:W56)</f>
        <v>6470.79</v>
      </c>
      <c r="X57" s="16" t="n">
        <f aca="false">W57/$P57</f>
        <v>1.00027670428196</v>
      </c>
      <c r="Y57" s="15" t="n">
        <f aca="false">SUM(Y54:Y56)</f>
        <v>6566</v>
      </c>
      <c r="Z57" s="15" t="n">
        <f aca="false">SUM(Z54:Z56)</f>
        <v>6691</v>
      </c>
    </row>
    <row r="58" customFormat="false" ht="12.8" hidden="false" customHeight="false" outlineLevel="0" collapsed="false">
      <c r="D58" s="34"/>
      <c r="E58" s="35"/>
      <c r="F58" s="35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9"/>
      <c r="S58" s="78"/>
      <c r="T58" s="79"/>
      <c r="U58" s="78"/>
      <c r="V58" s="79"/>
      <c r="W58" s="78"/>
      <c r="X58" s="79"/>
      <c r="Y58" s="78"/>
      <c r="Z58" s="78"/>
    </row>
    <row r="59" customFormat="false" ht="12.8" hidden="false" customHeight="false" outlineLevel="0" collapsed="false">
      <c r="D59" s="66" t="s">
        <v>130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 t="e">
        <f aca="false">N59/$M59</f>
        <v>#DIV/0!</v>
      </c>
      <c r="P59" s="66"/>
      <c r="Q59" s="66" t="e">
        <f aca="false">P59/$M59</f>
        <v>#DIV/0!</v>
      </c>
      <c r="R59" s="66"/>
      <c r="S59" s="66" t="e">
        <f aca="false">R59/$M59</f>
        <v>#DIV/0!</v>
      </c>
      <c r="T59" s="66"/>
      <c r="U59" s="66" t="e">
        <f aca="false">T59/$M59</f>
        <v>#DIV/0!</v>
      </c>
      <c r="V59" s="66"/>
      <c r="W59" s="66"/>
      <c r="X59" s="66"/>
      <c r="Y59" s="66"/>
      <c r="Z59" s="66"/>
    </row>
    <row r="60" customFormat="false" ht="12.8" hidden="false" customHeight="false" outlineLevel="0" collapsed="false">
      <c r="D60" s="7" t="s">
        <v>33</v>
      </c>
      <c r="E60" s="7" t="s">
        <v>34</v>
      </c>
      <c r="F60" s="7" t="s">
        <v>35</v>
      </c>
      <c r="G60" s="7" t="s">
        <v>1</v>
      </c>
      <c r="H60" s="7" t="s">
        <v>2</v>
      </c>
      <c r="I60" s="7" t="s">
        <v>3</v>
      </c>
      <c r="J60" s="7" t="s">
        <v>4</v>
      </c>
      <c r="K60" s="7" t="s">
        <v>5</v>
      </c>
      <c r="L60" s="7" t="s">
        <v>6</v>
      </c>
      <c r="M60" s="7" t="s">
        <v>7</v>
      </c>
      <c r="N60" s="7" t="s">
        <v>8</v>
      </c>
      <c r="O60" s="7" t="s">
        <v>9</v>
      </c>
      <c r="P60" s="7" t="s">
        <v>10</v>
      </c>
      <c r="Q60" s="7" t="s">
        <v>11</v>
      </c>
      <c r="R60" s="8" t="s">
        <v>12</v>
      </c>
      <c r="S60" s="7" t="s">
        <v>13</v>
      </c>
      <c r="T60" s="8" t="s">
        <v>14</v>
      </c>
      <c r="U60" s="7" t="s">
        <v>15</v>
      </c>
      <c r="V60" s="8" t="s">
        <v>16</v>
      </c>
      <c r="W60" s="7" t="s">
        <v>17</v>
      </c>
      <c r="X60" s="8" t="s">
        <v>18</v>
      </c>
      <c r="Y60" s="7" t="s">
        <v>19</v>
      </c>
      <c r="Z60" s="7" t="s">
        <v>20</v>
      </c>
    </row>
    <row r="61" customFormat="false" ht="12.8" hidden="false" customHeight="false" outlineLevel="0" collapsed="false">
      <c r="A61" s="1" t="n">
        <v>1</v>
      </c>
      <c r="B61" s="1" t="n">
        <v>1</v>
      </c>
      <c r="C61" s="1" t="n">
        <v>4</v>
      </c>
      <c r="D61" s="89" t="s">
        <v>120</v>
      </c>
      <c r="E61" s="10" t="n">
        <v>630</v>
      </c>
      <c r="F61" s="10" t="s">
        <v>123</v>
      </c>
      <c r="G61" s="11" t="n">
        <v>6343.63</v>
      </c>
      <c r="H61" s="11" t="n">
        <v>11444.65</v>
      </c>
      <c r="I61" s="11" t="n">
        <v>16872</v>
      </c>
      <c r="J61" s="11" t="n">
        <v>11905.01</v>
      </c>
      <c r="K61" s="11" t="n">
        <f aca="false">14520+2500+20000</f>
        <v>37020</v>
      </c>
      <c r="L61" s="11"/>
      <c r="M61" s="11"/>
      <c r="N61" s="11" t="n">
        <f aca="false">-1819-95</f>
        <v>-1914</v>
      </c>
      <c r="O61" s="11" t="n">
        <f aca="false">-11-2004-80</f>
        <v>-2095</v>
      </c>
      <c r="P61" s="11" t="n">
        <f aca="false">K61+SUM(L61:O61)</f>
        <v>33011</v>
      </c>
      <c r="Q61" s="11" t="n">
        <v>2508.98</v>
      </c>
      <c r="R61" s="12" t="n">
        <f aca="false">Q61/$P61</f>
        <v>0.0760043621823029</v>
      </c>
      <c r="S61" s="11" t="n">
        <v>5766.6</v>
      </c>
      <c r="T61" s="12" t="n">
        <f aca="false">S61/$P61</f>
        <v>0.174687225470298</v>
      </c>
      <c r="U61" s="11" t="n">
        <v>13962.11</v>
      </c>
      <c r="V61" s="12" t="n">
        <f aca="false">U61/$P61</f>
        <v>0.422953258004907</v>
      </c>
      <c r="W61" s="11" t="n">
        <v>26035.41</v>
      </c>
      <c r="X61" s="12" t="n">
        <f aca="false">W61/$P61</f>
        <v>0.788688921874527</v>
      </c>
      <c r="Y61" s="11" t="n">
        <f aca="false">K61-20000</f>
        <v>17020</v>
      </c>
      <c r="Z61" s="11" t="n">
        <f aca="false">Y61</f>
        <v>17020</v>
      </c>
    </row>
    <row r="62" customFormat="false" ht="12.8" hidden="false" customHeight="false" outlineLevel="0" collapsed="false">
      <c r="A62" s="1" t="n">
        <v>1</v>
      </c>
      <c r="B62" s="1" t="n">
        <v>1</v>
      </c>
      <c r="C62" s="1" t="n">
        <v>4</v>
      </c>
      <c r="D62" s="89" t="s">
        <v>129</v>
      </c>
      <c r="E62" s="10" t="n">
        <v>630</v>
      </c>
      <c r="F62" s="10" t="s">
        <v>131</v>
      </c>
      <c r="G62" s="11" t="n">
        <v>1678.89</v>
      </c>
      <c r="H62" s="11" t="n">
        <v>248.86</v>
      </c>
      <c r="I62" s="11" t="n">
        <v>258</v>
      </c>
      <c r="J62" s="11" t="n">
        <v>430.98</v>
      </c>
      <c r="K62" s="11" t="n">
        <v>300</v>
      </c>
      <c r="L62" s="11"/>
      <c r="M62" s="11"/>
      <c r="N62" s="11" t="n">
        <v>95</v>
      </c>
      <c r="O62" s="11" t="n">
        <f aca="false">80+11</f>
        <v>91</v>
      </c>
      <c r="P62" s="11" t="n">
        <f aca="false">K62+SUM(L62:O62)</f>
        <v>486</v>
      </c>
      <c r="Q62" s="11" t="n">
        <v>85.33</v>
      </c>
      <c r="R62" s="12" t="n">
        <f aca="false">Q62/$P62</f>
        <v>0.175576131687243</v>
      </c>
      <c r="S62" s="11" t="n">
        <v>196.34</v>
      </c>
      <c r="T62" s="12" t="n">
        <f aca="false">S62/$P62</f>
        <v>0.403991769547325</v>
      </c>
      <c r="U62" s="11" t="n">
        <v>304.71</v>
      </c>
      <c r="V62" s="12" t="n">
        <f aca="false">U62/$P62</f>
        <v>0.626975308641975</v>
      </c>
      <c r="W62" s="11" t="n">
        <v>486.39</v>
      </c>
      <c r="X62" s="12" t="n">
        <f aca="false">W62/$P62</f>
        <v>1.0008024691358</v>
      </c>
      <c r="Y62" s="11" t="n">
        <f aca="false">K62</f>
        <v>300</v>
      </c>
      <c r="Z62" s="11" t="n">
        <f aca="false">Y62</f>
        <v>300</v>
      </c>
    </row>
    <row r="63" customFormat="false" ht="12.8" hidden="false" customHeight="false" outlineLevel="0" collapsed="false">
      <c r="A63" s="1" t="n">
        <v>1</v>
      </c>
      <c r="B63" s="1" t="n">
        <v>1</v>
      </c>
      <c r="C63" s="1" t="n">
        <v>4</v>
      </c>
      <c r="D63" s="75" t="s">
        <v>21</v>
      </c>
      <c r="E63" s="14" t="n">
        <v>41</v>
      </c>
      <c r="F63" s="14" t="s">
        <v>23</v>
      </c>
      <c r="G63" s="15" t="n">
        <f aca="false">SUM(G61:G62)</f>
        <v>8022.52</v>
      </c>
      <c r="H63" s="15" t="n">
        <f aca="false">SUM(H61:H62)</f>
        <v>11693.51</v>
      </c>
      <c r="I63" s="15" t="n">
        <f aca="false">SUM(I61:I62)</f>
        <v>17130</v>
      </c>
      <c r="J63" s="15" t="n">
        <f aca="false">SUM(J61:J62)</f>
        <v>12335.99</v>
      </c>
      <c r="K63" s="15" t="n">
        <f aca="false">SUM(K61:K62)</f>
        <v>37320</v>
      </c>
      <c r="L63" s="15" t="n">
        <f aca="false">SUM(L61:L62)</f>
        <v>0</v>
      </c>
      <c r="M63" s="15" t="n">
        <f aca="false">SUM(M61:M62)</f>
        <v>0</v>
      </c>
      <c r="N63" s="15" t="n">
        <f aca="false">SUM(N61:N62)</f>
        <v>-1819</v>
      </c>
      <c r="O63" s="15" t="n">
        <f aca="false">SUM(O61:O62)</f>
        <v>-2004</v>
      </c>
      <c r="P63" s="15" t="n">
        <f aca="false">SUM(P61:P62)</f>
        <v>33497</v>
      </c>
      <c r="Q63" s="15" t="n">
        <f aca="false">SUM(Q61:Q62)</f>
        <v>2594.31</v>
      </c>
      <c r="R63" s="16" t="n">
        <f aca="false">Q63/$P63</f>
        <v>0.0774490252858465</v>
      </c>
      <c r="S63" s="15" t="n">
        <f aca="false">SUM(S61:S62)</f>
        <v>5962.94</v>
      </c>
      <c r="T63" s="16" t="n">
        <f aca="false">S63/$P63</f>
        <v>0.178014150520942</v>
      </c>
      <c r="U63" s="15" t="n">
        <f aca="false">SUM(U61:U62)</f>
        <v>14266.82</v>
      </c>
      <c r="V63" s="16" t="n">
        <f aca="false">U63/$P63</f>
        <v>0.425913365376004</v>
      </c>
      <c r="W63" s="15" t="n">
        <f aca="false">SUM(W61:W62)</f>
        <v>26521.8</v>
      </c>
      <c r="X63" s="16" t="n">
        <f aca="false">W63/$P63</f>
        <v>0.791766426844195</v>
      </c>
      <c r="Y63" s="15" t="n">
        <f aca="false">SUM(Y61:Y62)</f>
        <v>17320</v>
      </c>
      <c r="Z63" s="15" t="n">
        <f aca="false">SUM(Z61:Z62)</f>
        <v>17320</v>
      </c>
    </row>
    <row r="64" customFormat="false" ht="12.8" hidden="false" customHeight="false" outlineLevel="0" collapsed="false">
      <c r="D64" s="34"/>
      <c r="E64" s="35"/>
      <c r="F64" s="35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9"/>
      <c r="S64" s="78"/>
      <c r="T64" s="79"/>
      <c r="U64" s="78"/>
      <c r="V64" s="79"/>
      <c r="W64" s="78"/>
      <c r="X64" s="79"/>
      <c r="Y64" s="78"/>
      <c r="Z64" s="78"/>
    </row>
    <row r="65" customFormat="false" ht="12.8" hidden="false" customHeight="false" outlineLevel="0" collapsed="false">
      <c r="D65" s="34"/>
      <c r="E65" s="44" t="s">
        <v>56</v>
      </c>
      <c r="F65" s="18" t="s">
        <v>132</v>
      </c>
      <c r="G65" s="45" t="n">
        <v>1429.84</v>
      </c>
      <c r="H65" s="45" t="n">
        <v>2674.89</v>
      </c>
      <c r="I65" s="45" t="n">
        <v>5000</v>
      </c>
      <c r="J65" s="45" t="n">
        <v>2328.19</v>
      </c>
      <c r="K65" s="45" t="n">
        <v>5000</v>
      </c>
      <c r="L65" s="45"/>
      <c r="M65" s="45"/>
      <c r="N65" s="45"/>
      <c r="O65" s="45" t="n">
        <v>-11</v>
      </c>
      <c r="P65" s="45" t="n">
        <f aca="false">K65+SUM(L65:O65)</f>
        <v>4989</v>
      </c>
      <c r="Q65" s="45" t="n">
        <v>0</v>
      </c>
      <c r="R65" s="46" t="n">
        <f aca="false">Q65/$P65</f>
        <v>0</v>
      </c>
      <c r="S65" s="45" t="n">
        <v>987.68</v>
      </c>
      <c r="T65" s="46" t="n">
        <f aca="false">S65/$P65</f>
        <v>0.197971537382241</v>
      </c>
      <c r="U65" s="45" t="n">
        <v>1314.9</v>
      </c>
      <c r="V65" s="46" t="n">
        <f aca="false">U65/$P65</f>
        <v>0.263559831629585</v>
      </c>
      <c r="W65" s="45" t="n">
        <v>2489.95</v>
      </c>
      <c r="X65" s="92" t="n">
        <f aca="false">W65/$P65</f>
        <v>0.499087993585889</v>
      </c>
      <c r="Y65" s="45" t="n">
        <f aca="false">I65</f>
        <v>5000</v>
      </c>
      <c r="Z65" s="48" t="n">
        <f aca="false">Y65</f>
        <v>5000</v>
      </c>
    </row>
    <row r="66" customFormat="false" ht="12.8" hidden="false" customHeight="false" outlineLevel="0" collapsed="false">
      <c r="D66" s="34"/>
      <c r="E66" s="49"/>
      <c r="F66" s="1" t="s">
        <v>133</v>
      </c>
      <c r="G66" s="51" t="n">
        <v>1469.79</v>
      </c>
      <c r="H66" s="51" t="n">
        <v>1563.13</v>
      </c>
      <c r="I66" s="51" t="n">
        <v>1600</v>
      </c>
      <c r="J66" s="51" t="n">
        <v>1400</v>
      </c>
      <c r="K66" s="51" t="n">
        <v>1400</v>
      </c>
      <c r="L66" s="51"/>
      <c r="M66" s="51"/>
      <c r="N66" s="51"/>
      <c r="O66" s="51" t="n">
        <v>230</v>
      </c>
      <c r="P66" s="51" t="n">
        <f aca="false">K66+SUM(L66:O66)</f>
        <v>1630</v>
      </c>
      <c r="Q66" s="51" t="n">
        <v>350</v>
      </c>
      <c r="R66" s="2" t="n">
        <f aca="false">Q66/$P66</f>
        <v>0.214723926380368</v>
      </c>
      <c r="S66" s="51" t="n">
        <v>930</v>
      </c>
      <c r="T66" s="2" t="n">
        <f aca="false">S66/$P66</f>
        <v>0.570552147239264</v>
      </c>
      <c r="U66" s="51" t="n">
        <v>1280</v>
      </c>
      <c r="V66" s="2" t="n">
        <f aca="false">U66/$P66</f>
        <v>0.785276073619632</v>
      </c>
      <c r="W66" s="51" t="n">
        <v>1630</v>
      </c>
      <c r="X66" s="93" t="n">
        <f aca="false">W66/$P66</f>
        <v>1</v>
      </c>
      <c r="Y66" s="51" t="n">
        <f aca="false">I66</f>
        <v>1600</v>
      </c>
      <c r="Z66" s="53" t="n">
        <f aca="false">Y66</f>
        <v>1600</v>
      </c>
    </row>
    <row r="67" customFormat="false" ht="12.8" hidden="false" customHeight="false" outlineLevel="0" collapsed="false">
      <c r="D67" s="34"/>
      <c r="E67" s="49"/>
      <c r="F67" s="94" t="s">
        <v>134</v>
      </c>
      <c r="G67" s="95"/>
      <c r="H67" s="95"/>
      <c r="I67" s="95" t="n">
        <v>3000</v>
      </c>
      <c r="J67" s="95" t="n">
        <v>0</v>
      </c>
      <c r="K67" s="95" t="n">
        <v>3500</v>
      </c>
      <c r="L67" s="95"/>
      <c r="M67" s="95"/>
      <c r="N67" s="95"/>
      <c r="O67" s="95" t="n">
        <v>-1103</v>
      </c>
      <c r="P67" s="95" t="n">
        <f aca="false">K67+SUM(L67:O67)</f>
        <v>2397</v>
      </c>
      <c r="Q67" s="95" t="n">
        <v>0</v>
      </c>
      <c r="R67" s="96" t="n">
        <f aca="false">Q67/$P67</f>
        <v>0</v>
      </c>
      <c r="S67" s="95" t="n">
        <v>0</v>
      </c>
      <c r="T67" s="96" t="n">
        <f aca="false">S67/$P67</f>
        <v>0</v>
      </c>
      <c r="U67" s="95" t="n">
        <v>1921.7</v>
      </c>
      <c r="V67" s="96" t="n">
        <f aca="false">U67/$P67</f>
        <v>0.801710471422612</v>
      </c>
      <c r="W67" s="95" t="n">
        <v>2396.9</v>
      </c>
      <c r="X67" s="93" t="n">
        <f aca="false">W67/$P67</f>
        <v>0.999958281184814</v>
      </c>
      <c r="Y67" s="95" t="n">
        <f aca="false">K67</f>
        <v>3500</v>
      </c>
      <c r="Z67" s="53" t="n">
        <f aca="false">Y67</f>
        <v>3500</v>
      </c>
    </row>
    <row r="68" customFormat="false" ht="12.8" hidden="false" customHeight="false" outlineLevel="0" collapsed="false">
      <c r="D68" s="34"/>
      <c r="E68" s="57"/>
      <c r="F68" s="76" t="s">
        <v>135</v>
      </c>
      <c r="G68" s="59"/>
      <c r="H68" s="59"/>
      <c r="I68" s="59"/>
      <c r="J68" s="59"/>
      <c r="K68" s="59" t="n">
        <v>20000</v>
      </c>
      <c r="L68" s="59"/>
      <c r="M68" s="59"/>
      <c r="N68" s="59" t="n">
        <v>-1819</v>
      </c>
      <c r="O68" s="59" t="n">
        <v>-2008</v>
      </c>
      <c r="P68" s="59" t="n">
        <f aca="false">K68+SUM(L68:O68)</f>
        <v>16173</v>
      </c>
      <c r="Q68" s="59" t="n">
        <v>0</v>
      </c>
      <c r="R68" s="60" t="n">
        <f aca="false">Q68/$P68</f>
        <v>0</v>
      </c>
      <c r="S68" s="59" t="n">
        <v>0</v>
      </c>
      <c r="T68" s="60" t="n">
        <f aca="false">S68/$P68</f>
        <v>0</v>
      </c>
      <c r="U68" s="59" t="n">
        <v>4366.3</v>
      </c>
      <c r="V68" s="60" t="n">
        <f aca="false">U68/$P68</f>
        <v>0.269974649106536</v>
      </c>
      <c r="W68" s="59" t="n">
        <v>12281.22</v>
      </c>
      <c r="X68" s="97" t="n">
        <f aca="false">W68/$P68</f>
        <v>0.759365609348915</v>
      </c>
      <c r="Y68" s="59"/>
      <c r="Z68" s="62"/>
    </row>
    <row r="69" customFormat="false" ht="12.8" hidden="false" customHeight="false" outlineLevel="0" collapsed="false">
      <c r="D69" s="34"/>
      <c r="E69" s="94"/>
      <c r="F69" s="94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6"/>
      <c r="S69" s="95"/>
      <c r="T69" s="96"/>
      <c r="U69" s="95"/>
      <c r="V69" s="96"/>
      <c r="W69" s="95"/>
      <c r="X69" s="96"/>
      <c r="Y69" s="95"/>
      <c r="Z69" s="95"/>
    </row>
    <row r="70" customFormat="false" ht="12.8" hidden="false" customHeight="false" outlineLevel="0" collapsed="false">
      <c r="D70" s="66" t="s">
        <v>136</v>
      </c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customFormat="false" ht="12.8" hidden="false" customHeight="false" outlineLevel="0" collapsed="false">
      <c r="D71" s="7" t="s">
        <v>33</v>
      </c>
      <c r="E71" s="7" t="s">
        <v>34</v>
      </c>
      <c r="F71" s="7" t="s">
        <v>35</v>
      </c>
      <c r="G71" s="7" t="s">
        <v>1</v>
      </c>
      <c r="H71" s="7" t="s">
        <v>2</v>
      </c>
      <c r="I71" s="7" t="s">
        <v>3</v>
      </c>
      <c r="J71" s="7" t="s">
        <v>4</v>
      </c>
      <c r="K71" s="7" t="s">
        <v>5</v>
      </c>
      <c r="L71" s="7" t="s">
        <v>6</v>
      </c>
      <c r="M71" s="7" t="s">
        <v>7</v>
      </c>
      <c r="N71" s="7" t="s">
        <v>8</v>
      </c>
      <c r="O71" s="7" t="s">
        <v>9</v>
      </c>
      <c r="P71" s="7" t="s">
        <v>10</v>
      </c>
      <c r="Q71" s="7" t="s">
        <v>11</v>
      </c>
      <c r="R71" s="8" t="s">
        <v>12</v>
      </c>
      <c r="S71" s="7" t="s">
        <v>13</v>
      </c>
      <c r="T71" s="8" t="s">
        <v>14</v>
      </c>
      <c r="U71" s="7" t="s">
        <v>15</v>
      </c>
      <c r="V71" s="8" t="s">
        <v>16</v>
      </c>
      <c r="W71" s="7" t="s">
        <v>17</v>
      </c>
      <c r="X71" s="8" t="s">
        <v>18</v>
      </c>
      <c r="Y71" s="7" t="s">
        <v>19</v>
      </c>
      <c r="Z71" s="7" t="s">
        <v>20</v>
      </c>
    </row>
    <row r="72" customFormat="false" ht="12.8" hidden="false" customHeight="false" outlineLevel="0" collapsed="false">
      <c r="A72" s="1" t="n">
        <v>1</v>
      </c>
      <c r="B72" s="1" t="n">
        <v>1</v>
      </c>
      <c r="C72" s="1" t="n">
        <v>5</v>
      </c>
      <c r="D72" s="89" t="s">
        <v>129</v>
      </c>
      <c r="E72" s="10" t="n">
        <v>610</v>
      </c>
      <c r="F72" s="10" t="s">
        <v>121</v>
      </c>
      <c r="G72" s="11" t="n">
        <v>8873.92</v>
      </c>
      <c r="H72" s="11" t="n">
        <v>10928.43</v>
      </c>
      <c r="I72" s="11" t="n">
        <v>16670</v>
      </c>
      <c r="J72" s="11" t="n">
        <v>6672.36</v>
      </c>
      <c r="K72" s="11" t="n">
        <v>15759</v>
      </c>
      <c r="L72" s="11" t="n">
        <v>-1097</v>
      </c>
      <c r="M72" s="11"/>
      <c r="N72" s="11"/>
      <c r="O72" s="11" t="n">
        <f aca="false">-3330-221</f>
        <v>-3551</v>
      </c>
      <c r="P72" s="11" t="n">
        <f aca="false">K72+SUM(L72:O72)</f>
        <v>11111</v>
      </c>
      <c r="Q72" s="11" t="n">
        <v>2488.75</v>
      </c>
      <c r="R72" s="12" t="n">
        <f aca="false">Q72/$P72</f>
        <v>0.223989739897399</v>
      </c>
      <c r="S72" s="11" t="n">
        <v>4785.03</v>
      </c>
      <c r="T72" s="12" t="n">
        <f aca="false">S72/$P72</f>
        <v>0.430657006570066</v>
      </c>
      <c r="U72" s="11" t="n">
        <v>7071.03</v>
      </c>
      <c r="V72" s="12" t="n">
        <f aca="false">U72/$P72</f>
        <v>0.63639906399064</v>
      </c>
      <c r="W72" s="11" t="n">
        <v>11110.92</v>
      </c>
      <c r="X72" s="12" t="n">
        <f aca="false">W72/$P72</f>
        <v>0.999992799927999</v>
      </c>
      <c r="Y72" s="11" t="n">
        <v>16361</v>
      </c>
      <c r="Z72" s="11" t="n">
        <v>16988</v>
      </c>
    </row>
    <row r="73" customFormat="false" ht="12.8" hidden="false" customHeight="false" outlineLevel="0" collapsed="false">
      <c r="A73" s="1" t="n">
        <v>1</v>
      </c>
      <c r="B73" s="1" t="n">
        <v>1</v>
      </c>
      <c r="C73" s="1" t="n">
        <v>5</v>
      </c>
      <c r="D73" s="89" t="s">
        <v>137</v>
      </c>
      <c r="E73" s="10" t="n">
        <v>620</v>
      </c>
      <c r="F73" s="10" t="s">
        <v>122</v>
      </c>
      <c r="G73" s="11" t="n">
        <v>4568.19</v>
      </c>
      <c r="H73" s="11" t="n">
        <v>4371.55</v>
      </c>
      <c r="I73" s="11" t="n">
        <v>6484</v>
      </c>
      <c r="J73" s="11" t="n">
        <v>2591.4</v>
      </c>
      <c r="K73" s="11" t="n">
        <v>6149</v>
      </c>
      <c r="L73" s="11"/>
      <c r="M73" s="11"/>
      <c r="N73" s="11"/>
      <c r="O73" s="11" t="n">
        <v>-1559</v>
      </c>
      <c r="P73" s="11" t="n">
        <f aca="false">K73+SUM(L73:O73)</f>
        <v>4590</v>
      </c>
      <c r="Q73" s="11" t="n">
        <v>896.66</v>
      </c>
      <c r="R73" s="12" t="n">
        <f aca="false">Q73/$P73</f>
        <v>0.195350762527233</v>
      </c>
      <c r="S73" s="11" t="n">
        <v>2029.79</v>
      </c>
      <c r="T73" s="12" t="n">
        <f aca="false">S73/$P73</f>
        <v>0.442220043572985</v>
      </c>
      <c r="U73" s="11" t="n">
        <v>2828.68</v>
      </c>
      <c r="V73" s="12" t="n">
        <f aca="false">U73/$P73</f>
        <v>0.616270152505447</v>
      </c>
      <c r="W73" s="11" t="n">
        <v>4590.25</v>
      </c>
      <c r="X73" s="12" t="n">
        <f aca="false">W73/$P73</f>
        <v>1.00005446623094</v>
      </c>
      <c r="Y73" s="11" t="n">
        <v>6372</v>
      </c>
      <c r="Z73" s="11" t="n">
        <v>6603</v>
      </c>
    </row>
    <row r="74" customFormat="false" ht="12.8" hidden="false" customHeight="false" outlineLevel="0" collapsed="false">
      <c r="A74" s="1" t="n">
        <v>1</v>
      </c>
      <c r="B74" s="1" t="n">
        <v>1</v>
      </c>
      <c r="C74" s="1" t="n">
        <v>5</v>
      </c>
      <c r="D74" s="89" t="s">
        <v>138</v>
      </c>
      <c r="E74" s="10" t="n">
        <v>630</v>
      </c>
      <c r="F74" s="10" t="s">
        <v>123</v>
      </c>
      <c r="G74" s="11" t="n">
        <v>29090.17</v>
      </c>
      <c r="H74" s="11" t="n">
        <v>30313.57</v>
      </c>
      <c r="I74" s="11" t="n">
        <v>30867</v>
      </c>
      <c r="J74" s="11" t="n">
        <v>26003.76</v>
      </c>
      <c r="K74" s="11" t="n">
        <f aca="false">2593+22890-3357-313</f>
        <v>21813</v>
      </c>
      <c r="L74" s="11"/>
      <c r="M74" s="11"/>
      <c r="N74" s="11" t="n">
        <v>1819</v>
      </c>
      <c r="O74" s="11" t="n">
        <f aca="false">289+2000+2320</f>
        <v>4609</v>
      </c>
      <c r="P74" s="11" t="n">
        <f aca="false">K74+SUM(L74:O74)</f>
        <v>28241</v>
      </c>
      <c r="Q74" s="11" t="n">
        <v>8266.41</v>
      </c>
      <c r="R74" s="12" t="n">
        <f aca="false">Q74/$P74</f>
        <v>0.292709535781311</v>
      </c>
      <c r="S74" s="11" t="n">
        <v>14527.64</v>
      </c>
      <c r="T74" s="12" t="n">
        <f aca="false">S74/$P74</f>
        <v>0.514416628306363</v>
      </c>
      <c r="U74" s="11" t="n">
        <v>18820.33</v>
      </c>
      <c r="V74" s="12" t="n">
        <f aca="false">U74/$P74</f>
        <v>0.666418682058001</v>
      </c>
      <c r="W74" s="11" t="n">
        <v>28241.26</v>
      </c>
      <c r="X74" s="12" t="n">
        <f aca="false">W74/$P74</f>
        <v>1.00000920647286</v>
      </c>
      <c r="Y74" s="11" t="n">
        <f aca="false">K74</f>
        <v>21813</v>
      </c>
      <c r="Z74" s="11" t="n">
        <f aca="false">Y74</f>
        <v>21813</v>
      </c>
    </row>
    <row r="75" customFormat="false" ht="12.8" hidden="false" customHeight="false" outlineLevel="0" collapsed="false">
      <c r="A75" s="1" t="n">
        <v>1</v>
      </c>
      <c r="B75" s="1" t="n">
        <v>1</v>
      </c>
      <c r="C75" s="1" t="n">
        <v>5</v>
      </c>
      <c r="D75" s="89" t="s">
        <v>139</v>
      </c>
      <c r="E75" s="10" t="n">
        <v>640</v>
      </c>
      <c r="F75" s="10" t="s">
        <v>124</v>
      </c>
      <c r="G75" s="11" t="n">
        <v>0</v>
      </c>
      <c r="H75" s="11" t="n">
        <v>0</v>
      </c>
      <c r="I75" s="11" t="n">
        <v>0</v>
      </c>
      <c r="J75" s="11" t="n">
        <v>218.53</v>
      </c>
      <c r="K75" s="11" t="n">
        <v>0</v>
      </c>
      <c r="L75" s="11" t="n">
        <v>1097</v>
      </c>
      <c r="M75" s="11"/>
      <c r="N75" s="11"/>
      <c r="O75" s="11" t="n">
        <v>3330</v>
      </c>
      <c r="P75" s="11" t="n">
        <f aca="false">K75+SUM(L75:O75)</f>
        <v>4427</v>
      </c>
      <c r="Q75" s="11" t="n">
        <v>1096.68</v>
      </c>
      <c r="R75" s="12" t="n">
        <f aca="false">Q75/$P75</f>
        <v>0.247725321888412</v>
      </c>
      <c r="S75" s="11" t="n">
        <v>1096.68</v>
      </c>
      <c r="T75" s="12" t="n">
        <f aca="false">S75/$P75</f>
        <v>0.247725321888412</v>
      </c>
      <c r="U75" s="11" t="n">
        <v>1096.68</v>
      </c>
      <c r="V75" s="12" t="n">
        <f aca="false">U75/$P75</f>
        <v>0.247725321888412</v>
      </c>
      <c r="W75" s="11" t="n">
        <v>4426.68</v>
      </c>
      <c r="X75" s="12" t="n">
        <f aca="false">W75/$P75</f>
        <v>0.999927716286424</v>
      </c>
      <c r="Y75" s="11" t="n">
        <f aca="false">K75</f>
        <v>0</v>
      </c>
      <c r="Z75" s="11" t="n">
        <f aca="false">Y75</f>
        <v>0</v>
      </c>
    </row>
    <row r="76" customFormat="false" ht="12.8" hidden="false" customHeight="false" outlineLevel="0" collapsed="false">
      <c r="A76" s="1" t="n">
        <v>1</v>
      </c>
      <c r="B76" s="1" t="n">
        <v>1</v>
      </c>
      <c r="C76" s="1" t="n">
        <v>5</v>
      </c>
      <c r="D76" s="75" t="s">
        <v>21</v>
      </c>
      <c r="E76" s="14" t="n">
        <v>41</v>
      </c>
      <c r="F76" s="14" t="s">
        <v>23</v>
      </c>
      <c r="G76" s="15" t="n">
        <f aca="false">SUM(G72:G75)</f>
        <v>42532.28</v>
      </c>
      <c r="H76" s="15" t="n">
        <f aca="false">SUM(H72:H75)</f>
        <v>45613.55</v>
      </c>
      <c r="I76" s="15" t="n">
        <f aca="false">SUM(I72:I75)</f>
        <v>54021</v>
      </c>
      <c r="J76" s="15" t="n">
        <f aca="false">SUM(J72:J75)</f>
        <v>35486.05</v>
      </c>
      <c r="K76" s="15" t="n">
        <f aca="false">SUM(K72:K75)</f>
        <v>43721</v>
      </c>
      <c r="L76" s="15" t="n">
        <f aca="false">SUM(L72:L75)</f>
        <v>0</v>
      </c>
      <c r="M76" s="15" t="n">
        <f aca="false">SUM(M72:M75)</f>
        <v>0</v>
      </c>
      <c r="N76" s="15" t="n">
        <f aca="false">SUM(N72:N75)</f>
        <v>1819</v>
      </c>
      <c r="O76" s="15" t="n">
        <f aca="false">SUM(O72:O75)</f>
        <v>2829</v>
      </c>
      <c r="P76" s="15" t="n">
        <f aca="false">SUM(P72:P75)</f>
        <v>48369</v>
      </c>
      <c r="Q76" s="15" t="n">
        <f aca="false">SUM(Q72:Q75)</f>
        <v>12748.5</v>
      </c>
      <c r="R76" s="16" t="n">
        <f aca="false">Q76/$P76</f>
        <v>0.263567574272778</v>
      </c>
      <c r="S76" s="15" t="n">
        <f aca="false">SUM(S72:S75)</f>
        <v>22439.14</v>
      </c>
      <c r="T76" s="16" t="n">
        <f aca="false">S76/$P76</f>
        <v>0.463915731150117</v>
      </c>
      <c r="U76" s="15" t="n">
        <f aca="false">SUM(U72:U75)</f>
        <v>29816.72</v>
      </c>
      <c r="V76" s="16" t="n">
        <f aca="false">U76/$P76</f>
        <v>0.616442762926668</v>
      </c>
      <c r="W76" s="15" t="n">
        <f aca="false">SUM(W72:W75)</f>
        <v>48369.11</v>
      </c>
      <c r="X76" s="16" t="n">
        <f aca="false">W76/$P76</f>
        <v>1.00000227418388</v>
      </c>
      <c r="Y76" s="15" t="n">
        <f aca="false">SUM(Y72:Y75)</f>
        <v>44546</v>
      </c>
      <c r="Z76" s="15" t="n">
        <f aca="false">SUM(Z72:Z75)</f>
        <v>45404</v>
      </c>
    </row>
    <row r="77" customFormat="false" ht="12.8" hidden="false" customHeight="false" outlineLevel="0" collapsed="false">
      <c r="D77" s="34"/>
      <c r="E77" s="35"/>
      <c r="F77" s="35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9"/>
      <c r="S77" s="78"/>
      <c r="T77" s="79"/>
      <c r="U77" s="78"/>
      <c r="V77" s="79"/>
      <c r="W77" s="78"/>
      <c r="X77" s="79"/>
      <c r="Y77" s="78"/>
      <c r="Z77" s="78"/>
    </row>
    <row r="78" customFormat="false" ht="12.8" hidden="false" customHeight="false" outlineLevel="0" collapsed="false">
      <c r="D78" s="34"/>
      <c r="E78" s="44" t="s">
        <v>56</v>
      </c>
      <c r="F78" s="18" t="s">
        <v>140</v>
      </c>
      <c r="G78" s="45" t="n">
        <v>1275.64</v>
      </c>
      <c r="H78" s="45" t="n">
        <v>1815</v>
      </c>
      <c r="I78" s="45" t="n">
        <f aca="false">H78</f>
        <v>1815</v>
      </c>
      <c r="J78" s="45" t="n">
        <v>1606</v>
      </c>
      <c r="K78" s="45" t="n">
        <f aca="false">117*11</f>
        <v>1287</v>
      </c>
      <c r="L78" s="45"/>
      <c r="M78" s="45"/>
      <c r="N78" s="45"/>
      <c r="O78" s="45"/>
      <c r="P78" s="45" t="n">
        <f aca="false">K78+SUM(L78:O78)</f>
        <v>1287</v>
      </c>
      <c r="Q78" s="45" t="n">
        <v>234</v>
      </c>
      <c r="R78" s="46" t="n">
        <f aca="false">Q78/$P78</f>
        <v>0.181818181818182</v>
      </c>
      <c r="S78" s="45" t="n">
        <v>585</v>
      </c>
      <c r="T78" s="46" t="n">
        <f aca="false">S78/$P78</f>
        <v>0.454545454545455</v>
      </c>
      <c r="U78" s="45" t="n">
        <v>936</v>
      </c>
      <c r="V78" s="46" t="n">
        <f aca="false">U78/$P78</f>
        <v>0.727272727272727</v>
      </c>
      <c r="W78" s="45" t="n">
        <v>1287</v>
      </c>
      <c r="X78" s="92" t="n">
        <f aca="false">W78/$P78</f>
        <v>1</v>
      </c>
      <c r="Y78" s="45" t="n">
        <f aca="false">K78</f>
        <v>1287</v>
      </c>
      <c r="Z78" s="48" t="n">
        <f aca="false">Y78</f>
        <v>1287</v>
      </c>
    </row>
    <row r="79" customFormat="false" ht="12.8" hidden="false" customHeight="false" outlineLevel="0" collapsed="false">
      <c r="D79" s="34"/>
      <c r="E79" s="49"/>
      <c r="F79" s="1" t="s">
        <v>141</v>
      </c>
      <c r="G79" s="51" t="n">
        <v>6633.22</v>
      </c>
      <c r="H79" s="51" t="n">
        <v>9000</v>
      </c>
      <c r="I79" s="51" t="n">
        <f aca="false">H79</f>
        <v>9000</v>
      </c>
      <c r="J79" s="51" t="n">
        <v>7128</v>
      </c>
      <c r="K79" s="51" t="n">
        <v>3773</v>
      </c>
      <c r="L79" s="51"/>
      <c r="M79" s="51"/>
      <c r="N79" s="51"/>
      <c r="O79" s="51" t="n">
        <v>-641</v>
      </c>
      <c r="P79" s="51" t="n">
        <f aca="false">K79+SUM(L79:O79)</f>
        <v>3132</v>
      </c>
      <c r="Q79" s="51" t="n">
        <v>608</v>
      </c>
      <c r="R79" s="2" t="n">
        <f aca="false">Q79/$P79</f>
        <v>0.194125159642401</v>
      </c>
      <c r="S79" s="51" t="n">
        <v>1520</v>
      </c>
      <c r="T79" s="2" t="n">
        <f aca="false">S79/$P79</f>
        <v>0.485312899106003</v>
      </c>
      <c r="U79" s="51" t="n">
        <v>2432</v>
      </c>
      <c r="V79" s="2" t="n">
        <f aca="false">U79/$P79</f>
        <v>0.776500638569604</v>
      </c>
      <c r="W79" s="51" t="n">
        <v>3132.35</v>
      </c>
      <c r="X79" s="93" t="n">
        <f aca="false">W79/$P79</f>
        <v>1.00011174968072</v>
      </c>
      <c r="Y79" s="51" t="n">
        <f aca="false">K79</f>
        <v>3773</v>
      </c>
      <c r="Z79" s="53" t="n">
        <f aca="false">Y79</f>
        <v>3773</v>
      </c>
    </row>
    <row r="80" customFormat="false" ht="12.8" hidden="false" customHeight="false" outlineLevel="0" collapsed="false">
      <c r="D80" s="34"/>
      <c r="E80" s="57"/>
      <c r="F80" s="76" t="s">
        <v>142</v>
      </c>
      <c r="G80" s="59" t="n">
        <v>7394.98</v>
      </c>
      <c r="H80" s="59" t="n">
        <v>6116.13</v>
      </c>
      <c r="I80" s="59" t="n">
        <v>6200</v>
      </c>
      <c r="J80" s="59" t="n">
        <v>4050.55</v>
      </c>
      <c r="K80" s="59" t="n">
        <v>3675</v>
      </c>
      <c r="L80" s="59"/>
      <c r="M80" s="59"/>
      <c r="N80" s="59"/>
      <c r="O80" s="59" t="n">
        <v>1830</v>
      </c>
      <c r="P80" s="59" t="n">
        <f aca="false">K80+SUM(L80:O80)</f>
        <v>5505</v>
      </c>
      <c r="Q80" s="59" t="n">
        <v>1988.14</v>
      </c>
      <c r="R80" s="60" t="n">
        <f aca="false">Q80/$P80</f>
        <v>0.361151680290645</v>
      </c>
      <c r="S80" s="59" t="n">
        <v>3048.06</v>
      </c>
      <c r="T80" s="60" t="n">
        <f aca="false">S80/$P80</f>
        <v>0.553689373297003</v>
      </c>
      <c r="U80" s="59" t="n">
        <v>4099.88</v>
      </c>
      <c r="V80" s="60" t="n">
        <f aca="false">U80/$P80</f>
        <v>0.744755676657584</v>
      </c>
      <c r="W80" s="59" t="n">
        <v>5504.47</v>
      </c>
      <c r="X80" s="97" t="n">
        <f aca="false">W80/$P80</f>
        <v>0.999903723887375</v>
      </c>
      <c r="Y80" s="59" t="n">
        <f aca="false">K80</f>
        <v>3675</v>
      </c>
      <c r="Z80" s="62" t="n">
        <f aca="false">Y80</f>
        <v>3675</v>
      </c>
    </row>
    <row r="81" customFormat="false" ht="12.8" hidden="false" customHeight="false" outlineLevel="0" collapsed="false">
      <c r="D81" s="34"/>
      <c r="E81" s="35"/>
      <c r="F81" s="35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9"/>
      <c r="S81" s="78"/>
      <c r="T81" s="79"/>
      <c r="U81" s="78"/>
      <c r="V81" s="79"/>
      <c r="W81" s="78"/>
      <c r="X81" s="79"/>
      <c r="Y81" s="78"/>
      <c r="Z81" s="78"/>
    </row>
    <row r="82" customFormat="false" ht="12.8" hidden="false" customHeight="false" outlineLevel="0" collapsed="false">
      <c r="D82" s="66" t="s">
        <v>143</v>
      </c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 t="e">
        <f aca="false">N82/$M82</f>
        <v>#DIV/0!</v>
      </c>
      <c r="P82" s="66"/>
      <c r="Q82" s="66" t="e">
        <f aca="false">P82/$M82</f>
        <v>#DIV/0!</v>
      </c>
      <c r="R82" s="66"/>
      <c r="S82" s="66" t="e">
        <f aca="false">R82/$M82</f>
        <v>#DIV/0!</v>
      </c>
      <c r="T82" s="66"/>
      <c r="U82" s="66" t="e">
        <f aca="false">T82/$M82</f>
        <v>#DIV/0!</v>
      </c>
      <c r="V82" s="66"/>
      <c r="W82" s="66"/>
      <c r="X82" s="66"/>
      <c r="Y82" s="66"/>
      <c r="Z82" s="66"/>
    </row>
    <row r="83" customFormat="false" ht="12.8" hidden="false" customHeight="false" outlineLevel="0" collapsed="false">
      <c r="D83" s="7" t="s">
        <v>33</v>
      </c>
      <c r="E83" s="7" t="s">
        <v>34</v>
      </c>
      <c r="F83" s="7" t="s">
        <v>35</v>
      </c>
      <c r="G83" s="7" t="s">
        <v>1</v>
      </c>
      <c r="H83" s="7" t="s">
        <v>2</v>
      </c>
      <c r="I83" s="7" t="s">
        <v>3</v>
      </c>
      <c r="J83" s="7" t="s">
        <v>4</v>
      </c>
      <c r="K83" s="7" t="s">
        <v>5</v>
      </c>
      <c r="L83" s="7" t="s">
        <v>6</v>
      </c>
      <c r="M83" s="7" t="s">
        <v>7</v>
      </c>
      <c r="N83" s="7" t="s">
        <v>8</v>
      </c>
      <c r="O83" s="7" t="s">
        <v>9</v>
      </c>
      <c r="P83" s="7" t="s">
        <v>10</v>
      </c>
      <c r="Q83" s="7" t="s">
        <v>11</v>
      </c>
      <c r="R83" s="8" t="s">
        <v>12</v>
      </c>
      <c r="S83" s="7" t="s">
        <v>13</v>
      </c>
      <c r="T83" s="8" t="s">
        <v>14</v>
      </c>
      <c r="U83" s="7" t="s">
        <v>15</v>
      </c>
      <c r="V83" s="8" t="s">
        <v>16</v>
      </c>
      <c r="W83" s="7" t="s">
        <v>17</v>
      </c>
      <c r="X83" s="8" t="s">
        <v>18</v>
      </c>
      <c r="Y83" s="7" t="s">
        <v>19</v>
      </c>
      <c r="Z83" s="7" t="s">
        <v>20</v>
      </c>
    </row>
    <row r="84" customFormat="false" ht="12.8" hidden="false" customHeight="false" outlineLevel="0" collapsed="false">
      <c r="A84" s="1" t="n">
        <v>1</v>
      </c>
      <c r="B84" s="1" t="n">
        <v>1</v>
      </c>
      <c r="C84" s="1" t="n">
        <v>6</v>
      </c>
      <c r="D84" s="36" t="s">
        <v>144</v>
      </c>
      <c r="E84" s="10" t="n">
        <v>630</v>
      </c>
      <c r="F84" s="10" t="s">
        <v>123</v>
      </c>
      <c r="G84" s="11" t="n">
        <v>935.21</v>
      </c>
      <c r="H84" s="11" t="n">
        <v>1157.9</v>
      </c>
      <c r="I84" s="11" t="n">
        <f aca="false">1400+4000</f>
        <v>5400</v>
      </c>
      <c r="J84" s="11" t="n">
        <v>3239</v>
      </c>
      <c r="K84" s="11" t="n">
        <v>850</v>
      </c>
      <c r="L84" s="11"/>
      <c r="M84" s="11" t="n">
        <v>48</v>
      </c>
      <c r="N84" s="11" t="n">
        <v>399</v>
      </c>
      <c r="O84" s="11" t="n">
        <v>425</v>
      </c>
      <c r="P84" s="11" t="n">
        <f aca="false">K84+SUM(L84:O84)</f>
        <v>1722</v>
      </c>
      <c r="Q84" s="11" t="n">
        <v>320.4</v>
      </c>
      <c r="R84" s="12" t="n">
        <f aca="false">Q84/$P84</f>
        <v>0.186062717770035</v>
      </c>
      <c r="S84" s="11" t="n">
        <v>375</v>
      </c>
      <c r="T84" s="12" t="n">
        <f aca="false">S84/$P84</f>
        <v>0.217770034843206</v>
      </c>
      <c r="U84" s="11" t="n">
        <v>825</v>
      </c>
      <c r="V84" s="12" t="n">
        <f aca="false">U84/$P84</f>
        <v>0.479094076655052</v>
      </c>
      <c r="W84" s="11" t="n">
        <v>1721.96</v>
      </c>
      <c r="X84" s="12" t="n">
        <f aca="false">W84/$P84</f>
        <v>0.999976771196283</v>
      </c>
      <c r="Y84" s="11" t="n">
        <f aca="false">K84</f>
        <v>850</v>
      </c>
      <c r="Z84" s="11" t="n">
        <f aca="false">Y84</f>
        <v>850</v>
      </c>
    </row>
    <row r="85" customFormat="false" ht="12.8" hidden="false" customHeight="false" outlineLevel="0" collapsed="false">
      <c r="A85" s="1" t="n">
        <v>1</v>
      </c>
      <c r="B85" s="1" t="n">
        <v>1</v>
      </c>
      <c r="C85" s="1" t="n">
        <v>6</v>
      </c>
      <c r="D85" s="36"/>
      <c r="E85" s="10" t="n">
        <v>640</v>
      </c>
      <c r="F85" s="10" t="s">
        <v>124</v>
      </c>
      <c r="G85" s="11" t="n">
        <v>1000</v>
      </c>
      <c r="H85" s="11" t="n">
        <v>0</v>
      </c>
      <c r="I85" s="11" t="n">
        <v>0</v>
      </c>
      <c r="J85" s="11" t="n">
        <v>0</v>
      </c>
      <c r="K85" s="11" t="n">
        <f aca="false">J85</f>
        <v>0</v>
      </c>
      <c r="L85" s="11"/>
      <c r="M85" s="11"/>
      <c r="N85" s="11"/>
      <c r="O85" s="11"/>
      <c r="P85" s="11" t="n">
        <f aca="false">K85+SUM(L85:O85)</f>
        <v>0</v>
      </c>
      <c r="Q85" s="11" t="n">
        <v>0</v>
      </c>
      <c r="R85" s="12" t="e">
        <f aca="false">Q85/$P85</f>
        <v>#DIV/0!</v>
      </c>
      <c r="S85" s="11" t="n">
        <v>0</v>
      </c>
      <c r="T85" s="12" t="e">
        <f aca="false">S85/$P85</f>
        <v>#DIV/0!</v>
      </c>
      <c r="U85" s="11" t="n">
        <v>0</v>
      </c>
      <c r="V85" s="12" t="e">
        <f aca="false">U85/$P85</f>
        <v>#DIV/0!</v>
      </c>
      <c r="W85" s="11" t="n">
        <v>0</v>
      </c>
      <c r="X85" s="12" t="e">
        <f aca="false">W85/$P85</f>
        <v>#DIV/0!</v>
      </c>
      <c r="Y85" s="11" t="n">
        <f aca="false">K85</f>
        <v>0</v>
      </c>
      <c r="Z85" s="11" t="n">
        <f aca="false">Y85</f>
        <v>0</v>
      </c>
    </row>
    <row r="86" customFormat="false" ht="12.8" hidden="false" customHeight="false" outlineLevel="0" collapsed="false">
      <c r="A86" s="1" t="n">
        <v>1</v>
      </c>
      <c r="B86" s="1" t="n">
        <v>1</v>
      </c>
      <c r="C86" s="1" t="n">
        <v>6</v>
      </c>
      <c r="D86" s="75" t="s">
        <v>21</v>
      </c>
      <c r="E86" s="14" t="n">
        <v>41</v>
      </c>
      <c r="F86" s="14" t="s">
        <v>23</v>
      </c>
      <c r="G86" s="15" t="n">
        <f aca="false">SUM(G84:G85)</f>
        <v>1935.21</v>
      </c>
      <c r="H86" s="15" t="n">
        <f aca="false">SUM(H84:H85)</f>
        <v>1157.9</v>
      </c>
      <c r="I86" s="15" t="n">
        <f aca="false">SUM(I84:I85)</f>
        <v>5400</v>
      </c>
      <c r="J86" s="15" t="n">
        <f aca="false">SUM(J84:J85)</f>
        <v>3239</v>
      </c>
      <c r="K86" s="15" t="n">
        <f aca="false">SUM(K84:K85)</f>
        <v>850</v>
      </c>
      <c r="L86" s="15" t="n">
        <f aca="false">SUM(L84:L85)</f>
        <v>0</v>
      </c>
      <c r="M86" s="15" t="n">
        <f aca="false">SUM(M84:M85)</f>
        <v>48</v>
      </c>
      <c r="N86" s="15" t="n">
        <f aca="false">SUM(N84:N85)</f>
        <v>399</v>
      </c>
      <c r="O86" s="15" t="n">
        <f aca="false">SUM(O84:O85)</f>
        <v>425</v>
      </c>
      <c r="P86" s="15" t="n">
        <f aca="false">SUM(P84:P85)</f>
        <v>1722</v>
      </c>
      <c r="Q86" s="15" t="n">
        <f aca="false">SUM(Q84:Q85)</f>
        <v>320.4</v>
      </c>
      <c r="R86" s="16" t="n">
        <f aca="false">Q86/$P86</f>
        <v>0.186062717770035</v>
      </c>
      <c r="S86" s="15" t="n">
        <f aca="false">SUM(S84:S85)</f>
        <v>375</v>
      </c>
      <c r="T86" s="16" t="n">
        <f aca="false">S86/$P86</f>
        <v>0.217770034843206</v>
      </c>
      <c r="U86" s="15" t="n">
        <f aca="false">SUM(U84:U85)</f>
        <v>825</v>
      </c>
      <c r="V86" s="16" t="n">
        <f aca="false">U86/$P86</f>
        <v>0.479094076655052</v>
      </c>
      <c r="W86" s="15" t="n">
        <f aca="false">SUM(W84:W85)</f>
        <v>1721.96</v>
      </c>
      <c r="X86" s="16" t="n">
        <f aca="false">W86/$P86</f>
        <v>0.999976771196283</v>
      </c>
      <c r="Y86" s="15" t="n">
        <f aca="false">SUM(Y84:Y85)</f>
        <v>850</v>
      </c>
      <c r="Z86" s="15" t="n">
        <f aca="false">SUM(Z84:Z85)</f>
        <v>850</v>
      </c>
    </row>
    <row r="87" customFormat="false" ht="12.8" hidden="false" customHeight="false" outlineLevel="0" collapsed="false">
      <c r="D87" s="34"/>
      <c r="E87" s="35"/>
      <c r="F87" s="35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9"/>
      <c r="S87" s="78"/>
      <c r="T87" s="79"/>
      <c r="U87" s="78"/>
      <c r="V87" s="79"/>
      <c r="W87" s="78"/>
      <c r="X87" s="79"/>
      <c r="Y87" s="78"/>
      <c r="Z87" s="78"/>
    </row>
    <row r="88" customFormat="false" ht="12.8" hidden="false" customHeight="false" outlineLevel="0" collapsed="false">
      <c r="D88" s="66" t="s">
        <v>145</v>
      </c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 t="e">
        <f aca="false">N88/$M88</f>
        <v>#DIV/0!</v>
      </c>
      <c r="P88" s="66"/>
      <c r="Q88" s="66" t="e">
        <f aca="false">P88/$M88</f>
        <v>#DIV/0!</v>
      </c>
      <c r="R88" s="66"/>
      <c r="S88" s="66" t="e">
        <f aca="false">R88/$M88</f>
        <v>#DIV/0!</v>
      </c>
      <c r="T88" s="66"/>
      <c r="U88" s="66" t="e">
        <f aca="false">T88/$M88</f>
        <v>#DIV/0!</v>
      </c>
      <c r="V88" s="66"/>
      <c r="W88" s="66"/>
      <c r="X88" s="66"/>
      <c r="Y88" s="66"/>
      <c r="Z88" s="66"/>
    </row>
    <row r="89" customFormat="false" ht="12.8" hidden="false" customHeight="false" outlineLevel="0" collapsed="false">
      <c r="D89" s="7" t="s">
        <v>33</v>
      </c>
      <c r="E89" s="7" t="s">
        <v>34</v>
      </c>
      <c r="F89" s="7" t="s">
        <v>35</v>
      </c>
      <c r="G89" s="7" t="s">
        <v>1</v>
      </c>
      <c r="H89" s="7" t="s">
        <v>2</v>
      </c>
      <c r="I89" s="7" t="s">
        <v>3</v>
      </c>
      <c r="J89" s="7" t="s">
        <v>4</v>
      </c>
      <c r="K89" s="7" t="s">
        <v>5</v>
      </c>
      <c r="L89" s="7" t="s">
        <v>6</v>
      </c>
      <c r="M89" s="7" t="s">
        <v>7</v>
      </c>
      <c r="N89" s="7" t="s">
        <v>8</v>
      </c>
      <c r="O89" s="7" t="s">
        <v>9</v>
      </c>
      <c r="P89" s="7" t="s">
        <v>10</v>
      </c>
      <c r="Q89" s="7" t="s">
        <v>11</v>
      </c>
      <c r="R89" s="8" t="s">
        <v>12</v>
      </c>
      <c r="S89" s="7" t="s">
        <v>13</v>
      </c>
      <c r="T89" s="8" t="s">
        <v>14</v>
      </c>
      <c r="U89" s="7" t="s">
        <v>15</v>
      </c>
      <c r="V89" s="8" t="s">
        <v>16</v>
      </c>
      <c r="W89" s="7" t="s">
        <v>17</v>
      </c>
      <c r="X89" s="8" t="s">
        <v>18</v>
      </c>
      <c r="Y89" s="7" t="s">
        <v>19</v>
      </c>
      <c r="Z89" s="7" t="s">
        <v>20</v>
      </c>
    </row>
    <row r="90" customFormat="false" ht="12.8" hidden="false" customHeight="false" outlineLevel="0" collapsed="false">
      <c r="A90" s="1" t="n">
        <v>1</v>
      </c>
      <c r="B90" s="1" t="n">
        <v>1</v>
      </c>
      <c r="C90" s="1" t="n">
        <v>7</v>
      </c>
      <c r="D90" s="36" t="s">
        <v>146</v>
      </c>
      <c r="E90" s="10" t="n">
        <v>610</v>
      </c>
      <c r="F90" s="10" t="s">
        <v>121</v>
      </c>
      <c r="G90" s="11" t="n">
        <v>2806.77</v>
      </c>
      <c r="H90" s="11" t="n">
        <v>2931.84</v>
      </c>
      <c r="I90" s="11" t="n">
        <v>2921</v>
      </c>
      <c r="J90" s="11" t="n">
        <v>3243.5</v>
      </c>
      <c r="K90" s="11" t="n">
        <v>3244</v>
      </c>
      <c r="L90" s="11"/>
      <c r="M90" s="11"/>
      <c r="N90" s="11"/>
      <c r="O90" s="11" t="n">
        <v>211</v>
      </c>
      <c r="P90" s="11" t="n">
        <f aca="false">K90+SUM(L90:O90)</f>
        <v>3455</v>
      </c>
      <c r="Q90" s="11" t="n">
        <v>875.82</v>
      </c>
      <c r="R90" s="12" t="n">
        <f aca="false">Q90/$P90</f>
        <v>0.253493487698987</v>
      </c>
      <c r="S90" s="11" t="n">
        <v>1762.17</v>
      </c>
      <c r="T90" s="12" t="n">
        <f aca="false">S90/$P90</f>
        <v>0.51003473227207</v>
      </c>
      <c r="U90" s="11" t="n">
        <v>2490.92</v>
      </c>
      <c r="V90" s="12" t="n">
        <f aca="false">U90/$P90</f>
        <v>0.720960926193922</v>
      </c>
      <c r="W90" s="11" t="n">
        <v>3445.84</v>
      </c>
      <c r="X90" s="12" t="n">
        <f aca="false">W90/$P90</f>
        <v>0.997348769898698</v>
      </c>
      <c r="Y90" s="11" t="n">
        <f aca="false">K90</f>
        <v>3244</v>
      </c>
      <c r="Z90" s="11" t="n">
        <f aca="false">Y90</f>
        <v>3244</v>
      </c>
    </row>
    <row r="91" customFormat="false" ht="12.8" hidden="false" customHeight="false" outlineLevel="0" collapsed="false">
      <c r="A91" s="1" t="n">
        <v>1</v>
      </c>
      <c r="B91" s="1" t="n">
        <v>1</v>
      </c>
      <c r="C91" s="1" t="n">
        <v>7</v>
      </c>
      <c r="D91" s="36"/>
      <c r="E91" s="10" t="n">
        <v>620</v>
      </c>
      <c r="F91" s="10" t="s">
        <v>122</v>
      </c>
      <c r="G91" s="11" t="n">
        <v>993.39</v>
      </c>
      <c r="H91" s="11" t="n">
        <v>1024.67</v>
      </c>
      <c r="I91" s="11" t="n">
        <v>1021</v>
      </c>
      <c r="J91" s="11" t="n">
        <v>1173.39</v>
      </c>
      <c r="K91" s="11" t="n">
        <v>1174</v>
      </c>
      <c r="L91" s="11"/>
      <c r="M91" s="11"/>
      <c r="N91" s="11"/>
      <c r="O91" s="11" t="n">
        <v>190</v>
      </c>
      <c r="P91" s="11" t="n">
        <f aca="false">K91+SUM(L91:O91)</f>
        <v>1364</v>
      </c>
      <c r="Q91" s="11" t="n">
        <v>307.82</v>
      </c>
      <c r="R91" s="12" t="n">
        <f aca="false">Q91/$P91</f>
        <v>0.225674486803519</v>
      </c>
      <c r="S91" s="11" t="n">
        <v>619.34</v>
      </c>
      <c r="T91" s="12" t="n">
        <f aca="false">S91/$P91</f>
        <v>0.454061583577713</v>
      </c>
      <c r="U91" s="11" t="n">
        <v>875.47</v>
      </c>
      <c r="V91" s="12" t="n">
        <f aca="false">U91/$P91</f>
        <v>0.641840175953079</v>
      </c>
      <c r="W91" s="11" t="n">
        <v>1219.78</v>
      </c>
      <c r="X91" s="12" t="n">
        <f aca="false">W91/$P91</f>
        <v>0.894266862170088</v>
      </c>
      <c r="Y91" s="11" t="n">
        <f aca="false">K91</f>
        <v>1174</v>
      </c>
      <c r="Z91" s="11" t="n">
        <f aca="false">Y91</f>
        <v>1174</v>
      </c>
    </row>
    <row r="92" customFormat="false" ht="12.8" hidden="false" customHeight="false" outlineLevel="0" collapsed="false">
      <c r="A92" s="1" t="n">
        <v>1</v>
      </c>
      <c r="B92" s="1" t="n">
        <v>1</v>
      </c>
      <c r="C92" s="1" t="n">
        <v>7</v>
      </c>
      <c r="D92" s="36"/>
      <c r="E92" s="10" t="n">
        <v>630</v>
      </c>
      <c r="F92" s="10" t="s">
        <v>123</v>
      </c>
      <c r="G92" s="11" t="n">
        <v>1050.26</v>
      </c>
      <c r="H92" s="11" t="n">
        <v>1086.09</v>
      </c>
      <c r="I92" s="11" t="n">
        <v>1100</v>
      </c>
      <c r="J92" s="11" t="n">
        <v>747.96</v>
      </c>
      <c r="K92" s="11" t="n">
        <v>834</v>
      </c>
      <c r="L92" s="11"/>
      <c r="M92" s="11"/>
      <c r="N92" s="11"/>
      <c r="O92" s="11" t="n">
        <v>-73</v>
      </c>
      <c r="P92" s="11" t="n">
        <f aca="false">K92+SUM(L92:O92)</f>
        <v>761</v>
      </c>
      <c r="Q92" s="11" t="n">
        <v>101.75</v>
      </c>
      <c r="R92" s="12" t="n">
        <f aca="false">Q92/$P92</f>
        <v>0.133705650459921</v>
      </c>
      <c r="S92" s="11" t="n">
        <v>325.12</v>
      </c>
      <c r="T92" s="12" t="n">
        <f aca="false">S92/$P92</f>
        <v>0.427227332457293</v>
      </c>
      <c r="U92" s="11" t="n">
        <v>459.12</v>
      </c>
      <c r="V92" s="12" t="n">
        <f aca="false">U92/$P92</f>
        <v>0.603311432325887</v>
      </c>
      <c r="W92" s="11" t="n">
        <v>751.6</v>
      </c>
      <c r="X92" s="12" t="n">
        <f aca="false">W92/$P92</f>
        <v>0.987647831800263</v>
      </c>
      <c r="Y92" s="11" t="n">
        <f aca="false">K92</f>
        <v>834</v>
      </c>
      <c r="Z92" s="11" t="n">
        <f aca="false">Y92</f>
        <v>834</v>
      </c>
    </row>
    <row r="93" customFormat="false" ht="12.8" hidden="false" customHeight="false" outlineLevel="0" collapsed="false">
      <c r="A93" s="1" t="n">
        <v>1</v>
      </c>
      <c r="B93" s="1" t="n">
        <v>1</v>
      </c>
      <c r="C93" s="1" t="n">
        <v>7</v>
      </c>
      <c r="D93" s="85" t="s">
        <v>21</v>
      </c>
      <c r="E93" s="86" t="n">
        <v>111</v>
      </c>
      <c r="F93" s="86" t="s">
        <v>127</v>
      </c>
      <c r="G93" s="87" t="n">
        <f aca="false">SUM(G90:G92)</f>
        <v>4850.42</v>
      </c>
      <c r="H93" s="87" t="n">
        <f aca="false">SUM(H90:H92)</f>
        <v>5042.6</v>
      </c>
      <c r="I93" s="87" t="n">
        <f aca="false">SUM(I90:I92)</f>
        <v>5042</v>
      </c>
      <c r="J93" s="87" t="n">
        <f aca="false">SUM(J90:J92)</f>
        <v>5164.85</v>
      </c>
      <c r="K93" s="87" t="n">
        <f aca="false">SUM(K90:K92)</f>
        <v>5252</v>
      </c>
      <c r="L93" s="87" t="n">
        <f aca="false">SUM(L90:L92)</f>
        <v>0</v>
      </c>
      <c r="M93" s="87" t="n">
        <f aca="false">SUM(M90:M92)</f>
        <v>0</v>
      </c>
      <c r="N93" s="87" t="n">
        <f aca="false">SUM(N90:N92)</f>
        <v>0</v>
      </c>
      <c r="O93" s="87" t="n">
        <f aca="false">SUM(O90:O92)</f>
        <v>328</v>
      </c>
      <c r="P93" s="87" t="n">
        <f aca="false">SUM(P90:P92)</f>
        <v>5580</v>
      </c>
      <c r="Q93" s="87" t="n">
        <f aca="false">SUM(Q90:Q92)</f>
        <v>1285.39</v>
      </c>
      <c r="R93" s="88" t="n">
        <f aca="false">Q93/$P93</f>
        <v>0.230356630824373</v>
      </c>
      <c r="S93" s="87" t="n">
        <f aca="false">SUM(S90:S92)</f>
        <v>2706.63</v>
      </c>
      <c r="T93" s="88" t="n">
        <f aca="false">S93/$P93</f>
        <v>0.485059139784946</v>
      </c>
      <c r="U93" s="87" t="n">
        <f aca="false">SUM(U90:U92)</f>
        <v>3825.51</v>
      </c>
      <c r="V93" s="88" t="n">
        <f aca="false">U93/$P93</f>
        <v>0.685575268817204</v>
      </c>
      <c r="W93" s="87" t="n">
        <f aca="false">SUM(W90:W92)</f>
        <v>5417.22</v>
      </c>
      <c r="X93" s="88" t="n">
        <f aca="false">W93/$P93</f>
        <v>0.970827956989247</v>
      </c>
      <c r="Y93" s="87" t="n">
        <f aca="false">SUM(Y90:Y92)</f>
        <v>5252</v>
      </c>
      <c r="Z93" s="87" t="n">
        <f aca="false">SUM(Z90:Z92)</f>
        <v>5252</v>
      </c>
    </row>
    <row r="94" customFormat="false" ht="12.8" hidden="false" customHeight="false" outlineLevel="0" collapsed="false">
      <c r="A94" s="1" t="n">
        <v>1</v>
      </c>
      <c r="B94" s="1" t="n">
        <v>1</v>
      </c>
      <c r="C94" s="1" t="n">
        <v>7</v>
      </c>
      <c r="D94" s="36" t="s">
        <v>146</v>
      </c>
      <c r="E94" s="10" t="n">
        <v>610</v>
      </c>
      <c r="F94" s="10" t="s">
        <v>121</v>
      </c>
      <c r="G94" s="11" t="n">
        <v>3976.09</v>
      </c>
      <c r="H94" s="11" t="n">
        <v>3638.86</v>
      </c>
      <c r="I94" s="11" t="n">
        <v>4980</v>
      </c>
      <c r="J94" s="11" t="n">
        <v>5211.74</v>
      </c>
      <c r="K94" s="11" t="n">
        <v>6131</v>
      </c>
      <c r="L94" s="11"/>
      <c r="M94" s="11"/>
      <c r="N94" s="11" t="n">
        <v>-107</v>
      </c>
      <c r="O94" s="11" t="n">
        <v>-340</v>
      </c>
      <c r="P94" s="11" t="n">
        <f aca="false">K94+SUM(L94:O94)</f>
        <v>5684</v>
      </c>
      <c r="Q94" s="11" t="n">
        <v>1295.58</v>
      </c>
      <c r="R94" s="12" t="n">
        <f aca="false">Q94/$P94</f>
        <v>0.227934553131597</v>
      </c>
      <c r="S94" s="11" t="n">
        <v>2615.73</v>
      </c>
      <c r="T94" s="12" t="n">
        <f aca="false">S94/$P94</f>
        <v>0.460191766361717</v>
      </c>
      <c r="U94" s="11" t="n">
        <v>3568.12</v>
      </c>
      <c r="V94" s="12" t="n">
        <f aca="false">U94/$P94</f>
        <v>0.627748064743139</v>
      </c>
      <c r="W94" s="11" t="n">
        <v>5069.7</v>
      </c>
      <c r="X94" s="12" t="n">
        <f aca="false">W94/$P94</f>
        <v>0.891924700914849</v>
      </c>
      <c r="Y94" s="11" t="n">
        <f aca="false">ROUND(K94*1.04,0)</f>
        <v>6376</v>
      </c>
      <c r="Z94" s="11" t="n">
        <f aca="false">ROUND(Y94*1.04,0)</f>
        <v>6631</v>
      </c>
    </row>
    <row r="95" customFormat="false" ht="12.8" hidden="false" customHeight="false" outlineLevel="0" collapsed="false">
      <c r="A95" s="1" t="n">
        <v>1</v>
      </c>
      <c r="B95" s="1" t="n">
        <v>1</v>
      </c>
      <c r="C95" s="1" t="n">
        <v>7</v>
      </c>
      <c r="D95" s="36"/>
      <c r="E95" s="10" t="n">
        <v>620</v>
      </c>
      <c r="F95" s="10" t="s">
        <v>122</v>
      </c>
      <c r="G95" s="11" t="n">
        <v>1455.23</v>
      </c>
      <c r="H95" s="11" t="n">
        <v>1510.32</v>
      </c>
      <c r="I95" s="11" t="n">
        <v>1930</v>
      </c>
      <c r="J95" s="11" t="n">
        <v>1982.47</v>
      </c>
      <c r="K95" s="11" t="n">
        <v>2145</v>
      </c>
      <c r="L95" s="11"/>
      <c r="M95" s="11"/>
      <c r="N95" s="11"/>
      <c r="O95" s="11" t="n">
        <v>12</v>
      </c>
      <c r="P95" s="11" t="n">
        <f aca="false">K95+SUM(L95:O95)</f>
        <v>2157</v>
      </c>
      <c r="Q95" s="11" t="n">
        <v>498.77</v>
      </c>
      <c r="R95" s="12" t="n">
        <f aca="false">Q95/$P95</f>
        <v>0.231233194251275</v>
      </c>
      <c r="S95" s="11" t="n">
        <v>1006.88</v>
      </c>
      <c r="T95" s="12" t="n">
        <f aca="false">S95/$P95</f>
        <v>0.466796476587853</v>
      </c>
      <c r="U95" s="11" t="n">
        <v>1375.22</v>
      </c>
      <c r="V95" s="12" t="n">
        <f aca="false">U95/$P95</f>
        <v>0.637561427909133</v>
      </c>
      <c r="W95" s="11" t="n">
        <v>1943.42</v>
      </c>
      <c r="X95" s="12" t="n">
        <f aca="false">W95/$P95</f>
        <v>0.900982846546129</v>
      </c>
      <c r="Y95" s="11" t="n">
        <f aca="false">ROUND(K95*1.04,0)</f>
        <v>2231</v>
      </c>
      <c r="Z95" s="11" t="n">
        <f aca="false">ROUND(Y95*1.04,0)</f>
        <v>2320</v>
      </c>
    </row>
    <row r="96" customFormat="false" ht="12.8" hidden="false" customHeight="false" outlineLevel="0" collapsed="false">
      <c r="A96" s="1" t="n">
        <v>1</v>
      </c>
      <c r="B96" s="1" t="n">
        <v>1</v>
      </c>
      <c r="C96" s="1" t="n">
        <v>7</v>
      </c>
      <c r="D96" s="36"/>
      <c r="E96" s="10" t="n">
        <v>630</v>
      </c>
      <c r="F96" s="10" t="s">
        <v>123</v>
      </c>
      <c r="G96" s="11" t="n">
        <v>483.43</v>
      </c>
      <c r="H96" s="11" t="n">
        <v>709.62</v>
      </c>
      <c r="I96" s="11" t="n">
        <v>874</v>
      </c>
      <c r="J96" s="11" t="n">
        <v>821.19</v>
      </c>
      <c r="K96" s="11" t="n">
        <v>830</v>
      </c>
      <c r="L96" s="11"/>
      <c r="M96" s="11"/>
      <c r="N96" s="11" t="n">
        <v>500</v>
      </c>
      <c r="O96" s="11" t="n">
        <v>50</v>
      </c>
      <c r="P96" s="11" t="n">
        <f aca="false">K96+SUM(L96:O96)</f>
        <v>1380</v>
      </c>
      <c r="Q96" s="11" t="n">
        <v>203.47</v>
      </c>
      <c r="R96" s="12" t="n">
        <f aca="false">Q96/$P96</f>
        <v>0.147442028985507</v>
      </c>
      <c r="S96" s="11" t="n">
        <v>397.33</v>
      </c>
      <c r="T96" s="12" t="n">
        <f aca="false">S96/$P96</f>
        <v>0.287920289855072</v>
      </c>
      <c r="U96" s="11" t="n">
        <v>997.7</v>
      </c>
      <c r="V96" s="12" t="n">
        <f aca="false">U96/$P96</f>
        <v>0.722971014492754</v>
      </c>
      <c r="W96" s="11" t="n">
        <v>1289.24</v>
      </c>
      <c r="X96" s="12" t="n">
        <f aca="false">W96/$P96</f>
        <v>0.934231884057971</v>
      </c>
      <c r="Y96" s="11" t="n">
        <f aca="false">K96</f>
        <v>830</v>
      </c>
      <c r="Z96" s="11" t="n">
        <f aca="false">Y96</f>
        <v>830</v>
      </c>
    </row>
    <row r="97" customFormat="false" ht="12.8" hidden="false" customHeight="false" outlineLevel="0" collapsed="false">
      <c r="A97" s="1" t="n">
        <v>1</v>
      </c>
      <c r="B97" s="1" t="n">
        <v>1</v>
      </c>
      <c r="C97" s="1" t="n">
        <v>7</v>
      </c>
      <c r="D97" s="36"/>
      <c r="E97" s="10" t="n">
        <v>640</v>
      </c>
      <c r="F97" s="10" t="s">
        <v>124</v>
      </c>
      <c r="G97" s="11" t="n">
        <v>86.87</v>
      </c>
      <c r="H97" s="11" t="n">
        <v>233.09</v>
      </c>
      <c r="I97" s="11" t="n">
        <v>0</v>
      </c>
      <c r="J97" s="11" t="n">
        <v>0</v>
      </c>
      <c r="K97" s="11" t="n">
        <v>0</v>
      </c>
      <c r="L97" s="11"/>
      <c r="M97" s="11"/>
      <c r="N97" s="11" t="n">
        <v>107</v>
      </c>
      <c r="O97" s="11"/>
      <c r="P97" s="11" t="n">
        <f aca="false">K97+SUM(L97:O97)</f>
        <v>107</v>
      </c>
      <c r="Q97" s="11" t="n">
        <v>0</v>
      </c>
      <c r="R97" s="12" t="n">
        <f aca="false">Q97/$P97</f>
        <v>0</v>
      </c>
      <c r="S97" s="11" t="n">
        <v>0</v>
      </c>
      <c r="T97" s="12" t="n">
        <f aca="false">S97/$P97</f>
        <v>0</v>
      </c>
      <c r="U97" s="11" t="n">
        <v>107.35</v>
      </c>
      <c r="V97" s="12" t="n">
        <f aca="false">U97/$P97</f>
        <v>1.00327102803738</v>
      </c>
      <c r="W97" s="11" t="n">
        <v>107.35</v>
      </c>
      <c r="X97" s="12" t="n">
        <f aca="false">W97/$P97</f>
        <v>1.00327102803738</v>
      </c>
      <c r="Y97" s="11" t="n">
        <f aca="false">K97</f>
        <v>0</v>
      </c>
      <c r="Z97" s="11" t="n">
        <f aca="false">Y97</f>
        <v>0</v>
      </c>
    </row>
    <row r="98" customFormat="false" ht="12.8" hidden="false" customHeight="false" outlineLevel="0" collapsed="false">
      <c r="A98" s="1" t="n">
        <v>1</v>
      </c>
      <c r="B98" s="1" t="n">
        <v>1</v>
      </c>
      <c r="C98" s="1" t="n">
        <v>7</v>
      </c>
      <c r="D98" s="85" t="s">
        <v>21</v>
      </c>
      <c r="E98" s="86" t="n">
        <v>41</v>
      </c>
      <c r="F98" s="86" t="s">
        <v>23</v>
      </c>
      <c r="G98" s="87" t="n">
        <f aca="false">SUM(G94:G97)</f>
        <v>6001.62</v>
      </c>
      <c r="H98" s="87" t="n">
        <f aca="false">SUM(H94:H97)</f>
        <v>6091.89</v>
      </c>
      <c r="I98" s="87" t="n">
        <f aca="false">SUM(I94:I97)</f>
        <v>7784</v>
      </c>
      <c r="J98" s="87" t="n">
        <f aca="false">SUM(J94:J97)</f>
        <v>8015.4</v>
      </c>
      <c r="K98" s="87" t="n">
        <f aca="false">SUM(K94:K97)</f>
        <v>9106</v>
      </c>
      <c r="L98" s="87" t="n">
        <f aca="false">SUM(L94:L97)</f>
        <v>0</v>
      </c>
      <c r="M98" s="87" t="n">
        <f aca="false">SUM(M94:M97)</f>
        <v>0</v>
      </c>
      <c r="N98" s="87" t="n">
        <f aca="false">SUM(N94:N97)</f>
        <v>500</v>
      </c>
      <c r="O98" s="87" t="n">
        <f aca="false">SUM(O94:O97)</f>
        <v>-278</v>
      </c>
      <c r="P98" s="87" t="n">
        <f aca="false">SUM(P94:P97)</f>
        <v>9328</v>
      </c>
      <c r="Q98" s="87" t="n">
        <f aca="false">SUM(Q94:Q97)</f>
        <v>1997.82</v>
      </c>
      <c r="R98" s="88" t="n">
        <f aca="false">Q98/$P98</f>
        <v>0.214174528301887</v>
      </c>
      <c r="S98" s="87" t="n">
        <f aca="false">SUM(S94:S97)</f>
        <v>4019.94</v>
      </c>
      <c r="T98" s="88" t="n">
        <f aca="false">S98/$P98</f>
        <v>0.430954116638079</v>
      </c>
      <c r="U98" s="87" t="n">
        <f aca="false">SUM(U94:U97)</f>
        <v>6048.39</v>
      </c>
      <c r="V98" s="88" t="n">
        <f aca="false">U98/$P98</f>
        <v>0.64841230703259</v>
      </c>
      <c r="W98" s="87" t="n">
        <f aca="false">SUM(W94:W97)</f>
        <v>8409.71</v>
      </c>
      <c r="X98" s="88" t="n">
        <f aca="false">W98/$P98</f>
        <v>0.901555531732418</v>
      </c>
      <c r="Y98" s="87" t="n">
        <f aca="false">SUM(Y94:Y97)</f>
        <v>9437</v>
      </c>
      <c r="Z98" s="87" t="n">
        <f aca="false">SUM(Z94:Z97)</f>
        <v>9781</v>
      </c>
    </row>
    <row r="99" customFormat="false" ht="12.8" hidden="false" customHeight="false" outlineLevel="0" collapsed="false">
      <c r="A99" s="1" t="n">
        <v>1</v>
      </c>
      <c r="B99" s="1" t="n">
        <v>1</v>
      </c>
      <c r="C99" s="1" t="n">
        <v>7</v>
      </c>
      <c r="D99" s="18"/>
      <c r="E99" s="19"/>
      <c r="F99" s="14" t="s">
        <v>116</v>
      </c>
      <c r="G99" s="15" t="n">
        <f aca="false">G93+G98</f>
        <v>10852.04</v>
      </c>
      <c r="H99" s="15" t="n">
        <f aca="false">H93+H98</f>
        <v>11134.49</v>
      </c>
      <c r="I99" s="15" t="n">
        <f aca="false">I93+I98</f>
        <v>12826</v>
      </c>
      <c r="J99" s="15" t="n">
        <f aca="false">J93+J98</f>
        <v>13180.25</v>
      </c>
      <c r="K99" s="15" t="n">
        <f aca="false">K93+K98</f>
        <v>14358</v>
      </c>
      <c r="L99" s="15" t="n">
        <f aca="false">L93+L98</f>
        <v>0</v>
      </c>
      <c r="M99" s="15" t="n">
        <f aca="false">M93+M98</f>
        <v>0</v>
      </c>
      <c r="N99" s="15" t="n">
        <f aca="false">N93+N98</f>
        <v>500</v>
      </c>
      <c r="O99" s="15" t="n">
        <f aca="false">O93+O98</f>
        <v>50</v>
      </c>
      <c r="P99" s="15" t="n">
        <f aca="false">P93+P98</f>
        <v>14908</v>
      </c>
      <c r="Q99" s="15" t="n">
        <f aca="false">Q93+Q98</f>
        <v>3283.21</v>
      </c>
      <c r="R99" s="16" t="n">
        <f aca="false">Q99/$P99</f>
        <v>0.220231419372149</v>
      </c>
      <c r="S99" s="15" t="n">
        <f aca="false">S93+S98</f>
        <v>6726.57</v>
      </c>
      <c r="T99" s="16" t="n">
        <f aca="false">S99/$P99</f>
        <v>0.451205393077542</v>
      </c>
      <c r="U99" s="15" t="n">
        <f aca="false">U93+U98</f>
        <v>9873.9</v>
      </c>
      <c r="V99" s="16" t="n">
        <f aca="false">U99/$P99</f>
        <v>0.662322243090958</v>
      </c>
      <c r="W99" s="15" t="n">
        <f aca="false">W93+W98</f>
        <v>13826.93</v>
      </c>
      <c r="X99" s="16" t="n">
        <f aca="false">W99/$P99</f>
        <v>0.927483901261068</v>
      </c>
      <c r="Y99" s="15" t="n">
        <f aca="false">Y93+Y98</f>
        <v>14689</v>
      </c>
      <c r="Z99" s="15" t="n">
        <f aca="false">Z93+Z98</f>
        <v>15033</v>
      </c>
    </row>
    <row r="101" customFormat="false" ht="12.8" hidden="false" customHeight="false" outlineLevel="0" collapsed="false">
      <c r="D101" s="31" t="s">
        <v>147</v>
      </c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 t="e">
        <f aca="false">N101/$M101</f>
        <v>#DIV/0!</v>
      </c>
      <c r="P101" s="31"/>
      <c r="Q101" s="31" t="e">
        <f aca="false">P101/$M101</f>
        <v>#DIV/0!</v>
      </c>
      <c r="R101" s="31"/>
      <c r="S101" s="31" t="e">
        <f aca="false">R101/$M101</f>
        <v>#DIV/0!</v>
      </c>
      <c r="T101" s="31"/>
      <c r="U101" s="31" t="e">
        <f aca="false">T101/$M101</f>
        <v>#DIV/0!</v>
      </c>
      <c r="V101" s="31"/>
      <c r="W101" s="31"/>
      <c r="X101" s="31"/>
      <c r="Y101" s="31"/>
      <c r="Z101" s="31"/>
    </row>
    <row r="102" customFormat="false" ht="12.8" hidden="false" customHeight="false" outlineLevel="0" collapsed="false">
      <c r="D102" s="7" t="s">
        <v>33</v>
      </c>
      <c r="E102" s="7" t="s">
        <v>34</v>
      </c>
      <c r="F102" s="7" t="s">
        <v>35</v>
      </c>
      <c r="G102" s="7" t="s">
        <v>1</v>
      </c>
      <c r="H102" s="7" t="s">
        <v>2</v>
      </c>
      <c r="I102" s="7" t="s">
        <v>3</v>
      </c>
      <c r="J102" s="7" t="s">
        <v>4</v>
      </c>
      <c r="K102" s="7" t="s">
        <v>5</v>
      </c>
      <c r="L102" s="7" t="s">
        <v>6</v>
      </c>
      <c r="M102" s="7" t="s">
        <v>7</v>
      </c>
      <c r="N102" s="7" t="s">
        <v>8</v>
      </c>
      <c r="O102" s="7" t="s">
        <v>9</v>
      </c>
      <c r="P102" s="7" t="s">
        <v>10</v>
      </c>
      <c r="Q102" s="7" t="s">
        <v>11</v>
      </c>
      <c r="R102" s="8" t="s">
        <v>12</v>
      </c>
      <c r="S102" s="7" t="s">
        <v>13</v>
      </c>
      <c r="T102" s="8" t="s">
        <v>14</v>
      </c>
      <c r="U102" s="7" t="s">
        <v>15</v>
      </c>
      <c r="V102" s="8" t="s">
        <v>16</v>
      </c>
      <c r="W102" s="7" t="s">
        <v>17</v>
      </c>
      <c r="X102" s="8" t="s">
        <v>18</v>
      </c>
      <c r="Y102" s="7" t="s">
        <v>19</v>
      </c>
      <c r="Z102" s="7" t="s">
        <v>20</v>
      </c>
    </row>
    <row r="103" customFormat="false" ht="12.8" hidden="false" customHeight="false" outlineLevel="0" collapsed="false">
      <c r="A103" s="1" t="n">
        <v>1</v>
      </c>
      <c r="B103" s="1" t="n">
        <v>2</v>
      </c>
      <c r="D103" s="10" t="s">
        <v>120</v>
      </c>
      <c r="E103" s="10" t="n">
        <v>640</v>
      </c>
      <c r="F103" s="10" t="s">
        <v>84</v>
      </c>
      <c r="G103" s="11" t="n">
        <f aca="false">319.87+113.75+2945.31</f>
        <v>3378.93</v>
      </c>
      <c r="H103" s="11" t="n">
        <v>2936.01</v>
      </c>
      <c r="I103" s="11" t="n">
        <v>2936</v>
      </c>
      <c r="J103" s="11" t="n">
        <v>3366.62</v>
      </c>
      <c r="K103" s="11" t="n">
        <v>3366</v>
      </c>
      <c r="L103" s="11"/>
      <c r="M103" s="11"/>
      <c r="N103" s="11"/>
      <c r="O103" s="11" t="n">
        <v>-431</v>
      </c>
      <c r="P103" s="11" t="n">
        <f aca="false">K103+SUM(L103:O103)</f>
        <v>2935</v>
      </c>
      <c r="Q103" s="11" t="n">
        <v>0</v>
      </c>
      <c r="R103" s="12" t="n">
        <f aca="false">Q103/$P103</f>
        <v>0</v>
      </c>
      <c r="S103" s="11" t="n">
        <v>0</v>
      </c>
      <c r="T103" s="12" t="n">
        <f aca="false">S103/$P103</f>
        <v>0</v>
      </c>
      <c r="U103" s="11" t="n">
        <v>2935.08</v>
      </c>
      <c r="V103" s="12" t="n">
        <f aca="false">U103/$P103</f>
        <v>1.0000272572402</v>
      </c>
      <c r="W103" s="11" t="n">
        <v>2935.08</v>
      </c>
      <c r="X103" s="12" t="n">
        <f aca="false">W103/$P103</f>
        <v>1.0000272572402</v>
      </c>
      <c r="Y103" s="11" t="n">
        <f aca="false">K103</f>
        <v>3366</v>
      </c>
      <c r="Z103" s="11" t="n">
        <f aca="false">Y103</f>
        <v>3366</v>
      </c>
    </row>
    <row r="104" customFormat="false" ht="12.8" hidden="false" customHeight="false" outlineLevel="0" collapsed="false">
      <c r="A104" s="1" t="n">
        <v>1</v>
      </c>
      <c r="B104" s="1" t="n">
        <v>2</v>
      </c>
      <c r="D104" s="85" t="s">
        <v>21</v>
      </c>
      <c r="E104" s="86" t="n">
        <v>111</v>
      </c>
      <c r="F104" s="86" t="s">
        <v>127</v>
      </c>
      <c r="G104" s="87" t="n">
        <f aca="false">SUM(G103)</f>
        <v>3378.93</v>
      </c>
      <c r="H104" s="87" t="n">
        <f aca="false">SUM(H103)</f>
        <v>2936.01</v>
      </c>
      <c r="I104" s="87" t="n">
        <f aca="false">SUM(I103)</f>
        <v>2936</v>
      </c>
      <c r="J104" s="87" t="n">
        <f aca="false">SUM(J103)</f>
        <v>3366.62</v>
      </c>
      <c r="K104" s="87" t="n">
        <f aca="false">SUM(K103)</f>
        <v>3366</v>
      </c>
      <c r="L104" s="87" t="n">
        <f aca="false">SUM(L103)</f>
        <v>0</v>
      </c>
      <c r="M104" s="87" t="n">
        <f aca="false">SUM(M103)</f>
        <v>0</v>
      </c>
      <c r="N104" s="87" t="n">
        <f aca="false">SUM(N103)</f>
        <v>0</v>
      </c>
      <c r="O104" s="87" t="n">
        <f aca="false">SUM(O103)</f>
        <v>-431</v>
      </c>
      <c r="P104" s="87" t="n">
        <f aca="false">SUM(P103)</f>
        <v>2935</v>
      </c>
      <c r="Q104" s="87" t="n">
        <f aca="false">SUM(Q103)</f>
        <v>0</v>
      </c>
      <c r="R104" s="88" t="n">
        <f aca="false">Q104/$P104</f>
        <v>0</v>
      </c>
      <c r="S104" s="87" t="n">
        <f aca="false">SUM(S103)</f>
        <v>0</v>
      </c>
      <c r="T104" s="88" t="n">
        <f aca="false">S104/$P104</f>
        <v>0</v>
      </c>
      <c r="U104" s="87" t="n">
        <f aca="false">SUM(U103)</f>
        <v>2935.08</v>
      </c>
      <c r="V104" s="88" t="n">
        <f aca="false">U104/$P104</f>
        <v>1.0000272572402</v>
      </c>
      <c r="W104" s="87" t="n">
        <f aca="false">SUM(W103)</f>
        <v>2935.08</v>
      </c>
      <c r="X104" s="88" t="n">
        <f aca="false">W104/$P104</f>
        <v>1.0000272572402</v>
      </c>
      <c r="Y104" s="87" t="n">
        <f aca="false">SUM(Y103)</f>
        <v>3366</v>
      </c>
      <c r="Z104" s="87" t="n">
        <f aca="false">SUM(Z103)</f>
        <v>3366</v>
      </c>
    </row>
    <row r="105" customFormat="false" ht="12.8" hidden="false" customHeight="false" outlineLevel="0" collapsed="false">
      <c r="A105" s="1" t="n">
        <v>1</v>
      </c>
      <c r="B105" s="1" t="n">
        <v>2</v>
      </c>
      <c r="D105" s="33" t="s">
        <v>148</v>
      </c>
      <c r="E105" s="10" t="n">
        <v>640</v>
      </c>
      <c r="F105" s="10" t="s">
        <v>149</v>
      </c>
      <c r="G105" s="11" t="n">
        <v>983.33</v>
      </c>
      <c r="H105" s="11" t="n">
        <v>447</v>
      </c>
      <c r="I105" s="11" t="n">
        <v>0</v>
      </c>
      <c r="J105" s="11" t="n">
        <v>94.56</v>
      </c>
      <c r="K105" s="11" t="n">
        <v>0</v>
      </c>
      <c r="L105" s="11"/>
      <c r="M105" s="11"/>
      <c r="N105" s="11"/>
      <c r="O105" s="11"/>
      <c r="P105" s="11" t="n">
        <f aca="false">K105+SUM(L105:O105)</f>
        <v>0</v>
      </c>
      <c r="Q105" s="11" t="n">
        <v>0</v>
      </c>
      <c r="R105" s="12" t="e">
        <f aca="false">Q105/$P105</f>
        <v>#DIV/0!</v>
      </c>
      <c r="S105" s="11" t="n">
        <v>0</v>
      </c>
      <c r="T105" s="12" t="e">
        <f aca="false">S105/$P105</f>
        <v>#DIV/0!</v>
      </c>
      <c r="U105" s="11" t="n">
        <v>0</v>
      </c>
      <c r="V105" s="12" t="e">
        <f aca="false">U105/$P105</f>
        <v>#DIV/0!</v>
      </c>
      <c r="W105" s="11" t="n">
        <v>0</v>
      </c>
      <c r="X105" s="12" t="e">
        <f aca="false">W105/$P105</f>
        <v>#DIV/0!</v>
      </c>
      <c r="Y105" s="11" t="n">
        <v>0</v>
      </c>
      <c r="Z105" s="11" t="n">
        <v>0</v>
      </c>
    </row>
    <row r="106" customFormat="false" ht="12.8" hidden="false" customHeight="false" outlineLevel="0" collapsed="false">
      <c r="A106" s="1" t="n">
        <v>1</v>
      </c>
      <c r="B106" s="1" t="n">
        <v>2</v>
      </c>
      <c r="D106" s="33" t="s">
        <v>150</v>
      </c>
      <c r="E106" s="10" t="n">
        <v>640</v>
      </c>
      <c r="F106" s="10" t="s">
        <v>151</v>
      </c>
      <c r="G106" s="11" t="n">
        <v>351.72</v>
      </c>
      <c r="H106" s="11" t="n">
        <v>376.16</v>
      </c>
      <c r="I106" s="11" t="n">
        <v>406</v>
      </c>
      <c r="J106" s="11" t="n">
        <v>406.14</v>
      </c>
      <c r="K106" s="11" t="n">
        <v>406</v>
      </c>
      <c r="L106" s="11"/>
      <c r="M106" s="11"/>
      <c r="N106" s="11"/>
      <c r="O106" s="11" t="n">
        <v>-39</v>
      </c>
      <c r="P106" s="11" t="n">
        <f aca="false">K106+SUM(L106:O106)</f>
        <v>367</v>
      </c>
      <c r="Q106" s="11" t="n">
        <v>0</v>
      </c>
      <c r="R106" s="12" t="n">
        <f aca="false">Q106/$P106</f>
        <v>0</v>
      </c>
      <c r="S106" s="11" t="n">
        <v>183.5</v>
      </c>
      <c r="T106" s="12" t="n">
        <f aca="false">S106/$P106</f>
        <v>0.5</v>
      </c>
      <c r="U106" s="11" t="n">
        <v>367</v>
      </c>
      <c r="V106" s="12" t="n">
        <f aca="false">U106/$P106</f>
        <v>1</v>
      </c>
      <c r="W106" s="11" t="n">
        <v>367</v>
      </c>
      <c r="X106" s="12" t="n">
        <f aca="false">W106/$P106</f>
        <v>1</v>
      </c>
      <c r="Y106" s="11" t="n">
        <f aca="false">K106</f>
        <v>406</v>
      </c>
      <c r="Z106" s="11" t="n">
        <f aca="false">Y106</f>
        <v>406</v>
      </c>
    </row>
    <row r="107" customFormat="false" ht="12.8" hidden="false" customHeight="false" outlineLevel="0" collapsed="false">
      <c r="A107" s="1" t="n">
        <v>1</v>
      </c>
      <c r="B107" s="1" t="n">
        <v>2</v>
      </c>
      <c r="D107" s="10" t="s">
        <v>120</v>
      </c>
      <c r="E107" s="10" t="n">
        <v>640</v>
      </c>
      <c r="F107" s="10" t="s">
        <v>84</v>
      </c>
      <c r="G107" s="11" t="n">
        <f aca="false">9389.01+3334.73+413.17+3052</f>
        <v>16188.91</v>
      </c>
      <c r="H107" s="11" t="n">
        <v>6981.99</v>
      </c>
      <c r="I107" s="11" t="n">
        <v>7444</v>
      </c>
      <c r="J107" s="11" t="n">
        <v>7642.98</v>
      </c>
      <c r="K107" s="11" t="n">
        <v>7643</v>
      </c>
      <c r="L107" s="11"/>
      <c r="M107" s="11"/>
      <c r="N107" s="11"/>
      <c r="O107" s="11" t="n">
        <v>-1775</v>
      </c>
      <c r="P107" s="11" t="n">
        <f aca="false">K107+SUM(L107:O107)</f>
        <v>5868</v>
      </c>
      <c r="Q107" s="11" t="n">
        <v>0</v>
      </c>
      <c r="R107" s="12" t="n">
        <f aca="false">Q107/$P107</f>
        <v>0</v>
      </c>
      <c r="S107" s="11" t="n">
        <v>4186</v>
      </c>
      <c r="T107" s="12" t="n">
        <f aca="false">S107/$P107</f>
        <v>0.713360599863667</v>
      </c>
      <c r="U107" s="11" t="n">
        <v>3775.38</v>
      </c>
      <c r="V107" s="12" t="n">
        <f aca="false">U107/$P107</f>
        <v>0.64338445807771</v>
      </c>
      <c r="W107" s="11" t="n">
        <v>5868.38</v>
      </c>
      <c r="X107" s="12" t="n">
        <f aca="false">W107/$P107</f>
        <v>1.00006475800954</v>
      </c>
      <c r="Y107" s="11" t="n">
        <f aca="false">K107</f>
        <v>7643</v>
      </c>
      <c r="Z107" s="11" t="n">
        <f aca="false">Y107</f>
        <v>7643</v>
      </c>
    </row>
    <row r="108" customFormat="false" ht="12.8" hidden="false" customHeight="false" outlineLevel="0" collapsed="false">
      <c r="A108" s="1" t="n">
        <v>1</v>
      </c>
      <c r="B108" s="1" t="n">
        <v>2</v>
      </c>
      <c r="D108" s="85" t="s">
        <v>21</v>
      </c>
      <c r="E108" s="86" t="n">
        <v>41</v>
      </c>
      <c r="F108" s="86" t="s">
        <v>23</v>
      </c>
      <c r="G108" s="87" t="n">
        <f aca="false">SUM(G105:G107)</f>
        <v>17523.96</v>
      </c>
      <c r="H108" s="87" t="n">
        <f aca="false">SUM(H105:H107)</f>
        <v>7805.15</v>
      </c>
      <c r="I108" s="87" t="n">
        <f aca="false">SUM(I105:I107)</f>
        <v>7850</v>
      </c>
      <c r="J108" s="87" t="n">
        <f aca="false">SUM(J105:J107)</f>
        <v>8143.68</v>
      </c>
      <c r="K108" s="87" t="n">
        <f aca="false">SUM(K105:K107)</f>
        <v>8049</v>
      </c>
      <c r="L108" s="87" t="n">
        <f aca="false">SUM(L105:L107)</f>
        <v>0</v>
      </c>
      <c r="M108" s="87" t="n">
        <f aca="false">SUM(M105:M107)</f>
        <v>0</v>
      </c>
      <c r="N108" s="87" t="n">
        <f aca="false">SUM(N105:N107)</f>
        <v>0</v>
      </c>
      <c r="O108" s="87" t="n">
        <f aca="false">SUM(O105:O107)</f>
        <v>-1814</v>
      </c>
      <c r="P108" s="87" t="n">
        <f aca="false">SUM(P105:P107)</f>
        <v>6235</v>
      </c>
      <c r="Q108" s="87" t="n">
        <f aca="false">SUM(Q105:Q107)</f>
        <v>0</v>
      </c>
      <c r="R108" s="88" t="n">
        <f aca="false">Q108/$P108</f>
        <v>0</v>
      </c>
      <c r="S108" s="87" t="n">
        <f aca="false">SUM(S105:S107)</f>
        <v>4369.5</v>
      </c>
      <c r="T108" s="88" t="n">
        <f aca="false">S108/$P108</f>
        <v>0.700801924619086</v>
      </c>
      <c r="U108" s="87" t="n">
        <f aca="false">SUM(U105:U107)</f>
        <v>4142.38</v>
      </c>
      <c r="V108" s="88" t="n">
        <f aca="false">U108/$P108</f>
        <v>0.664375300721732</v>
      </c>
      <c r="W108" s="87" t="n">
        <f aca="false">SUM(W105:W107)</f>
        <v>6235.38</v>
      </c>
      <c r="X108" s="88" t="n">
        <f aca="false">W108/$P108</f>
        <v>1.00006094627105</v>
      </c>
      <c r="Y108" s="87" t="n">
        <f aca="false">SUM(Y105:Y107)</f>
        <v>8049</v>
      </c>
      <c r="Z108" s="87" t="n">
        <f aca="false">SUM(Z105:Z107)</f>
        <v>8049</v>
      </c>
    </row>
    <row r="109" customFormat="false" ht="12.8" hidden="false" customHeight="false" outlineLevel="0" collapsed="false">
      <c r="A109" s="1" t="n">
        <v>1</v>
      </c>
      <c r="B109" s="1" t="n">
        <v>2</v>
      </c>
      <c r="D109" s="18"/>
      <c r="E109" s="19"/>
      <c r="F109" s="14" t="s">
        <v>116</v>
      </c>
      <c r="G109" s="15" t="n">
        <f aca="false">G104+G108</f>
        <v>20902.89</v>
      </c>
      <c r="H109" s="15" t="n">
        <f aca="false">H104+H108</f>
        <v>10741.16</v>
      </c>
      <c r="I109" s="15" t="n">
        <f aca="false">I104+I108</f>
        <v>10786</v>
      </c>
      <c r="J109" s="15" t="n">
        <f aca="false">J104+J108</f>
        <v>11510.3</v>
      </c>
      <c r="K109" s="15" t="n">
        <f aca="false">K104+K108</f>
        <v>11415</v>
      </c>
      <c r="L109" s="15" t="n">
        <f aca="false">L104+L108</f>
        <v>0</v>
      </c>
      <c r="M109" s="15" t="n">
        <f aca="false">M104+M108</f>
        <v>0</v>
      </c>
      <c r="N109" s="15" t="n">
        <f aca="false">N104+N108</f>
        <v>0</v>
      </c>
      <c r="O109" s="15" t="n">
        <f aca="false">O104+O108</f>
        <v>-2245</v>
      </c>
      <c r="P109" s="15" t="n">
        <f aca="false">P104+P108</f>
        <v>9170</v>
      </c>
      <c r="Q109" s="15" t="n">
        <f aca="false">Q104+Q108</f>
        <v>0</v>
      </c>
      <c r="R109" s="16" t="n">
        <f aca="false">Q109/$P109</f>
        <v>0</v>
      </c>
      <c r="S109" s="15" t="n">
        <f aca="false">S104+S108</f>
        <v>4369.5</v>
      </c>
      <c r="T109" s="16" t="n">
        <f aca="false">S109/$P109</f>
        <v>0.47649945474373</v>
      </c>
      <c r="U109" s="15" t="n">
        <f aca="false">U104+U108</f>
        <v>7077.46</v>
      </c>
      <c r="V109" s="16" t="n">
        <f aca="false">U109/$P109</f>
        <v>0.771805888767721</v>
      </c>
      <c r="W109" s="15" t="n">
        <f aca="false">W104+W108</f>
        <v>9170.46</v>
      </c>
      <c r="X109" s="16" t="n">
        <f aca="false">W109/$P109</f>
        <v>1.00005016357688</v>
      </c>
      <c r="Y109" s="15" t="n">
        <f aca="false">Y104+Y108</f>
        <v>11415</v>
      </c>
      <c r="Z109" s="15" t="n">
        <f aca="false">Z104+Z108</f>
        <v>11415</v>
      </c>
    </row>
    <row r="111" customFormat="false" ht="12.8" hidden="false" customHeight="false" outlineLevel="0" collapsed="false">
      <c r="D111" s="31" t="s">
        <v>152</v>
      </c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 t="e">
        <f aca="false">N111/$M111</f>
        <v>#DIV/0!</v>
      </c>
      <c r="P111" s="31"/>
      <c r="Q111" s="31" t="e">
        <f aca="false">P111/$M111</f>
        <v>#DIV/0!</v>
      </c>
      <c r="R111" s="31"/>
      <c r="S111" s="31" t="e">
        <f aca="false">R111/$M111</f>
        <v>#DIV/0!</v>
      </c>
      <c r="T111" s="31"/>
      <c r="U111" s="31" t="e">
        <f aca="false">T111/$M111</f>
        <v>#DIV/0!</v>
      </c>
      <c r="V111" s="31"/>
      <c r="W111" s="31"/>
      <c r="X111" s="31"/>
      <c r="Y111" s="31"/>
      <c r="Z111" s="31"/>
    </row>
    <row r="112" customFormat="false" ht="12.8" hidden="false" customHeight="false" outlineLevel="0" collapsed="false">
      <c r="D112" s="7" t="s">
        <v>33</v>
      </c>
      <c r="E112" s="7" t="s">
        <v>34</v>
      </c>
      <c r="F112" s="7" t="s">
        <v>35</v>
      </c>
      <c r="G112" s="7" t="s">
        <v>1</v>
      </c>
      <c r="H112" s="7" t="s">
        <v>2</v>
      </c>
      <c r="I112" s="7" t="s">
        <v>3</v>
      </c>
      <c r="J112" s="7" t="s">
        <v>4</v>
      </c>
      <c r="K112" s="7" t="s">
        <v>5</v>
      </c>
      <c r="L112" s="7" t="s">
        <v>6</v>
      </c>
      <c r="M112" s="7" t="s">
        <v>7</v>
      </c>
      <c r="N112" s="7" t="s">
        <v>8</v>
      </c>
      <c r="O112" s="7" t="s">
        <v>9</v>
      </c>
      <c r="P112" s="7" t="s">
        <v>10</v>
      </c>
      <c r="Q112" s="7" t="s">
        <v>11</v>
      </c>
      <c r="R112" s="8" t="s">
        <v>12</v>
      </c>
      <c r="S112" s="7" t="s">
        <v>13</v>
      </c>
      <c r="T112" s="8" t="s">
        <v>14</v>
      </c>
      <c r="U112" s="7" t="s">
        <v>15</v>
      </c>
      <c r="V112" s="8" t="s">
        <v>16</v>
      </c>
      <c r="W112" s="7" t="s">
        <v>17</v>
      </c>
      <c r="X112" s="8" t="s">
        <v>18</v>
      </c>
      <c r="Y112" s="7" t="s">
        <v>19</v>
      </c>
      <c r="Z112" s="7" t="s">
        <v>20</v>
      </c>
    </row>
    <row r="113" customFormat="false" ht="12.8" hidden="false" customHeight="false" outlineLevel="0" collapsed="false">
      <c r="A113" s="1" t="n">
        <v>1</v>
      </c>
      <c r="B113" s="1" t="n">
        <v>3</v>
      </c>
      <c r="D113" s="10" t="s">
        <v>153</v>
      </c>
      <c r="E113" s="10" t="n">
        <v>630</v>
      </c>
      <c r="F113" s="10" t="s">
        <v>154</v>
      </c>
      <c r="G113" s="11" t="n">
        <v>3290.83</v>
      </c>
      <c r="H113" s="11" t="n">
        <v>1783.4</v>
      </c>
      <c r="I113" s="11" t="n">
        <v>2900</v>
      </c>
      <c r="J113" s="11" t="n">
        <v>3176.66</v>
      </c>
      <c r="K113" s="11" t="n">
        <v>2600</v>
      </c>
      <c r="L113" s="11"/>
      <c r="M113" s="11"/>
      <c r="N113" s="11"/>
      <c r="O113" s="11"/>
      <c r="P113" s="11" t="n">
        <f aca="false">K113+SUM(L113:O113)</f>
        <v>2600</v>
      </c>
      <c r="Q113" s="11" t="n">
        <v>240</v>
      </c>
      <c r="R113" s="12" t="n">
        <f aca="false">Q113/$P113</f>
        <v>0.0923076923076923</v>
      </c>
      <c r="S113" s="11" t="n">
        <v>653.6</v>
      </c>
      <c r="T113" s="12" t="n">
        <f aca="false">S113/$P113</f>
        <v>0.251384615384615</v>
      </c>
      <c r="U113" s="11" t="n">
        <v>653.6</v>
      </c>
      <c r="V113" s="12" t="n">
        <f aca="false">U113/$P113</f>
        <v>0.251384615384615</v>
      </c>
      <c r="W113" s="11" t="n">
        <v>2441.6</v>
      </c>
      <c r="X113" s="12" t="n">
        <f aca="false">W113/$P113</f>
        <v>0.939076923076923</v>
      </c>
      <c r="Y113" s="11" t="n">
        <f aca="false">K113</f>
        <v>2600</v>
      </c>
      <c r="Z113" s="11" t="n">
        <f aca="false">Y113</f>
        <v>2600</v>
      </c>
    </row>
    <row r="114" customFormat="false" ht="12.8" hidden="false" customHeight="false" outlineLevel="0" collapsed="false">
      <c r="A114" s="1" t="n">
        <v>1</v>
      </c>
      <c r="B114" s="1" t="n">
        <v>3</v>
      </c>
      <c r="D114" s="98" t="s">
        <v>155</v>
      </c>
      <c r="E114" s="10" t="n">
        <v>630</v>
      </c>
      <c r="F114" s="10" t="s">
        <v>156</v>
      </c>
      <c r="G114" s="11" t="n">
        <v>370.84</v>
      </c>
      <c r="H114" s="11" t="n">
        <v>198</v>
      </c>
      <c r="I114" s="11" t="n">
        <v>200</v>
      </c>
      <c r="J114" s="11" t="n">
        <v>187</v>
      </c>
      <c r="K114" s="11" t="n">
        <v>190</v>
      </c>
      <c r="L114" s="11"/>
      <c r="M114" s="11"/>
      <c r="N114" s="11"/>
      <c r="O114" s="11"/>
      <c r="P114" s="11" t="n">
        <f aca="false">K114+SUM(L114:O114)</f>
        <v>190</v>
      </c>
      <c r="Q114" s="11" t="n">
        <v>34</v>
      </c>
      <c r="R114" s="12" t="n">
        <f aca="false">Q114/$P114</f>
        <v>0.178947368421053</v>
      </c>
      <c r="S114" s="11" t="n">
        <v>85</v>
      </c>
      <c r="T114" s="12" t="n">
        <f aca="false">S114/$P114</f>
        <v>0.447368421052632</v>
      </c>
      <c r="U114" s="11" t="n">
        <v>136</v>
      </c>
      <c r="V114" s="12" t="n">
        <f aca="false">U114/$P114</f>
        <v>0.715789473684211</v>
      </c>
      <c r="W114" s="11" t="n">
        <v>187</v>
      </c>
      <c r="X114" s="12" t="n">
        <f aca="false">W114/$P114</f>
        <v>0.984210526315789</v>
      </c>
      <c r="Y114" s="11" t="n">
        <f aca="false">K114</f>
        <v>190</v>
      </c>
      <c r="Z114" s="11" t="n">
        <f aca="false">Y114</f>
        <v>190</v>
      </c>
    </row>
    <row r="115" customFormat="false" ht="12.8" hidden="false" customHeight="false" outlineLevel="0" collapsed="false">
      <c r="A115" s="1" t="n">
        <v>1</v>
      </c>
      <c r="B115" s="1" t="n">
        <v>3</v>
      </c>
      <c r="D115" s="89" t="s">
        <v>120</v>
      </c>
      <c r="E115" s="10" t="n">
        <v>620</v>
      </c>
      <c r="F115" s="10" t="s">
        <v>122</v>
      </c>
      <c r="G115" s="11" t="n">
        <v>0</v>
      </c>
      <c r="H115" s="11" t="n">
        <v>0</v>
      </c>
      <c r="I115" s="11" t="n">
        <v>0</v>
      </c>
      <c r="J115" s="11" t="n">
        <v>414.92</v>
      </c>
      <c r="K115" s="11" t="n">
        <v>420</v>
      </c>
      <c r="L115" s="11"/>
      <c r="M115" s="11"/>
      <c r="N115" s="11"/>
      <c r="O115" s="11"/>
      <c r="P115" s="11" t="n">
        <f aca="false">K115+SUM(L115:O115)</f>
        <v>420</v>
      </c>
      <c r="Q115" s="11" t="n">
        <v>37.72</v>
      </c>
      <c r="R115" s="12" t="n">
        <f aca="false">Q115/$P115</f>
        <v>0.0898095238095238</v>
      </c>
      <c r="S115" s="11" t="n">
        <v>37.72</v>
      </c>
      <c r="T115" s="12" t="n">
        <f aca="false">S115/$P115</f>
        <v>0.0898095238095238</v>
      </c>
      <c r="U115" s="11" t="n">
        <v>37.72</v>
      </c>
      <c r="V115" s="12" t="n">
        <f aca="false">U115/$P115</f>
        <v>0.0898095238095238</v>
      </c>
      <c r="W115" s="11" t="n">
        <v>37.72</v>
      </c>
      <c r="X115" s="12" t="n">
        <f aca="false">W115/$P115</f>
        <v>0.0898095238095238</v>
      </c>
      <c r="Y115" s="11" t="n">
        <f aca="false">K115</f>
        <v>420</v>
      </c>
      <c r="Z115" s="11" t="n">
        <f aca="false">Y115</f>
        <v>420</v>
      </c>
    </row>
    <row r="116" customFormat="false" ht="12.8" hidden="false" customHeight="false" outlineLevel="0" collapsed="false">
      <c r="A116" s="1" t="n">
        <v>1</v>
      </c>
      <c r="B116" s="1" t="n">
        <v>3</v>
      </c>
      <c r="D116" s="89" t="s">
        <v>120</v>
      </c>
      <c r="E116" s="10" t="n">
        <v>630</v>
      </c>
      <c r="F116" s="10" t="s">
        <v>123</v>
      </c>
      <c r="G116" s="11" t="n">
        <v>1712.17</v>
      </c>
      <c r="H116" s="11" t="n">
        <v>3132.73</v>
      </c>
      <c r="I116" s="11" t="n">
        <v>5100</v>
      </c>
      <c r="J116" s="11" t="n">
        <v>8176.17</v>
      </c>
      <c r="K116" s="11" t="n">
        <f aca="false">7250+2000-402+120</f>
        <v>8968</v>
      </c>
      <c r="L116" s="11"/>
      <c r="M116" s="11"/>
      <c r="N116" s="11"/>
      <c r="O116" s="11" t="n">
        <v>-589</v>
      </c>
      <c r="P116" s="11" t="n">
        <f aca="false">K116+SUM(L116:O116)</f>
        <v>8379</v>
      </c>
      <c r="Q116" s="11" t="n">
        <v>700.48</v>
      </c>
      <c r="R116" s="12" t="n">
        <f aca="false">Q116/$P116</f>
        <v>0.0835994748776704</v>
      </c>
      <c r="S116" s="11" t="n">
        <v>1984.89</v>
      </c>
      <c r="T116" s="12" t="n">
        <f aca="false">S116/$P116</f>
        <v>0.236888650196921</v>
      </c>
      <c r="U116" s="11" t="n">
        <v>3282.39</v>
      </c>
      <c r="V116" s="12" t="n">
        <f aca="false">U116/$P116</f>
        <v>0.391740064446831</v>
      </c>
      <c r="W116" s="11" t="n">
        <v>5674.25</v>
      </c>
      <c r="X116" s="12" t="n">
        <f aca="false">W116/$P116</f>
        <v>0.677198949755341</v>
      </c>
      <c r="Y116" s="11" t="n">
        <f aca="false">K116</f>
        <v>8968</v>
      </c>
      <c r="Z116" s="11" t="n">
        <f aca="false">Y116</f>
        <v>8968</v>
      </c>
    </row>
    <row r="117" customFormat="false" ht="12.8" hidden="false" customHeight="false" outlineLevel="0" collapsed="false">
      <c r="A117" s="1" t="n">
        <v>1</v>
      </c>
      <c r="B117" s="1" t="n">
        <v>3</v>
      </c>
      <c r="D117" s="89"/>
      <c r="E117" s="10" t="n">
        <v>640</v>
      </c>
      <c r="F117" s="10" t="s">
        <v>124</v>
      </c>
      <c r="G117" s="11" t="n">
        <v>0</v>
      </c>
      <c r="H117" s="11" t="n">
        <v>0</v>
      </c>
      <c r="I117" s="11" t="n">
        <v>200</v>
      </c>
      <c r="J117" s="11" t="n">
        <v>0</v>
      </c>
      <c r="K117" s="11" t="n">
        <v>0</v>
      </c>
      <c r="L117" s="11"/>
      <c r="M117" s="11"/>
      <c r="N117" s="11"/>
      <c r="O117" s="11"/>
      <c r="P117" s="11" t="n">
        <f aca="false">K117+SUM(L117:O117)</f>
        <v>0</v>
      </c>
      <c r="Q117" s="11" t="n">
        <v>0</v>
      </c>
      <c r="R117" s="12" t="e">
        <f aca="false">Q117/$P117</f>
        <v>#DIV/0!</v>
      </c>
      <c r="S117" s="11" t="n">
        <v>0</v>
      </c>
      <c r="T117" s="12" t="e">
        <f aca="false">S117/$P117</f>
        <v>#DIV/0!</v>
      </c>
      <c r="U117" s="11" t="n">
        <v>0</v>
      </c>
      <c r="V117" s="12" t="e">
        <f aca="false">U117/$P117</f>
        <v>#DIV/0!</v>
      </c>
      <c r="W117" s="11" t="n">
        <v>0</v>
      </c>
      <c r="X117" s="12" t="e">
        <f aca="false">W117/$P117</f>
        <v>#DIV/0!</v>
      </c>
      <c r="Y117" s="11" t="n">
        <f aca="false">K117</f>
        <v>0</v>
      </c>
      <c r="Z117" s="11" t="n">
        <f aca="false">Y117</f>
        <v>0</v>
      </c>
    </row>
    <row r="118" customFormat="false" ht="12.8" hidden="false" customHeight="false" outlineLevel="0" collapsed="false">
      <c r="A118" s="1" t="n">
        <v>1</v>
      </c>
      <c r="B118" s="1" t="n">
        <v>3</v>
      </c>
      <c r="D118" s="75" t="s">
        <v>21</v>
      </c>
      <c r="E118" s="14" t="n">
        <v>41</v>
      </c>
      <c r="F118" s="14" t="s">
        <v>23</v>
      </c>
      <c r="G118" s="15" t="n">
        <f aca="false">SUM(G113:G117)</f>
        <v>5373.84</v>
      </c>
      <c r="H118" s="15" t="n">
        <f aca="false">SUM(H113:H117)</f>
        <v>5114.13</v>
      </c>
      <c r="I118" s="15" t="n">
        <f aca="false">SUM(I113:I117)</f>
        <v>8400</v>
      </c>
      <c r="J118" s="15" t="n">
        <f aca="false">SUM(J113:J117)</f>
        <v>11954.75</v>
      </c>
      <c r="K118" s="15" t="n">
        <f aca="false">SUM(K113:K117)</f>
        <v>12178</v>
      </c>
      <c r="L118" s="15" t="n">
        <f aca="false">SUM(L113:L117)</f>
        <v>0</v>
      </c>
      <c r="M118" s="15" t="n">
        <f aca="false">SUM(M113:M117)</f>
        <v>0</v>
      </c>
      <c r="N118" s="15" t="n">
        <f aca="false">SUM(N113:N117)</f>
        <v>0</v>
      </c>
      <c r="O118" s="15" t="n">
        <f aca="false">SUM(O113:O117)</f>
        <v>-589</v>
      </c>
      <c r="P118" s="15" t="n">
        <f aca="false">SUM(P113:P117)</f>
        <v>11589</v>
      </c>
      <c r="Q118" s="15" t="n">
        <f aca="false">SUM(Q113:Q117)</f>
        <v>1012.2</v>
      </c>
      <c r="R118" s="16" t="n">
        <f aca="false">Q118/$P118</f>
        <v>0.0873414444732074</v>
      </c>
      <c r="S118" s="15" t="n">
        <f aca="false">SUM(S113:S117)</f>
        <v>2761.21</v>
      </c>
      <c r="T118" s="16" t="n">
        <f aca="false">S118/$P118</f>
        <v>0.23826128225041</v>
      </c>
      <c r="U118" s="15" t="n">
        <f aca="false">SUM(U113:U117)</f>
        <v>4109.71</v>
      </c>
      <c r="V118" s="16" t="n">
        <f aca="false">U118/$P118</f>
        <v>0.354621623953749</v>
      </c>
      <c r="W118" s="15" t="n">
        <f aca="false">SUM(W113:W117)</f>
        <v>8340.57</v>
      </c>
      <c r="X118" s="16" t="n">
        <f aca="false">W118/$P118</f>
        <v>0.719697126585555</v>
      </c>
      <c r="Y118" s="15" t="n">
        <f aca="false">SUM(Y113:Y117)</f>
        <v>12178</v>
      </c>
      <c r="Z118" s="15" t="n">
        <f aca="false">SUM(Z113:Z117)</f>
        <v>12178</v>
      </c>
    </row>
    <row r="120" customFormat="false" ht="12.8" hidden="false" customHeight="false" outlineLevel="0" collapsed="false">
      <c r="E120" s="44" t="s">
        <v>56</v>
      </c>
      <c r="F120" s="18" t="s">
        <v>140</v>
      </c>
      <c r="G120" s="45" t="n">
        <v>719.89</v>
      </c>
      <c r="H120" s="45" t="n">
        <v>820.3</v>
      </c>
      <c r="I120" s="45" t="n">
        <v>820</v>
      </c>
      <c r="J120" s="45" t="n">
        <f aca="false">616.74+187</f>
        <v>803.74</v>
      </c>
      <c r="K120" s="45" t="n">
        <f aca="false">(53+17)*11</f>
        <v>770</v>
      </c>
      <c r="L120" s="45"/>
      <c r="M120" s="45"/>
      <c r="N120" s="45"/>
      <c r="O120" s="45"/>
      <c r="P120" s="45" t="n">
        <f aca="false">K120+SUM(L120:O120)</f>
        <v>770</v>
      </c>
      <c r="Q120" s="45" t="n">
        <v>140</v>
      </c>
      <c r="R120" s="46" t="n">
        <f aca="false">Q120/$P120</f>
        <v>0.181818181818182</v>
      </c>
      <c r="S120" s="45" t="n">
        <v>350</v>
      </c>
      <c r="T120" s="46" t="n">
        <f aca="false">S120/$P120</f>
        <v>0.454545454545455</v>
      </c>
      <c r="U120" s="45" t="n">
        <v>424</v>
      </c>
      <c r="V120" s="46" t="n">
        <f aca="false">U120/$P120</f>
        <v>0.550649350649351</v>
      </c>
      <c r="W120" s="45" t="n">
        <v>583</v>
      </c>
      <c r="X120" s="92" t="n">
        <f aca="false">W120/$P120</f>
        <v>0.757142857142857</v>
      </c>
      <c r="Y120" s="45" t="n">
        <f aca="false">K120</f>
        <v>770</v>
      </c>
      <c r="Z120" s="48" t="n">
        <f aca="false">Y120</f>
        <v>770</v>
      </c>
    </row>
    <row r="121" customFormat="false" ht="12.8" hidden="false" customHeight="false" outlineLevel="0" collapsed="false">
      <c r="E121" s="49"/>
      <c r="F121" s="1" t="s">
        <v>141</v>
      </c>
      <c r="G121" s="51" t="n">
        <v>1134.26</v>
      </c>
      <c r="H121" s="51" t="n">
        <v>2004</v>
      </c>
      <c r="I121" s="51" t="n">
        <v>2000</v>
      </c>
      <c r="J121" s="51" t="n">
        <v>1692</v>
      </c>
      <c r="K121" s="51" t="n">
        <v>1298</v>
      </c>
      <c r="L121" s="51"/>
      <c r="M121" s="51"/>
      <c r="N121" s="51"/>
      <c r="O121" s="51"/>
      <c r="P121" s="51" t="n">
        <f aca="false">K121+SUM(L121:O121)</f>
        <v>1298</v>
      </c>
      <c r="Q121" s="51" t="n">
        <v>208</v>
      </c>
      <c r="R121" s="2" t="n">
        <f aca="false">Q121/$P121</f>
        <v>0.160246533127889</v>
      </c>
      <c r="S121" s="51" t="n">
        <v>520</v>
      </c>
      <c r="T121" s="2" t="n">
        <f aca="false">S121/$P121</f>
        <v>0.400616332819723</v>
      </c>
      <c r="U121" s="51" t="n">
        <v>832</v>
      </c>
      <c r="V121" s="2" t="n">
        <f aca="false">U121/$P121</f>
        <v>0.640986132511556</v>
      </c>
      <c r="W121" s="51" t="n">
        <v>1144</v>
      </c>
      <c r="X121" s="93" t="n">
        <f aca="false">W121/$P121</f>
        <v>0.88135593220339</v>
      </c>
      <c r="Y121" s="51" t="n">
        <f aca="false">K121</f>
        <v>1298</v>
      </c>
      <c r="Z121" s="53" t="n">
        <f aca="false">Y121</f>
        <v>1298</v>
      </c>
    </row>
    <row r="122" customFormat="false" ht="12.8" hidden="false" customHeight="false" outlineLevel="0" collapsed="false">
      <c r="E122" s="49"/>
      <c r="F122" s="50" t="s">
        <v>157</v>
      </c>
      <c r="G122" s="51" t="n">
        <f aca="false">1633.34+1167.89</f>
        <v>2801.23</v>
      </c>
      <c r="H122" s="51" t="n">
        <v>1293.4</v>
      </c>
      <c r="I122" s="51" t="n">
        <v>1500</v>
      </c>
      <c r="J122" s="51" t="n">
        <v>1863</v>
      </c>
      <c r="K122" s="51" t="n">
        <v>1800</v>
      </c>
      <c r="L122" s="51"/>
      <c r="M122" s="51"/>
      <c r="N122" s="51"/>
      <c r="O122" s="51" t="n">
        <v>114</v>
      </c>
      <c r="P122" s="51" t="n">
        <f aca="false">K122+SUM(L122:O122)</f>
        <v>1914</v>
      </c>
      <c r="Q122" s="51" t="n">
        <v>0</v>
      </c>
      <c r="R122" s="2" t="n">
        <f aca="false">Q122/$P122</f>
        <v>0</v>
      </c>
      <c r="S122" s="51" t="n">
        <v>0</v>
      </c>
      <c r="T122" s="2" t="n">
        <f aca="false">S122/$P122</f>
        <v>0</v>
      </c>
      <c r="U122" s="51" t="n">
        <v>0</v>
      </c>
      <c r="V122" s="2" t="n">
        <f aca="false">U122/$P122</f>
        <v>0</v>
      </c>
      <c r="W122" s="51" t="n">
        <v>0</v>
      </c>
      <c r="X122" s="93" t="n">
        <f aca="false">W122/$P122</f>
        <v>0</v>
      </c>
      <c r="Y122" s="51" t="n">
        <f aca="false">K122</f>
        <v>1800</v>
      </c>
      <c r="Z122" s="53" t="n">
        <f aca="false">Y122</f>
        <v>1800</v>
      </c>
    </row>
    <row r="123" customFormat="false" ht="12.8" hidden="false" customHeight="false" outlineLevel="0" collapsed="false">
      <c r="E123" s="57"/>
      <c r="F123" s="76" t="s">
        <v>158</v>
      </c>
      <c r="G123" s="59"/>
      <c r="H123" s="59"/>
      <c r="I123" s="59" t="n">
        <v>2000</v>
      </c>
      <c r="J123" s="59" t="n">
        <v>445</v>
      </c>
      <c r="K123" s="59" t="n">
        <v>2000</v>
      </c>
      <c r="L123" s="59"/>
      <c r="M123" s="59"/>
      <c r="N123" s="59"/>
      <c r="O123" s="59" t="n">
        <v>-447</v>
      </c>
      <c r="P123" s="59" t="n">
        <f aca="false">K123+SUM(L123:O123)</f>
        <v>1553</v>
      </c>
      <c r="Q123" s="59" t="n">
        <v>147</v>
      </c>
      <c r="R123" s="60" t="n">
        <f aca="false">Q123/$P123</f>
        <v>0.0946555054732775</v>
      </c>
      <c r="S123" s="59" t="n">
        <v>147</v>
      </c>
      <c r="T123" s="60" t="n">
        <f aca="false">S123/$P123</f>
        <v>0.0946555054732775</v>
      </c>
      <c r="U123" s="59" t="n">
        <v>147</v>
      </c>
      <c r="V123" s="60" t="n">
        <f aca="false">U123/$P123</f>
        <v>0.0946555054732775</v>
      </c>
      <c r="W123" s="59" t="n">
        <v>375.36</v>
      </c>
      <c r="X123" s="97" t="n">
        <f aca="false">W123/$P123</f>
        <v>0.2416999356085</v>
      </c>
      <c r="Y123" s="59"/>
      <c r="Z123" s="62"/>
    </row>
    <row r="124" customFormat="false" ht="12.8" hidden="false" customHeight="false" outlineLevel="0" collapsed="false"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S124" s="51"/>
      <c r="U124" s="51"/>
      <c r="W124" s="51"/>
      <c r="Y124" s="51"/>
      <c r="Z124" s="51"/>
    </row>
    <row r="125" customFormat="false" ht="12.8" hidden="false" customHeight="false" outlineLevel="0" collapsed="false">
      <c r="D125" s="31" t="s">
        <v>159</v>
      </c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customFormat="false" ht="12.8" hidden="false" customHeight="false" outlineLevel="0" collapsed="false">
      <c r="D126" s="7" t="s">
        <v>33</v>
      </c>
      <c r="E126" s="7" t="s">
        <v>34</v>
      </c>
      <c r="F126" s="7" t="s">
        <v>35</v>
      </c>
      <c r="G126" s="7" t="s">
        <v>1</v>
      </c>
      <c r="H126" s="7" t="s">
        <v>2</v>
      </c>
      <c r="I126" s="7" t="s">
        <v>3</v>
      </c>
      <c r="J126" s="7" t="s">
        <v>4</v>
      </c>
      <c r="K126" s="7" t="s">
        <v>5</v>
      </c>
      <c r="L126" s="7" t="s">
        <v>6</v>
      </c>
      <c r="M126" s="7" t="s">
        <v>7</v>
      </c>
      <c r="N126" s="7" t="s">
        <v>8</v>
      </c>
      <c r="O126" s="7" t="s">
        <v>9</v>
      </c>
      <c r="P126" s="7" t="s">
        <v>10</v>
      </c>
      <c r="Q126" s="7" t="s">
        <v>11</v>
      </c>
      <c r="R126" s="8" t="s">
        <v>12</v>
      </c>
      <c r="S126" s="7" t="s">
        <v>13</v>
      </c>
      <c r="T126" s="8" t="s">
        <v>14</v>
      </c>
      <c r="U126" s="7" t="s">
        <v>15</v>
      </c>
      <c r="V126" s="8" t="s">
        <v>16</v>
      </c>
      <c r="W126" s="7" t="s">
        <v>17</v>
      </c>
      <c r="X126" s="8" t="s">
        <v>18</v>
      </c>
      <c r="Y126" s="7" t="s">
        <v>19</v>
      </c>
      <c r="Z126" s="7" t="s">
        <v>20</v>
      </c>
    </row>
    <row r="127" customFormat="false" ht="12.8" hidden="false" customHeight="false" outlineLevel="0" collapsed="false">
      <c r="A127" s="1" t="n">
        <v>1</v>
      </c>
      <c r="B127" s="1" t="n">
        <v>4</v>
      </c>
      <c r="D127" s="99" t="s">
        <v>160</v>
      </c>
      <c r="E127" s="100" t="n">
        <v>620</v>
      </c>
      <c r="F127" s="100" t="s">
        <v>122</v>
      </c>
      <c r="G127" s="37" t="n">
        <v>542.65</v>
      </c>
      <c r="H127" s="37" t="n">
        <v>74.3</v>
      </c>
      <c r="I127" s="37" t="n">
        <v>0</v>
      </c>
      <c r="J127" s="37" t="n">
        <v>46.76</v>
      </c>
      <c r="K127" s="37" t="n">
        <v>0</v>
      </c>
      <c r="L127" s="37"/>
      <c r="M127" s="37"/>
      <c r="N127" s="37"/>
      <c r="O127" s="37" t="n">
        <v>28</v>
      </c>
      <c r="P127" s="37" t="n">
        <f aca="false">K127+SUM(L127:O127)</f>
        <v>28</v>
      </c>
      <c r="Q127" s="37" t="n">
        <v>0</v>
      </c>
      <c r="R127" s="38" t="n">
        <f aca="false">Q127/$P127</f>
        <v>0</v>
      </c>
      <c r="S127" s="37" t="n">
        <v>0</v>
      </c>
      <c r="T127" s="38" t="n">
        <f aca="false">S127/$P127</f>
        <v>0</v>
      </c>
      <c r="U127" s="37" t="n">
        <v>0</v>
      </c>
      <c r="V127" s="38" t="n">
        <f aca="false">U127/$P127</f>
        <v>0</v>
      </c>
      <c r="W127" s="37" t="n">
        <v>27.45</v>
      </c>
      <c r="X127" s="38" t="n">
        <f aca="false">W127/$P127</f>
        <v>0.980357142857143</v>
      </c>
      <c r="Y127" s="11" t="n">
        <f aca="false">K127</f>
        <v>0</v>
      </c>
      <c r="Z127" s="11" t="n">
        <f aca="false">Y127</f>
        <v>0</v>
      </c>
    </row>
    <row r="128" customFormat="false" ht="12.8" hidden="false" customHeight="false" outlineLevel="0" collapsed="false">
      <c r="A128" s="1" t="n">
        <v>1</v>
      </c>
      <c r="B128" s="1" t="n">
        <v>4</v>
      </c>
      <c r="D128" s="99"/>
      <c r="E128" s="100" t="n">
        <v>630</v>
      </c>
      <c r="F128" s="100" t="s">
        <v>123</v>
      </c>
      <c r="G128" s="37" t="n">
        <v>6746.85</v>
      </c>
      <c r="H128" s="37" t="n">
        <v>1205.7</v>
      </c>
      <c r="I128" s="37" t="n">
        <v>2000</v>
      </c>
      <c r="J128" s="37" t="n">
        <v>1757.26</v>
      </c>
      <c r="K128" s="37" t="n">
        <v>2000</v>
      </c>
      <c r="L128" s="37"/>
      <c r="M128" s="37"/>
      <c r="N128" s="37"/>
      <c r="O128" s="37" t="n">
        <v>-698</v>
      </c>
      <c r="P128" s="37" t="n">
        <f aca="false">K128+SUM(L128:O128)</f>
        <v>1302</v>
      </c>
      <c r="Q128" s="37" t="n">
        <v>0</v>
      </c>
      <c r="R128" s="38" t="n">
        <f aca="false">Q128/$P128</f>
        <v>0</v>
      </c>
      <c r="S128" s="37" t="n">
        <v>0</v>
      </c>
      <c r="T128" s="38" t="n">
        <f aca="false">S128/$P128</f>
        <v>0</v>
      </c>
      <c r="U128" s="37" t="n">
        <v>0</v>
      </c>
      <c r="V128" s="38" t="n">
        <f aca="false">U128/$P128</f>
        <v>0</v>
      </c>
      <c r="W128" s="37" t="n">
        <v>1301.35</v>
      </c>
      <c r="X128" s="38" t="n">
        <f aca="false">W128/$P128</f>
        <v>0.999500768049155</v>
      </c>
      <c r="Y128" s="11" t="n">
        <v>2000</v>
      </c>
      <c r="Z128" s="11" t="n">
        <v>6000</v>
      </c>
    </row>
    <row r="129" customFormat="false" ht="12.8" hidden="false" customHeight="false" outlineLevel="0" collapsed="false">
      <c r="A129" s="1" t="n">
        <v>1</v>
      </c>
      <c r="B129" s="1" t="n">
        <v>4</v>
      </c>
      <c r="D129" s="101" t="s">
        <v>21</v>
      </c>
      <c r="E129" s="102" t="n">
        <v>111</v>
      </c>
      <c r="F129" s="102" t="s">
        <v>23</v>
      </c>
      <c r="G129" s="103" t="n">
        <f aca="false">SUM(G127:G128)</f>
        <v>7289.5</v>
      </c>
      <c r="H129" s="103" t="n">
        <f aca="false">SUM(H127:H128)</f>
        <v>1280</v>
      </c>
      <c r="I129" s="103" t="n">
        <f aca="false">SUM(I127:I128)</f>
        <v>2000</v>
      </c>
      <c r="J129" s="103" t="n">
        <f aca="false">SUM(J127:J128)</f>
        <v>1804.02</v>
      </c>
      <c r="K129" s="103" t="n">
        <f aca="false">SUM(K127:K128)</f>
        <v>2000</v>
      </c>
      <c r="L129" s="103" t="n">
        <f aca="false">SUM(L127:L128)</f>
        <v>0</v>
      </c>
      <c r="M129" s="103" t="n">
        <f aca="false">SUM(M127:M128)</f>
        <v>0</v>
      </c>
      <c r="N129" s="103" t="n">
        <f aca="false">SUM(N127:N128)</f>
        <v>0</v>
      </c>
      <c r="O129" s="103" t="n">
        <f aca="false">SUM(O127:O128)</f>
        <v>-670</v>
      </c>
      <c r="P129" s="103" t="n">
        <f aca="false">SUM(P127:P128)</f>
        <v>1330</v>
      </c>
      <c r="Q129" s="103" t="n">
        <f aca="false">SUM(Q127:Q128)</f>
        <v>0</v>
      </c>
      <c r="R129" s="104" t="n">
        <f aca="false">Q129/$P129</f>
        <v>0</v>
      </c>
      <c r="S129" s="103" t="n">
        <f aca="false">SUM(S127:S128)</f>
        <v>0</v>
      </c>
      <c r="T129" s="104" t="n">
        <f aca="false">S129/$P129</f>
        <v>0</v>
      </c>
      <c r="U129" s="103" t="n">
        <f aca="false">SUM(U127:U128)</f>
        <v>0</v>
      </c>
      <c r="V129" s="104" t="n">
        <f aca="false">U129/$P129</f>
        <v>0</v>
      </c>
      <c r="W129" s="103" t="n">
        <f aca="false">SUM(W127:W128)</f>
        <v>1328.8</v>
      </c>
      <c r="X129" s="104" t="n">
        <f aca="false">W129/$P129</f>
        <v>0.999097744360902</v>
      </c>
      <c r="Y129" s="103" t="n">
        <f aca="false">SUM(Y127:Y128)</f>
        <v>2000</v>
      </c>
      <c r="Z129" s="103" t="n">
        <f aca="false">SUM(Z127:Z128)</f>
        <v>6000</v>
      </c>
    </row>
    <row r="131" customFormat="false" ht="12.8" hidden="false" customHeight="false" outlineLevel="0" collapsed="false">
      <c r="D131" s="20" t="s">
        <v>161</v>
      </c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customFormat="false" ht="12.8" hidden="false" customHeight="false" outlineLevel="0" collapsed="false">
      <c r="D132" s="6"/>
      <c r="E132" s="6"/>
      <c r="F132" s="6"/>
      <c r="G132" s="7" t="s">
        <v>1</v>
      </c>
      <c r="H132" s="7" t="s">
        <v>2</v>
      </c>
      <c r="I132" s="7" t="s">
        <v>3</v>
      </c>
      <c r="J132" s="7" t="s">
        <v>4</v>
      </c>
      <c r="K132" s="7" t="s">
        <v>5</v>
      </c>
      <c r="L132" s="7" t="s">
        <v>6</v>
      </c>
      <c r="M132" s="7" t="s">
        <v>7</v>
      </c>
      <c r="N132" s="7" t="s">
        <v>8</v>
      </c>
      <c r="O132" s="7" t="s">
        <v>9</v>
      </c>
      <c r="P132" s="7" t="s">
        <v>10</v>
      </c>
      <c r="Q132" s="7" t="s">
        <v>11</v>
      </c>
      <c r="R132" s="8" t="s">
        <v>12</v>
      </c>
      <c r="S132" s="7" t="s">
        <v>13</v>
      </c>
      <c r="T132" s="8" t="s">
        <v>14</v>
      </c>
      <c r="U132" s="7" t="s">
        <v>15</v>
      </c>
      <c r="V132" s="8" t="s">
        <v>16</v>
      </c>
      <c r="W132" s="7" t="s">
        <v>17</v>
      </c>
      <c r="X132" s="8" t="s">
        <v>18</v>
      </c>
      <c r="Y132" s="7" t="s">
        <v>19</v>
      </c>
      <c r="Z132" s="7" t="s">
        <v>20</v>
      </c>
    </row>
    <row r="133" customFormat="false" ht="12.8" hidden="false" customHeight="false" outlineLevel="0" collapsed="false">
      <c r="A133" s="1" t="n">
        <v>2</v>
      </c>
      <c r="D133" s="22" t="s">
        <v>21</v>
      </c>
      <c r="E133" s="23" t="n">
        <v>111</v>
      </c>
      <c r="F133" s="23" t="s">
        <v>103</v>
      </c>
      <c r="G133" s="24" t="n">
        <f aca="false">G142+G155+G166</f>
        <v>387855.56</v>
      </c>
      <c r="H133" s="24" t="n">
        <f aca="false">H142+H155+H166</f>
        <v>401257.09</v>
      </c>
      <c r="I133" s="24" t="n">
        <f aca="false">I142+I155+I166</f>
        <v>422095</v>
      </c>
      <c r="J133" s="24" t="n">
        <f aca="false">J142+J155+J166</f>
        <v>426240.12</v>
      </c>
      <c r="K133" s="24" t="n">
        <f aca="false">K142+K155+K166</f>
        <v>429473</v>
      </c>
      <c r="L133" s="24" t="n">
        <f aca="false">L142+L155+L166</f>
        <v>0</v>
      </c>
      <c r="M133" s="24" t="n">
        <f aca="false">M142+M155+M166</f>
        <v>450</v>
      </c>
      <c r="N133" s="24" t="n">
        <f aca="false">N142+N155+N166</f>
        <v>305</v>
      </c>
      <c r="O133" s="24" t="n">
        <f aca="false">O142+O155+O166</f>
        <v>5932</v>
      </c>
      <c r="P133" s="24" t="n">
        <f aca="false">P142+P155+P166</f>
        <v>436160</v>
      </c>
      <c r="Q133" s="24" t="n">
        <f aca="false">Q142+Q155+Q166</f>
        <v>71758.01</v>
      </c>
      <c r="R133" s="25" t="n">
        <f aca="false">Q133/$P133</f>
        <v>0.164522216617755</v>
      </c>
      <c r="S133" s="24" t="n">
        <f aca="false">S142+S155+S166</f>
        <v>170683.16</v>
      </c>
      <c r="T133" s="25" t="n">
        <f aca="false">S133/$P133</f>
        <v>0.391331529713866</v>
      </c>
      <c r="U133" s="24" t="n">
        <f aca="false">U142+U155+U166</f>
        <v>273638.9</v>
      </c>
      <c r="V133" s="25" t="n">
        <f aca="false">U133/$P133</f>
        <v>0.627381924064563</v>
      </c>
      <c r="W133" s="24" t="n">
        <f aca="false">W142+W155+W166</f>
        <v>433833.59</v>
      </c>
      <c r="X133" s="25" t="n">
        <f aca="false">W133/$P133</f>
        <v>0.994666154622157</v>
      </c>
      <c r="Y133" s="24" t="n">
        <f aca="false">Y142+Y155+Y166</f>
        <v>429157</v>
      </c>
      <c r="Z133" s="24" t="n">
        <f aca="false">Z142+Z155+Z166</f>
        <v>429157</v>
      </c>
    </row>
    <row r="134" customFormat="false" ht="12.8" hidden="false" customHeight="false" outlineLevel="0" collapsed="false">
      <c r="A134" s="1" t="n">
        <v>2</v>
      </c>
      <c r="D134" s="22"/>
      <c r="E134" s="23" t="n">
        <v>41</v>
      </c>
      <c r="F134" s="23" t="s">
        <v>23</v>
      </c>
      <c r="G134" s="24" t="n">
        <f aca="false">G147+G159+G171</f>
        <v>239995.84</v>
      </c>
      <c r="H134" s="24" t="n">
        <f aca="false">H147+H159+H171</f>
        <v>224031.45</v>
      </c>
      <c r="I134" s="24" t="n">
        <f aca="false">I147+I159+I171</f>
        <v>247965</v>
      </c>
      <c r="J134" s="24" t="n">
        <f aca="false">J147+J159+J171</f>
        <v>233190.06</v>
      </c>
      <c r="K134" s="24" t="n">
        <f aca="false">K147+K159+K171</f>
        <v>266283</v>
      </c>
      <c r="L134" s="24" t="n">
        <f aca="false">L147+L159+L171</f>
        <v>0</v>
      </c>
      <c r="M134" s="24" t="n">
        <f aca="false">M147+M159+M171</f>
        <v>20</v>
      </c>
      <c r="N134" s="24" t="n">
        <f aca="false">N147+N159+N171</f>
        <v>0</v>
      </c>
      <c r="O134" s="24" t="n">
        <f aca="false">O147+O159+O171</f>
        <v>-700</v>
      </c>
      <c r="P134" s="24" t="n">
        <f aca="false">P147+P159+P171</f>
        <v>265603</v>
      </c>
      <c r="Q134" s="24" t="n">
        <f aca="false">Q147+Q159+Q171</f>
        <v>55117.79</v>
      </c>
      <c r="R134" s="25" t="n">
        <f aca="false">Q134/$P134</f>
        <v>0.207519455729039</v>
      </c>
      <c r="S134" s="24" t="n">
        <f aca="false">S147+S159+S171</f>
        <v>114752.73</v>
      </c>
      <c r="T134" s="25" t="n">
        <f aca="false">S134/$P134</f>
        <v>0.432046061226718</v>
      </c>
      <c r="U134" s="24" t="n">
        <f aca="false">U147+U159+U171</f>
        <v>169819.9</v>
      </c>
      <c r="V134" s="25" t="n">
        <f aca="false">U134/$P134</f>
        <v>0.639374931759054</v>
      </c>
      <c r="W134" s="24" t="n">
        <f aca="false">W147+W159+W171</f>
        <v>264846.47</v>
      </c>
      <c r="X134" s="25" t="n">
        <f aca="false">W134/$P134</f>
        <v>0.997151651148519</v>
      </c>
      <c r="Y134" s="24" t="n">
        <f aca="false">Y147+Y159+Y171</f>
        <v>272376</v>
      </c>
      <c r="Z134" s="24" t="n">
        <f aca="false">Z147+Z159+Z171</f>
        <v>280649</v>
      </c>
    </row>
    <row r="135" customFormat="false" ht="12.8" hidden="false" customHeight="false" outlineLevel="0" collapsed="false">
      <c r="A135" s="1" t="n">
        <v>2</v>
      </c>
      <c r="D135" s="18"/>
      <c r="E135" s="19"/>
      <c r="F135" s="27" t="s">
        <v>116</v>
      </c>
      <c r="G135" s="28" t="n">
        <f aca="false">SUM(G133:G134)</f>
        <v>627851.4</v>
      </c>
      <c r="H135" s="28" t="n">
        <f aca="false">SUM(H133:H134)</f>
        <v>625288.54</v>
      </c>
      <c r="I135" s="28" t="n">
        <f aca="false">SUM(I133:I134)</f>
        <v>670060</v>
      </c>
      <c r="J135" s="28" t="n">
        <f aca="false">SUM(J133:J134)</f>
        <v>659430.18</v>
      </c>
      <c r="K135" s="28" t="n">
        <f aca="false">SUM(K133:K134)</f>
        <v>695756</v>
      </c>
      <c r="L135" s="28" t="n">
        <f aca="false">SUM(L133:L134)</f>
        <v>0</v>
      </c>
      <c r="M135" s="28" t="n">
        <f aca="false">SUM(M133:M134)</f>
        <v>470</v>
      </c>
      <c r="N135" s="28" t="n">
        <f aca="false">SUM(N133:N134)</f>
        <v>305</v>
      </c>
      <c r="O135" s="28" t="n">
        <f aca="false">SUM(O133:O134)</f>
        <v>5232</v>
      </c>
      <c r="P135" s="28" t="n">
        <f aca="false">SUM(P133:P134)</f>
        <v>701763</v>
      </c>
      <c r="Q135" s="28" t="n">
        <f aca="false">SUM(Q133:Q134)</f>
        <v>126875.8</v>
      </c>
      <c r="R135" s="29" t="n">
        <f aca="false">Q135/$P135</f>
        <v>0.180795795731607</v>
      </c>
      <c r="S135" s="28" t="n">
        <f aca="false">SUM(S133:S134)</f>
        <v>285435.89</v>
      </c>
      <c r="T135" s="29" t="n">
        <f aca="false">S135/$P135</f>
        <v>0.406741150502378</v>
      </c>
      <c r="U135" s="28" t="n">
        <f aca="false">SUM(U133:U134)</f>
        <v>443458.8</v>
      </c>
      <c r="V135" s="29" t="n">
        <f aca="false">U135/$P135</f>
        <v>0.631921033169318</v>
      </c>
      <c r="W135" s="28" t="n">
        <f aca="false">SUM(W133:W134)</f>
        <v>698680.06</v>
      </c>
      <c r="X135" s="29" t="n">
        <f aca="false">W135/$P135</f>
        <v>0.995606864425739</v>
      </c>
      <c r="Y135" s="28" t="n">
        <f aca="false">SUM(Y133:Y134)</f>
        <v>701533</v>
      </c>
      <c r="Z135" s="28" t="n">
        <f aca="false">SUM(Z133:Z134)</f>
        <v>709806</v>
      </c>
    </row>
    <row r="137" customFormat="false" ht="12.8" hidden="false" customHeight="false" outlineLevel="0" collapsed="false">
      <c r="D137" s="31" t="s">
        <v>162</v>
      </c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2"/>
      <c r="S137" s="31"/>
      <c r="T137" s="32"/>
      <c r="U137" s="31"/>
      <c r="V137" s="32"/>
      <c r="W137" s="31"/>
      <c r="X137" s="32"/>
      <c r="Y137" s="31"/>
      <c r="Z137" s="31"/>
    </row>
    <row r="138" customFormat="false" ht="12.8" hidden="false" customHeight="false" outlineLevel="0" collapsed="false">
      <c r="D138" s="7" t="s">
        <v>33</v>
      </c>
      <c r="E138" s="7" t="s">
        <v>34</v>
      </c>
      <c r="F138" s="7" t="s">
        <v>35</v>
      </c>
      <c r="G138" s="7" t="s">
        <v>1</v>
      </c>
      <c r="H138" s="7" t="s">
        <v>2</v>
      </c>
      <c r="I138" s="7" t="s">
        <v>3</v>
      </c>
      <c r="J138" s="7" t="s">
        <v>4</v>
      </c>
      <c r="K138" s="7" t="s">
        <v>5</v>
      </c>
      <c r="L138" s="7" t="s">
        <v>6</v>
      </c>
      <c r="M138" s="7" t="s">
        <v>7</v>
      </c>
      <c r="N138" s="7" t="s">
        <v>8</v>
      </c>
      <c r="O138" s="7" t="s">
        <v>9</v>
      </c>
      <c r="P138" s="7" t="s">
        <v>10</v>
      </c>
      <c r="Q138" s="7" t="s">
        <v>11</v>
      </c>
      <c r="R138" s="8" t="s">
        <v>12</v>
      </c>
      <c r="S138" s="7" t="s">
        <v>13</v>
      </c>
      <c r="T138" s="8" t="s">
        <v>14</v>
      </c>
      <c r="U138" s="7" t="s">
        <v>15</v>
      </c>
      <c r="V138" s="8" t="s">
        <v>16</v>
      </c>
      <c r="W138" s="7" t="s">
        <v>17</v>
      </c>
      <c r="X138" s="8" t="s">
        <v>18</v>
      </c>
      <c r="Y138" s="7" t="s">
        <v>19</v>
      </c>
      <c r="Z138" s="7" t="s">
        <v>20</v>
      </c>
    </row>
    <row r="139" customFormat="false" ht="12.8" hidden="false" customHeight="false" outlineLevel="0" collapsed="false">
      <c r="A139" s="1" t="n">
        <v>2</v>
      </c>
      <c r="B139" s="1" t="n">
        <v>1</v>
      </c>
      <c r="D139" s="36" t="s">
        <v>148</v>
      </c>
      <c r="E139" s="10" t="n">
        <v>610</v>
      </c>
      <c r="F139" s="10" t="s">
        <v>121</v>
      </c>
      <c r="G139" s="11" t="n">
        <v>330</v>
      </c>
      <c r="H139" s="11" t="n">
        <v>2510</v>
      </c>
      <c r="I139" s="11" t="n">
        <v>0</v>
      </c>
      <c r="J139" s="11" t="n">
        <v>1950</v>
      </c>
      <c r="K139" s="11" t="n">
        <v>0</v>
      </c>
      <c r="L139" s="11" t="n">
        <v>760</v>
      </c>
      <c r="M139" s="11" t="n">
        <v>90</v>
      </c>
      <c r="N139" s="11"/>
      <c r="O139" s="11" t="n">
        <v>957</v>
      </c>
      <c r="P139" s="11" t="n">
        <f aca="false">K139+SUM(L139:O139)</f>
        <v>1807</v>
      </c>
      <c r="Q139" s="11" t="n">
        <v>190</v>
      </c>
      <c r="R139" s="12" t="n">
        <f aca="false">Q139/$P139</f>
        <v>0.105146651909242</v>
      </c>
      <c r="S139" s="11" t="n">
        <v>390</v>
      </c>
      <c r="T139" s="12" t="n">
        <f aca="false">S139/$P139</f>
        <v>0.215827338129496</v>
      </c>
      <c r="U139" s="11" t="n">
        <v>850</v>
      </c>
      <c r="V139" s="12" t="n">
        <f aca="false">U139/$P139</f>
        <v>0.470392916436082</v>
      </c>
      <c r="W139" s="11" t="n">
        <v>1807</v>
      </c>
      <c r="X139" s="12" t="n">
        <f aca="false">W139/$P139</f>
        <v>1</v>
      </c>
      <c r="Y139" s="11" t="n">
        <f aca="false">K139</f>
        <v>0</v>
      </c>
      <c r="Z139" s="11" t="n">
        <f aca="false">Y139</f>
        <v>0</v>
      </c>
    </row>
    <row r="140" customFormat="false" ht="12.8" hidden="false" customHeight="false" outlineLevel="0" collapsed="false">
      <c r="A140" s="1" t="n">
        <v>2</v>
      </c>
      <c r="B140" s="1" t="n">
        <v>1</v>
      </c>
      <c r="D140" s="36"/>
      <c r="E140" s="10" t="n">
        <v>620</v>
      </c>
      <c r="F140" s="10" t="s">
        <v>122</v>
      </c>
      <c r="G140" s="11" t="n">
        <v>0</v>
      </c>
      <c r="H140" s="11" t="n">
        <v>0</v>
      </c>
      <c r="I140" s="11" t="n">
        <v>0</v>
      </c>
      <c r="J140" s="11" t="n">
        <v>681.54</v>
      </c>
      <c r="K140" s="11" t="n">
        <v>0</v>
      </c>
      <c r="L140" s="11" t="n">
        <v>266</v>
      </c>
      <c r="M140" s="11"/>
      <c r="N140" s="11" t="n">
        <v>58</v>
      </c>
      <c r="O140" s="11" t="n">
        <v>333</v>
      </c>
      <c r="P140" s="11" t="n">
        <f aca="false">K140+SUM(L140:O140)</f>
        <v>657</v>
      </c>
      <c r="Q140" s="11" t="n">
        <v>94.37</v>
      </c>
      <c r="R140" s="12" t="n">
        <f aca="false">Q140/$P140</f>
        <v>0.143637747336377</v>
      </c>
      <c r="S140" s="11" t="n">
        <v>164.27</v>
      </c>
      <c r="T140" s="12" t="n">
        <f aca="false">S140/$P140</f>
        <v>0.250030441400304</v>
      </c>
      <c r="U140" s="11" t="n">
        <v>325.04</v>
      </c>
      <c r="V140" s="12" t="n">
        <f aca="false">U140/$P140</f>
        <v>0.494733637747336</v>
      </c>
      <c r="W140" s="11" t="n">
        <v>659.52</v>
      </c>
      <c r="X140" s="12" t="n">
        <f aca="false">W140/$P140</f>
        <v>1.00383561643836</v>
      </c>
      <c r="Y140" s="11" t="n">
        <f aca="false">K140</f>
        <v>0</v>
      </c>
      <c r="Z140" s="11" t="n">
        <f aca="false">Y140</f>
        <v>0</v>
      </c>
    </row>
    <row r="141" customFormat="false" ht="12.8" hidden="false" customHeight="false" outlineLevel="0" collapsed="false">
      <c r="A141" s="1" t="n">
        <v>2</v>
      </c>
      <c r="B141" s="1" t="n">
        <v>1</v>
      </c>
      <c r="D141" s="36"/>
      <c r="E141" s="10" t="n">
        <v>630</v>
      </c>
      <c r="F141" s="10" t="s">
        <v>123</v>
      </c>
      <c r="G141" s="11" t="n">
        <v>4607</v>
      </c>
      <c r="H141" s="11" t="n">
        <v>2535</v>
      </c>
      <c r="I141" s="11" t="n">
        <v>5045</v>
      </c>
      <c r="J141" s="11" t="n">
        <v>1826.87</v>
      </c>
      <c r="K141" s="11" t="n">
        <v>4548</v>
      </c>
      <c r="L141" s="11" t="n">
        <v>-1026</v>
      </c>
      <c r="M141" s="11" t="n">
        <v>-90</v>
      </c>
      <c r="N141" s="11" t="n">
        <v>-58</v>
      </c>
      <c r="O141" s="11" t="n">
        <f aca="false">-957-272</f>
        <v>-1229</v>
      </c>
      <c r="P141" s="11" t="n">
        <f aca="false">K141+SUM(L141:O141)</f>
        <v>2145</v>
      </c>
      <c r="Q141" s="11" t="n">
        <v>66.9</v>
      </c>
      <c r="R141" s="12" t="n">
        <f aca="false">Q141/$P141</f>
        <v>0.0311888111888112</v>
      </c>
      <c r="S141" s="11" t="n">
        <v>1179.22</v>
      </c>
      <c r="T141" s="12" t="n">
        <f aca="false">S141/$P141</f>
        <v>0.549752913752914</v>
      </c>
      <c r="U141" s="11" t="n">
        <v>1257.78</v>
      </c>
      <c r="V141" s="12" t="n">
        <f aca="false">U141/$P141</f>
        <v>0.586377622377622</v>
      </c>
      <c r="W141" s="11" t="n">
        <v>2145.07</v>
      </c>
      <c r="X141" s="12" t="n">
        <f aca="false">W141/$P141</f>
        <v>1.00003263403263</v>
      </c>
      <c r="Y141" s="11" t="n">
        <v>4232</v>
      </c>
      <c r="Z141" s="11" t="n">
        <f aca="false">Y141</f>
        <v>4232</v>
      </c>
    </row>
    <row r="142" customFormat="false" ht="12.8" hidden="false" customHeight="false" outlineLevel="0" collapsed="false">
      <c r="A142" s="1" t="n">
        <v>2</v>
      </c>
      <c r="B142" s="1" t="n">
        <v>1</v>
      </c>
      <c r="D142" s="85" t="s">
        <v>21</v>
      </c>
      <c r="E142" s="86" t="n">
        <v>111</v>
      </c>
      <c r="F142" s="86" t="s">
        <v>127</v>
      </c>
      <c r="G142" s="87" t="n">
        <f aca="false">SUM(G139:G141)</f>
        <v>4937</v>
      </c>
      <c r="H142" s="87" t="n">
        <f aca="false">SUM(H139:H141)</f>
        <v>5045</v>
      </c>
      <c r="I142" s="87" t="n">
        <f aca="false">SUM(I139:I141)</f>
        <v>5045</v>
      </c>
      <c r="J142" s="87" t="n">
        <f aca="false">SUM(J139:J141)</f>
        <v>4458.41</v>
      </c>
      <c r="K142" s="87" t="n">
        <f aca="false">SUM(K139:K141)</f>
        <v>4548</v>
      </c>
      <c r="L142" s="87" t="n">
        <f aca="false">SUM(L139:L141)</f>
        <v>0</v>
      </c>
      <c r="M142" s="87" t="n">
        <f aca="false">SUM(M139:M141)</f>
        <v>0</v>
      </c>
      <c r="N142" s="87" t="n">
        <f aca="false">SUM(N139:N141)</f>
        <v>0</v>
      </c>
      <c r="O142" s="87" t="n">
        <f aca="false">SUM(O139:O141)</f>
        <v>61</v>
      </c>
      <c r="P142" s="87" t="n">
        <f aca="false">SUM(P139:P141)</f>
        <v>4609</v>
      </c>
      <c r="Q142" s="87" t="n">
        <f aca="false">SUM(Q139:Q141)</f>
        <v>351.27</v>
      </c>
      <c r="R142" s="88" t="n">
        <f aca="false">Q142/$P142</f>
        <v>0.0762139292688219</v>
      </c>
      <c r="S142" s="87" t="n">
        <f aca="false">SUM(S139:S141)</f>
        <v>1733.49</v>
      </c>
      <c r="T142" s="88" t="n">
        <f aca="false">S142/$P142</f>
        <v>0.376109785202864</v>
      </c>
      <c r="U142" s="87" t="n">
        <f aca="false">SUM(U139:U141)</f>
        <v>2432.82</v>
      </c>
      <c r="V142" s="88" t="n">
        <f aca="false">U142/$P142</f>
        <v>0.527841180299414</v>
      </c>
      <c r="W142" s="87" t="n">
        <f aca="false">SUM(W139:W141)</f>
        <v>4611.59</v>
      </c>
      <c r="X142" s="88" t="n">
        <f aca="false">W142/$P142</f>
        <v>1.00056194402256</v>
      </c>
      <c r="Y142" s="87" t="n">
        <f aca="false">SUM(Y139:Y141)</f>
        <v>4232</v>
      </c>
      <c r="Z142" s="87" t="n">
        <f aca="false">SUM(Z139:Z141)</f>
        <v>4232</v>
      </c>
    </row>
    <row r="143" customFormat="false" ht="12.8" hidden="false" customHeight="false" outlineLevel="0" collapsed="false">
      <c r="A143" s="1" t="n">
        <v>2</v>
      </c>
      <c r="B143" s="1" t="n">
        <v>1</v>
      </c>
      <c r="D143" s="36" t="s">
        <v>148</v>
      </c>
      <c r="E143" s="10" t="n">
        <v>610</v>
      </c>
      <c r="F143" s="10" t="s">
        <v>121</v>
      </c>
      <c r="G143" s="11" t="n">
        <v>73875.17</v>
      </c>
      <c r="H143" s="11" t="n">
        <v>78995.49</v>
      </c>
      <c r="I143" s="11" t="n">
        <v>87866</v>
      </c>
      <c r="J143" s="11" t="n">
        <v>89784.2</v>
      </c>
      <c r="K143" s="11" t="n">
        <v>93544</v>
      </c>
      <c r="L143" s="11" t="n">
        <v>-224</v>
      </c>
      <c r="M143" s="11" t="n">
        <v>-243</v>
      </c>
      <c r="N143" s="11"/>
      <c r="O143" s="11" t="n">
        <v>-237</v>
      </c>
      <c r="P143" s="11" t="n">
        <f aca="false">K143+SUM(L143:O143)</f>
        <v>92840</v>
      </c>
      <c r="Q143" s="11" t="n">
        <v>21442.66</v>
      </c>
      <c r="R143" s="12" t="n">
        <f aca="false">Q143/$P143</f>
        <v>0.230963593278759</v>
      </c>
      <c r="S143" s="11" t="n">
        <v>42465.62</v>
      </c>
      <c r="T143" s="12" t="n">
        <f aca="false">S143/$P143</f>
        <v>0.457406505816458</v>
      </c>
      <c r="U143" s="11" t="n">
        <v>63639.53</v>
      </c>
      <c r="V143" s="12" t="n">
        <f aca="false">U143/$P143</f>
        <v>0.685475333907798</v>
      </c>
      <c r="W143" s="11" t="n">
        <v>92839.99</v>
      </c>
      <c r="X143" s="12" t="n">
        <f aca="false">W143/$P143</f>
        <v>0.999999892287807</v>
      </c>
      <c r="Y143" s="11" t="n">
        <v>99007</v>
      </c>
      <c r="Z143" s="11" t="n">
        <v>104798</v>
      </c>
    </row>
    <row r="144" customFormat="false" ht="12.8" hidden="false" customHeight="false" outlineLevel="0" collapsed="false">
      <c r="A144" s="1" t="n">
        <v>2</v>
      </c>
      <c r="B144" s="1" t="n">
        <v>1</v>
      </c>
      <c r="D144" s="36"/>
      <c r="E144" s="10" t="n">
        <v>620</v>
      </c>
      <c r="F144" s="10" t="s">
        <v>122</v>
      </c>
      <c r="G144" s="11" t="n">
        <v>26752.31</v>
      </c>
      <c r="H144" s="11" t="n">
        <v>29921.59</v>
      </c>
      <c r="I144" s="11" t="n">
        <v>32467</v>
      </c>
      <c r="J144" s="11" t="n">
        <v>33111.05</v>
      </c>
      <c r="K144" s="11" t="n">
        <v>34563</v>
      </c>
      <c r="L144" s="11"/>
      <c r="M144" s="11"/>
      <c r="N144" s="11"/>
      <c r="O144" s="11" t="n">
        <v>-333</v>
      </c>
      <c r="P144" s="11" t="n">
        <f aca="false">K144+SUM(L144:O144)</f>
        <v>34230</v>
      </c>
      <c r="Q144" s="11" t="n">
        <v>7947.6</v>
      </c>
      <c r="R144" s="12" t="n">
        <f aca="false">Q144/$P144</f>
        <v>0.232182296231376</v>
      </c>
      <c r="S144" s="11" t="n">
        <v>15669.09</v>
      </c>
      <c r="T144" s="12" t="n">
        <f aca="false">S144/$P144</f>
        <v>0.45775898334794</v>
      </c>
      <c r="U144" s="11" t="n">
        <v>23402.02</v>
      </c>
      <c r="V144" s="12" t="n">
        <f aca="false">U144/$P144</f>
        <v>0.683669880222027</v>
      </c>
      <c r="W144" s="11" t="n">
        <v>34064.19</v>
      </c>
      <c r="X144" s="12" t="n">
        <f aca="false">W144/$P144</f>
        <v>0.995156003505697</v>
      </c>
      <c r="Y144" s="11" t="n">
        <v>36583</v>
      </c>
      <c r="Z144" s="11" t="n">
        <v>38723</v>
      </c>
    </row>
    <row r="145" customFormat="false" ht="12.8" hidden="false" customHeight="false" outlineLevel="0" collapsed="false">
      <c r="A145" s="1" t="n">
        <v>2</v>
      </c>
      <c r="B145" s="1" t="n">
        <v>1</v>
      </c>
      <c r="D145" s="36"/>
      <c r="E145" s="10" t="n">
        <v>630</v>
      </c>
      <c r="F145" s="10" t="s">
        <v>123</v>
      </c>
      <c r="G145" s="11" t="n">
        <v>10244.17</v>
      </c>
      <c r="H145" s="11" t="n">
        <v>11143.52</v>
      </c>
      <c r="I145" s="11" t="n">
        <v>10922</v>
      </c>
      <c r="J145" s="11" t="n">
        <v>11608.63</v>
      </c>
      <c r="K145" s="11" t="n">
        <f aca="false">6182+4430+2432</f>
        <v>13044</v>
      </c>
      <c r="L145" s="11"/>
      <c r="M145" s="11"/>
      <c r="N145" s="11"/>
      <c r="O145" s="11" t="n">
        <f aca="false">1031+75+718</f>
        <v>1824</v>
      </c>
      <c r="P145" s="11" t="n">
        <f aca="false">K145+SUM(L145:O145)</f>
        <v>14868</v>
      </c>
      <c r="Q145" s="11" t="n">
        <v>2906.75</v>
      </c>
      <c r="R145" s="12" t="n">
        <f aca="false">Q145/$P145</f>
        <v>0.195503766478343</v>
      </c>
      <c r="S145" s="11" t="n">
        <v>5700.66</v>
      </c>
      <c r="T145" s="12" t="n">
        <f aca="false">S145/$P145</f>
        <v>0.383418079096045</v>
      </c>
      <c r="U145" s="11" t="n">
        <v>8788.15</v>
      </c>
      <c r="V145" s="12" t="n">
        <f aca="false">U145/$P145</f>
        <v>0.591078154425612</v>
      </c>
      <c r="W145" s="11" t="n">
        <v>14865.71</v>
      </c>
      <c r="X145" s="12" t="n">
        <f aca="false">W145/$P145</f>
        <v>0.999845977939198</v>
      </c>
      <c r="Y145" s="11" t="n">
        <f aca="false">6956+4430</f>
        <v>11386</v>
      </c>
      <c r="Z145" s="11" t="n">
        <f aca="false">7015+4430</f>
        <v>11445</v>
      </c>
    </row>
    <row r="146" customFormat="false" ht="12.8" hidden="false" customHeight="false" outlineLevel="0" collapsed="false">
      <c r="A146" s="1" t="n">
        <v>2</v>
      </c>
      <c r="B146" s="1" t="n">
        <v>1</v>
      </c>
      <c r="D146" s="36"/>
      <c r="E146" s="10" t="n">
        <v>640</v>
      </c>
      <c r="F146" s="10" t="s">
        <v>124</v>
      </c>
      <c r="G146" s="11" t="n">
        <v>604.68</v>
      </c>
      <c r="H146" s="11" t="n">
        <v>0</v>
      </c>
      <c r="I146" s="11" t="n">
        <v>0</v>
      </c>
      <c r="J146" s="11" t="n">
        <v>0</v>
      </c>
      <c r="K146" s="11" t="n">
        <v>0</v>
      </c>
      <c r="L146" s="11" t="n">
        <v>224</v>
      </c>
      <c r="M146" s="11" t="n">
        <v>243</v>
      </c>
      <c r="N146" s="11"/>
      <c r="O146" s="11" t="n">
        <v>162</v>
      </c>
      <c r="P146" s="11" t="n">
        <f aca="false">K146+SUM(L146:O146)</f>
        <v>629</v>
      </c>
      <c r="Q146" s="11" t="n">
        <v>224.1</v>
      </c>
      <c r="R146" s="12" t="n">
        <f aca="false">Q146/$P146</f>
        <v>0.356279809220986</v>
      </c>
      <c r="S146" s="11" t="n">
        <v>381.38</v>
      </c>
      <c r="T146" s="12" t="n">
        <f aca="false">S146/$P146</f>
        <v>0.606327503974563</v>
      </c>
      <c r="U146" s="11" t="n">
        <v>466.94</v>
      </c>
      <c r="V146" s="12" t="n">
        <f aca="false">U146/$P146</f>
        <v>0.742352941176471</v>
      </c>
      <c r="W146" s="11" t="n">
        <v>629.14</v>
      </c>
      <c r="X146" s="12" t="n">
        <f aca="false">W146/$P146</f>
        <v>1.00022257551669</v>
      </c>
      <c r="Y146" s="11" t="n">
        <v>0</v>
      </c>
      <c r="Z146" s="11" t="n">
        <v>0</v>
      </c>
    </row>
    <row r="147" customFormat="false" ht="12.8" hidden="false" customHeight="false" outlineLevel="0" collapsed="false">
      <c r="A147" s="1" t="n">
        <v>2</v>
      </c>
      <c r="B147" s="1" t="n">
        <v>1</v>
      </c>
      <c r="D147" s="85" t="s">
        <v>21</v>
      </c>
      <c r="E147" s="86" t="n">
        <v>41</v>
      </c>
      <c r="F147" s="86" t="s">
        <v>23</v>
      </c>
      <c r="G147" s="87" t="n">
        <f aca="false">SUM(G143:G146)</f>
        <v>111476.33</v>
      </c>
      <c r="H147" s="87" t="n">
        <f aca="false">SUM(H143:H146)</f>
        <v>120060.6</v>
      </c>
      <c r="I147" s="87" t="n">
        <f aca="false">SUM(I143:I146)</f>
        <v>131255</v>
      </c>
      <c r="J147" s="87" t="n">
        <f aca="false">SUM(J143:J146)</f>
        <v>134503.88</v>
      </c>
      <c r="K147" s="87" t="n">
        <f aca="false">SUM(K143:K146)</f>
        <v>141151</v>
      </c>
      <c r="L147" s="87" t="n">
        <f aca="false">SUM(L143:L146)</f>
        <v>0</v>
      </c>
      <c r="M147" s="87" t="n">
        <f aca="false">SUM(M143:M146)</f>
        <v>0</v>
      </c>
      <c r="N147" s="87" t="n">
        <f aca="false">SUM(N143:N146)</f>
        <v>0</v>
      </c>
      <c r="O147" s="87" t="n">
        <f aca="false">SUM(O143:O146)</f>
        <v>1416</v>
      </c>
      <c r="P147" s="87" t="n">
        <f aca="false">SUM(P143:P146)</f>
        <v>142567</v>
      </c>
      <c r="Q147" s="87" t="n">
        <f aca="false">SUM(Q143:Q146)</f>
        <v>32521.11</v>
      </c>
      <c r="R147" s="88" t="n">
        <f aca="false">Q147/$P147</f>
        <v>0.228111063570111</v>
      </c>
      <c r="S147" s="87" t="n">
        <f aca="false">SUM(S143:S146)</f>
        <v>64216.75</v>
      </c>
      <c r="T147" s="88" t="n">
        <f aca="false">S147/$P147</f>
        <v>0.450432077549503</v>
      </c>
      <c r="U147" s="87" t="n">
        <f aca="false">SUM(U143:U146)</f>
        <v>96296.64</v>
      </c>
      <c r="V147" s="88" t="n">
        <f aca="false">U147/$P147</f>
        <v>0.675448315528839</v>
      </c>
      <c r="W147" s="87" t="n">
        <f aca="false">SUM(W143:W146)</f>
        <v>142399.03</v>
      </c>
      <c r="X147" s="88" t="n">
        <f aca="false">W147/$P147</f>
        <v>0.998821817110552</v>
      </c>
      <c r="Y147" s="87" t="n">
        <f aca="false">SUM(Y143:Y146)</f>
        <v>146976</v>
      </c>
      <c r="Z147" s="87" t="n">
        <f aca="false">SUM(Z143:Z146)</f>
        <v>154966</v>
      </c>
    </row>
    <row r="148" customFormat="false" ht="12.8" hidden="false" customHeight="false" outlineLevel="0" collapsed="false">
      <c r="A148" s="1" t="n">
        <v>2</v>
      </c>
      <c r="B148" s="1" t="n">
        <v>1</v>
      </c>
      <c r="D148" s="18"/>
      <c r="E148" s="19"/>
      <c r="F148" s="14" t="s">
        <v>116</v>
      </c>
      <c r="G148" s="15" t="n">
        <f aca="false">G142+G147</f>
        <v>116413.33</v>
      </c>
      <c r="H148" s="15" t="n">
        <f aca="false">H142+H147</f>
        <v>125105.6</v>
      </c>
      <c r="I148" s="15" t="n">
        <f aca="false">I142+I147</f>
        <v>136300</v>
      </c>
      <c r="J148" s="15" t="n">
        <f aca="false">J142+J147</f>
        <v>138962.29</v>
      </c>
      <c r="K148" s="15" t="n">
        <f aca="false">K142+K147</f>
        <v>145699</v>
      </c>
      <c r="L148" s="15" t="n">
        <f aca="false">L142+L147</f>
        <v>0</v>
      </c>
      <c r="M148" s="15" t="n">
        <f aca="false">M142+M147</f>
        <v>0</v>
      </c>
      <c r="N148" s="15" t="n">
        <f aca="false">N142+N147</f>
        <v>0</v>
      </c>
      <c r="O148" s="15" t="n">
        <f aca="false">O142+O147</f>
        <v>1477</v>
      </c>
      <c r="P148" s="15" t="n">
        <f aca="false">P142+P147</f>
        <v>147176</v>
      </c>
      <c r="Q148" s="15" t="n">
        <f aca="false">Q142+Q147</f>
        <v>32872.38</v>
      </c>
      <c r="R148" s="16" t="n">
        <f aca="false">Q148/$P148</f>
        <v>0.2233542153612</v>
      </c>
      <c r="S148" s="15" t="n">
        <f aca="false">S142+S147</f>
        <v>65950.24</v>
      </c>
      <c r="T148" s="16" t="n">
        <f aca="false">S148/$P148</f>
        <v>0.448104582268848</v>
      </c>
      <c r="U148" s="15" t="n">
        <f aca="false">U142+U147</f>
        <v>98729.46</v>
      </c>
      <c r="V148" s="16" t="n">
        <f aca="false">U148/$P148</f>
        <v>0.670825813991412</v>
      </c>
      <c r="W148" s="15" t="n">
        <f aca="false">W142+W147</f>
        <v>147010.62</v>
      </c>
      <c r="X148" s="16" t="n">
        <f aca="false">W148/$P148</f>
        <v>0.998876311355112</v>
      </c>
      <c r="Y148" s="15" t="n">
        <f aca="false">Y142+Y147</f>
        <v>151208</v>
      </c>
      <c r="Z148" s="15" t="n">
        <f aca="false">Z142+Z147</f>
        <v>159198</v>
      </c>
    </row>
    <row r="150" customFormat="false" ht="12.8" hidden="false" customHeight="false" outlineLevel="0" collapsed="false">
      <c r="D150" s="31" t="s">
        <v>163</v>
      </c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2"/>
      <c r="S150" s="31"/>
      <c r="T150" s="32"/>
      <c r="U150" s="31"/>
      <c r="V150" s="32"/>
      <c r="W150" s="31"/>
      <c r="X150" s="32"/>
      <c r="Y150" s="31"/>
      <c r="Z150" s="31"/>
    </row>
    <row r="151" customFormat="false" ht="12.8" hidden="false" customHeight="false" outlineLevel="0" collapsed="false">
      <c r="D151" s="7" t="s">
        <v>33</v>
      </c>
      <c r="E151" s="7" t="s">
        <v>34</v>
      </c>
      <c r="F151" s="7" t="s">
        <v>35</v>
      </c>
      <c r="G151" s="7" t="s">
        <v>1</v>
      </c>
      <c r="H151" s="7" t="s">
        <v>2</v>
      </c>
      <c r="I151" s="7" t="s">
        <v>3</v>
      </c>
      <c r="J151" s="7" t="s">
        <v>4</v>
      </c>
      <c r="K151" s="7" t="s">
        <v>5</v>
      </c>
      <c r="L151" s="7" t="s">
        <v>6</v>
      </c>
      <c r="M151" s="7" t="s">
        <v>7</v>
      </c>
      <c r="N151" s="7" t="s">
        <v>8</v>
      </c>
      <c r="O151" s="7" t="s">
        <v>9</v>
      </c>
      <c r="P151" s="7" t="s">
        <v>10</v>
      </c>
      <c r="Q151" s="7" t="s">
        <v>11</v>
      </c>
      <c r="R151" s="8" t="s">
        <v>12</v>
      </c>
      <c r="S151" s="7" t="s">
        <v>13</v>
      </c>
      <c r="T151" s="8" t="s">
        <v>14</v>
      </c>
      <c r="U151" s="7" t="s">
        <v>15</v>
      </c>
      <c r="V151" s="8" t="s">
        <v>16</v>
      </c>
      <c r="W151" s="7" t="s">
        <v>17</v>
      </c>
      <c r="X151" s="8" t="s">
        <v>18</v>
      </c>
      <c r="Y151" s="7" t="s">
        <v>19</v>
      </c>
      <c r="Z151" s="7" t="s">
        <v>20</v>
      </c>
    </row>
    <row r="152" customFormat="false" ht="12.8" hidden="false" customHeight="false" outlineLevel="0" collapsed="false">
      <c r="A152" s="1" t="n">
        <v>2</v>
      </c>
      <c r="B152" s="1" t="n">
        <v>2</v>
      </c>
      <c r="D152" s="89" t="s">
        <v>164</v>
      </c>
      <c r="E152" s="10" t="n">
        <v>630</v>
      </c>
      <c r="F152" s="10" t="s">
        <v>123</v>
      </c>
      <c r="G152" s="11" t="n">
        <v>19300</v>
      </c>
      <c r="H152" s="11" t="n">
        <v>57.39</v>
      </c>
      <c r="I152" s="11" t="n">
        <v>0</v>
      </c>
      <c r="J152" s="11" t="n">
        <v>2850</v>
      </c>
      <c r="K152" s="11" t="n">
        <v>0</v>
      </c>
      <c r="L152" s="11"/>
      <c r="M152" s="11" t="n">
        <v>450</v>
      </c>
      <c r="N152" s="11" t="n">
        <v>305</v>
      </c>
      <c r="O152" s="11"/>
      <c r="P152" s="11" t="n">
        <f aca="false">K152+SUM(L152:O152)</f>
        <v>755</v>
      </c>
      <c r="Q152" s="11" t="n">
        <v>450</v>
      </c>
      <c r="R152" s="12" t="n">
        <f aca="false">Q152/$P152</f>
        <v>0.596026490066225</v>
      </c>
      <c r="S152" s="11" t="n">
        <v>450</v>
      </c>
      <c r="T152" s="12" t="n">
        <f aca="false">S152/$P152</f>
        <v>0.596026490066225</v>
      </c>
      <c r="U152" s="11" t="n">
        <v>883</v>
      </c>
      <c r="V152" s="12" t="n">
        <f aca="false">U152/$P152</f>
        <v>1.16953642384106</v>
      </c>
      <c r="W152" s="11" t="n">
        <v>883</v>
      </c>
      <c r="X152" s="12" t="n">
        <f aca="false">W152/$P152</f>
        <v>1.16953642384106</v>
      </c>
      <c r="Y152" s="11" t="n">
        <f aca="false">K152</f>
        <v>0</v>
      </c>
      <c r="Z152" s="11" t="n">
        <f aca="false">Y152</f>
        <v>0</v>
      </c>
    </row>
    <row r="153" customFormat="false" ht="12.8" hidden="false" customHeight="false" outlineLevel="0" collapsed="false">
      <c r="A153" s="1" t="n">
        <v>2</v>
      </c>
      <c r="B153" s="1" t="n">
        <v>2</v>
      </c>
      <c r="D153" s="89"/>
      <c r="E153" s="10" t="n">
        <v>640</v>
      </c>
      <c r="F153" s="10" t="s">
        <v>124</v>
      </c>
      <c r="G153" s="11" t="n">
        <v>1162</v>
      </c>
      <c r="H153" s="11" t="n">
        <v>1029.2</v>
      </c>
      <c r="I153" s="11" t="n">
        <v>1000</v>
      </c>
      <c r="J153" s="11" t="n">
        <v>564.4</v>
      </c>
      <c r="K153" s="11" t="n">
        <v>560</v>
      </c>
      <c r="L153" s="11"/>
      <c r="M153" s="11"/>
      <c r="N153" s="11"/>
      <c r="O153" s="11"/>
      <c r="P153" s="11" t="n">
        <f aca="false">K153+SUM(L153:O153)</f>
        <v>560</v>
      </c>
      <c r="Q153" s="11" t="n">
        <v>232.4</v>
      </c>
      <c r="R153" s="12" t="n">
        <f aca="false">Q153/$P153</f>
        <v>0.415</v>
      </c>
      <c r="S153" s="11" t="n">
        <v>232.4</v>
      </c>
      <c r="T153" s="12" t="n">
        <f aca="false">S153/$P153</f>
        <v>0.415</v>
      </c>
      <c r="U153" s="11" t="n">
        <v>265.6</v>
      </c>
      <c r="V153" s="12" t="n">
        <f aca="false">U153/$P153</f>
        <v>0.474285714285714</v>
      </c>
      <c r="W153" s="11" t="n">
        <v>431.6</v>
      </c>
      <c r="X153" s="12" t="n">
        <f aca="false">W153/$P153</f>
        <v>0.770714285714286</v>
      </c>
      <c r="Y153" s="11" t="n">
        <f aca="false">K153</f>
        <v>560</v>
      </c>
      <c r="Z153" s="11" t="n">
        <f aca="false">Y153</f>
        <v>560</v>
      </c>
    </row>
    <row r="154" customFormat="false" ht="12.8" hidden="false" customHeight="false" outlineLevel="0" collapsed="false">
      <c r="A154" s="1" t="n">
        <v>2</v>
      </c>
      <c r="B154" s="1" t="n">
        <v>2</v>
      </c>
      <c r="D154" s="89"/>
      <c r="E154" s="10" t="s">
        <v>54</v>
      </c>
      <c r="F154" s="10" t="s">
        <v>22</v>
      </c>
      <c r="G154" s="11" t="n">
        <f aca="false">437444.92-G158</f>
        <v>360711.56</v>
      </c>
      <c r="H154" s="11" t="n">
        <f aca="false">464942.5-H158</f>
        <v>394063.5</v>
      </c>
      <c r="I154" s="11" t="n">
        <v>415330</v>
      </c>
      <c r="J154" s="37" t="n">
        <v>417586.31</v>
      </c>
      <c r="K154" s="11" t="n">
        <v>423585</v>
      </c>
      <c r="L154" s="11"/>
      <c r="M154" s="11"/>
      <c r="N154" s="11"/>
      <c r="O154" s="11" t="n">
        <v>5762</v>
      </c>
      <c r="P154" s="11" t="n">
        <f aca="false">K154+SUM(L154:O154)</f>
        <v>429347</v>
      </c>
      <c r="Q154" s="11" t="n">
        <v>70724.34</v>
      </c>
      <c r="R154" s="12" t="n">
        <f aca="false">Q154/$P154</f>
        <v>0.164725362003228</v>
      </c>
      <c r="S154" s="11" t="n">
        <v>168267.27</v>
      </c>
      <c r="T154" s="12" t="n">
        <f aca="false">S154/$P154</f>
        <v>0.391914395582128</v>
      </c>
      <c r="U154" s="11" t="n">
        <v>270057.48</v>
      </c>
      <c r="V154" s="12" t="n">
        <f aca="false">U154/$P154</f>
        <v>0.628995847181883</v>
      </c>
      <c r="W154" s="11" t="n">
        <v>427018.4</v>
      </c>
      <c r="X154" s="12" t="n">
        <f aca="false">W154/$P154</f>
        <v>0.994576414881203</v>
      </c>
      <c r="Y154" s="11" t="n">
        <f aca="false">K154</f>
        <v>423585</v>
      </c>
      <c r="Z154" s="11" t="n">
        <f aca="false">Y154</f>
        <v>423585</v>
      </c>
    </row>
    <row r="155" customFormat="false" ht="12.8" hidden="false" customHeight="false" outlineLevel="0" collapsed="false">
      <c r="A155" s="1" t="n">
        <v>2</v>
      </c>
      <c r="B155" s="1" t="n">
        <v>2</v>
      </c>
      <c r="D155" s="85" t="s">
        <v>21</v>
      </c>
      <c r="E155" s="86" t="n">
        <v>111</v>
      </c>
      <c r="F155" s="86" t="s">
        <v>127</v>
      </c>
      <c r="G155" s="87" t="n">
        <f aca="false">SUM(G152:G154)</f>
        <v>381173.56</v>
      </c>
      <c r="H155" s="87" t="n">
        <f aca="false">SUM(H152:H154)</f>
        <v>395150.09</v>
      </c>
      <c r="I155" s="87" t="n">
        <f aca="false">SUM(I152:I154)</f>
        <v>416330</v>
      </c>
      <c r="J155" s="87" t="n">
        <f aca="false">SUM(J152:J154)</f>
        <v>421000.71</v>
      </c>
      <c r="K155" s="87" t="n">
        <f aca="false">SUM(K152:K154)</f>
        <v>424145</v>
      </c>
      <c r="L155" s="87" t="n">
        <f aca="false">SUM(L152:L154)</f>
        <v>0</v>
      </c>
      <c r="M155" s="87" t="n">
        <f aca="false">SUM(M152:M154)</f>
        <v>450</v>
      </c>
      <c r="N155" s="87" t="n">
        <f aca="false">SUM(N152:N154)</f>
        <v>305</v>
      </c>
      <c r="O155" s="87" t="n">
        <f aca="false">SUM(O152:O154)</f>
        <v>5762</v>
      </c>
      <c r="P155" s="87" t="n">
        <f aca="false">SUM(P152:P154)</f>
        <v>430662</v>
      </c>
      <c r="Q155" s="87" t="n">
        <f aca="false">SUM(Q152:Q154)</f>
        <v>71406.74</v>
      </c>
      <c r="R155" s="88" t="n">
        <f aca="false">Q155/$P155</f>
        <v>0.165806920508427</v>
      </c>
      <c r="S155" s="87" t="n">
        <f aca="false">SUM(S152:S154)</f>
        <v>168949.67</v>
      </c>
      <c r="T155" s="88" t="n">
        <f aca="false">S155/$P155</f>
        <v>0.392302246309171</v>
      </c>
      <c r="U155" s="87" t="n">
        <f aca="false">SUM(U152:U154)</f>
        <v>271206.08</v>
      </c>
      <c r="V155" s="88" t="n">
        <f aca="false">U155/$P155</f>
        <v>0.629742303709173</v>
      </c>
      <c r="W155" s="87" t="n">
        <f aca="false">SUM(W152:W154)</f>
        <v>428333</v>
      </c>
      <c r="X155" s="88" t="n">
        <f aca="false">W155/$P155</f>
        <v>0.994592046663044</v>
      </c>
      <c r="Y155" s="87" t="n">
        <f aca="false">SUM(Y152:Y154)</f>
        <v>424145</v>
      </c>
      <c r="Z155" s="87" t="n">
        <f aca="false">SUM(Z152:Z154)</f>
        <v>424145</v>
      </c>
    </row>
    <row r="156" customFormat="false" ht="12.8" hidden="false" customHeight="false" outlineLevel="0" collapsed="false">
      <c r="A156" s="1" t="n">
        <v>2</v>
      </c>
      <c r="B156" s="1" t="n">
        <v>2</v>
      </c>
      <c r="D156" s="89" t="s">
        <v>164</v>
      </c>
      <c r="E156" s="10" t="n">
        <v>630</v>
      </c>
      <c r="F156" s="10" t="s">
        <v>123</v>
      </c>
      <c r="G156" s="11" t="n">
        <v>10831.57</v>
      </c>
      <c r="H156" s="11" t="n">
        <v>3257.43</v>
      </c>
      <c r="I156" s="11" t="n">
        <v>3356</v>
      </c>
      <c r="J156" s="11" t="n">
        <v>2669.87</v>
      </c>
      <c r="K156" s="11" t="n">
        <v>2800</v>
      </c>
      <c r="L156" s="11"/>
      <c r="M156" s="11"/>
      <c r="N156" s="11" t="n">
        <v>-636</v>
      </c>
      <c r="O156" s="11" t="n">
        <v>-1215</v>
      </c>
      <c r="P156" s="11" t="n">
        <f aca="false">K156+SUM(L156:O156)</f>
        <v>949</v>
      </c>
      <c r="Q156" s="11" t="n">
        <v>0</v>
      </c>
      <c r="R156" s="12" t="n">
        <f aca="false">Q156/$P156</f>
        <v>0</v>
      </c>
      <c r="S156" s="11" t="n">
        <v>748.81</v>
      </c>
      <c r="T156" s="12" t="n">
        <f aca="false">S156/$P156</f>
        <v>0.789051633298209</v>
      </c>
      <c r="U156" s="11" t="n">
        <v>748.81</v>
      </c>
      <c r="V156" s="12" t="n">
        <f aca="false">U156/$P156</f>
        <v>0.789051633298209</v>
      </c>
      <c r="W156" s="11" t="n">
        <v>748.81</v>
      </c>
      <c r="X156" s="12" t="n">
        <f aca="false">W156/$P156</f>
        <v>0.789051633298209</v>
      </c>
      <c r="Y156" s="11" t="n">
        <f aca="false">K156</f>
        <v>2800</v>
      </c>
      <c r="Z156" s="11" t="n">
        <f aca="false">Y156</f>
        <v>2800</v>
      </c>
    </row>
    <row r="157" customFormat="false" ht="12.8" hidden="false" customHeight="false" outlineLevel="0" collapsed="false">
      <c r="A157" s="1" t="n">
        <v>2</v>
      </c>
      <c r="B157" s="1" t="n">
        <v>2</v>
      </c>
      <c r="D157" s="89"/>
      <c r="E157" s="10" t="n">
        <v>640</v>
      </c>
      <c r="F157" s="10" t="s">
        <v>124</v>
      </c>
      <c r="G157" s="11" t="n">
        <v>1048.92</v>
      </c>
      <c r="H157" s="11" t="n">
        <v>893.27</v>
      </c>
      <c r="I157" s="11" t="n">
        <v>900</v>
      </c>
      <c r="J157" s="11" t="n">
        <v>777.29</v>
      </c>
      <c r="K157" s="11" t="n">
        <v>120</v>
      </c>
      <c r="L157" s="11"/>
      <c r="M157" s="11" t="n">
        <v>20</v>
      </c>
      <c r="N157" s="11" t="n">
        <v>636</v>
      </c>
      <c r="O157" s="11" t="n">
        <v>89</v>
      </c>
      <c r="P157" s="11" t="n">
        <f aca="false">K157+SUM(L157:O157)</f>
        <v>865</v>
      </c>
      <c r="Q157" s="11" t="n">
        <v>0</v>
      </c>
      <c r="R157" s="12" t="n">
        <f aca="false">Q157/$P157</f>
        <v>0</v>
      </c>
      <c r="S157" s="11" t="n">
        <v>62.93</v>
      </c>
      <c r="T157" s="12" t="n">
        <f aca="false">S157/$P157</f>
        <v>0.0727514450867052</v>
      </c>
      <c r="U157" s="11" t="n">
        <v>139.9</v>
      </c>
      <c r="V157" s="12" t="n">
        <f aca="false">U157/$P157</f>
        <v>0.161734104046243</v>
      </c>
      <c r="W157" s="11" t="n">
        <v>228.89</v>
      </c>
      <c r="X157" s="12" t="n">
        <f aca="false">W157/$P157</f>
        <v>0.264612716763006</v>
      </c>
      <c r="Y157" s="11" t="n">
        <f aca="false">K157</f>
        <v>120</v>
      </c>
      <c r="Z157" s="11" t="n">
        <f aca="false">Y157</f>
        <v>120</v>
      </c>
    </row>
    <row r="158" customFormat="false" ht="12.8" hidden="false" customHeight="false" outlineLevel="0" collapsed="false">
      <c r="A158" s="1" t="n">
        <v>2</v>
      </c>
      <c r="B158" s="1" t="n">
        <v>2</v>
      </c>
      <c r="D158" s="89"/>
      <c r="E158" s="10" t="s">
        <v>54</v>
      </c>
      <c r="F158" s="10" t="s">
        <v>165</v>
      </c>
      <c r="G158" s="11" t="n">
        <v>76733.36</v>
      </c>
      <c r="H158" s="11" t="n">
        <v>70879</v>
      </c>
      <c r="I158" s="11" t="n">
        <f aca="false">75403+5027</f>
        <v>80430</v>
      </c>
      <c r="J158" s="11" t="n">
        <v>74439.17</v>
      </c>
      <c r="K158" s="11" t="n">
        <v>88930</v>
      </c>
      <c r="L158" s="11"/>
      <c r="M158" s="11"/>
      <c r="N158" s="11"/>
      <c r="O158" s="11" t="n">
        <f aca="false">(29700-30100)+637+(51920-52830)+(5500-6000)</f>
        <v>-1173</v>
      </c>
      <c r="P158" s="11" t="n">
        <f aca="false">K158+SUM(L158:O158)</f>
        <v>87757</v>
      </c>
      <c r="Q158" s="11" t="n">
        <v>15351.45</v>
      </c>
      <c r="R158" s="12" t="n">
        <f aca="false">Q158/$P158</f>
        <v>0.17493134450813</v>
      </c>
      <c r="S158" s="11" t="n">
        <v>34719.39</v>
      </c>
      <c r="T158" s="12" t="n">
        <f aca="false">S158/$P158</f>
        <v>0.395631003794569</v>
      </c>
      <c r="U158" s="11" t="n">
        <v>51482.88</v>
      </c>
      <c r="V158" s="12" t="n">
        <f aca="false">U158/$P158</f>
        <v>0.586652688674408</v>
      </c>
      <c r="W158" s="11" t="n">
        <v>88060.03</v>
      </c>
      <c r="X158" s="12" t="n">
        <f aca="false">W158/$P158</f>
        <v>1.00345305787573</v>
      </c>
      <c r="Y158" s="11" t="n">
        <f aca="false">K158</f>
        <v>88930</v>
      </c>
      <c r="Z158" s="11" t="n">
        <f aca="false">Y158</f>
        <v>88930</v>
      </c>
    </row>
    <row r="159" customFormat="false" ht="12.8" hidden="false" customHeight="false" outlineLevel="0" collapsed="false">
      <c r="A159" s="1" t="n">
        <v>2</v>
      </c>
      <c r="B159" s="1" t="n">
        <v>2</v>
      </c>
      <c r="D159" s="85" t="s">
        <v>21</v>
      </c>
      <c r="E159" s="86" t="n">
        <v>41</v>
      </c>
      <c r="F159" s="86" t="s">
        <v>23</v>
      </c>
      <c r="G159" s="87" t="n">
        <f aca="false">SUM(G156:G158)</f>
        <v>88613.85</v>
      </c>
      <c r="H159" s="87" t="n">
        <f aca="false">SUM(H156:H158)</f>
        <v>75029.7</v>
      </c>
      <c r="I159" s="87" t="n">
        <f aca="false">SUM(I156:I158)</f>
        <v>84686</v>
      </c>
      <c r="J159" s="87" t="n">
        <f aca="false">SUM(J156:J158)</f>
        <v>77886.33</v>
      </c>
      <c r="K159" s="87" t="n">
        <f aca="false">SUM(K156:K158)</f>
        <v>91850</v>
      </c>
      <c r="L159" s="87" t="n">
        <f aca="false">SUM(L156:L158)</f>
        <v>0</v>
      </c>
      <c r="M159" s="87" t="n">
        <f aca="false">SUM(M156:M158)</f>
        <v>20</v>
      </c>
      <c r="N159" s="87" t="n">
        <f aca="false">SUM(N156:N158)</f>
        <v>0</v>
      </c>
      <c r="O159" s="87" t="n">
        <f aca="false">SUM(O156:O158)</f>
        <v>-2299</v>
      </c>
      <c r="P159" s="87" t="n">
        <f aca="false">SUM(P156:P158)</f>
        <v>89571</v>
      </c>
      <c r="Q159" s="87" t="n">
        <f aca="false">SUM(Q156:Q158)</f>
        <v>15351.45</v>
      </c>
      <c r="R159" s="88" t="n">
        <f aca="false">Q159/$P159</f>
        <v>0.171388619084302</v>
      </c>
      <c r="S159" s="87" t="n">
        <f aca="false">SUM(S156:S158)</f>
        <v>35531.13</v>
      </c>
      <c r="T159" s="88" t="n">
        <f aca="false">S159/$P159</f>
        <v>0.396681180292729</v>
      </c>
      <c r="U159" s="87" t="n">
        <f aca="false">SUM(U156:U158)</f>
        <v>52371.59</v>
      </c>
      <c r="V159" s="88" t="n">
        <f aca="false">U159/$P159</f>
        <v>0.584693595025176</v>
      </c>
      <c r="W159" s="87" t="n">
        <f aca="false">SUM(W156:W158)</f>
        <v>89037.73</v>
      </c>
      <c r="X159" s="88" t="n">
        <f aca="false">W159/$P159</f>
        <v>0.994046398946087</v>
      </c>
      <c r="Y159" s="87" t="n">
        <f aca="false">SUM(Y156:Y158)</f>
        <v>91850</v>
      </c>
      <c r="Z159" s="87" t="n">
        <f aca="false">SUM(Z156:Z158)</f>
        <v>91850</v>
      </c>
    </row>
    <row r="160" customFormat="false" ht="12.8" hidden="false" customHeight="false" outlineLevel="0" collapsed="false">
      <c r="A160" s="1" t="n">
        <v>2</v>
      </c>
      <c r="B160" s="1" t="n">
        <v>2</v>
      </c>
      <c r="D160" s="18"/>
      <c r="E160" s="19"/>
      <c r="F160" s="14" t="s">
        <v>116</v>
      </c>
      <c r="G160" s="15" t="n">
        <f aca="false">G155+G159</f>
        <v>469787.41</v>
      </c>
      <c r="H160" s="15" t="n">
        <f aca="false">H155+H159</f>
        <v>470179.79</v>
      </c>
      <c r="I160" s="15" t="n">
        <f aca="false">I155+I159</f>
        <v>501016</v>
      </c>
      <c r="J160" s="15" t="n">
        <f aca="false">J155+J159</f>
        <v>498887.04</v>
      </c>
      <c r="K160" s="15" t="n">
        <f aca="false">K155+K159</f>
        <v>515995</v>
      </c>
      <c r="L160" s="15" t="n">
        <f aca="false">L155+L159</f>
        <v>0</v>
      </c>
      <c r="M160" s="15" t="n">
        <f aca="false">M155+M159</f>
        <v>470</v>
      </c>
      <c r="N160" s="15" t="n">
        <f aca="false">N155+N159</f>
        <v>305</v>
      </c>
      <c r="O160" s="15" t="n">
        <f aca="false">O155+O159</f>
        <v>3463</v>
      </c>
      <c r="P160" s="15" t="n">
        <f aca="false">P155+P159</f>
        <v>520233</v>
      </c>
      <c r="Q160" s="15" t="n">
        <f aca="false">Q155+Q159</f>
        <v>86758.19</v>
      </c>
      <c r="R160" s="16" t="n">
        <f aca="false">Q160/$P160</f>
        <v>0.166767948207822</v>
      </c>
      <c r="S160" s="15" t="n">
        <f aca="false">S155+S159</f>
        <v>204480.8</v>
      </c>
      <c r="T160" s="16" t="n">
        <f aca="false">S160/$P160</f>
        <v>0.393056188284865</v>
      </c>
      <c r="U160" s="15" t="n">
        <f aca="false">U155+U159</f>
        <v>323577.67</v>
      </c>
      <c r="V160" s="16" t="n">
        <f aca="false">U160/$P160</f>
        <v>0.621986052403442</v>
      </c>
      <c r="W160" s="15" t="n">
        <f aca="false">W155+W159</f>
        <v>517370.73</v>
      </c>
      <c r="X160" s="16" t="n">
        <f aca="false">W160/$P160</f>
        <v>0.994498099889857</v>
      </c>
      <c r="Y160" s="15" t="n">
        <f aca="false">Y155+Y159</f>
        <v>515995</v>
      </c>
      <c r="Z160" s="15" t="n">
        <f aca="false">Z155+Z159</f>
        <v>515995</v>
      </c>
    </row>
    <row r="162" customFormat="false" ht="12.8" hidden="false" customHeight="false" outlineLevel="0" collapsed="false">
      <c r="D162" s="31" t="s">
        <v>166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2"/>
      <c r="S162" s="31"/>
      <c r="T162" s="32"/>
      <c r="U162" s="31"/>
      <c r="V162" s="32"/>
      <c r="W162" s="31"/>
      <c r="X162" s="32"/>
      <c r="Y162" s="31"/>
      <c r="Z162" s="31"/>
    </row>
    <row r="163" customFormat="false" ht="12.8" hidden="false" customHeight="false" outlineLevel="0" collapsed="false">
      <c r="D163" s="7" t="s">
        <v>33</v>
      </c>
      <c r="E163" s="7" t="s">
        <v>34</v>
      </c>
      <c r="F163" s="7" t="s">
        <v>35</v>
      </c>
      <c r="G163" s="7" t="s">
        <v>1</v>
      </c>
      <c r="H163" s="7" t="s">
        <v>2</v>
      </c>
      <c r="I163" s="7" t="s">
        <v>3</v>
      </c>
      <c r="J163" s="7" t="s">
        <v>4</v>
      </c>
      <c r="K163" s="7" t="s">
        <v>5</v>
      </c>
      <c r="L163" s="7" t="s">
        <v>6</v>
      </c>
      <c r="M163" s="7" t="s">
        <v>7</v>
      </c>
      <c r="N163" s="7" t="s">
        <v>8</v>
      </c>
      <c r="O163" s="7" t="s">
        <v>9</v>
      </c>
      <c r="P163" s="7" t="s">
        <v>10</v>
      </c>
      <c r="Q163" s="7" t="s">
        <v>11</v>
      </c>
      <c r="R163" s="8" t="s">
        <v>12</v>
      </c>
      <c r="S163" s="7" t="s">
        <v>13</v>
      </c>
      <c r="T163" s="8" t="s">
        <v>14</v>
      </c>
      <c r="U163" s="7" t="s">
        <v>15</v>
      </c>
      <c r="V163" s="8" t="s">
        <v>16</v>
      </c>
      <c r="W163" s="7" t="s">
        <v>17</v>
      </c>
      <c r="X163" s="8" t="s">
        <v>18</v>
      </c>
      <c r="Y163" s="7" t="s">
        <v>19</v>
      </c>
      <c r="Z163" s="7" t="s">
        <v>20</v>
      </c>
    </row>
    <row r="164" customFormat="false" ht="12.8" hidden="false" customHeight="false" outlineLevel="0" collapsed="false">
      <c r="A164" s="1" t="n">
        <v>2</v>
      </c>
      <c r="B164" s="1" t="n">
        <v>3</v>
      </c>
      <c r="D164" s="89" t="s">
        <v>167</v>
      </c>
      <c r="E164" s="10" t="n">
        <v>610</v>
      </c>
      <c r="F164" s="10" t="s">
        <v>121</v>
      </c>
      <c r="G164" s="11" t="n">
        <v>1745</v>
      </c>
      <c r="H164" s="11" t="n">
        <v>1062</v>
      </c>
      <c r="I164" s="11" t="n">
        <v>0</v>
      </c>
      <c r="J164" s="11" t="n">
        <v>0</v>
      </c>
      <c r="K164" s="11" t="n">
        <f aca="false">J164</f>
        <v>0</v>
      </c>
      <c r="L164" s="11"/>
      <c r="M164" s="11"/>
      <c r="N164" s="11"/>
      <c r="O164" s="11"/>
      <c r="P164" s="11" t="n">
        <f aca="false">K164+SUM(L164:O164)</f>
        <v>0</v>
      </c>
      <c r="Q164" s="11" t="n">
        <v>0</v>
      </c>
      <c r="R164" s="12" t="e">
        <f aca="false">Q164/$P164</f>
        <v>#DIV/0!</v>
      </c>
      <c r="S164" s="11" t="n">
        <v>0</v>
      </c>
      <c r="T164" s="12" t="e">
        <f aca="false">S164/$P164</f>
        <v>#DIV/0!</v>
      </c>
      <c r="U164" s="11" t="n">
        <v>0</v>
      </c>
      <c r="V164" s="12" t="e">
        <f aca="false">U164/$P164</f>
        <v>#DIV/0!</v>
      </c>
      <c r="W164" s="11" t="n">
        <v>0</v>
      </c>
      <c r="X164" s="12" t="e">
        <f aca="false">W164/$P164</f>
        <v>#DIV/0!</v>
      </c>
      <c r="Y164" s="11" t="n">
        <f aca="false">K164</f>
        <v>0</v>
      </c>
      <c r="Z164" s="11" t="n">
        <f aca="false">Y164</f>
        <v>0</v>
      </c>
    </row>
    <row r="165" customFormat="false" ht="12.8" hidden="false" customHeight="false" outlineLevel="0" collapsed="false">
      <c r="A165" s="1" t="n">
        <v>2</v>
      </c>
      <c r="B165" s="1" t="n">
        <v>3</v>
      </c>
      <c r="D165" s="89"/>
      <c r="E165" s="10" t="n">
        <v>630</v>
      </c>
      <c r="F165" s="10" t="s">
        <v>123</v>
      </c>
      <c r="G165" s="11" t="n">
        <v>0</v>
      </c>
      <c r="H165" s="11" t="n">
        <v>0</v>
      </c>
      <c r="I165" s="11" t="n">
        <v>720</v>
      </c>
      <c r="J165" s="11" t="n">
        <v>781</v>
      </c>
      <c r="K165" s="11" t="n">
        <v>780</v>
      </c>
      <c r="L165" s="11"/>
      <c r="M165" s="11"/>
      <c r="N165" s="11"/>
      <c r="O165" s="11" t="n">
        <v>109</v>
      </c>
      <c r="P165" s="11" t="n">
        <f aca="false">K165+SUM(L165:O165)</f>
        <v>889</v>
      </c>
      <c r="Q165" s="11" t="n">
        <v>0</v>
      </c>
      <c r="R165" s="12" t="n">
        <f aca="false">Q165/$P165</f>
        <v>0</v>
      </c>
      <c r="S165" s="11" t="n">
        <v>0</v>
      </c>
      <c r="T165" s="12" t="n">
        <f aca="false">S165/$P165</f>
        <v>0</v>
      </c>
      <c r="U165" s="11" t="n">
        <v>0</v>
      </c>
      <c r="V165" s="12" t="n">
        <f aca="false">U165/$P165</f>
        <v>0</v>
      </c>
      <c r="W165" s="11" t="n">
        <v>889</v>
      </c>
      <c r="X165" s="12" t="n">
        <f aca="false">W165/$P165</f>
        <v>1</v>
      </c>
      <c r="Y165" s="11" t="n">
        <f aca="false">K165</f>
        <v>780</v>
      </c>
      <c r="Z165" s="11" t="n">
        <f aca="false">Y165</f>
        <v>780</v>
      </c>
    </row>
    <row r="166" customFormat="false" ht="12.8" hidden="false" customHeight="false" outlineLevel="0" collapsed="false">
      <c r="A166" s="1" t="n">
        <v>2</v>
      </c>
      <c r="B166" s="1" t="n">
        <v>3</v>
      </c>
      <c r="D166" s="85" t="s">
        <v>21</v>
      </c>
      <c r="E166" s="86" t="n">
        <v>111</v>
      </c>
      <c r="F166" s="86" t="s">
        <v>127</v>
      </c>
      <c r="G166" s="87" t="n">
        <f aca="false">SUM(G164:G165)</f>
        <v>1745</v>
      </c>
      <c r="H166" s="87" t="n">
        <f aca="false">SUM(H164:H165)</f>
        <v>1062</v>
      </c>
      <c r="I166" s="87" t="n">
        <f aca="false">SUM(I164:I165)</f>
        <v>720</v>
      </c>
      <c r="J166" s="87" t="n">
        <f aca="false">SUM(J164:J165)</f>
        <v>781</v>
      </c>
      <c r="K166" s="87" t="n">
        <f aca="false">SUM(K164:K165)</f>
        <v>780</v>
      </c>
      <c r="L166" s="87" t="n">
        <f aca="false">SUM(L164:L165)</f>
        <v>0</v>
      </c>
      <c r="M166" s="87" t="n">
        <f aca="false">SUM(M164:M165)</f>
        <v>0</v>
      </c>
      <c r="N166" s="87" t="n">
        <f aca="false">SUM(N164:N165)</f>
        <v>0</v>
      </c>
      <c r="O166" s="87" t="n">
        <f aca="false">SUM(O164:O165)</f>
        <v>109</v>
      </c>
      <c r="P166" s="87" t="n">
        <f aca="false">SUM(P164:P165)</f>
        <v>889</v>
      </c>
      <c r="Q166" s="87" t="n">
        <f aca="false">SUM(Q164:Q165)</f>
        <v>0</v>
      </c>
      <c r="R166" s="88" t="n">
        <f aca="false">Q166/$P166</f>
        <v>0</v>
      </c>
      <c r="S166" s="87" t="n">
        <f aca="false">SUM(S164:S165)</f>
        <v>0</v>
      </c>
      <c r="T166" s="88" t="n">
        <f aca="false">S166/$P166</f>
        <v>0</v>
      </c>
      <c r="U166" s="87" t="n">
        <f aca="false">SUM(U164:U165)</f>
        <v>0</v>
      </c>
      <c r="V166" s="88" t="n">
        <f aca="false">U166/$P166</f>
        <v>0</v>
      </c>
      <c r="W166" s="87" t="n">
        <f aca="false">SUM(W164:W165)</f>
        <v>889</v>
      </c>
      <c r="X166" s="88" t="n">
        <f aca="false">W166/$P166</f>
        <v>1</v>
      </c>
      <c r="Y166" s="87" t="n">
        <f aca="false">SUM(Y164:Y165)</f>
        <v>780</v>
      </c>
      <c r="Z166" s="87" t="n">
        <f aca="false">SUM(Z164:Z165)</f>
        <v>780</v>
      </c>
    </row>
    <row r="167" customFormat="false" ht="12.8" hidden="false" customHeight="false" outlineLevel="0" collapsed="false">
      <c r="A167" s="1" t="n">
        <v>2</v>
      </c>
      <c r="B167" s="1" t="n">
        <v>3</v>
      </c>
      <c r="D167" s="36" t="s">
        <v>167</v>
      </c>
      <c r="E167" s="10" t="n">
        <v>610</v>
      </c>
      <c r="F167" s="10" t="s">
        <v>121</v>
      </c>
      <c r="G167" s="11" t="n">
        <v>21516</v>
      </c>
      <c r="H167" s="11" t="n">
        <v>13010.75</v>
      </c>
      <c r="I167" s="11" t="n">
        <v>5794</v>
      </c>
      <c r="J167" s="11" t="n">
        <v>4286.61</v>
      </c>
      <c r="K167" s="11" t="n">
        <v>5240</v>
      </c>
      <c r="L167" s="11"/>
      <c r="M167" s="11"/>
      <c r="N167" s="11" t="n">
        <v>2093</v>
      </c>
      <c r="O167" s="11" t="n">
        <v>1770</v>
      </c>
      <c r="P167" s="11" t="n">
        <f aca="false">K167+SUM(L167:O167)</f>
        <v>9103</v>
      </c>
      <c r="Q167" s="11" t="n">
        <v>1537.74</v>
      </c>
      <c r="R167" s="12" t="n">
        <f aca="false">Q167/$P167</f>
        <v>0.168926727452488</v>
      </c>
      <c r="S167" s="11" t="n">
        <v>3631.35</v>
      </c>
      <c r="T167" s="12" t="n">
        <f aca="false">S167/$P167</f>
        <v>0.398917939140943</v>
      </c>
      <c r="U167" s="11" t="n">
        <v>5966.66</v>
      </c>
      <c r="V167" s="12" t="n">
        <f aca="false">U167/$P167</f>
        <v>0.655460837086675</v>
      </c>
      <c r="W167" s="11" t="n">
        <v>9102.94</v>
      </c>
      <c r="X167" s="12" t="n">
        <f aca="false">W167/$P167</f>
        <v>0.999993408766341</v>
      </c>
      <c r="Y167" s="11" t="n">
        <v>5447</v>
      </c>
      <c r="Z167" s="11" t="n">
        <v>5663</v>
      </c>
    </row>
    <row r="168" customFormat="false" ht="12.8" hidden="false" customHeight="false" outlineLevel="0" collapsed="false">
      <c r="A168" s="1" t="n">
        <v>2</v>
      </c>
      <c r="B168" s="1" t="n">
        <v>3</v>
      </c>
      <c r="D168" s="36"/>
      <c r="E168" s="10" t="n">
        <v>620</v>
      </c>
      <c r="F168" s="10" t="s">
        <v>122</v>
      </c>
      <c r="G168" s="11" t="n">
        <v>9113.81</v>
      </c>
      <c r="H168" s="11" t="n">
        <v>6167.85</v>
      </c>
      <c r="I168" s="11" t="n">
        <v>6135</v>
      </c>
      <c r="J168" s="11" t="n">
        <v>4413.91</v>
      </c>
      <c r="K168" s="11" t="n">
        <v>5120</v>
      </c>
      <c r="L168" s="11"/>
      <c r="M168" s="11"/>
      <c r="N168" s="11" t="n">
        <v>650</v>
      </c>
      <c r="O168" s="11" t="n">
        <v>-85</v>
      </c>
      <c r="P168" s="11" t="n">
        <f aca="false">K168+SUM(L168:O168)</f>
        <v>5685</v>
      </c>
      <c r="Q168" s="11" t="n">
        <v>1261.98</v>
      </c>
      <c r="R168" s="12" t="n">
        <f aca="false">Q168/$P168</f>
        <v>0.221984168865435</v>
      </c>
      <c r="S168" s="11" t="n">
        <v>2802.68</v>
      </c>
      <c r="T168" s="12" t="n">
        <f aca="false">S168/$P168</f>
        <v>0.492995602462621</v>
      </c>
      <c r="U168" s="11" t="n">
        <v>4109.37</v>
      </c>
      <c r="V168" s="12" t="n">
        <f aca="false">U168/$P168</f>
        <v>0.722844327176781</v>
      </c>
      <c r="W168" s="11" t="n">
        <v>5685.2</v>
      </c>
      <c r="X168" s="12" t="n">
        <f aca="false">W168/$P168</f>
        <v>1.00003518029903</v>
      </c>
      <c r="Y168" s="11" t="n">
        <v>5181</v>
      </c>
      <c r="Z168" s="11" t="n">
        <v>5248</v>
      </c>
    </row>
    <row r="169" customFormat="false" ht="12.8" hidden="false" customHeight="false" outlineLevel="0" collapsed="false">
      <c r="A169" s="1" t="n">
        <v>2</v>
      </c>
      <c r="B169" s="1" t="n">
        <v>3</v>
      </c>
      <c r="D169" s="36"/>
      <c r="E169" s="10" t="n">
        <v>630</v>
      </c>
      <c r="F169" s="10" t="s">
        <v>123</v>
      </c>
      <c r="G169" s="11" t="n">
        <v>9275.85</v>
      </c>
      <c r="H169" s="11" t="n">
        <v>8536.38</v>
      </c>
      <c r="I169" s="11" t="n">
        <v>17595</v>
      </c>
      <c r="J169" s="11" t="n">
        <v>10503.33</v>
      </c>
      <c r="K169" s="11" t="n">
        <f aca="false">10911+3200+6023+1337</f>
        <v>21471</v>
      </c>
      <c r="L169" s="11"/>
      <c r="M169" s="11"/>
      <c r="N169" s="11" t="n">
        <v>-2809</v>
      </c>
      <c r="O169" s="11" t="n">
        <f aca="false">-668-834</f>
        <v>-1502</v>
      </c>
      <c r="P169" s="11" t="n">
        <f aca="false">K169+SUM(L169:O169)</f>
        <v>17160</v>
      </c>
      <c r="Q169" s="11" t="n">
        <v>4445.51</v>
      </c>
      <c r="R169" s="12" t="n">
        <f aca="false">Q169/$P169</f>
        <v>0.259062354312354</v>
      </c>
      <c r="S169" s="11" t="n">
        <v>8570.82</v>
      </c>
      <c r="T169" s="12" t="n">
        <f aca="false">S169/$P169</f>
        <v>0.499465034965035</v>
      </c>
      <c r="U169" s="11" t="n">
        <v>11075.64</v>
      </c>
      <c r="V169" s="12" t="n">
        <f aca="false">U169/$P169</f>
        <v>0.645433566433566</v>
      </c>
      <c r="W169" s="11" t="n">
        <v>17104.81</v>
      </c>
      <c r="X169" s="12" t="n">
        <f aca="false">W169/$P169</f>
        <v>0.996783799533799</v>
      </c>
      <c r="Y169" s="11" t="n">
        <f aca="false">K169</f>
        <v>21471</v>
      </c>
      <c r="Z169" s="11" t="n">
        <f aca="false">Y169</f>
        <v>21471</v>
      </c>
    </row>
    <row r="170" customFormat="false" ht="12.8" hidden="false" customHeight="false" outlineLevel="0" collapsed="false">
      <c r="A170" s="1" t="n">
        <v>2</v>
      </c>
      <c r="B170" s="1" t="n">
        <v>3</v>
      </c>
      <c r="D170" s="36"/>
      <c r="E170" s="10" t="n">
        <v>640</v>
      </c>
      <c r="F170" s="10" t="s">
        <v>124</v>
      </c>
      <c r="G170" s="11" t="n">
        <v>0</v>
      </c>
      <c r="H170" s="11" t="n">
        <v>1226.17</v>
      </c>
      <c r="I170" s="11" t="n">
        <v>2500</v>
      </c>
      <c r="J170" s="11" t="n">
        <v>1596</v>
      </c>
      <c r="K170" s="11" t="n">
        <v>1451</v>
      </c>
      <c r="L170" s="11"/>
      <c r="M170" s="11"/>
      <c r="N170" s="11" t="n">
        <v>66</v>
      </c>
      <c r="O170" s="11"/>
      <c r="P170" s="11" t="n">
        <f aca="false">K170+SUM(L170:O170)</f>
        <v>1517</v>
      </c>
      <c r="Q170" s="11" t="n">
        <v>0</v>
      </c>
      <c r="R170" s="12" t="n">
        <f aca="false">Q170/$P170</f>
        <v>0</v>
      </c>
      <c r="S170" s="11" t="n">
        <v>0</v>
      </c>
      <c r="T170" s="12" t="n">
        <f aca="false">S170/$P170</f>
        <v>0</v>
      </c>
      <c r="U170" s="11" t="n">
        <v>0</v>
      </c>
      <c r="V170" s="12" t="n">
        <f aca="false">U170/$P170</f>
        <v>0</v>
      </c>
      <c r="W170" s="11" t="n">
        <v>1516.76</v>
      </c>
      <c r="X170" s="12" t="n">
        <f aca="false">W170/$P170</f>
        <v>0.999841793012525</v>
      </c>
      <c r="Y170" s="11" t="n">
        <f aca="false">K170</f>
        <v>1451</v>
      </c>
      <c r="Z170" s="11" t="n">
        <f aca="false">Y170</f>
        <v>1451</v>
      </c>
    </row>
    <row r="171" customFormat="false" ht="12.8" hidden="false" customHeight="false" outlineLevel="0" collapsed="false">
      <c r="A171" s="1" t="n">
        <v>2</v>
      </c>
      <c r="B171" s="1" t="n">
        <v>3</v>
      </c>
      <c r="D171" s="85" t="s">
        <v>21</v>
      </c>
      <c r="E171" s="86" t="n">
        <v>41</v>
      </c>
      <c r="F171" s="86" t="s">
        <v>23</v>
      </c>
      <c r="G171" s="87" t="n">
        <f aca="false">SUM(G167:G170)</f>
        <v>39905.66</v>
      </c>
      <c r="H171" s="87" t="n">
        <f aca="false">SUM(H167:H170)</f>
        <v>28941.15</v>
      </c>
      <c r="I171" s="87" t="n">
        <f aca="false">SUM(I167:I170)</f>
        <v>32024</v>
      </c>
      <c r="J171" s="87" t="n">
        <f aca="false">SUM(J167:J170)</f>
        <v>20799.85</v>
      </c>
      <c r="K171" s="87" t="n">
        <f aca="false">SUM(K167:K170)</f>
        <v>33282</v>
      </c>
      <c r="L171" s="87" t="n">
        <f aca="false">SUM(L167:L170)</f>
        <v>0</v>
      </c>
      <c r="M171" s="87" t="n">
        <f aca="false">SUM(M167:M170)</f>
        <v>0</v>
      </c>
      <c r="N171" s="87" t="n">
        <f aca="false">SUM(N167:N170)</f>
        <v>0</v>
      </c>
      <c r="O171" s="87" t="n">
        <f aca="false">SUM(O167:O170)</f>
        <v>183</v>
      </c>
      <c r="P171" s="87" t="n">
        <f aca="false">SUM(P167:P170)</f>
        <v>33465</v>
      </c>
      <c r="Q171" s="87" t="n">
        <f aca="false">SUM(Q167:Q170)</f>
        <v>7245.23</v>
      </c>
      <c r="R171" s="88" t="n">
        <f aca="false">Q171/$P171</f>
        <v>0.216501718213058</v>
      </c>
      <c r="S171" s="87" t="n">
        <f aca="false">SUM(S167:S170)</f>
        <v>15004.85</v>
      </c>
      <c r="T171" s="88" t="n">
        <f aca="false">S171/$P171</f>
        <v>0.448374421036904</v>
      </c>
      <c r="U171" s="87" t="n">
        <f aca="false">SUM(U167:U170)</f>
        <v>21151.67</v>
      </c>
      <c r="V171" s="88" t="n">
        <f aca="false">U171/$P171</f>
        <v>0.632053488719558</v>
      </c>
      <c r="W171" s="87" t="n">
        <f aca="false">SUM(W167:W170)</f>
        <v>33409.71</v>
      </c>
      <c r="X171" s="88" t="n">
        <f aca="false">W171/$P171</f>
        <v>0.998347826086956</v>
      </c>
      <c r="Y171" s="87" t="n">
        <f aca="false">SUM(Y167:Y170)</f>
        <v>33550</v>
      </c>
      <c r="Z171" s="87" t="n">
        <f aca="false">SUM(Z167:Z170)</f>
        <v>33833</v>
      </c>
    </row>
    <row r="172" customFormat="false" ht="12.8" hidden="false" customHeight="false" outlineLevel="0" collapsed="false">
      <c r="A172" s="1" t="n">
        <v>2</v>
      </c>
      <c r="B172" s="1" t="n">
        <v>3</v>
      </c>
      <c r="D172" s="18"/>
      <c r="E172" s="19"/>
      <c r="F172" s="14" t="s">
        <v>116</v>
      </c>
      <c r="G172" s="15" t="n">
        <f aca="false">G166+G171</f>
        <v>41650.66</v>
      </c>
      <c r="H172" s="15" t="n">
        <f aca="false">H166+H171</f>
        <v>30003.15</v>
      </c>
      <c r="I172" s="15" t="n">
        <f aca="false">I166+I171</f>
        <v>32744</v>
      </c>
      <c r="J172" s="15" t="n">
        <f aca="false">J166+J171</f>
        <v>21580.85</v>
      </c>
      <c r="K172" s="15" t="n">
        <f aca="false">K166+K171</f>
        <v>34062</v>
      </c>
      <c r="L172" s="15" t="n">
        <f aca="false">L166+L171</f>
        <v>0</v>
      </c>
      <c r="M172" s="15" t="n">
        <f aca="false">M166+M171</f>
        <v>0</v>
      </c>
      <c r="N172" s="15" t="n">
        <f aca="false">N166+N171</f>
        <v>0</v>
      </c>
      <c r="O172" s="15" t="n">
        <f aca="false">O166+O171</f>
        <v>292</v>
      </c>
      <c r="P172" s="15" t="n">
        <f aca="false">P166+P171</f>
        <v>34354</v>
      </c>
      <c r="Q172" s="15" t="n">
        <f aca="false">Q166+Q171</f>
        <v>7245.23</v>
      </c>
      <c r="R172" s="16" t="n">
        <f aca="false">Q172/$P172</f>
        <v>0.210899167491413</v>
      </c>
      <c r="S172" s="15" t="n">
        <f aca="false">S166+S171</f>
        <v>15004.85</v>
      </c>
      <c r="T172" s="16" t="n">
        <f aca="false">S172/$P172</f>
        <v>0.436771554986319</v>
      </c>
      <c r="U172" s="15" t="n">
        <f aca="false">U166+U171</f>
        <v>21151.67</v>
      </c>
      <c r="V172" s="16" t="n">
        <f aca="false">U172/$P172</f>
        <v>0.615697444256855</v>
      </c>
      <c r="W172" s="15" t="n">
        <f aca="false">W166+W171</f>
        <v>34298.71</v>
      </c>
      <c r="X172" s="16" t="n">
        <f aca="false">W172/$P172</f>
        <v>0.998390580427316</v>
      </c>
      <c r="Y172" s="15" t="n">
        <f aca="false">Y166+Y171</f>
        <v>34330</v>
      </c>
      <c r="Z172" s="15" t="n">
        <f aca="false">Z166+Z171</f>
        <v>34613</v>
      </c>
    </row>
    <row r="174" customFormat="false" ht="12.8" hidden="false" customHeight="false" outlineLevel="0" collapsed="false">
      <c r="D174" s="20" t="s">
        <v>168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1"/>
      <c r="S174" s="20"/>
      <c r="T174" s="21"/>
      <c r="U174" s="20"/>
      <c r="V174" s="21"/>
      <c r="W174" s="20"/>
      <c r="X174" s="21"/>
      <c r="Y174" s="20"/>
      <c r="Z174" s="20"/>
    </row>
    <row r="175" customFormat="false" ht="12.8" hidden="false" customHeight="false" outlineLevel="0" collapsed="false">
      <c r="D175" s="6"/>
      <c r="E175" s="6"/>
      <c r="F175" s="6"/>
      <c r="G175" s="7" t="s">
        <v>1</v>
      </c>
      <c r="H175" s="7" t="s">
        <v>2</v>
      </c>
      <c r="I175" s="7" t="s">
        <v>3</v>
      </c>
      <c r="J175" s="7" t="s">
        <v>4</v>
      </c>
      <c r="K175" s="7" t="s">
        <v>5</v>
      </c>
      <c r="L175" s="7" t="s">
        <v>6</v>
      </c>
      <c r="M175" s="7" t="s">
        <v>7</v>
      </c>
      <c r="N175" s="7" t="s">
        <v>8</v>
      </c>
      <c r="O175" s="7" t="s">
        <v>9</v>
      </c>
      <c r="P175" s="7" t="s">
        <v>10</v>
      </c>
      <c r="Q175" s="7" t="s">
        <v>11</v>
      </c>
      <c r="R175" s="8" t="s">
        <v>12</v>
      </c>
      <c r="S175" s="7" t="s">
        <v>13</v>
      </c>
      <c r="T175" s="8" t="s">
        <v>14</v>
      </c>
      <c r="U175" s="7" t="s">
        <v>15</v>
      </c>
      <c r="V175" s="8" t="s">
        <v>16</v>
      </c>
      <c r="W175" s="7" t="s">
        <v>17</v>
      </c>
      <c r="X175" s="8" t="s">
        <v>18</v>
      </c>
      <c r="Y175" s="7" t="s">
        <v>19</v>
      </c>
      <c r="Z175" s="7" t="s">
        <v>20</v>
      </c>
    </row>
    <row r="176" customFormat="false" ht="12.8" hidden="false" customHeight="false" outlineLevel="0" collapsed="false">
      <c r="A176" s="1" t="n">
        <v>3</v>
      </c>
      <c r="D176" s="22" t="s">
        <v>21</v>
      </c>
      <c r="E176" s="23" t="n">
        <v>41</v>
      </c>
      <c r="F176" s="23" t="s">
        <v>23</v>
      </c>
      <c r="G176" s="24" t="n">
        <f aca="false">G185+G198</f>
        <v>24885.67</v>
      </c>
      <c r="H176" s="24" t="n">
        <f aca="false">H185+H198</f>
        <v>33988.25</v>
      </c>
      <c r="I176" s="24" t="n">
        <f aca="false">I185+I198</f>
        <v>38460</v>
      </c>
      <c r="J176" s="24" t="n">
        <f aca="false">J185+J198</f>
        <v>55462.08</v>
      </c>
      <c r="K176" s="24" t="n">
        <f aca="false">K185+K198</f>
        <v>62203</v>
      </c>
      <c r="L176" s="24" t="n">
        <f aca="false">L185+L198</f>
        <v>0</v>
      </c>
      <c r="M176" s="24" t="n">
        <f aca="false">M185+M198</f>
        <v>0</v>
      </c>
      <c r="N176" s="24" t="n">
        <f aca="false">N185+N198</f>
        <v>0</v>
      </c>
      <c r="O176" s="24" t="n">
        <f aca="false">O185+O198</f>
        <v>-2000</v>
      </c>
      <c r="P176" s="24" t="n">
        <f aca="false">P185+P198</f>
        <v>60203</v>
      </c>
      <c r="Q176" s="24" t="n">
        <f aca="false">Q185+Q198</f>
        <v>10174.85</v>
      </c>
      <c r="R176" s="25" t="n">
        <f aca="false">Q176/$P176</f>
        <v>0.169009019484079</v>
      </c>
      <c r="S176" s="24" t="n">
        <f aca="false">S185+S198</f>
        <v>25933.07</v>
      </c>
      <c r="T176" s="25" t="n">
        <f aca="false">S176/$P176</f>
        <v>0.430760427221235</v>
      </c>
      <c r="U176" s="24" t="n">
        <f aca="false">U185+U198</f>
        <v>32441.07</v>
      </c>
      <c r="V176" s="25" t="n">
        <f aca="false">U176/$P176</f>
        <v>0.538861352424298</v>
      </c>
      <c r="W176" s="24" t="n">
        <f aca="false">W185+W198</f>
        <v>41136.58</v>
      </c>
      <c r="X176" s="25" t="n">
        <f aca="false">W176/$P176</f>
        <v>0.683297842300218</v>
      </c>
      <c r="Y176" s="24" t="n">
        <f aca="false">Y185+Y198</f>
        <v>47724</v>
      </c>
      <c r="Z176" s="24" t="n">
        <f aca="false">Z185+Z198</f>
        <v>48292</v>
      </c>
    </row>
    <row r="177" customFormat="false" ht="12.8" hidden="false" customHeight="false" outlineLevel="0" collapsed="false">
      <c r="A177" s="1" t="n">
        <v>3</v>
      </c>
      <c r="D177" s="18"/>
      <c r="E177" s="19"/>
      <c r="F177" s="27" t="s">
        <v>116</v>
      </c>
      <c r="G177" s="28" t="n">
        <f aca="false">SUM(G176:G176)</f>
        <v>24885.67</v>
      </c>
      <c r="H177" s="28" t="n">
        <f aca="false">SUM(H176:H176)</f>
        <v>33988.25</v>
      </c>
      <c r="I177" s="28" t="n">
        <f aca="false">SUM(I176:I176)</f>
        <v>38460</v>
      </c>
      <c r="J177" s="28" t="n">
        <f aca="false">SUM(J176:J176)</f>
        <v>55462.08</v>
      </c>
      <c r="K177" s="28" t="n">
        <f aca="false">SUM(K176:K176)</f>
        <v>62203</v>
      </c>
      <c r="L177" s="28" t="n">
        <f aca="false">SUM(L176:L176)</f>
        <v>0</v>
      </c>
      <c r="M177" s="28" t="n">
        <f aca="false">SUM(M176:M176)</f>
        <v>0</v>
      </c>
      <c r="N177" s="28" t="n">
        <f aca="false">SUM(N176:N176)</f>
        <v>0</v>
      </c>
      <c r="O177" s="28" t="n">
        <f aca="false">SUM(O176:O176)</f>
        <v>-2000</v>
      </c>
      <c r="P177" s="28" t="n">
        <f aca="false">SUM(P176:P176)</f>
        <v>60203</v>
      </c>
      <c r="Q177" s="28" t="n">
        <f aca="false">SUM(Q176:Q176)</f>
        <v>10174.85</v>
      </c>
      <c r="R177" s="29" t="n">
        <f aca="false">Q177/$P177</f>
        <v>0.169009019484079</v>
      </c>
      <c r="S177" s="28" t="n">
        <f aca="false">SUM(S176:S176)</f>
        <v>25933.07</v>
      </c>
      <c r="T177" s="29" t="n">
        <f aca="false">S177/$P177</f>
        <v>0.430760427221235</v>
      </c>
      <c r="U177" s="28" t="n">
        <f aca="false">SUM(U176:U176)</f>
        <v>32441.07</v>
      </c>
      <c r="V177" s="29" t="n">
        <f aca="false">U177/$P177</f>
        <v>0.538861352424298</v>
      </c>
      <c r="W177" s="28" t="n">
        <f aca="false">SUM(W176:W176)</f>
        <v>41136.58</v>
      </c>
      <c r="X177" s="29" t="n">
        <f aca="false">W177/$P177</f>
        <v>0.683297842300218</v>
      </c>
      <c r="Y177" s="28" t="n">
        <f aca="false">SUM(Y176:Y176)</f>
        <v>47724</v>
      </c>
      <c r="Z177" s="28" t="n">
        <f aca="false">SUM(Z176:Z176)</f>
        <v>48292</v>
      </c>
    </row>
    <row r="179" customFormat="false" ht="12.8" hidden="false" customHeight="false" outlineLevel="0" collapsed="false">
      <c r="D179" s="66" t="s">
        <v>169</v>
      </c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7"/>
      <c r="S179" s="66"/>
      <c r="T179" s="67"/>
      <c r="U179" s="66"/>
      <c r="V179" s="67"/>
      <c r="W179" s="66"/>
      <c r="X179" s="67"/>
      <c r="Y179" s="66"/>
      <c r="Z179" s="66"/>
    </row>
    <row r="180" customFormat="false" ht="12.8" hidden="false" customHeight="false" outlineLevel="0" collapsed="false">
      <c r="D180" s="7" t="s">
        <v>33</v>
      </c>
      <c r="E180" s="7" t="s">
        <v>34</v>
      </c>
      <c r="F180" s="7" t="s">
        <v>35</v>
      </c>
      <c r="G180" s="7" t="s">
        <v>1</v>
      </c>
      <c r="H180" s="7" t="s">
        <v>2</v>
      </c>
      <c r="I180" s="7" t="s">
        <v>3</v>
      </c>
      <c r="J180" s="7" t="s">
        <v>4</v>
      </c>
      <c r="K180" s="7" t="s">
        <v>5</v>
      </c>
      <c r="L180" s="7" t="s">
        <v>6</v>
      </c>
      <c r="M180" s="7" t="s">
        <v>7</v>
      </c>
      <c r="N180" s="7" t="s">
        <v>8</v>
      </c>
      <c r="O180" s="7" t="s">
        <v>9</v>
      </c>
      <c r="P180" s="7" t="s">
        <v>10</v>
      </c>
      <c r="Q180" s="7" t="s">
        <v>11</v>
      </c>
      <c r="R180" s="8" t="s">
        <v>12</v>
      </c>
      <c r="S180" s="7" t="s">
        <v>13</v>
      </c>
      <c r="T180" s="8" t="s">
        <v>14</v>
      </c>
      <c r="U180" s="7" t="s">
        <v>15</v>
      </c>
      <c r="V180" s="8" t="s">
        <v>16</v>
      </c>
      <c r="W180" s="7" t="s">
        <v>17</v>
      </c>
      <c r="X180" s="8" t="s">
        <v>18</v>
      </c>
      <c r="Y180" s="7" t="s">
        <v>19</v>
      </c>
      <c r="Z180" s="7" t="s">
        <v>20</v>
      </c>
    </row>
    <row r="181" customFormat="false" ht="12.8" hidden="false" customHeight="false" outlineLevel="0" collapsed="false">
      <c r="A181" s="1" t="n">
        <v>3</v>
      </c>
      <c r="B181" s="1" t="n">
        <v>1</v>
      </c>
      <c r="D181" s="36" t="s">
        <v>170</v>
      </c>
      <c r="E181" s="10" t="n">
        <v>610</v>
      </c>
      <c r="F181" s="10" t="s">
        <v>121</v>
      </c>
      <c r="G181" s="11" t="n">
        <v>8707.65</v>
      </c>
      <c r="H181" s="11" t="n">
        <v>5654.13</v>
      </c>
      <c r="I181" s="11" t="n">
        <v>9687</v>
      </c>
      <c r="J181" s="11" t="n">
        <v>10143.52</v>
      </c>
      <c r="K181" s="11" t="n">
        <v>10555</v>
      </c>
      <c r="L181" s="11"/>
      <c r="M181" s="11" t="n">
        <v>293</v>
      </c>
      <c r="N181" s="11"/>
      <c r="O181" s="11" t="n">
        <v>999</v>
      </c>
      <c r="P181" s="11" t="n">
        <f aca="false">K181+SUM(L181:O181)</f>
        <v>11847</v>
      </c>
      <c r="Q181" s="11" t="n">
        <v>2517.92</v>
      </c>
      <c r="R181" s="12" t="n">
        <f aca="false">Q181/$P181</f>
        <v>0.212536507132607</v>
      </c>
      <c r="S181" s="11" t="n">
        <v>5465.17</v>
      </c>
      <c r="T181" s="12" t="n">
        <f aca="false">S181/$P181</f>
        <v>0.461312568582764</v>
      </c>
      <c r="U181" s="11" t="n">
        <v>8282.89</v>
      </c>
      <c r="V181" s="12" t="n">
        <f aca="false">U181/$P181</f>
        <v>0.699155060352832</v>
      </c>
      <c r="W181" s="11" t="n">
        <v>11847.89</v>
      </c>
      <c r="X181" s="12" t="n">
        <f aca="false">W181/$P181</f>
        <v>1.00007512450409</v>
      </c>
      <c r="Y181" s="11" t="n">
        <v>10716</v>
      </c>
      <c r="Z181" s="11" t="n">
        <v>11125</v>
      </c>
    </row>
    <row r="182" customFormat="false" ht="12.8" hidden="false" customHeight="false" outlineLevel="0" collapsed="false">
      <c r="A182" s="1" t="n">
        <v>3</v>
      </c>
      <c r="B182" s="1" t="n">
        <v>1</v>
      </c>
      <c r="D182" s="36"/>
      <c r="E182" s="10" t="n">
        <v>620</v>
      </c>
      <c r="F182" s="10" t="s">
        <v>122</v>
      </c>
      <c r="G182" s="11" t="n">
        <v>2768.42</v>
      </c>
      <c r="H182" s="11" t="n">
        <v>1915.86</v>
      </c>
      <c r="I182" s="11" t="n">
        <v>3353</v>
      </c>
      <c r="J182" s="11" t="n">
        <v>3692.66</v>
      </c>
      <c r="K182" s="11" t="n">
        <v>3656</v>
      </c>
      <c r="L182" s="11"/>
      <c r="M182" s="11"/>
      <c r="N182" s="11"/>
      <c r="O182" s="11" t="n">
        <v>485</v>
      </c>
      <c r="P182" s="11" t="n">
        <f aca="false">K182+SUM(L182:O182)</f>
        <v>4141</v>
      </c>
      <c r="Q182" s="11" t="n">
        <v>879.92</v>
      </c>
      <c r="R182" s="12" t="n">
        <f aca="false">Q182/$P182</f>
        <v>0.212489736778556</v>
      </c>
      <c r="S182" s="11" t="n">
        <v>1909.89</v>
      </c>
      <c r="T182" s="12" t="n">
        <f aca="false">S182/$P182</f>
        <v>0.461214682443854</v>
      </c>
      <c r="U182" s="11" t="n">
        <v>2894.57</v>
      </c>
      <c r="V182" s="12" t="n">
        <f aca="false">U182/$P182</f>
        <v>0.699002656363197</v>
      </c>
      <c r="W182" s="11" t="n">
        <v>4140.53</v>
      </c>
      <c r="X182" s="12" t="n">
        <f aca="false">W182/$P182</f>
        <v>0.999886500845206</v>
      </c>
      <c r="Y182" s="11" t="n">
        <v>3745</v>
      </c>
      <c r="Z182" s="11" t="n">
        <v>3889</v>
      </c>
    </row>
    <row r="183" customFormat="false" ht="12.8" hidden="false" customHeight="false" outlineLevel="0" collapsed="false">
      <c r="A183" s="1" t="n">
        <v>3</v>
      </c>
      <c r="B183" s="1" t="n">
        <v>1</v>
      </c>
      <c r="D183" s="36"/>
      <c r="E183" s="10" t="n">
        <v>630</v>
      </c>
      <c r="F183" s="10" t="s">
        <v>123</v>
      </c>
      <c r="G183" s="11" t="n">
        <v>10459.08</v>
      </c>
      <c r="H183" s="11" t="n">
        <v>25980.46</v>
      </c>
      <c r="I183" s="11" t="n">
        <v>24920</v>
      </c>
      <c r="J183" s="11" t="n">
        <v>39642.8</v>
      </c>
      <c r="K183" s="11" t="n">
        <f aca="false">28450+780+3500+1200+1050-2488+15000</f>
        <v>47492</v>
      </c>
      <c r="L183" s="11"/>
      <c r="M183" s="11" t="n">
        <v>-293</v>
      </c>
      <c r="N183" s="11"/>
      <c r="O183" s="11" t="n">
        <f aca="false">-1484-2000</f>
        <v>-3484</v>
      </c>
      <c r="P183" s="11" t="n">
        <f aca="false">K183+SUM(L183:O183)</f>
        <v>43715</v>
      </c>
      <c r="Q183" s="11" t="n">
        <v>6625.35</v>
      </c>
      <c r="R183" s="12" t="n">
        <f aca="false">Q183/$P183</f>
        <v>0.151557817682718</v>
      </c>
      <c r="S183" s="11" t="n">
        <v>18406.35</v>
      </c>
      <c r="T183" s="12" t="n">
        <f aca="false">S183/$P183</f>
        <v>0.421053414159899</v>
      </c>
      <c r="U183" s="11" t="n">
        <v>21111.95</v>
      </c>
      <c r="V183" s="12" t="n">
        <f aca="false">U183/$P183</f>
        <v>0.482945213313508</v>
      </c>
      <c r="W183" s="11" t="n">
        <v>24996.5</v>
      </c>
      <c r="X183" s="12" t="n">
        <f aca="false">W183/$P183</f>
        <v>0.571806016241565</v>
      </c>
      <c r="Y183" s="11" t="n">
        <f aca="false">28450+813+3500</f>
        <v>32763</v>
      </c>
      <c r="Z183" s="11" t="n">
        <f aca="false">28450+828+3500</f>
        <v>32778</v>
      </c>
    </row>
    <row r="184" customFormat="false" ht="12.8" hidden="false" customHeight="false" outlineLevel="0" collapsed="false">
      <c r="A184" s="1" t="n">
        <v>3</v>
      </c>
      <c r="B184" s="1" t="n">
        <v>1</v>
      </c>
      <c r="D184" s="36"/>
      <c r="E184" s="10" t="n">
        <v>640</v>
      </c>
      <c r="F184" s="10" t="s">
        <v>124</v>
      </c>
      <c r="G184" s="11" t="n">
        <v>0</v>
      </c>
      <c r="H184" s="11" t="n">
        <v>221.7</v>
      </c>
      <c r="I184" s="11" t="n">
        <v>0</v>
      </c>
      <c r="J184" s="11" t="n">
        <v>1767</v>
      </c>
      <c r="K184" s="11" t="n">
        <v>0</v>
      </c>
      <c r="L184" s="11"/>
      <c r="M184" s="11"/>
      <c r="N184" s="11"/>
      <c r="O184" s="11"/>
      <c r="P184" s="11" t="n">
        <f aca="false">K184+SUM(L184:O184)</f>
        <v>0</v>
      </c>
      <c r="Q184" s="11" t="n">
        <v>0</v>
      </c>
      <c r="R184" s="12" t="e">
        <f aca="false">Q184/$P184</f>
        <v>#DIV/0!</v>
      </c>
      <c r="S184" s="11" t="n">
        <v>0</v>
      </c>
      <c r="T184" s="12" t="e">
        <f aca="false">S184/$P184</f>
        <v>#DIV/0!</v>
      </c>
      <c r="U184" s="11" t="n">
        <v>0</v>
      </c>
      <c r="V184" s="12" t="e">
        <f aca="false">U184/$P184</f>
        <v>#DIV/0!</v>
      </c>
      <c r="W184" s="11" t="n">
        <v>0</v>
      </c>
      <c r="X184" s="12" t="e">
        <f aca="false">W184/$P184</f>
        <v>#DIV/0!</v>
      </c>
      <c r="Y184" s="11" t="n">
        <v>0</v>
      </c>
      <c r="Z184" s="11" t="n">
        <v>0</v>
      </c>
    </row>
    <row r="185" customFormat="false" ht="12.8" hidden="false" customHeight="false" outlineLevel="0" collapsed="false">
      <c r="A185" s="1" t="n">
        <v>3</v>
      </c>
      <c r="B185" s="1" t="n">
        <v>1</v>
      </c>
      <c r="D185" s="75" t="s">
        <v>21</v>
      </c>
      <c r="E185" s="14" t="n">
        <v>41</v>
      </c>
      <c r="F185" s="14" t="s">
        <v>23</v>
      </c>
      <c r="G185" s="15" t="n">
        <f aca="false">SUM(G181:G184)</f>
        <v>21935.15</v>
      </c>
      <c r="H185" s="15" t="n">
        <f aca="false">SUM(H181:H184)</f>
        <v>33772.15</v>
      </c>
      <c r="I185" s="15" t="n">
        <f aca="false">SUM(I181:I184)</f>
        <v>37960</v>
      </c>
      <c r="J185" s="15" t="n">
        <f aca="false">SUM(J181:J184)</f>
        <v>55245.98</v>
      </c>
      <c r="K185" s="15" t="n">
        <f aca="false">SUM(K181:K184)</f>
        <v>61703</v>
      </c>
      <c r="L185" s="15" t="n">
        <f aca="false">SUM(L181:L184)</f>
        <v>0</v>
      </c>
      <c r="M185" s="15" t="n">
        <f aca="false">SUM(M181:M184)</f>
        <v>0</v>
      </c>
      <c r="N185" s="15" t="n">
        <f aca="false">SUM(N181:N184)</f>
        <v>0</v>
      </c>
      <c r="O185" s="15" t="n">
        <f aca="false">SUM(O181:O184)</f>
        <v>-2000</v>
      </c>
      <c r="P185" s="15" t="n">
        <f aca="false">SUM(P181:P184)</f>
        <v>59703</v>
      </c>
      <c r="Q185" s="15" t="n">
        <f aca="false">SUM(Q181:Q184)</f>
        <v>10023.19</v>
      </c>
      <c r="R185" s="16" t="n">
        <f aca="false">Q185/$P185</f>
        <v>0.167884193424116</v>
      </c>
      <c r="S185" s="15" t="n">
        <f aca="false">SUM(S181:S184)</f>
        <v>25781.41</v>
      </c>
      <c r="T185" s="16" t="n">
        <f aca="false">S185/$P185</f>
        <v>0.431827713850225</v>
      </c>
      <c r="U185" s="15" t="n">
        <f aca="false">SUM(U181:U184)</f>
        <v>32289.41</v>
      </c>
      <c r="V185" s="16" t="n">
        <f aca="false">U185/$P185</f>
        <v>0.540833961442474</v>
      </c>
      <c r="W185" s="15" t="n">
        <f aca="false">SUM(W181:W184)</f>
        <v>40984.92</v>
      </c>
      <c r="X185" s="16" t="n">
        <f aca="false">W185/$P185</f>
        <v>0.686480076378071</v>
      </c>
      <c r="Y185" s="15" t="n">
        <f aca="false">SUM(Y181:Y184)</f>
        <v>47224</v>
      </c>
      <c r="Z185" s="15" t="n">
        <f aca="false">SUM(Z181:Z184)</f>
        <v>47792</v>
      </c>
    </row>
    <row r="187" customFormat="false" ht="12.8" hidden="false" customHeight="false" outlineLevel="0" collapsed="false">
      <c r="E187" s="44" t="s">
        <v>56</v>
      </c>
      <c r="F187" s="18" t="s">
        <v>60</v>
      </c>
      <c r="G187" s="45" t="n">
        <v>2454.02</v>
      </c>
      <c r="H187" s="45" t="n">
        <v>8916.85</v>
      </c>
      <c r="I187" s="45" t="n">
        <v>9000</v>
      </c>
      <c r="J187" s="45" t="n">
        <v>1068.55</v>
      </c>
      <c r="K187" s="45" t="n">
        <v>1140</v>
      </c>
      <c r="L187" s="45"/>
      <c r="M187" s="45"/>
      <c r="N187" s="45"/>
      <c r="O187" s="45" t="n">
        <v>-365</v>
      </c>
      <c r="P187" s="45" t="n">
        <f aca="false">K187+SUM(L187:O187)</f>
        <v>775</v>
      </c>
      <c r="Q187" s="45" t="n">
        <v>230.81</v>
      </c>
      <c r="R187" s="46" t="n">
        <f aca="false">Q187/$P187</f>
        <v>0.29781935483871</v>
      </c>
      <c r="S187" s="45" t="n">
        <v>467.91</v>
      </c>
      <c r="T187" s="46" t="n">
        <f aca="false">S187/$P187</f>
        <v>0.603754838709677</v>
      </c>
      <c r="U187" s="45" t="n">
        <v>675.45</v>
      </c>
      <c r="V187" s="46" t="n">
        <f aca="false">U187/$P187</f>
        <v>0.871548387096774</v>
      </c>
      <c r="W187" s="45" t="n">
        <v>774.83</v>
      </c>
      <c r="X187" s="92" t="n">
        <f aca="false">W187/$P187</f>
        <v>0.99978064516129</v>
      </c>
      <c r="Y187" s="45" t="n">
        <f aca="false">K187</f>
        <v>1140</v>
      </c>
      <c r="Z187" s="48" t="n">
        <f aca="false">Y187</f>
        <v>1140</v>
      </c>
    </row>
    <row r="188" customFormat="false" ht="12.8" hidden="false" customHeight="false" outlineLevel="0" collapsed="false">
      <c r="E188" s="49"/>
      <c r="F188" s="94" t="s">
        <v>140</v>
      </c>
      <c r="G188" s="95" t="n">
        <v>1099.44</v>
      </c>
      <c r="H188" s="95" t="n">
        <v>769</v>
      </c>
      <c r="I188" s="95" t="n">
        <v>770</v>
      </c>
      <c r="J188" s="95" t="n">
        <v>3672.41</v>
      </c>
      <c r="K188" s="95" t="n">
        <f aca="false">(51+36+10+8)*11+57</f>
        <v>1212</v>
      </c>
      <c r="L188" s="95"/>
      <c r="M188" s="95"/>
      <c r="N188" s="95"/>
      <c r="O188" s="95"/>
      <c r="P188" s="95" t="n">
        <f aca="false">K188+SUM(L188:O188)</f>
        <v>1212</v>
      </c>
      <c r="Q188" s="95" t="n">
        <v>267.31</v>
      </c>
      <c r="R188" s="96" t="n">
        <f aca="false">Q188/$P188</f>
        <v>0.220552805280528</v>
      </c>
      <c r="S188" s="95" t="n">
        <v>582.31</v>
      </c>
      <c r="T188" s="96" t="n">
        <f aca="false">S188/$P188</f>
        <v>0.480453795379538</v>
      </c>
      <c r="U188" s="95" t="n">
        <v>897.31</v>
      </c>
      <c r="V188" s="96" t="n">
        <f aca="false">U188/$P188</f>
        <v>0.740354785478548</v>
      </c>
      <c r="W188" s="95" t="n">
        <v>1212.31</v>
      </c>
      <c r="X188" s="93" t="n">
        <f aca="false">W188/$P188</f>
        <v>1.00025577557756</v>
      </c>
      <c r="Y188" s="51" t="n">
        <f aca="false">K188</f>
        <v>1212</v>
      </c>
      <c r="Z188" s="53" t="n">
        <f aca="false">Y188</f>
        <v>1212</v>
      </c>
    </row>
    <row r="189" customFormat="false" ht="12.8" hidden="false" customHeight="false" outlineLevel="0" collapsed="false">
      <c r="E189" s="49"/>
      <c r="F189" s="50" t="s">
        <v>171</v>
      </c>
      <c r="G189" s="51" t="n">
        <v>206.87</v>
      </c>
      <c r="H189" s="51" t="n">
        <v>11900</v>
      </c>
      <c r="I189" s="51" t="n">
        <v>10000</v>
      </c>
      <c r="J189" s="51" t="n">
        <v>22955.44</v>
      </c>
      <c r="K189" s="51" t="n">
        <v>25000</v>
      </c>
      <c r="L189" s="51"/>
      <c r="M189" s="51"/>
      <c r="N189" s="51"/>
      <c r="O189" s="51" t="n">
        <v>-2000</v>
      </c>
      <c r="P189" s="51" t="n">
        <f aca="false">K189+SUM(L189:O189)</f>
        <v>23000</v>
      </c>
      <c r="Q189" s="51" t="n">
        <v>3274.39</v>
      </c>
      <c r="R189" s="2" t="n">
        <f aca="false">Q189/$P189</f>
        <v>0.142364782608696</v>
      </c>
      <c r="S189" s="51" t="n">
        <v>11166.96</v>
      </c>
      <c r="T189" s="2" t="n">
        <f aca="false">S189/$P189</f>
        <v>0.48552</v>
      </c>
      <c r="U189" s="51" t="n">
        <v>11236.2</v>
      </c>
      <c r="V189" s="2" t="n">
        <f aca="false">U189/$P189</f>
        <v>0.488530434782609</v>
      </c>
      <c r="W189" s="51" t="n">
        <v>11236.2</v>
      </c>
      <c r="X189" s="93" t="n">
        <f aca="false">W189/$P189</f>
        <v>0.488530434782609</v>
      </c>
      <c r="Y189" s="51" t="n">
        <v>10000</v>
      </c>
      <c r="Z189" s="53" t="n">
        <f aca="false">Y189</f>
        <v>10000</v>
      </c>
    </row>
    <row r="190" customFormat="false" ht="12.8" hidden="false" customHeight="false" outlineLevel="0" collapsed="false">
      <c r="E190" s="49"/>
      <c r="F190" s="50" t="s">
        <v>172</v>
      </c>
      <c r="G190" s="51"/>
      <c r="H190" s="51"/>
      <c r="I190" s="51"/>
      <c r="J190" s="51" t="n">
        <v>3457.06</v>
      </c>
      <c r="K190" s="51" t="n">
        <v>3500</v>
      </c>
      <c r="L190" s="51"/>
      <c r="M190" s="51"/>
      <c r="N190" s="51"/>
      <c r="O190" s="51"/>
      <c r="P190" s="51" t="n">
        <f aca="false">K190+SUM(L190:O190)</f>
        <v>3500</v>
      </c>
      <c r="Q190" s="51" t="n">
        <v>0</v>
      </c>
      <c r="R190" s="2" t="n">
        <f aca="false">Q190/$P190</f>
        <v>0</v>
      </c>
      <c r="S190" s="51" t="n">
        <v>0</v>
      </c>
      <c r="T190" s="2" t="n">
        <f aca="false">S190/$P190</f>
        <v>0</v>
      </c>
      <c r="U190" s="51" t="n">
        <v>0</v>
      </c>
      <c r="V190" s="2" t="n">
        <f aca="false">U190/$P190</f>
        <v>0</v>
      </c>
      <c r="W190" s="51" t="n">
        <v>0</v>
      </c>
      <c r="X190" s="93" t="n">
        <f aca="false">W190/$P190</f>
        <v>0</v>
      </c>
      <c r="Y190" s="51" t="n">
        <f aca="false">K190</f>
        <v>3500</v>
      </c>
      <c r="Z190" s="53" t="n">
        <f aca="false">Y190</f>
        <v>3500</v>
      </c>
    </row>
    <row r="191" customFormat="false" ht="12.8" hidden="false" customHeight="false" outlineLevel="0" collapsed="false">
      <c r="E191" s="49"/>
      <c r="F191" s="1" t="s">
        <v>173</v>
      </c>
      <c r="G191" s="51" t="n">
        <v>2201.9</v>
      </c>
      <c r="H191" s="51" t="n">
        <v>769.54</v>
      </c>
      <c r="I191" s="51" t="n">
        <v>1440</v>
      </c>
      <c r="J191" s="51" t="n">
        <v>1309.49</v>
      </c>
      <c r="K191" s="51" t="n">
        <f aca="false">1300+1200</f>
        <v>2500</v>
      </c>
      <c r="L191" s="51"/>
      <c r="M191" s="51"/>
      <c r="N191" s="51"/>
      <c r="O191" s="51" t="n">
        <v>-372</v>
      </c>
      <c r="P191" s="51" t="n">
        <f aca="false">K191+SUM(L191:O191)</f>
        <v>2128</v>
      </c>
      <c r="Q191" s="51" t="n">
        <v>283.14</v>
      </c>
      <c r="R191" s="2" t="n">
        <f aca="false">Q191/$P191</f>
        <v>0.133054511278195</v>
      </c>
      <c r="S191" s="51" t="n">
        <v>283.14</v>
      </c>
      <c r="T191" s="2" t="n">
        <f aca="false">S191/$P191</f>
        <v>0.133054511278195</v>
      </c>
      <c r="U191" s="51" t="n">
        <v>566.28</v>
      </c>
      <c r="V191" s="2" t="n">
        <f aca="false">U191/$P191</f>
        <v>0.266109022556391</v>
      </c>
      <c r="W191" s="51" t="n">
        <v>672.28</v>
      </c>
      <c r="X191" s="93" t="n">
        <f aca="false">W191/$P191</f>
        <v>0.315921052631579</v>
      </c>
      <c r="Y191" s="51" t="n">
        <f aca="false">K191</f>
        <v>2500</v>
      </c>
      <c r="Z191" s="53" t="n">
        <f aca="false">Y191</f>
        <v>2500</v>
      </c>
    </row>
    <row r="192" customFormat="false" ht="12.8" hidden="false" customHeight="false" outlineLevel="0" collapsed="false">
      <c r="E192" s="49"/>
      <c r="F192" s="1" t="s">
        <v>174</v>
      </c>
      <c r="G192" s="51"/>
      <c r="H192" s="51"/>
      <c r="I192" s="51"/>
      <c r="J192" s="51"/>
      <c r="K192" s="51" t="n">
        <v>2160</v>
      </c>
      <c r="L192" s="51"/>
      <c r="M192" s="51"/>
      <c r="N192" s="51"/>
      <c r="O192" s="51"/>
      <c r="P192" s="51" t="n">
        <f aca="false">K192+SUM(L192:O192)</f>
        <v>2160</v>
      </c>
      <c r="Q192" s="51" t="n">
        <v>540</v>
      </c>
      <c r="R192" s="2" t="n">
        <f aca="false">Q192/$P192</f>
        <v>0.25</v>
      </c>
      <c r="S192" s="51" t="n">
        <v>1080</v>
      </c>
      <c r="T192" s="2" t="n">
        <f aca="false">S192/$P192</f>
        <v>0.5</v>
      </c>
      <c r="U192" s="51" t="n">
        <v>1620</v>
      </c>
      <c r="V192" s="2" t="n">
        <f aca="false">U192/$P192</f>
        <v>0.75</v>
      </c>
      <c r="W192" s="51" t="n">
        <v>2160</v>
      </c>
      <c r="X192" s="93" t="n">
        <f aca="false">W192/$P192</f>
        <v>1</v>
      </c>
      <c r="Y192" s="51"/>
      <c r="Z192" s="53"/>
    </row>
    <row r="193" customFormat="false" ht="12.8" hidden="false" customHeight="false" outlineLevel="0" collapsed="false">
      <c r="E193" s="57"/>
      <c r="F193" s="76" t="s">
        <v>175</v>
      </c>
      <c r="G193" s="59" t="n">
        <v>1278.06</v>
      </c>
      <c r="H193" s="59" t="n">
        <v>1307.94</v>
      </c>
      <c r="I193" s="59" t="n">
        <v>1300</v>
      </c>
      <c r="J193" s="59" t="n">
        <v>2439.01</v>
      </c>
      <c r="K193" s="59" t="n">
        <f aca="false">2450+1050</f>
        <v>3500</v>
      </c>
      <c r="L193" s="59"/>
      <c r="M193" s="59"/>
      <c r="N193" s="59" t="n">
        <v>372</v>
      </c>
      <c r="O193" s="59" t="n">
        <v>812</v>
      </c>
      <c r="P193" s="59" t="n">
        <f aca="false">K193+SUM(L193:O193)</f>
        <v>4684</v>
      </c>
      <c r="Q193" s="59" t="n">
        <v>814</v>
      </c>
      <c r="R193" s="60" t="n">
        <f aca="false">Q193/$P193</f>
        <v>0.173783091374893</v>
      </c>
      <c r="S193" s="59" t="n">
        <v>3058.35</v>
      </c>
      <c r="T193" s="60" t="n">
        <f aca="false">S193/$P193</f>
        <v>0.652935525192143</v>
      </c>
      <c r="U193" s="59" t="n">
        <v>3872.35</v>
      </c>
      <c r="V193" s="60" t="n">
        <f aca="false">U193/$P193</f>
        <v>0.826718616567037</v>
      </c>
      <c r="W193" s="59" t="n">
        <v>4683.78</v>
      </c>
      <c r="X193" s="97" t="n">
        <f aca="false">W193/$P193</f>
        <v>0.999953031596926</v>
      </c>
      <c r="Y193" s="59" t="n">
        <f aca="false">K193</f>
        <v>3500</v>
      </c>
      <c r="Z193" s="62" t="n">
        <f aca="false">Y193</f>
        <v>3500</v>
      </c>
    </row>
    <row r="195" customFormat="false" ht="12.8" hidden="false" customHeight="false" outlineLevel="0" collapsed="false">
      <c r="D195" s="66" t="s">
        <v>176</v>
      </c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7"/>
      <c r="S195" s="66"/>
      <c r="T195" s="67"/>
      <c r="U195" s="66"/>
      <c r="V195" s="67"/>
      <c r="W195" s="66"/>
      <c r="X195" s="67"/>
      <c r="Y195" s="66"/>
      <c r="Z195" s="66"/>
    </row>
    <row r="196" customFormat="false" ht="12.8" hidden="false" customHeight="false" outlineLevel="0" collapsed="false">
      <c r="D196" s="7" t="s">
        <v>33</v>
      </c>
      <c r="E196" s="7" t="s">
        <v>34</v>
      </c>
      <c r="F196" s="7" t="s">
        <v>35</v>
      </c>
      <c r="G196" s="7" t="s">
        <v>1</v>
      </c>
      <c r="H196" s="7" t="s">
        <v>2</v>
      </c>
      <c r="I196" s="7" t="s">
        <v>3</v>
      </c>
      <c r="J196" s="7" t="s">
        <v>4</v>
      </c>
      <c r="K196" s="7" t="s">
        <v>5</v>
      </c>
      <c r="L196" s="7" t="s">
        <v>6</v>
      </c>
      <c r="M196" s="7" t="s">
        <v>7</v>
      </c>
      <c r="N196" s="7" t="s">
        <v>8</v>
      </c>
      <c r="O196" s="7" t="s">
        <v>9</v>
      </c>
      <c r="P196" s="7" t="s">
        <v>10</v>
      </c>
      <c r="Q196" s="7" t="s">
        <v>11</v>
      </c>
      <c r="R196" s="8" t="s">
        <v>12</v>
      </c>
      <c r="S196" s="7" t="s">
        <v>13</v>
      </c>
      <c r="T196" s="8" t="s">
        <v>14</v>
      </c>
      <c r="U196" s="7" t="s">
        <v>15</v>
      </c>
      <c r="V196" s="8" t="s">
        <v>16</v>
      </c>
      <c r="W196" s="7" t="s">
        <v>17</v>
      </c>
      <c r="X196" s="8" t="s">
        <v>18</v>
      </c>
      <c r="Y196" s="7" t="s">
        <v>19</v>
      </c>
      <c r="Z196" s="7" t="s">
        <v>20</v>
      </c>
    </row>
    <row r="197" customFormat="false" ht="12.8" hidden="false" customHeight="false" outlineLevel="0" collapsed="false">
      <c r="A197" s="1" t="n">
        <v>3</v>
      </c>
      <c r="B197" s="1" t="n">
        <v>2</v>
      </c>
      <c r="D197" s="36" t="s">
        <v>170</v>
      </c>
      <c r="E197" s="10" t="n">
        <v>640</v>
      </c>
      <c r="F197" s="10" t="s">
        <v>124</v>
      </c>
      <c r="G197" s="11" t="n">
        <v>2950.52</v>
      </c>
      <c r="H197" s="11" t="n">
        <v>216.1</v>
      </c>
      <c r="I197" s="11" t="n">
        <v>500</v>
      </c>
      <c r="J197" s="11" t="n">
        <v>216.1</v>
      </c>
      <c r="K197" s="11" t="n">
        <v>500</v>
      </c>
      <c r="L197" s="11"/>
      <c r="M197" s="11"/>
      <c r="N197" s="11"/>
      <c r="O197" s="11"/>
      <c r="P197" s="11" t="n">
        <f aca="false">K197+SUM(L197:O197)</f>
        <v>500</v>
      </c>
      <c r="Q197" s="11" t="n">
        <v>151.66</v>
      </c>
      <c r="R197" s="12" t="n">
        <f aca="false">Q197/$P197</f>
        <v>0.30332</v>
      </c>
      <c r="S197" s="11" t="n">
        <v>151.66</v>
      </c>
      <c r="T197" s="12" t="n">
        <f aca="false">S197/$P197</f>
        <v>0.30332</v>
      </c>
      <c r="U197" s="11" t="n">
        <v>151.66</v>
      </c>
      <c r="V197" s="12" t="n">
        <f aca="false">U197/$P197</f>
        <v>0.30332</v>
      </c>
      <c r="W197" s="11" t="n">
        <v>151.66</v>
      </c>
      <c r="X197" s="12" t="n">
        <f aca="false">W197/$P197</f>
        <v>0.30332</v>
      </c>
      <c r="Y197" s="11" t="n">
        <f aca="false">K197</f>
        <v>500</v>
      </c>
      <c r="Z197" s="11" t="n">
        <f aca="false">Y197</f>
        <v>500</v>
      </c>
    </row>
    <row r="198" customFormat="false" ht="12.8" hidden="false" customHeight="false" outlineLevel="0" collapsed="false">
      <c r="A198" s="1" t="n">
        <v>3</v>
      </c>
      <c r="B198" s="1" t="n">
        <v>2</v>
      </c>
      <c r="D198" s="75" t="s">
        <v>21</v>
      </c>
      <c r="E198" s="14" t="n">
        <v>41</v>
      </c>
      <c r="F198" s="14" t="s">
        <v>23</v>
      </c>
      <c r="G198" s="15" t="n">
        <f aca="false">SUM(G197:G197)</f>
        <v>2950.52</v>
      </c>
      <c r="H198" s="15" t="n">
        <f aca="false">SUM(H197:H197)</f>
        <v>216.1</v>
      </c>
      <c r="I198" s="15" t="n">
        <f aca="false">SUM(I197:I197)</f>
        <v>500</v>
      </c>
      <c r="J198" s="15" t="n">
        <f aca="false">SUM(J197:J197)</f>
        <v>216.1</v>
      </c>
      <c r="K198" s="15" t="n">
        <f aca="false">SUM(K197:K197)</f>
        <v>500</v>
      </c>
      <c r="L198" s="15" t="n">
        <f aca="false">SUM(L197:L197)</f>
        <v>0</v>
      </c>
      <c r="M198" s="15" t="n">
        <f aca="false">SUM(M197:M197)</f>
        <v>0</v>
      </c>
      <c r="N198" s="15" t="n">
        <f aca="false">SUM(N197:N197)</f>
        <v>0</v>
      </c>
      <c r="O198" s="15" t="n">
        <f aca="false">SUM(O197:O197)</f>
        <v>0</v>
      </c>
      <c r="P198" s="15" t="n">
        <f aca="false">SUM(P197:P197)</f>
        <v>500</v>
      </c>
      <c r="Q198" s="15" t="n">
        <f aca="false">SUM(Q197:Q197)</f>
        <v>151.66</v>
      </c>
      <c r="R198" s="16" t="n">
        <f aca="false">Q198/$P198</f>
        <v>0.30332</v>
      </c>
      <c r="S198" s="15" t="n">
        <f aca="false">SUM(S197:S197)</f>
        <v>151.66</v>
      </c>
      <c r="T198" s="16" t="n">
        <f aca="false">S198/$P198</f>
        <v>0.30332</v>
      </c>
      <c r="U198" s="15" t="n">
        <f aca="false">SUM(U197:U197)</f>
        <v>151.66</v>
      </c>
      <c r="V198" s="16" t="n">
        <f aca="false">U198/$P198</f>
        <v>0.30332</v>
      </c>
      <c r="W198" s="15" t="n">
        <f aca="false">SUM(W197:W197)</f>
        <v>151.66</v>
      </c>
      <c r="X198" s="16" t="n">
        <f aca="false">W198/$P198</f>
        <v>0.30332</v>
      </c>
      <c r="Y198" s="15" t="n">
        <f aca="false">SUM(Y197:Y197)</f>
        <v>500</v>
      </c>
      <c r="Z198" s="15" t="n">
        <f aca="false">SUM(Z197:Z197)</f>
        <v>500</v>
      </c>
    </row>
    <row r="200" customFormat="false" ht="12.8" hidden="false" customHeight="false" outlineLevel="0" collapsed="false">
      <c r="D200" s="20" t="s">
        <v>177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1"/>
      <c r="S200" s="20"/>
      <c r="T200" s="21"/>
      <c r="U200" s="20"/>
      <c r="V200" s="21"/>
      <c r="W200" s="20"/>
      <c r="X200" s="21"/>
      <c r="Y200" s="20"/>
      <c r="Z200" s="20"/>
    </row>
    <row r="201" customFormat="false" ht="12.8" hidden="false" customHeight="false" outlineLevel="0" collapsed="false">
      <c r="D201" s="6"/>
      <c r="E201" s="6"/>
      <c r="F201" s="6"/>
      <c r="G201" s="7" t="s">
        <v>1</v>
      </c>
      <c r="H201" s="7" t="s">
        <v>2</v>
      </c>
      <c r="I201" s="7" t="s">
        <v>3</v>
      </c>
      <c r="J201" s="7" t="s">
        <v>4</v>
      </c>
      <c r="K201" s="7" t="s">
        <v>5</v>
      </c>
      <c r="L201" s="7"/>
      <c r="M201" s="7"/>
      <c r="N201" s="7"/>
      <c r="O201" s="7"/>
      <c r="P201" s="7"/>
      <c r="Q201" s="7"/>
      <c r="R201" s="8"/>
      <c r="S201" s="7"/>
      <c r="T201" s="8"/>
      <c r="U201" s="7"/>
      <c r="V201" s="8"/>
      <c r="W201" s="7"/>
      <c r="X201" s="8"/>
      <c r="Y201" s="7" t="s">
        <v>19</v>
      </c>
      <c r="Z201" s="7" t="s">
        <v>20</v>
      </c>
    </row>
    <row r="202" customFormat="false" ht="12.8" hidden="false" customHeight="false" outlineLevel="0" collapsed="false">
      <c r="A202" s="1" t="n">
        <v>4</v>
      </c>
      <c r="D202" s="22" t="s">
        <v>21</v>
      </c>
      <c r="E202" s="23" t="n">
        <v>41</v>
      </c>
      <c r="F202" s="23" t="s">
        <v>23</v>
      </c>
      <c r="G202" s="24" t="n">
        <f aca="false">G208+G213+G221+G226</f>
        <v>31936.9</v>
      </c>
      <c r="H202" s="24" t="n">
        <f aca="false">H208+H213+H221+H226</f>
        <v>52727.26</v>
      </c>
      <c r="I202" s="24" t="n">
        <f aca="false">I208+I213+I221+I226</f>
        <v>59000</v>
      </c>
      <c r="J202" s="24" t="n">
        <f aca="false">J208+J213+J221+J226</f>
        <v>61481.63</v>
      </c>
      <c r="K202" s="24" t="n">
        <f aca="false">K208+K213+K221+K226</f>
        <v>59000</v>
      </c>
      <c r="L202" s="24" t="n">
        <f aca="false">L208+L213+L221+L226</f>
        <v>0</v>
      </c>
      <c r="M202" s="24" t="n">
        <f aca="false">M208+M213+M221+M226</f>
        <v>0</v>
      </c>
      <c r="N202" s="24" t="n">
        <f aca="false">N208+N213+N221+N226</f>
        <v>0</v>
      </c>
      <c r="O202" s="24" t="n">
        <f aca="false">O208+O213+O221+O226</f>
        <v>0</v>
      </c>
      <c r="P202" s="24" t="n">
        <f aca="false">P208+P213+P221+P226</f>
        <v>59000</v>
      </c>
      <c r="Q202" s="24" t="n">
        <f aca="false">Q208+Q213+Q221+Q226</f>
        <v>12575.39</v>
      </c>
      <c r="R202" s="25" t="n">
        <f aca="false">Q202/$P202</f>
        <v>0.21314220338983</v>
      </c>
      <c r="S202" s="24" t="n">
        <f aca="false">S208+S213+S221+S226</f>
        <v>27251.94</v>
      </c>
      <c r="T202" s="25" t="n">
        <f aca="false">S202/$P202</f>
        <v>0.461897288135593</v>
      </c>
      <c r="U202" s="24" t="n">
        <f aca="false">U208+U213+U221+U226</f>
        <v>43208.25</v>
      </c>
      <c r="V202" s="25" t="n">
        <f aca="false">U202/$P202</f>
        <v>0.732343220338983</v>
      </c>
      <c r="W202" s="24" t="n">
        <f aca="false">W208+W213+W221+W226</f>
        <v>56222.96</v>
      </c>
      <c r="X202" s="25" t="n">
        <f aca="false">W202/$P202</f>
        <v>0.952931525423729</v>
      </c>
      <c r="Y202" s="24" t="n">
        <f aca="false">Y208+Y213+Y221+Y226</f>
        <v>59000</v>
      </c>
      <c r="Z202" s="24" t="n">
        <f aca="false">Z208+Z213+Z221+Z226</f>
        <v>59000</v>
      </c>
    </row>
    <row r="203" customFormat="false" ht="12.8" hidden="false" customHeight="false" outlineLevel="0" collapsed="false">
      <c r="A203" s="1" t="n">
        <v>4</v>
      </c>
      <c r="D203" s="18"/>
      <c r="E203" s="19"/>
      <c r="F203" s="27" t="s">
        <v>116</v>
      </c>
      <c r="G203" s="28" t="n">
        <f aca="false">SUM(G202:G202)</f>
        <v>31936.9</v>
      </c>
      <c r="H203" s="28" t="n">
        <f aca="false">SUM(H202:H202)</f>
        <v>52727.26</v>
      </c>
      <c r="I203" s="28" t="n">
        <f aca="false">SUM(I202:I202)</f>
        <v>59000</v>
      </c>
      <c r="J203" s="28" t="n">
        <f aca="false">SUM(J202:J202)</f>
        <v>61481.63</v>
      </c>
      <c r="K203" s="28" t="n">
        <f aca="false">SUM(K202:K202)</f>
        <v>59000</v>
      </c>
      <c r="L203" s="28" t="n">
        <f aca="false">SUM(L202:L202)</f>
        <v>0</v>
      </c>
      <c r="M203" s="28" t="n">
        <f aca="false">SUM(M202:M202)</f>
        <v>0</v>
      </c>
      <c r="N203" s="28" t="n">
        <f aca="false">SUM(N202:N202)</f>
        <v>0</v>
      </c>
      <c r="O203" s="28" t="n">
        <f aca="false">SUM(O202:O202)</f>
        <v>0</v>
      </c>
      <c r="P203" s="28" t="n">
        <f aca="false">SUM(P202:P202)</f>
        <v>59000</v>
      </c>
      <c r="Q203" s="28" t="n">
        <f aca="false">SUM(Q202:Q202)</f>
        <v>12575.39</v>
      </c>
      <c r="R203" s="29" t="n">
        <f aca="false">Q203/$P203</f>
        <v>0.21314220338983</v>
      </c>
      <c r="S203" s="28" t="n">
        <f aca="false">SUM(S202:S202)</f>
        <v>27251.94</v>
      </c>
      <c r="T203" s="29" t="n">
        <f aca="false">S203/$P203</f>
        <v>0.461897288135593</v>
      </c>
      <c r="U203" s="28" t="n">
        <f aca="false">SUM(U202:U202)</f>
        <v>43208.25</v>
      </c>
      <c r="V203" s="29" t="n">
        <f aca="false">U203/$P203</f>
        <v>0.732343220338983</v>
      </c>
      <c r="W203" s="28" t="n">
        <f aca="false">SUM(W202:W202)</f>
        <v>56222.96</v>
      </c>
      <c r="X203" s="29" t="n">
        <f aca="false">W203/$P203</f>
        <v>0.952931525423729</v>
      </c>
      <c r="Y203" s="28" t="n">
        <f aca="false">SUM(Y202:Y202)</f>
        <v>59000</v>
      </c>
      <c r="Z203" s="28" t="n">
        <f aca="false">SUM(Z202:Z202)</f>
        <v>59000</v>
      </c>
    </row>
    <row r="205" customFormat="false" ht="12.8" hidden="false" customHeight="false" outlineLevel="0" collapsed="false">
      <c r="D205" s="66" t="s">
        <v>178</v>
      </c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7"/>
      <c r="S205" s="66"/>
      <c r="T205" s="67"/>
      <c r="U205" s="66"/>
      <c r="V205" s="67"/>
      <c r="W205" s="66"/>
      <c r="X205" s="67"/>
      <c r="Y205" s="66"/>
      <c r="Z205" s="66"/>
    </row>
    <row r="206" customFormat="false" ht="12.8" hidden="false" customHeight="false" outlineLevel="0" collapsed="false">
      <c r="D206" s="7" t="s">
        <v>33</v>
      </c>
      <c r="E206" s="7" t="s">
        <v>34</v>
      </c>
      <c r="F206" s="7" t="s">
        <v>35</v>
      </c>
      <c r="G206" s="7" t="s">
        <v>1</v>
      </c>
      <c r="H206" s="7" t="s">
        <v>2</v>
      </c>
      <c r="I206" s="7" t="s">
        <v>3</v>
      </c>
      <c r="J206" s="7" t="s">
        <v>4</v>
      </c>
      <c r="K206" s="7" t="s">
        <v>5</v>
      </c>
      <c r="L206" s="7" t="s">
        <v>6</v>
      </c>
      <c r="M206" s="7" t="s">
        <v>7</v>
      </c>
      <c r="N206" s="7" t="s">
        <v>8</v>
      </c>
      <c r="O206" s="7" t="s">
        <v>9</v>
      </c>
      <c r="P206" s="7" t="s">
        <v>10</v>
      </c>
      <c r="Q206" s="7" t="s">
        <v>11</v>
      </c>
      <c r="R206" s="8" t="s">
        <v>12</v>
      </c>
      <c r="S206" s="7" t="s">
        <v>13</v>
      </c>
      <c r="T206" s="8" t="s">
        <v>14</v>
      </c>
      <c r="U206" s="7" t="s">
        <v>15</v>
      </c>
      <c r="V206" s="8" t="s">
        <v>16</v>
      </c>
      <c r="W206" s="7" t="s">
        <v>17</v>
      </c>
      <c r="X206" s="8" t="s">
        <v>18</v>
      </c>
      <c r="Y206" s="7" t="s">
        <v>19</v>
      </c>
      <c r="Z206" s="7" t="s">
        <v>20</v>
      </c>
    </row>
    <row r="207" customFormat="false" ht="12.8" hidden="false" customHeight="false" outlineLevel="0" collapsed="false">
      <c r="A207" s="1" t="n">
        <v>4</v>
      </c>
      <c r="B207" s="1" t="n">
        <v>1</v>
      </c>
      <c r="D207" s="36" t="s">
        <v>179</v>
      </c>
      <c r="E207" s="10" t="n">
        <v>630</v>
      </c>
      <c r="F207" s="10" t="s">
        <v>123</v>
      </c>
      <c r="G207" s="11" t="n">
        <v>27256.16</v>
      </c>
      <c r="H207" s="11" t="n">
        <v>42161.55</v>
      </c>
      <c r="I207" s="11" t="n">
        <v>42000</v>
      </c>
      <c r="J207" s="11" t="n">
        <v>56240.74</v>
      </c>
      <c r="K207" s="11" t="n">
        <v>57000</v>
      </c>
      <c r="L207" s="11"/>
      <c r="M207" s="11"/>
      <c r="N207" s="11"/>
      <c r="O207" s="11"/>
      <c r="P207" s="11" t="n">
        <f aca="false">K207+SUM(L207:O207)</f>
        <v>57000</v>
      </c>
      <c r="Q207" s="11" t="n">
        <v>12575.39</v>
      </c>
      <c r="R207" s="12" t="n">
        <f aca="false">Q207/$P207</f>
        <v>0.220620877192982</v>
      </c>
      <c r="S207" s="11" t="n">
        <v>27251.94</v>
      </c>
      <c r="T207" s="12" t="n">
        <f aca="false">S207/$P207</f>
        <v>0.478104210526316</v>
      </c>
      <c r="U207" s="11" t="n">
        <v>42208.25</v>
      </c>
      <c r="V207" s="12" t="n">
        <f aca="false">U207/$P207</f>
        <v>0.740495614035088</v>
      </c>
      <c r="W207" s="11" t="n">
        <v>55222.96</v>
      </c>
      <c r="X207" s="12" t="n">
        <f aca="false">W207/$P207</f>
        <v>0.968823859649123</v>
      </c>
      <c r="Y207" s="11" t="n">
        <f aca="false">K207</f>
        <v>57000</v>
      </c>
      <c r="Z207" s="11" t="n">
        <f aca="false">Y207</f>
        <v>57000</v>
      </c>
    </row>
    <row r="208" customFormat="false" ht="12.8" hidden="false" customHeight="false" outlineLevel="0" collapsed="false">
      <c r="A208" s="1" t="n">
        <v>4</v>
      </c>
      <c r="B208" s="1" t="n">
        <v>1</v>
      </c>
      <c r="D208" s="75" t="s">
        <v>21</v>
      </c>
      <c r="E208" s="14" t="n">
        <v>41</v>
      </c>
      <c r="F208" s="14" t="s">
        <v>23</v>
      </c>
      <c r="G208" s="15" t="n">
        <f aca="false">SUM(G207:G207)</f>
        <v>27256.16</v>
      </c>
      <c r="H208" s="15" t="n">
        <f aca="false">SUM(H207:H207)</f>
        <v>42161.55</v>
      </c>
      <c r="I208" s="15" t="n">
        <f aca="false">SUM(I207:I207)</f>
        <v>42000</v>
      </c>
      <c r="J208" s="15" t="n">
        <f aca="false">SUM(J207:J207)</f>
        <v>56240.74</v>
      </c>
      <c r="K208" s="15" t="n">
        <f aca="false">SUM(K207:K207)</f>
        <v>57000</v>
      </c>
      <c r="L208" s="15" t="n">
        <f aca="false">SUM(L207:L207)</f>
        <v>0</v>
      </c>
      <c r="M208" s="15" t="n">
        <f aca="false">SUM(M207:M207)</f>
        <v>0</v>
      </c>
      <c r="N208" s="15" t="n">
        <f aca="false">SUM(N207:N207)</f>
        <v>0</v>
      </c>
      <c r="O208" s="15" t="n">
        <f aca="false">SUM(O207:O207)</f>
        <v>0</v>
      </c>
      <c r="P208" s="15" t="n">
        <f aca="false">SUM(P207:P207)</f>
        <v>57000</v>
      </c>
      <c r="Q208" s="15" t="n">
        <f aca="false">SUM(Q207:Q207)</f>
        <v>12575.39</v>
      </c>
      <c r="R208" s="16" t="n">
        <f aca="false">Q208/$P208</f>
        <v>0.220620877192982</v>
      </c>
      <c r="S208" s="15" t="n">
        <f aca="false">SUM(S207:S207)</f>
        <v>27251.94</v>
      </c>
      <c r="T208" s="16" t="n">
        <f aca="false">S208/$P208</f>
        <v>0.478104210526316</v>
      </c>
      <c r="U208" s="15" t="n">
        <f aca="false">SUM(U207:U207)</f>
        <v>42208.25</v>
      </c>
      <c r="V208" s="16" t="n">
        <f aca="false">U208/$P208</f>
        <v>0.740495614035088</v>
      </c>
      <c r="W208" s="15" t="n">
        <f aca="false">SUM(W207:W207)</f>
        <v>55222.96</v>
      </c>
      <c r="X208" s="16" t="n">
        <f aca="false">W208/$P208</f>
        <v>0.968823859649123</v>
      </c>
      <c r="Y208" s="15" t="n">
        <f aca="false">SUM(Y207:Y207)</f>
        <v>57000</v>
      </c>
      <c r="Z208" s="15" t="n">
        <f aca="false">SUM(Z207:Z207)</f>
        <v>57000</v>
      </c>
    </row>
    <row r="210" customFormat="false" ht="12.8" hidden="false" customHeight="false" outlineLevel="0" collapsed="false">
      <c r="D210" s="66" t="s">
        <v>180</v>
      </c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7"/>
      <c r="S210" s="66"/>
      <c r="T210" s="67"/>
      <c r="U210" s="66"/>
      <c r="V210" s="67"/>
      <c r="W210" s="66"/>
      <c r="X210" s="67"/>
      <c r="Y210" s="66"/>
      <c r="Z210" s="66"/>
    </row>
    <row r="211" customFormat="false" ht="12.8" hidden="false" customHeight="false" outlineLevel="0" collapsed="false">
      <c r="D211" s="7" t="s">
        <v>33</v>
      </c>
      <c r="E211" s="7" t="s">
        <v>34</v>
      </c>
      <c r="F211" s="7" t="s">
        <v>35</v>
      </c>
      <c r="G211" s="7" t="s">
        <v>1</v>
      </c>
      <c r="H211" s="7" t="s">
        <v>2</v>
      </c>
      <c r="I211" s="7" t="s">
        <v>3</v>
      </c>
      <c r="J211" s="7" t="s">
        <v>4</v>
      </c>
      <c r="K211" s="7" t="s">
        <v>5</v>
      </c>
      <c r="L211" s="7" t="s">
        <v>6</v>
      </c>
      <c r="M211" s="7" t="s">
        <v>7</v>
      </c>
      <c r="N211" s="7" t="s">
        <v>8</v>
      </c>
      <c r="O211" s="7" t="s">
        <v>9</v>
      </c>
      <c r="P211" s="7" t="s">
        <v>10</v>
      </c>
      <c r="Q211" s="7" t="s">
        <v>11</v>
      </c>
      <c r="R211" s="8" t="s">
        <v>12</v>
      </c>
      <c r="S211" s="7" t="s">
        <v>13</v>
      </c>
      <c r="T211" s="8" t="s">
        <v>14</v>
      </c>
      <c r="U211" s="7" t="s">
        <v>15</v>
      </c>
      <c r="V211" s="8" t="s">
        <v>16</v>
      </c>
      <c r="W211" s="7" t="s">
        <v>17</v>
      </c>
      <c r="X211" s="8" t="s">
        <v>18</v>
      </c>
      <c r="Y211" s="7" t="s">
        <v>19</v>
      </c>
      <c r="Z211" s="7" t="s">
        <v>20</v>
      </c>
    </row>
    <row r="212" customFormat="false" ht="12.8" hidden="false" customHeight="false" outlineLevel="0" collapsed="false">
      <c r="A212" s="1" t="n">
        <v>4</v>
      </c>
      <c r="B212" s="1" t="n">
        <v>2</v>
      </c>
      <c r="D212" s="36" t="s">
        <v>179</v>
      </c>
      <c r="E212" s="10" t="n">
        <v>630</v>
      </c>
      <c r="F212" s="10" t="s">
        <v>123</v>
      </c>
      <c r="G212" s="11" t="n">
        <v>4057.76</v>
      </c>
      <c r="H212" s="11" t="n">
        <v>7965.71</v>
      </c>
      <c r="I212" s="11" t="n">
        <v>15000</v>
      </c>
      <c r="J212" s="11" t="n">
        <v>5240.89</v>
      </c>
      <c r="K212" s="11" t="n">
        <v>0</v>
      </c>
      <c r="L212" s="11"/>
      <c r="M212" s="11"/>
      <c r="N212" s="11" t="n">
        <v>1000</v>
      </c>
      <c r="O212" s="11"/>
      <c r="P212" s="11" t="n">
        <f aca="false">K212+SUM(L212:O212)</f>
        <v>1000</v>
      </c>
      <c r="Q212" s="11" t="n">
        <v>0</v>
      </c>
      <c r="R212" s="12" t="n">
        <f aca="false">Q212/$P212</f>
        <v>0</v>
      </c>
      <c r="S212" s="11" t="n">
        <v>0</v>
      </c>
      <c r="T212" s="12" t="n">
        <f aca="false">S212/$P212</f>
        <v>0</v>
      </c>
      <c r="U212" s="11" t="n">
        <v>1000</v>
      </c>
      <c r="V212" s="12" t="n">
        <f aca="false">U212/$P212</f>
        <v>1</v>
      </c>
      <c r="W212" s="11" t="n">
        <v>1000</v>
      </c>
      <c r="X212" s="12" t="n">
        <f aca="false">W212/$P212</f>
        <v>1</v>
      </c>
      <c r="Y212" s="11" t="n">
        <f aca="false">K212</f>
        <v>0</v>
      </c>
      <c r="Z212" s="11" t="n">
        <f aca="false">Y212</f>
        <v>0</v>
      </c>
    </row>
    <row r="213" customFormat="false" ht="12.8" hidden="false" customHeight="false" outlineLevel="0" collapsed="false">
      <c r="A213" s="1" t="n">
        <v>4</v>
      </c>
      <c r="B213" s="1" t="n">
        <v>2</v>
      </c>
      <c r="D213" s="75" t="s">
        <v>21</v>
      </c>
      <c r="E213" s="14" t="n">
        <v>41</v>
      </c>
      <c r="F213" s="14" t="s">
        <v>23</v>
      </c>
      <c r="G213" s="15" t="n">
        <f aca="false">SUM(G212:G212)</f>
        <v>4057.76</v>
      </c>
      <c r="H213" s="15" t="n">
        <f aca="false">SUM(H212:H212)</f>
        <v>7965.71</v>
      </c>
      <c r="I213" s="15" t="n">
        <f aca="false">SUM(I212:I212)</f>
        <v>15000</v>
      </c>
      <c r="J213" s="15" t="n">
        <f aca="false">SUM(J212:J212)</f>
        <v>5240.89</v>
      </c>
      <c r="K213" s="15" t="n">
        <f aca="false">SUM(K212:K212)</f>
        <v>0</v>
      </c>
      <c r="L213" s="15" t="n">
        <f aca="false">SUM(L212:L212)</f>
        <v>0</v>
      </c>
      <c r="M213" s="15" t="n">
        <f aca="false">SUM(M212:M212)</f>
        <v>0</v>
      </c>
      <c r="N213" s="15" t="n">
        <f aca="false">SUM(N212:N212)</f>
        <v>1000</v>
      </c>
      <c r="O213" s="15" t="n">
        <f aca="false">SUM(O212:O212)</f>
        <v>0</v>
      </c>
      <c r="P213" s="15" t="n">
        <f aca="false">SUM(P212:P212)</f>
        <v>1000</v>
      </c>
      <c r="Q213" s="15" t="n">
        <f aca="false">SUM(Q212:Q212)</f>
        <v>0</v>
      </c>
      <c r="R213" s="16" t="n">
        <f aca="false">Q213/$P213</f>
        <v>0</v>
      </c>
      <c r="S213" s="15" t="n">
        <f aca="false">SUM(S212:S212)</f>
        <v>0</v>
      </c>
      <c r="T213" s="16" t="n">
        <f aca="false">S213/$P213</f>
        <v>0</v>
      </c>
      <c r="U213" s="15" t="n">
        <f aca="false">SUM(U212:U212)</f>
        <v>1000</v>
      </c>
      <c r="V213" s="16" t="n">
        <f aca="false">U213/$P213</f>
        <v>1</v>
      </c>
      <c r="W213" s="15" t="n">
        <f aca="false">SUM(W212:W212)</f>
        <v>1000</v>
      </c>
      <c r="X213" s="16" t="n">
        <f aca="false">W213/$P213</f>
        <v>1</v>
      </c>
      <c r="Y213" s="15" t="n">
        <f aca="false">SUM(Y212:Y212)</f>
        <v>0</v>
      </c>
      <c r="Z213" s="15" t="n">
        <f aca="false">SUM(Z212:Z212)</f>
        <v>0</v>
      </c>
    </row>
    <row r="214" customFormat="false" ht="12.8" hidden="true" customHeight="false" outlineLevel="0" collapsed="false"/>
    <row r="215" customFormat="false" ht="12.8" hidden="true" customHeight="false" outlineLevel="0" collapsed="false">
      <c r="E215" s="44" t="s">
        <v>56</v>
      </c>
      <c r="F215" s="18" t="s">
        <v>181</v>
      </c>
      <c r="G215" s="45"/>
      <c r="H215" s="45"/>
      <c r="I215" s="45" t="n">
        <v>7000</v>
      </c>
      <c r="J215" s="45" t="n">
        <v>0</v>
      </c>
      <c r="K215" s="45" t="n">
        <v>0</v>
      </c>
      <c r="L215" s="45"/>
      <c r="M215" s="45"/>
      <c r="N215" s="45"/>
      <c r="O215" s="45"/>
      <c r="P215" s="45" t="n">
        <f aca="false">K215+SUM(L215:O215)</f>
        <v>0</v>
      </c>
      <c r="Q215" s="45" t="n">
        <v>0</v>
      </c>
      <c r="R215" s="46" t="e">
        <f aca="false">Q215/$P215</f>
        <v>#DIV/0!</v>
      </c>
      <c r="S215" s="45"/>
      <c r="T215" s="46" t="e">
        <f aca="false">S215/$P215</f>
        <v>#DIV/0!</v>
      </c>
      <c r="U215" s="45"/>
      <c r="V215" s="46" t="e">
        <f aca="false">U215/$P215</f>
        <v>#DIV/0!</v>
      </c>
      <c r="W215" s="45"/>
      <c r="X215" s="46" t="e">
        <f aca="false">W215/$P215</f>
        <v>#DIV/0!</v>
      </c>
      <c r="Y215" s="45" t="n">
        <f aca="false">K215</f>
        <v>0</v>
      </c>
      <c r="Z215" s="48" t="n">
        <f aca="false">Y215</f>
        <v>0</v>
      </c>
    </row>
    <row r="216" customFormat="false" ht="12.8" hidden="true" customHeight="false" outlineLevel="0" collapsed="false">
      <c r="E216" s="57"/>
      <c r="F216" s="76" t="s">
        <v>182</v>
      </c>
      <c r="G216" s="59" t="n">
        <v>2815.76</v>
      </c>
      <c r="H216" s="59" t="n">
        <v>4480.53</v>
      </c>
      <c r="I216" s="59" t="n">
        <v>6000</v>
      </c>
      <c r="J216" s="59" t="n">
        <v>5240.89</v>
      </c>
      <c r="K216" s="59" t="n">
        <f aca="false">0</f>
        <v>0</v>
      </c>
      <c r="L216" s="59"/>
      <c r="M216" s="59"/>
      <c r="N216" s="59"/>
      <c r="O216" s="59"/>
      <c r="P216" s="59" t="n">
        <f aca="false">K216+SUM(L216:O216)</f>
        <v>0</v>
      </c>
      <c r="Q216" s="59" t="n">
        <v>0</v>
      </c>
      <c r="R216" s="60" t="e">
        <f aca="false">Q216/$P216</f>
        <v>#DIV/0!</v>
      </c>
      <c r="S216" s="59"/>
      <c r="T216" s="60" t="e">
        <f aca="false">S216/$P216</f>
        <v>#DIV/0!</v>
      </c>
      <c r="U216" s="59"/>
      <c r="V216" s="60" t="e">
        <f aca="false">U216/$P216</f>
        <v>#DIV/0!</v>
      </c>
      <c r="W216" s="59"/>
      <c r="X216" s="60" t="e">
        <f aca="false">W216/$P216</f>
        <v>#DIV/0!</v>
      </c>
      <c r="Y216" s="59" t="n">
        <f aca="false">K216</f>
        <v>0</v>
      </c>
      <c r="Z216" s="62" t="n">
        <f aca="false">Y216</f>
        <v>0</v>
      </c>
    </row>
    <row r="218" customFormat="false" ht="12.8" hidden="false" customHeight="false" outlineLevel="0" collapsed="false">
      <c r="D218" s="66" t="s">
        <v>183</v>
      </c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7"/>
      <c r="S218" s="66"/>
      <c r="T218" s="67"/>
      <c r="U218" s="66"/>
      <c r="V218" s="67"/>
      <c r="W218" s="66"/>
      <c r="X218" s="67"/>
      <c r="Y218" s="66"/>
      <c r="Z218" s="66"/>
    </row>
    <row r="219" customFormat="false" ht="12.8" hidden="false" customHeight="false" outlineLevel="0" collapsed="false">
      <c r="D219" s="7" t="s">
        <v>33</v>
      </c>
      <c r="E219" s="7" t="s">
        <v>34</v>
      </c>
      <c r="F219" s="7" t="s">
        <v>35</v>
      </c>
      <c r="G219" s="7" t="s">
        <v>1</v>
      </c>
      <c r="H219" s="7" t="s">
        <v>2</v>
      </c>
      <c r="I219" s="7" t="s">
        <v>3</v>
      </c>
      <c r="J219" s="7" t="s">
        <v>4</v>
      </c>
      <c r="K219" s="7" t="s">
        <v>5</v>
      </c>
      <c r="L219" s="7" t="s">
        <v>6</v>
      </c>
      <c r="M219" s="7" t="s">
        <v>7</v>
      </c>
      <c r="N219" s="7" t="s">
        <v>8</v>
      </c>
      <c r="O219" s="7" t="s">
        <v>9</v>
      </c>
      <c r="P219" s="7" t="s">
        <v>10</v>
      </c>
      <c r="Q219" s="7" t="s">
        <v>11</v>
      </c>
      <c r="R219" s="8" t="s">
        <v>12</v>
      </c>
      <c r="S219" s="7" t="s">
        <v>13</v>
      </c>
      <c r="T219" s="8" t="s">
        <v>14</v>
      </c>
      <c r="U219" s="7" t="s">
        <v>15</v>
      </c>
      <c r="V219" s="8" t="s">
        <v>16</v>
      </c>
      <c r="W219" s="7" t="s">
        <v>17</v>
      </c>
      <c r="X219" s="8" t="s">
        <v>18</v>
      </c>
      <c r="Y219" s="7" t="s">
        <v>19</v>
      </c>
      <c r="Z219" s="7" t="s">
        <v>20</v>
      </c>
    </row>
    <row r="220" customFormat="false" ht="12.8" hidden="false" customHeight="false" outlineLevel="0" collapsed="false">
      <c r="A220" s="1" t="n">
        <v>4</v>
      </c>
      <c r="B220" s="1" t="n">
        <v>3</v>
      </c>
      <c r="D220" s="36" t="s">
        <v>179</v>
      </c>
      <c r="E220" s="10" t="n">
        <v>630</v>
      </c>
      <c r="F220" s="10" t="s">
        <v>123</v>
      </c>
      <c r="G220" s="11" t="n">
        <v>0</v>
      </c>
      <c r="H220" s="11" t="n">
        <v>0</v>
      </c>
      <c r="I220" s="11" t="n">
        <v>1000</v>
      </c>
      <c r="J220" s="11" t="n">
        <v>0</v>
      </c>
      <c r="K220" s="11" t="n">
        <f aca="false">I220</f>
        <v>1000</v>
      </c>
      <c r="L220" s="11"/>
      <c r="M220" s="11"/>
      <c r="N220" s="11" t="n">
        <v>-1000</v>
      </c>
      <c r="O220" s="11"/>
      <c r="P220" s="11" t="n">
        <f aca="false">K220+SUM(L220:O220)</f>
        <v>0</v>
      </c>
      <c r="Q220" s="11" t="n">
        <v>0</v>
      </c>
      <c r="R220" s="12" t="e">
        <f aca="false">Q220/$P220</f>
        <v>#DIV/0!</v>
      </c>
      <c r="S220" s="11" t="n">
        <v>0</v>
      </c>
      <c r="T220" s="12" t="e">
        <f aca="false">S220/$P220</f>
        <v>#DIV/0!</v>
      </c>
      <c r="U220" s="11" t="n">
        <v>0</v>
      </c>
      <c r="V220" s="12" t="e">
        <f aca="false">U220/$P220</f>
        <v>#DIV/0!</v>
      </c>
      <c r="W220" s="11" t="n">
        <v>0</v>
      </c>
      <c r="X220" s="12" t="e">
        <f aca="false">W220/$P220</f>
        <v>#DIV/0!</v>
      </c>
      <c r="Y220" s="11" t="n">
        <f aca="false">K220</f>
        <v>1000</v>
      </c>
      <c r="Z220" s="11" t="n">
        <f aca="false">Y220</f>
        <v>1000</v>
      </c>
    </row>
    <row r="221" customFormat="false" ht="12.8" hidden="false" customHeight="false" outlineLevel="0" collapsed="false">
      <c r="A221" s="1" t="n">
        <v>4</v>
      </c>
      <c r="B221" s="1" t="n">
        <v>3</v>
      </c>
      <c r="D221" s="75" t="s">
        <v>21</v>
      </c>
      <c r="E221" s="14" t="n">
        <v>41</v>
      </c>
      <c r="F221" s="14" t="s">
        <v>23</v>
      </c>
      <c r="G221" s="103" t="n">
        <f aca="false">SUM(G220:G220)</f>
        <v>0</v>
      </c>
      <c r="H221" s="15" t="n">
        <f aca="false">SUM(H220:H220)</f>
        <v>0</v>
      </c>
      <c r="I221" s="15" t="n">
        <f aca="false">SUM(I220:I220)</f>
        <v>1000</v>
      </c>
      <c r="J221" s="15" t="n">
        <f aca="false">SUM(J220:J220)</f>
        <v>0</v>
      </c>
      <c r="K221" s="15" t="n">
        <f aca="false">SUM(K220:K220)</f>
        <v>1000</v>
      </c>
      <c r="L221" s="15" t="n">
        <f aca="false">SUM(L220:L220)</f>
        <v>0</v>
      </c>
      <c r="M221" s="15" t="n">
        <f aca="false">SUM(M220:M220)</f>
        <v>0</v>
      </c>
      <c r="N221" s="15" t="n">
        <f aca="false">SUM(N220:N220)</f>
        <v>-1000</v>
      </c>
      <c r="O221" s="15" t="n">
        <f aca="false">SUM(O220:O220)</f>
        <v>0</v>
      </c>
      <c r="P221" s="15" t="n">
        <f aca="false">SUM(P220:P220)</f>
        <v>0</v>
      </c>
      <c r="Q221" s="15" t="n">
        <f aca="false">SUM(Q220:Q220)</f>
        <v>0</v>
      </c>
      <c r="R221" s="16" t="e">
        <f aca="false">Q221/$P221</f>
        <v>#DIV/0!</v>
      </c>
      <c r="S221" s="15" t="n">
        <f aca="false">SUM(S220:S220)</f>
        <v>0</v>
      </c>
      <c r="T221" s="16" t="e">
        <f aca="false">S221/$P221</f>
        <v>#DIV/0!</v>
      </c>
      <c r="U221" s="15" t="n">
        <f aca="false">SUM(U220:U220)</f>
        <v>0</v>
      </c>
      <c r="V221" s="16" t="e">
        <f aca="false">U221/$P221</f>
        <v>#DIV/0!</v>
      </c>
      <c r="W221" s="15" t="n">
        <f aca="false">SUM(W220:W220)</f>
        <v>0</v>
      </c>
      <c r="X221" s="16" t="e">
        <f aca="false">W221/$P221</f>
        <v>#DIV/0!</v>
      </c>
      <c r="Y221" s="15" t="n">
        <f aca="false">SUM(Y220:Y220)</f>
        <v>1000</v>
      </c>
      <c r="Z221" s="15" t="n">
        <f aca="false">SUM(Z220:Z220)</f>
        <v>1000</v>
      </c>
    </row>
    <row r="223" customFormat="false" ht="12.8" hidden="false" customHeight="false" outlineLevel="0" collapsed="false">
      <c r="D223" s="66" t="s">
        <v>184</v>
      </c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7"/>
      <c r="S223" s="66"/>
      <c r="T223" s="67"/>
      <c r="U223" s="66"/>
      <c r="V223" s="67"/>
      <c r="W223" s="66"/>
      <c r="X223" s="67"/>
      <c r="Y223" s="66"/>
      <c r="Z223" s="66"/>
    </row>
    <row r="224" customFormat="false" ht="12.8" hidden="false" customHeight="false" outlineLevel="0" collapsed="false">
      <c r="D224" s="7" t="s">
        <v>33</v>
      </c>
      <c r="E224" s="7" t="s">
        <v>34</v>
      </c>
      <c r="F224" s="7" t="s">
        <v>35</v>
      </c>
      <c r="G224" s="7" t="s">
        <v>1</v>
      </c>
      <c r="H224" s="7" t="s">
        <v>2</v>
      </c>
      <c r="I224" s="7" t="s">
        <v>3</v>
      </c>
      <c r="J224" s="7" t="s">
        <v>4</v>
      </c>
      <c r="K224" s="7" t="s">
        <v>5</v>
      </c>
      <c r="L224" s="7" t="s">
        <v>6</v>
      </c>
      <c r="M224" s="7" t="s">
        <v>7</v>
      </c>
      <c r="N224" s="7" t="s">
        <v>8</v>
      </c>
      <c r="O224" s="7" t="s">
        <v>9</v>
      </c>
      <c r="P224" s="7" t="s">
        <v>10</v>
      </c>
      <c r="Q224" s="7" t="s">
        <v>11</v>
      </c>
      <c r="R224" s="8" t="s">
        <v>12</v>
      </c>
      <c r="S224" s="7" t="s">
        <v>13</v>
      </c>
      <c r="T224" s="8" t="s">
        <v>14</v>
      </c>
      <c r="U224" s="7" t="s">
        <v>15</v>
      </c>
      <c r="V224" s="8" t="s">
        <v>16</v>
      </c>
      <c r="W224" s="7" t="s">
        <v>17</v>
      </c>
      <c r="X224" s="8" t="s">
        <v>18</v>
      </c>
      <c r="Y224" s="7" t="s">
        <v>19</v>
      </c>
      <c r="Z224" s="7" t="s">
        <v>20</v>
      </c>
    </row>
    <row r="225" customFormat="false" ht="12.8" hidden="false" customHeight="false" outlineLevel="0" collapsed="false">
      <c r="A225" s="1" t="n">
        <v>4</v>
      </c>
      <c r="B225" s="1" t="n">
        <v>4</v>
      </c>
      <c r="D225" s="36" t="s">
        <v>179</v>
      </c>
      <c r="E225" s="10" t="n">
        <v>630</v>
      </c>
      <c r="F225" s="10" t="s">
        <v>123</v>
      </c>
      <c r="G225" s="11" t="n">
        <v>622.98</v>
      </c>
      <c r="H225" s="11" t="n">
        <v>2600</v>
      </c>
      <c r="I225" s="11" t="n">
        <v>1000</v>
      </c>
      <c r="J225" s="11" t="n">
        <v>0</v>
      </c>
      <c r="K225" s="11" t="n">
        <f aca="false">I225</f>
        <v>1000</v>
      </c>
      <c r="L225" s="11"/>
      <c r="M225" s="11"/>
      <c r="N225" s="11"/>
      <c r="O225" s="11"/>
      <c r="P225" s="11" t="n">
        <f aca="false">K225+SUM(L225:O225)</f>
        <v>1000</v>
      </c>
      <c r="Q225" s="11" t="n">
        <v>0</v>
      </c>
      <c r="R225" s="12" t="n">
        <f aca="false">Q225/$P225</f>
        <v>0</v>
      </c>
      <c r="S225" s="11" t="n">
        <v>0</v>
      </c>
      <c r="T225" s="12" t="n">
        <f aca="false">S225/$P225</f>
        <v>0</v>
      </c>
      <c r="U225" s="11" t="n">
        <v>0</v>
      </c>
      <c r="V225" s="12" t="n">
        <f aca="false">U225/$P225</f>
        <v>0</v>
      </c>
      <c r="W225" s="11" t="n">
        <v>0</v>
      </c>
      <c r="X225" s="12" t="n">
        <f aca="false">W225/$P225</f>
        <v>0</v>
      </c>
      <c r="Y225" s="11" t="n">
        <f aca="false">K225</f>
        <v>1000</v>
      </c>
      <c r="Z225" s="11" t="n">
        <f aca="false">Y225</f>
        <v>1000</v>
      </c>
    </row>
    <row r="226" customFormat="false" ht="12.8" hidden="false" customHeight="false" outlineLevel="0" collapsed="false">
      <c r="A226" s="1" t="n">
        <v>4</v>
      </c>
      <c r="B226" s="1" t="n">
        <v>4</v>
      </c>
      <c r="D226" s="75" t="s">
        <v>21</v>
      </c>
      <c r="E226" s="14" t="n">
        <v>41</v>
      </c>
      <c r="F226" s="14" t="s">
        <v>23</v>
      </c>
      <c r="G226" s="15" t="n">
        <f aca="false">SUM(G225:G225)</f>
        <v>622.98</v>
      </c>
      <c r="H226" s="15" t="n">
        <f aca="false">SUM(H225:H225)</f>
        <v>2600</v>
      </c>
      <c r="I226" s="15" t="n">
        <f aca="false">SUM(I225:I225)</f>
        <v>1000</v>
      </c>
      <c r="J226" s="15" t="n">
        <f aca="false">SUM(J225:J225)</f>
        <v>0</v>
      </c>
      <c r="K226" s="15" t="n">
        <f aca="false">SUM(K225:K225)</f>
        <v>1000</v>
      </c>
      <c r="L226" s="15" t="n">
        <f aca="false">SUM(L225:L225)</f>
        <v>0</v>
      </c>
      <c r="M226" s="15" t="n">
        <f aca="false">SUM(M225:M225)</f>
        <v>0</v>
      </c>
      <c r="N226" s="15" t="n">
        <f aca="false">SUM(N225:N225)</f>
        <v>0</v>
      </c>
      <c r="O226" s="15" t="n">
        <f aca="false">SUM(O225:O225)</f>
        <v>0</v>
      </c>
      <c r="P226" s="15" t="n">
        <f aca="false">SUM(P225:P225)</f>
        <v>1000</v>
      </c>
      <c r="Q226" s="15" t="n">
        <f aca="false">SUM(Q225:Q225)</f>
        <v>0</v>
      </c>
      <c r="R226" s="16" t="n">
        <f aca="false">Q226/$P226</f>
        <v>0</v>
      </c>
      <c r="S226" s="15" t="n">
        <f aca="false">SUM(S225:S225)</f>
        <v>0</v>
      </c>
      <c r="T226" s="16" t="n">
        <f aca="false">S226/$P226</f>
        <v>0</v>
      </c>
      <c r="U226" s="15" t="n">
        <f aca="false">SUM(U225:U225)</f>
        <v>0</v>
      </c>
      <c r="V226" s="16" t="n">
        <f aca="false">U226/$P226</f>
        <v>0</v>
      </c>
      <c r="W226" s="15" t="n">
        <f aca="false">SUM(W225:W225)</f>
        <v>0</v>
      </c>
      <c r="X226" s="16" t="n">
        <f aca="false">W226/$P226</f>
        <v>0</v>
      </c>
      <c r="Y226" s="15" t="n">
        <f aca="false">SUM(Y225:Y225)</f>
        <v>1000</v>
      </c>
      <c r="Z226" s="15" t="n">
        <f aca="false">SUM(Z225:Z225)</f>
        <v>1000</v>
      </c>
    </row>
    <row r="228" customFormat="false" ht="12.8" hidden="false" customHeight="false" outlineLevel="0" collapsed="false">
      <c r="D228" s="20" t="s">
        <v>185</v>
      </c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1"/>
      <c r="S228" s="20"/>
      <c r="T228" s="21"/>
      <c r="U228" s="20"/>
      <c r="V228" s="21"/>
      <c r="W228" s="20"/>
      <c r="X228" s="21"/>
      <c r="Y228" s="20"/>
      <c r="Z228" s="20"/>
    </row>
    <row r="229" customFormat="false" ht="12.8" hidden="false" customHeight="false" outlineLevel="0" collapsed="false">
      <c r="D229" s="6"/>
      <c r="E229" s="6"/>
      <c r="F229" s="6"/>
      <c r="G229" s="7" t="s">
        <v>1</v>
      </c>
      <c r="H229" s="7" t="s">
        <v>2</v>
      </c>
      <c r="I229" s="7" t="s">
        <v>3</v>
      </c>
      <c r="J229" s="7" t="s">
        <v>4</v>
      </c>
      <c r="K229" s="7" t="s">
        <v>5</v>
      </c>
      <c r="L229" s="7" t="s">
        <v>6</v>
      </c>
      <c r="M229" s="7" t="s">
        <v>7</v>
      </c>
      <c r="N229" s="7" t="s">
        <v>8</v>
      </c>
      <c r="O229" s="7" t="s">
        <v>9</v>
      </c>
      <c r="P229" s="7" t="s">
        <v>10</v>
      </c>
      <c r="Q229" s="7" t="s">
        <v>11</v>
      </c>
      <c r="R229" s="8" t="s">
        <v>12</v>
      </c>
      <c r="S229" s="7" t="s">
        <v>13</v>
      </c>
      <c r="T229" s="8" t="s">
        <v>14</v>
      </c>
      <c r="U229" s="7" t="s">
        <v>15</v>
      </c>
      <c r="V229" s="8" t="s">
        <v>16</v>
      </c>
      <c r="W229" s="7" t="s">
        <v>17</v>
      </c>
      <c r="X229" s="8" t="s">
        <v>18</v>
      </c>
      <c r="Y229" s="7" t="s">
        <v>19</v>
      </c>
      <c r="Z229" s="7" t="s">
        <v>20</v>
      </c>
    </row>
    <row r="230" customFormat="false" ht="12.8" hidden="false" customHeight="false" outlineLevel="0" collapsed="false">
      <c r="A230" s="1" t="n">
        <v>5</v>
      </c>
      <c r="D230" s="22" t="s">
        <v>21</v>
      </c>
      <c r="E230" s="23" t="n">
        <v>111</v>
      </c>
      <c r="F230" s="23" t="s">
        <v>103</v>
      </c>
      <c r="G230" s="24" t="n">
        <f aca="false">G237+G276</f>
        <v>17990.58</v>
      </c>
      <c r="H230" s="24" t="n">
        <f aca="false">H237+H276</f>
        <v>25481.15</v>
      </c>
      <c r="I230" s="24" t="n">
        <f aca="false">I237+I276</f>
        <v>26557</v>
      </c>
      <c r="J230" s="24" t="n">
        <f aca="false">J237+J276</f>
        <v>37906.3</v>
      </c>
      <c r="K230" s="24" t="n">
        <f aca="false">K237+K276</f>
        <v>16632</v>
      </c>
      <c r="L230" s="24" t="n">
        <f aca="false">L237+L276</f>
        <v>0</v>
      </c>
      <c r="M230" s="24" t="n">
        <f aca="false">M237+M276</f>
        <v>-1982</v>
      </c>
      <c r="N230" s="24" t="n">
        <f aca="false">N237+N276</f>
        <v>-2000</v>
      </c>
      <c r="O230" s="24" t="n">
        <f aca="false">O237+O276</f>
        <v>-9757</v>
      </c>
      <c r="P230" s="24" t="n">
        <f aca="false">P237+P276</f>
        <v>2893</v>
      </c>
      <c r="Q230" s="24" t="n">
        <f aca="false">Q237+Q276</f>
        <v>210.77</v>
      </c>
      <c r="R230" s="25" t="n">
        <f aca="false">Q230/$P230</f>
        <v>0.0728551676460422</v>
      </c>
      <c r="S230" s="24" t="n">
        <f aca="false">S237+S276</f>
        <v>1099.21</v>
      </c>
      <c r="T230" s="25" t="n">
        <f aca="false">S230/$P230</f>
        <v>0.379955063947459</v>
      </c>
      <c r="U230" s="24" t="n">
        <f aca="false">U237+U276</f>
        <v>2516.77</v>
      </c>
      <c r="V230" s="25" t="n">
        <f aca="false">U230/$P230</f>
        <v>0.869951607328033</v>
      </c>
      <c r="W230" s="24" t="n">
        <f aca="false">W237+W276</f>
        <v>2893.7</v>
      </c>
      <c r="X230" s="25" t="n">
        <f aca="false">W230/$P230</f>
        <v>1.00024196335983</v>
      </c>
      <c r="Y230" s="24" t="n">
        <f aca="false">Y237+Y276</f>
        <v>2427</v>
      </c>
      <c r="Z230" s="24" t="n">
        <f aca="false">Z237+Z276</f>
        <v>210</v>
      </c>
    </row>
    <row r="231" customFormat="false" ht="12.8" hidden="false" customHeight="false" outlineLevel="0" collapsed="false">
      <c r="A231" s="1" t="n">
        <v>5</v>
      </c>
      <c r="D231" s="22"/>
      <c r="E231" s="23" t="n">
        <v>41</v>
      </c>
      <c r="F231" s="23" t="s">
        <v>23</v>
      </c>
      <c r="G231" s="24" t="n">
        <f aca="false">G238+G277</f>
        <v>88768.82</v>
      </c>
      <c r="H231" s="24" t="n">
        <f aca="false">H238+H277</f>
        <v>47308.25</v>
      </c>
      <c r="I231" s="24" t="n">
        <f aca="false">I238+I277</f>
        <v>47798</v>
      </c>
      <c r="J231" s="24" t="n">
        <f aca="false">J238+J277</f>
        <v>50246.54</v>
      </c>
      <c r="K231" s="24" t="n">
        <f aca="false">K238+K277</f>
        <v>42534</v>
      </c>
      <c r="L231" s="24" t="n">
        <f aca="false">L238+L277</f>
        <v>506</v>
      </c>
      <c r="M231" s="24" t="n">
        <f aca="false">M238+M277</f>
        <v>-221</v>
      </c>
      <c r="N231" s="24" t="n">
        <f aca="false">N238+N277</f>
        <v>2000</v>
      </c>
      <c r="O231" s="24" t="n">
        <f aca="false">O238+O277</f>
        <v>7065</v>
      </c>
      <c r="P231" s="24" t="n">
        <f aca="false">P238+P277</f>
        <v>51884</v>
      </c>
      <c r="Q231" s="24" t="n">
        <f aca="false">Q238+Q277</f>
        <v>11379.03</v>
      </c>
      <c r="R231" s="25" t="n">
        <f aca="false">Q231/$P231</f>
        <v>0.219316745046643</v>
      </c>
      <c r="S231" s="24" t="n">
        <f aca="false">S238+S277</f>
        <v>20856.72</v>
      </c>
      <c r="T231" s="25" t="n">
        <f aca="false">S231/$P231</f>
        <v>0.401987510600571</v>
      </c>
      <c r="U231" s="24" t="n">
        <f aca="false">U238+U277</f>
        <v>32004.28</v>
      </c>
      <c r="V231" s="25" t="n">
        <f aca="false">U231/$P231</f>
        <v>0.616842957366433</v>
      </c>
      <c r="W231" s="24" t="n">
        <f aca="false">W238+W277</f>
        <v>51437.72</v>
      </c>
      <c r="X231" s="25" t="n">
        <f aca="false">W231/$P231</f>
        <v>0.991398504355871</v>
      </c>
      <c r="Y231" s="24" t="n">
        <f aca="false">Y238+Y277</f>
        <v>29130</v>
      </c>
      <c r="Z231" s="24" t="n">
        <f aca="false">Z238+Z277</f>
        <v>26730</v>
      </c>
    </row>
    <row r="232" customFormat="false" ht="12.8" hidden="false" customHeight="false" outlineLevel="0" collapsed="false">
      <c r="D232" s="22"/>
      <c r="E232" s="23" t="n">
        <v>71</v>
      </c>
      <c r="F232" s="23" t="s">
        <v>24</v>
      </c>
      <c r="G232" s="24" t="n">
        <f aca="false">G239</f>
        <v>0</v>
      </c>
      <c r="H232" s="24" t="n">
        <f aca="false">H239</f>
        <v>0</v>
      </c>
      <c r="I232" s="24" t="n">
        <f aca="false">I239</f>
        <v>0</v>
      </c>
      <c r="J232" s="24" t="n">
        <f aca="false">J239</f>
        <v>0</v>
      </c>
      <c r="K232" s="24" t="n">
        <f aca="false">K239</f>
        <v>0</v>
      </c>
      <c r="L232" s="24" t="n">
        <f aca="false">L239</f>
        <v>0</v>
      </c>
      <c r="M232" s="24" t="n">
        <f aca="false">M239</f>
        <v>1400</v>
      </c>
      <c r="N232" s="24" t="n">
        <f aca="false">N239</f>
        <v>0</v>
      </c>
      <c r="O232" s="24" t="n">
        <f aca="false">O239</f>
        <v>0</v>
      </c>
      <c r="P232" s="24" t="n">
        <f aca="false">P239</f>
        <v>1400</v>
      </c>
      <c r="Q232" s="24" t="n">
        <f aca="false">Q239</f>
        <v>0</v>
      </c>
      <c r="R232" s="25" t="n">
        <f aca="false">Q232/$P232</f>
        <v>0</v>
      </c>
      <c r="S232" s="24" t="n">
        <f aca="false">S239</f>
        <v>0</v>
      </c>
      <c r="T232" s="25" t="n">
        <f aca="false">S232/$P232</f>
        <v>0</v>
      </c>
      <c r="U232" s="24" t="n">
        <f aca="false">U239</f>
        <v>1400</v>
      </c>
      <c r="V232" s="25" t="n">
        <f aca="false">U232/$P232</f>
        <v>1</v>
      </c>
      <c r="W232" s="24" t="n">
        <f aca="false">W239</f>
        <v>1400</v>
      </c>
      <c r="X232" s="25" t="n">
        <f aca="false">W232/$P232</f>
        <v>1</v>
      </c>
      <c r="Y232" s="24"/>
      <c r="Z232" s="24"/>
    </row>
    <row r="233" customFormat="false" ht="12.8" hidden="false" customHeight="false" outlineLevel="0" collapsed="false">
      <c r="A233" s="1" t="n">
        <v>5</v>
      </c>
      <c r="D233" s="18"/>
      <c r="E233" s="19"/>
      <c r="F233" s="27" t="s">
        <v>116</v>
      </c>
      <c r="G233" s="28" t="n">
        <f aca="false">SUM(G230:G232)</f>
        <v>106759.4</v>
      </c>
      <c r="H233" s="28" t="n">
        <f aca="false">SUM(H230:H232)</f>
        <v>72789.4</v>
      </c>
      <c r="I233" s="28" t="n">
        <f aca="false">SUM(I230:I232)</f>
        <v>74355</v>
      </c>
      <c r="J233" s="28" t="n">
        <f aca="false">SUM(J230:J232)</f>
        <v>88152.84</v>
      </c>
      <c r="K233" s="28" t="n">
        <f aca="false">SUM(K230:K232)</f>
        <v>59166</v>
      </c>
      <c r="L233" s="28" t="n">
        <f aca="false">SUM(L230:L232)</f>
        <v>506</v>
      </c>
      <c r="M233" s="28" t="n">
        <f aca="false">SUM(M230:M232)</f>
        <v>-803</v>
      </c>
      <c r="N233" s="28" t="n">
        <f aca="false">SUM(N230:N232)</f>
        <v>0</v>
      </c>
      <c r="O233" s="28" t="n">
        <f aca="false">SUM(O230:O232)</f>
        <v>-2692</v>
      </c>
      <c r="P233" s="28" t="n">
        <f aca="false">SUM(P230:P232)</f>
        <v>56177</v>
      </c>
      <c r="Q233" s="28" t="n">
        <f aca="false">SUM(Q230:Q232)</f>
        <v>11589.8</v>
      </c>
      <c r="R233" s="29" t="n">
        <f aca="false">Q233/$P233</f>
        <v>0.206308631646403</v>
      </c>
      <c r="S233" s="28" t="n">
        <f aca="false">SUM(S230:S232)</f>
        <v>21955.93</v>
      </c>
      <c r="T233" s="29" t="n">
        <f aca="false">S233/$P233</f>
        <v>0.390834861242145</v>
      </c>
      <c r="U233" s="28" t="n">
        <f aca="false">SUM(U230:U232)</f>
        <v>35921.05</v>
      </c>
      <c r="V233" s="29" t="n">
        <f aca="false">U233/$P233</f>
        <v>0.639426277658116</v>
      </c>
      <c r="W233" s="28" t="n">
        <f aca="false">SUM(W230:W232)</f>
        <v>55731.42</v>
      </c>
      <c r="X233" s="29" t="n">
        <f aca="false">W233/$P233</f>
        <v>0.992068284173238</v>
      </c>
      <c r="Y233" s="28" t="n">
        <f aca="false">SUM(Y230:Y231)</f>
        <v>31557</v>
      </c>
      <c r="Z233" s="28" t="n">
        <f aca="false">SUM(Z230:Z231)</f>
        <v>26940</v>
      </c>
    </row>
    <row r="235" customFormat="false" ht="12.8" hidden="false" customHeight="false" outlineLevel="0" collapsed="false">
      <c r="D235" s="31" t="s">
        <v>186</v>
      </c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2"/>
      <c r="S235" s="31"/>
      <c r="T235" s="32"/>
      <c r="U235" s="31"/>
      <c r="V235" s="32"/>
      <c r="W235" s="31"/>
      <c r="X235" s="32"/>
      <c r="Y235" s="31"/>
      <c r="Z235" s="31"/>
    </row>
    <row r="236" customFormat="false" ht="12.8" hidden="false" customHeight="false" outlineLevel="0" collapsed="false">
      <c r="D236" s="105"/>
      <c r="E236" s="105"/>
      <c r="F236" s="105"/>
      <c r="G236" s="7" t="s">
        <v>1</v>
      </c>
      <c r="H236" s="7" t="s">
        <v>2</v>
      </c>
      <c r="I236" s="7" t="s">
        <v>3</v>
      </c>
      <c r="J236" s="7" t="s">
        <v>4</v>
      </c>
      <c r="K236" s="7" t="s">
        <v>5</v>
      </c>
      <c r="L236" s="7" t="s">
        <v>6</v>
      </c>
      <c r="M236" s="7" t="s">
        <v>7</v>
      </c>
      <c r="N236" s="7" t="s">
        <v>8</v>
      </c>
      <c r="O236" s="7" t="s">
        <v>9</v>
      </c>
      <c r="P236" s="7" t="s">
        <v>10</v>
      </c>
      <c r="Q236" s="7" t="s">
        <v>11</v>
      </c>
      <c r="R236" s="8" t="s">
        <v>12</v>
      </c>
      <c r="S236" s="7" t="s">
        <v>13</v>
      </c>
      <c r="T236" s="8" t="s">
        <v>14</v>
      </c>
      <c r="U236" s="7" t="s">
        <v>15</v>
      </c>
      <c r="V236" s="8" t="s">
        <v>16</v>
      </c>
      <c r="W236" s="7" t="s">
        <v>17</v>
      </c>
      <c r="X236" s="8" t="s">
        <v>18</v>
      </c>
      <c r="Y236" s="7" t="s">
        <v>19</v>
      </c>
      <c r="Z236" s="7" t="s">
        <v>20</v>
      </c>
    </row>
    <row r="237" customFormat="false" ht="12.8" hidden="false" customHeight="false" outlineLevel="0" collapsed="false">
      <c r="A237" s="1" t="n">
        <v>5</v>
      </c>
      <c r="B237" s="1" t="n">
        <v>1</v>
      </c>
      <c r="D237" s="33" t="s">
        <v>21</v>
      </c>
      <c r="E237" s="10" t="n">
        <v>111</v>
      </c>
      <c r="F237" s="10" t="s">
        <v>103</v>
      </c>
      <c r="G237" s="11" t="n">
        <f aca="false">G255</f>
        <v>241.23</v>
      </c>
      <c r="H237" s="11" t="n">
        <f aca="false">H255</f>
        <v>241.23</v>
      </c>
      <c r="I237" s="11" t="n">
        <f aca="false">I255</f>
        <v>229</v>
      </c>
      <c r="J237" s="11" t="n">
        <f aca="false">J255</f>
        <v>0</v>
      </c>
      <c r="K237" s="11" t="n">
        <f aca="false">K255</f>
        <v>210</v>
      </c>
      <c r="L237" s="11" t="n">
        <f aca="false">L255</f>
        <v>0</v>
      </c>
      <c r="M237" s="11" t="n">
        <f aca="false">M255</f>
        <v>0</v>
      </c>
      <c r="N237" s="11" t="n">
        <f aca="false">N255</f>
        <v>0</v>
      </c>
      <c r="O237" s="11" t="n">
        <f aca="false">O255</f>
        <v>0</v>
      </c>
      <c r="P237" s="11" t="n">
        <f aca="false">K237+SUM(L237:O237)</f>
        <v>210</v>
      </c>
      <c r="Q237" s="11" t="n">
        <f aca="false">Q255</f>
        <v>210.77</v>
      </c>
      <c r="R237" s="12" t="n">
        <f aca="false">Q237/$P237</f>
        <v>1.00366666666667</v>
      </c>
      <c r="S237" s="11" t="n">
        <f aca="false">S255</f>
        <v>210.77</v>
      </c>
      <c r="T237" s="12" t="n">
        <f aca="false">S237/$P237</f>
        <v>1.00366666666667</v>
      </c>
      <c r="U237" s="11" t="n">
        <f aca="false">U255</f>
        <v>210.77</v>
      </c>
      <c r="V237" s="12" t="n">
        <f aca="false">U237/$P237</f>
        <v>1.00366666666667</v>
      </c>
      <c r="W237" s="11" t="n">
        <f aca="false">W255</f>
        <v>210.77</v>
      </c>
      <c r="X237" s="12" t="n">
        <f aca="false">W237/$P237</f>
        <v>1.00366666666667</v>
      </c>
      <c r="Y237" s="11" t="n">
        <f aca="false">Y255</f>
        <v>210</v>
      </c>
      <c r="Z237" s="11" t="n">
        <f aca="false">Y237</f>
        <v>210</v>
      </c>
    </row>
    <row r="238" customFormat="false" ht="12.8" hidden="false" customHeight="false" outlineLevel="0" collapsed="false">
      <c r="A238" s="1" t="n">
        <v>5</v>
      </c>
      <c r="B238" s="1" t="n">
        <v>1</v>
      </c>
      <c r="D238" s="33"/>
      <c r="E238" s="10" t="n">
        <v>41</v>
      </c>
      <c r="F238" s="10" t="s">
        <v>23</v>
      </c>
      <c r="G238" s="11" t="n">
        <f aca="false">G246+G257+G264+G272</f>
        <v>25563.47</v>
      </c>
      <c r="H238" s="11" t="n">
        <f aca="false">H246+H257+H264+H272</f>
        <v>19873.78</v>
      </c>
      <c r="I238" s="11" t="n">
        <f aca="false">I246+I257+I264+I272</f>
        <v>19553</v>
      </c>
      <c r="J238" s="11" t="n">
        <f aca="false">J246+J257+J264+J272</f>
        <v>18615.92</v>
      </c>
      <c r="K238" s="11" t="n">
        <f aca="false">K246+K257+K264+K272</f>
        <v>17539</v>
      </c>
      <c r="L238" s="11" t="n">
        <f aca="false">L246+L257+L264+L272</f>
        <v>506</v>
      </c>
      <c r="M238" s="11" t="n">
        <f aca="false">M246+M257+M264+M272</f>
        <v>445</v>
      </c>
      <c r="N238" s="11" t="n">
        <f aca="false">N246+N257+N264+N272</f>
        <v>0</v>
      </c>
      <c r="O238" s="11" t="n">
        <f aca="false">O246+O257+O264+O272</f>
        <v>867</v>
      </c>
      <c r="P238" s="11" t="n">
        <f aca="false">K238+SUM(L238:O238)</f>
        <v>19357</v>
      </c>
      <c r="Q238" s="11" t="n">
        <f aca="false">Q246+Q257+Q264+Q272</f>
        <v>3325.49</v>
      </c>
      <c r="R238" s="12" t="n">
        <f aca="false">Q238/$P238</f>
        <v>0.171797799245751</v>
      </c>
      <c r="S238" s="11" t="n">
        <f aca="false">S246+S257+S264+S272</f>
        <v>8769</v>
      </c>
      <c r="T238" s="12" t="n">
        <f aca="false">S238/$P238</f>
        <v>0.453014413390505</v>
      </c>
      <c r="U238" s="11" t="n">
        <f aca="false">U246+U257+U264+U272</f>
        <v>14423.9</v>
      </c>
      <c r="V238" s="12" t="n">
        <f aca="false">U238/$P238</f>
        <v>0.745151624735238</v>
      </c>
      <c r="W238" s="11" t="n">
        <f aca="false">W246+W257+W264+W272</f>
        <v>19252.2</v>
      </c>
      <c r="X238" s="12" t="n">
        <f aca="false">W238/$P238</f>
        <v>0.994585937903601</v>
      </c>
      <c r="Y238" s="11" t="n">
        <f aca="false">Y246+Y257+Y264+Y272</f>
        <v>16730</v>
      </c>
      <c r="Z238" s="11" t="n">
        <f aca="false">Z246+Z257+Z264+Z272</f>
        <v>16730</v>
      </c>
    </row>
    <row r="239" customFormat="false" ht="12.8" hidden="false" customHeight="false" outlineLevel="0" collapsed="false">
      <c r="D239" s="33"/>
      <c r="E239" s="10" t="n">
        <v>71</v>
      </c>
      <c r="F239" s="10" t="s">
        <v>24</v>
      </c>
      <c r="G239" s="11" t="n">
        <f aca="false">G248</f>
        <v>0</v>
      </c>
      <c r="H239" s="11" t="n">
        <f aca="false">H248</f>
        <v>0</v>
      </c>
      <c r="I239" s="11" t="n">
        <f aca="false">I248</f>
        <v>0</v>
      </c>
      <c r="J239" s="11" t="n">
        <f aca="false">J248</f>
        <v>0</v>
      </c>
      <c r="K239" s="11" t="n">
        <f aca="false">K248</f>
        <v>0</v>
      </c>
      <c r="L239" s="11" t="n">
        <f aca="false">L248</f>
        <v>0</v>
      </c>
      <c r="M239" s="11" t="n">
        <f aca="false">M248</f>
        <v>1400</v>
      </c>
      <c r="N239" s="11" t="n">
        <f aca="false">N248</f>
        <v>0</v>
      </c>
      <c r="O239" s="11" t="n">
        <f aca="false">O248</f>
        <v>0</v>
      </c>
      <c r="P239" s="11" t="n">
        <f aca="false">K239+SUM(L239:O239)</f>
        <v>1400</v>
      </c>
      <c r="Q239" s="11" t="n">
        <f aca="false">Q248</f>
        <v>0</v>
      </c>
      <c r="R239" s="12" t="n">
        <f aca="false">Q239/$P239</f>
        <v>0</v>
      </c>
      <c r="S239" s="11" t="n">
        <f aca="false">S248</f>
        <v>0</v>
      </c>
      <c r="T239" s="12" t="n">
        <f aca="false">S239/$P239</f>
        <v>0</v>
      </c>
      <c r="U239" s="11" t="n">
        <f aca="false">U248</f>
        <v>1400</v>
      </c>
      <c r="V239" s="12" t="n">
        <f aca="false">U239/$P239</f>
        <v>1</v>
      </c>
      <c r="W239" s="11" t="n">
        <f aca="false">W248</f>
        <v>1400</v>
      </c>
      <c r="X239" s="12" t="n">
        <f aca="false">W239/$P239</f>
        <v>1</v>
      </c>
      <c r="Y239" s="11"/>
      <c r="Z239" s="11"/>
    </row>
    <row r="240" customFormat="false" ht="12.8" hidden="false" customHeight="false" outlineLevel="0" collapsed="false">
      <c r="A240" s="1" t="n">
        <v>5</v>
      </c>
      <c r="B240" s="1" t="n">
        <v>1</v>
      </c>
      <c r="D240" s="18"/>
      <c r="E240" s="19"/>
      <c r="F240" s="14" t="s">
        <v>116</v>
      </c>
      <c r="G240" s="15" t="n">
        <f aca="false">SUM(G237:G239)</f>
        <v>25804.7</v>
      </c>
      <c r="H240" s="15" t="n">
        <f aca="false">SUM(H237:H239)</f>
        <v>20115.01</v>
      </c>
      <c r="I240" s="15" t="n">
        <f aca="false">SUM(I237:I239)</f>
        <v>19782</v>
      </c>
      <c r="J240" s="15" t="n">
        <f aca="false">SUM(J237:J239)</f>
        <v>18615.92</v>
      </c>
      <c r="K240" s="15" t="n">
        <f aca="false">SUM(K237:K239)</f>
        <v>17749</v>
      </c>
      <c r="L240" s="15" t="n">
        <f aca="false">SUM(L237:L239)</f>
        <v>506</v>
      </c>
      <c r="M240" s="15" t="n">
        <f aca="false">SUM(M237:M239)</f>
        <v>1845</v>
      </c>
      <c r="N240" s="15" t="n">
        <f aca="false">SUM(N237:N239)</f>
        <v>0</v>
      </c>
      <c r="O240" s="15" t="n">
        <f aca="false">SUM(O237:O239)</f>
        <v>867</v>
      </c>
      <c r="P240" s="15" t="n">
        <f aca="false">SUM(P237:P239)</f>
        <v>20967</v>
      </c>
      <c r="Q240" s="15" t="n">
        <f aca="false">SUM(Q237:Q239)</f>
        <v>3536.26</v>
      </c>
      <c r="R240" s="16" t="n">
        <f aca="false">Q240/$P240</f>
        <v>0.16865836791148</v>
      </c>
      <c r="S240" s="15" t="n">
        <f aca="false">SUM(S237:S239)</f>
        <v>8979.77</v>
      </c>
      <c r="T240" s="16" t="n">
        <f aca="false">S240/$P240</f>
        <v>0.428281108408451</v>
      </c>
      <c r="U240" s="15" t="n">
        <f aca="false">SUM(U237:U239)</f>
        <v>16034.67</v>
      </c>
      <c r="V240" s="16" t="n">
        <f aca="false">U240/$P240</f>
        <v>0.764757476033767</v>
      </c>
      <c r="W240" s="15" t="n">
        <f aca="false">SUM(W237:W239)</f>
        <v>20862.97</v>
      </c>
      <c r="X240" s="16" t="n">
        <f aca="false">W240/$P240</f>
        <v>0.995038393666238</v>
      </c>
      <c r="Y240" s="15" t="n">
        <f aca="false">SUM(Y237:Y238)</f>
        <v>16940</v>
      </c>
      <c r="Z240" s="15" t="n">
        <f aca="false">SUM(Z237:Z238)</f>
        <v>16940</v>
      </c>
    </row>
    <row r="242" customFormat="false" ht="12.8" hidden="false" customHeight="false" outlineLevel="0" collapsed="false">
      <c r="D242" s="66" t="s">
        <v>187</v>
      </c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7"/>
      <c r="S242" s="66"/>
      <c r="T242" s="67"/>
      <c r="U242" s="66"/>
      <c r="V242" s="67"/>
      <c r="W242" s="66"/>
      <c r="X242" s="67"/>
      <c r="Y242" s="66"/>
      <c r="Z242" s="66"/>
    </row>
    <row r="243" customFormat="false" ht="12.8" hidden="false" customHeight="false" outlineLevel="0" collapsed="false">
      <c r="D243" s="7" t="s">
        <v>33</v>
      </c>
      <c r="E243" s="7" t="s">
        <v>34</v>
      </c>
      <c r="F243" s="7" t="s">
        <v>35</v>
      </c>
      <c r="G243" s="7" t="s">
        <v>1</v>
      </c>
      <c r="H243" s="7" t="s">
        <v>2</v>
      </c>
      <c r="I243" s="7" t="s">
        <v>3</v>
      </c>
      <c r="J243" s="7" t="s">
        <v>4</v>
      </c>
      <c r="K243" s="7" t="s">
        <v>5</v>
      </c>
      <c r="L243" s="7" t="s">
        <v>6</v>
      </c>
      <c r="M243" s="7" t="s">
        <v>7</v>
      </c>
      <c r="N243" s="7" t="s">
        <v>8</v>
      </c>
      <c r="O243" s="7" t="s">
        <v>9</v>
      </c>
      <c r="P243" s="7" t="s">
        <v>10</v>
      </c>
      <c r="Q243" s="7" t="s">
        <v>11</v>
      </c>
      <c r="R243" s="8" t="s">
        <v>12</v>
      </c>
      <c r="S243" s="7" t="s">
        <v>13</v>
      </c>
      <c r="T243" s="8" t="s">
        <v>14</v>
      </c>
      <c r="U243" s="7" t="s">
        <v>15</v>
      </c>
      <c r="V243" s="8" t="s">
        <v>16</v>
      </c>
      <c r="W243" s="7" t="s">
        <v>17</v>
      </c>
      <c r="X243" s="8" t="s">
        <v>18</v>
      </c>
      <c r="Y243" s="7" t="s">
        <v>19</v>
      </c>
      <c r="Z243" s="7" t="s">
        <v>20</v>
      </c>
    </row>
    <row r="244" customFormat="false" ht="12.8" hidden="false" customHeight="false" outlineLevel="0" collapsed="false">
      <c r="A244" s="1" t="n">
        <v>5</v>
      </c>
      <c r="B244" s="1" t="n">
        <v>1</v>
      </c>
      <c r="C244" s="1" t="n">
        <v>1</v>
      </c>
      <c r="D244" s="36" t="s">
        <v>188</v>
      </c>
      <c r="E244" s="10" t="n">
        <v>630</v>
      </c>
      <c r="F244" s="10" t="s">
        <v>123</v>
      </c>
      <c r="G244" s="11" t="n">
        <v>11359.88</v>
      </c>
      <c r="H244" s="11" t="n">
        <v>6373.5</v>
      </c>
      <c r="I244" s="11" t="n">
        <f aca="false">1300+1400</f>
        <v>2700</v>
      </c>
      <c r="J244" s="11" t="n">
        <v>1451.34</v>
      </c>
      <c r="K244" s="11" t="n">
        <f aca="false">1350</f>
        <v>1350</v>
      </c>
      <c r="L244" s="11"/>
      <c r="M244" s="11" t="n">
        <v>300</v>
      </c>
      <c r="N244" s="11" t="n">
        <v>85</v>
      </c>
      <c r="O244" s="11"/>
      <c r="P244" s="11" t="n">
        <f aca="false">K244+SUM(L244:O244)</f>
        <v>1735</v>
      </c>
      <c r="Q244" s="11" t="n">
        <v>56.97</v>
      </c>
      <c r="R244" s="12" t="n">
        <f aca="false">Q244/$P244</f>
        <v>0.032835734870317</v>
      </c>
      <c r="S244" s="11" t="n">
        <v>485.58</v>
      </c>
      <c r="T244" s="12" t="n">
        <f aca="false">S244/$P244</f>
        <v>0.279873198847262</v>
      </c>
      <c r="U244" s="11" t="n">
        <v>1151.14</v>
      </c>
      <c r="V244" s="12" t="n">
        <f aca="false">U244/$P244</f>
        <v>0.663481268011527</v>
      </c>
      <c r="W244" s="11" t="n">
        <v>1676</v>
      </c>
      <c r="X244" s="12" t="n">
        <f aca="false">W244/$P244</f>
        <v>0.965994236311239</v>
      </c>
      <c r="Y244" s="11" t="n">
        <f aca="false">K244</f>
        <v>1350</v>
      </c>
      <c r="Z244" s="11" t="n">
        <f aca="false">Y244</f>
        <v>1350</v>
      </c>
    </row>
    <row r="245" customFormat="false" ht="12.8" hidden="false" customHeight="false" outlineLevel="0" collapsed="false">
      <c r="A245" s="1" t="n">
        <v>5</v>
      </c>
      <c r="B245" s="1" t="n">
        <v>1</v>
      </c>
      <c r="C245" s="1" t="n">
        <v>1</v>
      </c>
      <c r="D245" s="36"/>
      <c r="E245" s="10" t="n">
        <v>640</v>
      </c>
      <c r="F245" s="10" t="s">
        <v>124</v>
      </c>
      <c r="G245" s="11" t="n">
        <v>0</v>
      </c>
      <c r="H245" s="11" t="n">
        <v>0</v>
      </c>
      <c r="I245" s="11" t="n">
        <v>3700</v>
      </c>
      <c r="J245" s="11" t="n">
        <v>3700</v>
      </c>
      <c r="K245" s="11" t="n">
        <f aca="false">2100+900</f>
        <v>3000</v>
      </c>
      <c r="L245" s="11"/>
      <c r="M245" s="11"/>
      <c r="N245" s="11" t="n">
        <v>-85</v>
      </c>
      <c r="O245" s="11"/>
      <c r="P245" s="11" t="n">
        <f aca="false">K245+SUM(L245:O245)</f>
        <v>2915</v>
      </c>
      <c r="Q245" s="11" t="n">
        <v>0</v>
      </c>
      <c r="R245" s="12" t="n">
        <f aca="false">Q245/$P245</f>
        <v>0</v>
      </c>
      <c r="S245" s="11" t="n">
        <v>1315</v>
      </c>
      <c r="T245" s="12" t="n">
        <f aca="false">S245/$P245</f>
        <v>0.451114922813036</v>
      </c>
      <c r="U245" s="11" t="n">
        <v>2915</v>
      </c>
      <c r="V245" s="12" t="n">
        <f aca="false">U245/$P245</f>
        <v>1</v>
      </c>
      <c r="W245" s="11" t="n">
        <v>2915</v>
      </c>
      <c r="X245" s="12" t="n">
        <f aca="false">W245/$P245</f>
        <v>1</v>
      </c>
      <c r="Y245" s="11" t="n">
        <v>2100</v>
      </c>
      <c r="Z245" s="11" t="n">
        <f aca="false">Y245</f>
        <v>2100</v>
      </c>
    </row>
    <row r="246" customFormat="false" ht="12.8" hidden="false" customHeight="false" outlineLevel="0" collapsed="false">
      <c r="A246" s="1" t="n">
        <v>5</v>
      </c>
      <c r="B246" s="1" t="n">
        <v>1</v>
      </c>
      <c r="C246" s="1" t="n">
        <v>1</v>
      </c>
      <c r="D246" s="85" t="s">
        <v>21</v>
      </c>
      <c r="E246" s="86" t="n">
        <v>41</v>
      </c>
      <c r="F246" s="86" t="s">
        <v>23</v>
      </c>
      <c r="G246" s="87" t="n">
        <f aca="false">SUM(G244:G245)</f>
        <v>11359.88</v>
      </c>
      <c r="H246" s="87" t="n">
        <f aca="false">SUM(H244:H245)</f>
        <v>6373.5</v>
      </c>
      <c r="I246" s="87" t="n">
        <f aca="false">SUM(I244:I245)</f>
        <v>6400</v>
      </c>
      <c r="J246" s="87" t="n">
        <f aca="false">SUM(J244:J245)</f>
        <v>5151.34</v>
      </c>
      <c r="K246" s="87" t="n">
        <f aca="false">SUM(K244:K245)</f>
        <v>4350</v>
      </c>
      <c r="L246" s="87" t="n">
        <f aca="false">SUM(L244:L245)</f>
        <v>0</v>
      </c>
      <c r="M246" s="87" t="n">
        <f aca="false">SUM(M244:M245)</f>
        <v>300</v>
      </c>
      <c r="N246" s="87" t="n">
        <f aca="false">SUM(N244:N245)</f>
        <v>0</v>
      </c>
      <c r="O246" s="87" t="n">
        <f aca="false">SUM(O244:O245)</f>
        <v>0</v>
      </c>
      <c r="P246" s="87" t="n">
        <f aca="false">SUM(P244:P245)</f>
        <v>4650</v>
      </c>
      <c r="Q246" s="87" t="n">
        <f aca="false">SUM(Q244:Q245)</f>
        <v>56.97</v>
      </c>
      <c r="R246" s="88" t="n">
        <f aca="false">Q246/$P246</f>
        <v>0.0122516129032258</v>
      </c>
      <c r="S246" s="87" t="n">
        <f aca="false">SUM(S244:S245)</f>
        <v>1800.58</v>
      </c>
      <c r="T246" s="88" t="n">
        <f aca="false">S246/$P246</f>
        <v>0.387221505376344</v>
      </c>
      <c r="U246" s="87" t="n">
        <f aca="false">SUM(U244:U245)</f>
        <v>4066.14</v>
      </c>
      <c r="V246" s="88" t="n">
        <f aca="false">U246/$P246</f>
        <v>0.874438709677419</v>
      </c>
      <c r="W246" s="87" t="n">
        <f aca="false">SUM(W244:W245)</f>
        <v>4591</v>
      </c>
      <c r="X246" s="88" t="n">
        <f aca="false">W246/$P246</f>
        <v>0.987311827956989</v>
      </c>
      <c r="Y246" s="87" t="n">
        <f aca="false">SUM(Y244:Y245)</f>
        <v>3450</v>
      </c>
      <c r="Z246" s="87" t="n">
        <f aca="false">SUM(Z244:Z245)</f>
        <v>3450</v>
      </c>
    </row>
    <row r="247" customFormat="false" ht="12.8" hidden="false" customHeight="false" outlineLevel="0" collapsed="false">
      <c r="D247" s="36" t="s">
        <v>189</v>
      </c>
      <c r="E247" s="10" t="n">
        <v>630</v>
      </c>
      <c r="F247" s="10" t="s">
        <v>123</v>
      </c>
      <c r="G247" s="11" t="n">
        <v>0</v>
      </c>
      <c r="H247" s="11" t="n">
        <v>0</v>
      </c>
      <c r="I247" s="11" t="n">
        <v>0</v>
      </c>
      <c r="J247" s="11" t="n">
        <v>0</v>
      </c>
      <c r="K247" s="11" t="n">
        <v>0</v>
      </c>
      <c r="L247" s="11"/>
      <c r="M247" s="11" t="n">
        <v>1400</v>
      </c>
      <c r="N247" s="11"/>
      <c r="O247" s="11"/>
      <c r="P247" s="11" t="n">
        <f aca="false">K247+SUM(L247:O247)</f>
        <v>1400</v>
      </c>
      <c r="Q247" s="11" t="n">
        <v>0</v>
      </c>
      <c r="R247" s="12" t="n">
        <f aca="false">Q247/$P247</f>
        <v>0</v>
      </c>
      <c r="S247" s="11" t="n">
        <v>0</v>
      </c>
      <c r="T247" s="12" t="n">
        <f aca="false">S247/$P247</f>
        <v>0</v>
      </c>
      <c r="U247" s="11" t="n">
        <v>1400</v>
      </c>
      <c r="V247" s="12" t="n">
        <f aca="false">U247/$P247</f>
        <v>1</v>
      </c>
      <c r="W247" s="11" t="n">
        <v>1400</v>
      </c>
      <c r="X247" s="12" t="n">
        <f aca="false">W247/$P247</f>
        <v>1</v>
      </c>
      <c r="Y247" s="11" t="n">
        <v>0</v>
      </c>
      <c r="Z247" s="11" t="n">
        <v>0</v>
      </c>
    </row>
    <row r="248" customFormat="false" ht="12.8" hidden="false" customHeight="false" outlineLevel="0" collapsed="false">
      <c r="D248" s="85" t="s">
        <v>21</v>
      </c>
      <c r="E248" s="86" t="n">
        <v>71</v>
      </c>
      <c r="F248" s="86" t="s">
        <v>24</v>
      </c>
      <c r="G248" s="87" t="n">
        <f aca="false">SUM(G247:G247)</f>
        <v>0</v>
      </c>
      <c r="H248" s="87" t="n">
        <f aca="false">SUM(H247:H247)</f>
        <v>0</v>
      </c>
      <c r="I248" s="87" t="n">
        <f aca="false">SUM(I247)</f>
        <v>0</v>
      </c>
      <c r="J248" s="87" t="n">
        <f aca="false">SUM(J247)</f>
        <v>0</v>
      </c>
      <c r="K248" s="87" t="n">
        <f aca="false">SUM(K247)</f>
        <v>0</v>
      </c>
      <c r="L248" s="87" t="n">
        <f aca="false">SUM(L247)</f>
        <v>0</v>
      </c>
      <c r="M248" s="87" t="n">
        <f aca="false">SUM(M247)</f>
        <v>1400</v>
      </c>
      <c r="N248" s="87" t="n">
        <f aca="false">SUM(N247)</f>
        <v>0</v>
      </c>
      <c r="O248" s="87" t="n">
        <f aca="false">SUM(O247)</f>
        <v>0</v>
      </c>
      <c r="P248" s="87" t="n">
        <f aca="false">SUM(P247)</f>
        <v>1400</v>
      </c>
      <c r="Q248" s="87" t="n">
        <f aca="false">SUM(Q247)</f>
        <v>0</v>
      </c>
      <c r="R248" s="88" t="n">
        <f aca="false">Q248/$P248</f>
        <v>0</v>
      </c>
      <c r="S248" s="87" t="n">
        <f aca="false">SUM(S247)</f>
        <v>0</v>
      </c>
      <c r="T248" s="88" t="n">
        <f aca="false">S248/$P248</f>
        <v>0</v>
      </c>
      <c r="U248" s="87" t="n">
        <f aca="false">SUM(U247)</f>
        <v>1400</v>
      </c>
      <c r="V248" s="88" t="n">
        <f aca="false">U248/$P248</f>
        <v>1</v>
      </c>
      <c r="W248" s="87" t="n">
        <f aca="false">SUM(W247)</f>
        <v>1400</v>
      </c>
      <c r="X248" s="88" t="n">
        <f aca="false">W248/$P248</f>
        <v>1</v>
      </c>
      <c r="Y248" s="87" t="n">
        <v>0</v>
      </c>
      <c r="Z248" s="87" t="n">
        <v>0</v>
      </c>
    </row>
    <row r="249" customFormat="false" ht="12.8" hidden="false" customHeight="false" outlineLevel="0" collapsed="false">
      <c r="D249" s="18"/>
      <c r="E249" s="19"/>
      <c r="F249" s="14" t="s">
        <v>116</v>
      </c>
      <c r="G249" s="15" t="n">
        <f aca="false">G246+G248</f>
        <v>11359.88</v>
      </c>
      <c r="H249" s="15" t="n">
        <f aca="false">H246+H248</f>
        <v>6373.5</v>
      </c>
      <c r="I249" s="15" t="n">
        <f aca="false">I246+I248</f>
        <v>6400</v>
      </c>
      <c r="J249" s="15" t="n">
        <f aca="false">J246+J248</f>
        <v>5151.34</v>
      </c>
      <c r="K249" s="15" t="n">
        <f aca="false">K246+K248</f>
        <v>4350</v>
      </c>
      <c r="L249" s="15" t="n">
        <f aca="false">L246+L248</f>
        <v>0</v>
      </c>
      <c r="M249" s="15" t="n">
        <f aca="false">M246+M248</f>
        <v>1700</v>
      </c>
      <c r="N249" s="15" t="n">
        <f aca="false">N246+N248</f>
        <v>0</v>
      </c>
      <c r="O249" s="15" t="n">
        <f aca="false">O246+O248</f>
        <v>0</v>
      </c>
      <c r="P249" s="15" t="n">
        <f aca="false">P246+P248</f>
        <v>6050</v>
      </c>
      <c r="Q249" s="15" t="n">
        <f aca="false">Q246+Q248</f>
        <v>56.97</v>
      </c>
      <c r="R249" s="16" t="n">
        <f aca="false">Q249/$P249</f>
        <v>0.00941652892561983</v>
      </c>
      <c r="S249" s="15" t="n">
        <f aca="false">S246+S248</f>
        <v>1800.58</v>
      </c>
      <c r="T249" s="16" t="n">
        <f aca="false">S249/$P249</f>
        <v>0.29761652892562</v>
      </c>
      <c r="U249" s="15" t="n">
        <f aca="false">U246+U248</f>
        <v>5466.14</v>
      </c>
      <c r="V249" s="16" t="n">
        <f aca="false">U249/$P249</f>
        <v>0.903494214876033</v>
      </c>
      <c r="W249" s="15" t="n">
        <f aca="false">W246+W248</f>
        <v>5991</v>
      </c>
      <c r="X249" s="16" t="n">
        <f aca="false">W249/$P249</f>
        <v>0.990247933884297</v>
      </c>
      <c r="Y249" s="15" t="n">
        <f aca="false">Y246+Y248</f>
        <v>3450</v>
      </c>
      <c r="Z249" s="15" t="n">
        <f aca="false">Z246+Z248</f>
        <v>3450</v>
      </c>
    </row>
    <row r="251" customFormat="false" ht="12.8" hidden="false" customHeight="false" outlineLevel="0" collapsed="false">
      <c r="D251" s="66" t="s">
        <v>190</v>
      </c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7"/>
      <c r="S251" s="66"/>
      <c r="T251" s="67"/>
      <c r="U251" s="66"/>
      <c r="V251" s="67"/>
      <c r="W251" s="66"/>
      <c r="X251" s="67"/>
      <c r="Y251" s="66"/>
      <c r="Z251" s="66"/>
    </row>
    <row r="252" customFormat="false" ht="12.8" hidden="false" customHeight="false" outlineLevel="0" collapsed="false">
      <c r="D252" s="7" t="s">
        <v>33</v>
      </c>
      <c r="E252" s="7" t="s">
        <v>34</v>
      </c>
      <c r="F252" s="7" t="s">
        <v>35</v>
      </c>
      <c r="G252" s="7" t="s">
        <v>1</v>
      </c>
      <c r="H252" s="7" t="s">
        <v>2</v>
      </c>
      <c r="I252" s="7" t="s">
        <v>3</v>
      </c>
      <c r="J252" s="7" t="s">
        <v>4</v>
      </c>
      <c r="K252" s="7" t="s">
        <v>5</v>
      </c>
      <c r="L252" s="7" t="s">
        <v>6</v>
      </c>
      <c r="M252" s="7" t="s">
        <v>7</v>
      </c>
      <c r="N252" s="7" t="s">
        <v>8</v>
      </c>
      <c r="O252" s="7" t="s">
        <v>9</v>
      </c>
      <c r="P252" s="7" t="s">
        <v>10</v>
      </c>
      <c r="Q252" s="7" t="s">
        <v>11</v>
      </c>
      <c r="R252" s="8" t="s">
        <v>12</v>
      </c>
      <c r="S252" s="7" t="s">
        <v>13</v>
      </c>
      <c r="T252" s="8" t="s">
        <v>14</v>
      </c>
      <c r="U252" s="7" t="s">
        <v>15</v>
      </c>
      <c r="V252" s="8" t="s">
        <v>16</v>
      </c>
      <c r="W252" s="7" t="s">
        <v>17</v>
      </c>
      <c r="X252" s="8" t="s">
        <v>18</v>
      </c>
      <c r="Y252" s="7" t="s">
        <v>19</v>
      </c>
      <c r="Z252" s="7" t="s">
        <v>20</v>
      </c>
    </row>
    <row r="253" customFormat="false" ht="12.8" hidden="false" customHeight="false" outlineLevel="0" collapsed="false">
      <c r="A253" s="1" t="n">
        <v>5</v>
      </c>
      <c r="B253" s="1" t="n">
        <v>1</v>
      </c>
      <c r="C253" s="1" t="n">
        <v>2</v>
      </c>
      <c r="D253" s="36" t="s">
        <v>189</v>
      </c>
      <c r="E253" s="10" t="n">
        <v>620</v>
      </c>
      <c r="F253" s="10" t="s">
        <v>122</v>
      </c>
      <c r="G253" s="11" t="n">
        <v>59.23</v>
      </c>
      <c r="H253" s="11" t="n">
        <v>59.23</v>
      </c>
      <c r="I253" s="11" t="n">
        <v>47</v>
      </c>
      <c r="J253" s="11" t="n">
        <v>0</v>
      </c>
      <c r="K253" s="11" t="n">
        <v>35</v>
      </c>
      <c r="L253" s="11" t="n">
        <v>16</v>
      </c>
      <c r="M253" s="11"/>
      <c r="N253" s="11"/>
      <c r="O253" s="11"/>
      <c r="P253" s="11" t="n">
        <f aca="false">K253+SUM(L253:O253)</f>
        <v>51</v>
      </c>
      <c r="Q253" s="11" t="n">
        <v>51.75</v>
      </c>
      <c r="R253" s="12" t="n">
        <f aca="false">Q253/$P253</f>
        <v>1.01470588235294</v>
      </c>
      <c r="S253" s="11" t="n">
        <v>51.75</v>
      </c>
      <c r="T253" s="12" t="n">
        <f aca="false">S253/$P253</f>
        <v>1.01470588235294</v>
      </c>
      <c r="U253" s="11" t="n">
        <v>51.75</v>
      </c>
      <c r="V253" s="12" t="n">
        <f aca="false">U253/$P253</f>
        <v>1.01470588235294</v>
      </c>
      <c r="W253" s="11" t="n">
        <v>51.75</v>
      </c>
      <c r="X253" s="12" t="n">
        <f aca="false">W253/$P253</f>
        <v>1.01470588235294</v>
      </c>
      <c r="Y253" s="11" t="n">
        <f aca="false">K253</f>
        <v>35</v>
      </c>
      <c r="Z253" s="11" t="n">
        <f aca="false">Y253</f>
        <v>35</v>
      </c>
    </row>
    <row r="254" customFormat="false" ht="12.8" hidden="false" customHeight="false" outlineLevel="0" collapsed="false">
      <c r="A254" s="1" t="n">
        <v>5</v>
      </c>
      <c r="B254" s="1" t="n">
        <v>1</v>
      </c>
      <c r="C254" s="1" t="n">
        <v>2</v>
      </c>
      <c r="D254" s="36"/>
      <c r="E254" s="10" t="n">
        <v>630</v>
      </c>
      <c r="F254" s="10" t="s">
        <v>123</v>
      </c>
      <c r="G254" s="11" t="n">
        <v>182</v>
      </c>
      <c r="H254" s="11" t="n">
        <v>182</v>
      </c>
      <c r="I254" s="11" t="n">
        <v>182</v>
      </c>
      <c r="J254" s="11" t="n">
        <v>0</v>
      </c>
      <c r="K254" s="11" t="n">
        <v>175</v>
      </c>
      <c r="L254" s="11" t="n">
        <v>-16</v>
      </c>
      <c r="M254" s="11"/>
      <c r="N254" s="11"/>
      <c r="O254" s="11"/>
      <c r="P254" s="11" t="n">
        <f aca="false">K254+SUM(L254:O254)</f>
        <v>159</v>
      </c>
      <c r="Q254" s="11" t="n">
        <v>159.02</v>
      </c>
      <c r="R254" s="12" t="n">
        <f aca="false">Q254/$P254</f>
        <v>1.00012578616352</v>
      </c>
      <c r="S254" s="11" t="n">
        <v>159.02</v>
      </c>
      <c r="T254" s="12" t="n">
        <f aca="false">S254/$P254</f>
        <v>1.00012578616352</v>
      </c>
      <c r="U254" s="11" t="n">
        <v>159.02</v>
      </c>
      <c r="V254" s="12" t="n">
        <f aca="false">U254/$P254</f>
        <v>1.00012578616352</v>
      </c>
      <c r="W254" s="11" t="n">
        <v>159.02</v>
      </c>
      <c r="X254" s="12" t="n">
        <f aca="false">W254/$P254</f>
        <v>1.00012578616352</v>
      </c>
      <c r="Y254" s="11" t="n">
        <f aca="false">K254</f>
        <v>175</v>
      </c>
      <c r="Z254" s="11" t="n">
        <f aca="false">Y254</f>
        <v>175</v>
      </c>
    </row>
    <row r="255" customFormat="false" ht="12.8" hidden="false" customHeight="false" outlineLevel="0" collapsed="false">
      <c r="A255" s="1" t="n">
        <v>5</v>
      </c>
      <c r="B255" s="1" t="n">
        <v>1</v>
      </c>
      <c r="C255" s="1" t="n">
        <v>2</v>
      </c>
      <c r="D255" s="85" t="s">
        <v>21</v>
      </c>
      <c r="E255" s="86" t="n">
        <v>111</v>
      </c>
      <c r="F255" s="86" t="s">
        <v>127</v>
      </c>
      <c r="G255" s="87" t="n">
        <f aca="false">SUM(G253:G254)</f>
        <v>241.23</v>
      </c>
      <c r="H255" s="87" t="n">
        <f aca="false">SUM(H253:H254)</f>
        <v>241.23</v>
      </c>
      <c r="I255" s="87" t="n">
        <f aca="false">SUM(I253:I254)</f>
        <v>229</v>
      </c>
      <c r="J255" s="87" t="n">
        <f aca="false">SUM(J253:J254)</f>
        <v>0</v>
      </c>
      <c r="K255" s="87" t="n">
        <f aca="false">SUM(K253:K254)</f>
        <v>210</v>
      </c>
      <c r="L255" s="87" t="n">
        <f aca="false">SUM(L253:L254)</f>
        <v>0</v>
      </c>
      <c r="M255" s="87" t="n">
        <f aca="false">SUM(M253:M254)</f>
        <v>0</v>
      </c>
      <c r="N255" s="87" t="n">
        <f aca="false">SUM(N253:N254)</f>
        <v>0</v>
      </c>
      <c r="O255" s="87" t="n">
        <f aca="false">SUM(O253:O254)</f>
        <v>0</v>
      </c>
      <c r="P255" s="87" t="n">
        <f aca="false">SUM(P253:P254)</f>
        <v>210</v>
      </c>
      <c r="Q255" s="87" t="n">
        <f aca="false">SUM(Q253:Q254)</f>
        <v>210.77</v>
      </c>
      <c r="R255" s="88" t="n">
        <f aca="false">Q255/$P255</f>
        <v>1.00366666666667</v>
      </c>
      <c r="S255" s="87" t="n">
        <f aca="false">SUM(S253:S254)</f>
        <v>210.77</v>
      </c>
      <c r="T255" s="88" t="n">
        <f aca="false">S255/$P255</f>
        <v>1.00366666666667</v>
      </c>
      <c r="U255" s="87" t="n">
        <f aca="false">SUM(U253:U254)</f>
        <v>210.77</v>
      </c>
      <c r="V255" s="88" t="n">
        <f aca="false">U255/$P255</f>
        <v>1.00366666666667</v>
      </c>
      <c r="W255" s="87" t="n">
        <f aca="false">SUM(W253:W254)</f>
        <v>210.77</v>
      </c>
      <c r="X255" s="88" t="n">
        <f aca="false">W255/$P255</f>
        <v>1.00366666666667</v>
      </c>
      <c r="Y255" s="87" t="n">
        <f aca="false">SUM(Y253:Y254)</f>
        <v>210</v>
      </c>
      <c r="Z255" s="87" t="n">
        <f aca="false">SUM(Z253:Z254)</f>
        <v>210</v>
      </c>
    </row>
    <row r="256" customFormat="false" ht="12.8" hidden="false" customHeight="false" outlineLevel="0" collapsed="false">
      <c r="A256" s="1" t="n">
        <v>5</v>
      </c>
      <c r="B256" s="1" t="n">
        <v>1</v>
      </c>
      <c r="C256" s="1" t="n">
        <v>2</v>
      </c>
      <c r="D256" s="36" t="s">
        <v>189</v>
      </c>
      <c r="E256" s="10" t="n">
        <v>630</v>
      </c>
      <c r="F256" s="10" t="s">
        <v>123</v>
      </c>
      <c r="G256" s="11" t="n">
        <v>1059.8</v>
      </c>
      <c r="H256" s="11" t="n">
        <v>144.4</v>
      </c>
      <c r="I256" s="11" t="n">
        <v>0</v>
      </c>
      <c r="J256" s="11" t="n">
        <v>0</v>
      </c>
      <c r="K256" s="11" t="n">
        <v>0</v>
      </c>
      <c r="L256" s="11"/>
      <c r="M256" s="11" t="n">
        <v>145</v>
      </c>
      <c r="N256" s="11"/>
      <c r="O256" s="11"/>
      <c r="P256" s="11" t="n">
        <f aca="false">K256+SUM(L256:O256)</f>
        <v>145</v>
      </c>
      <c r="Q256" s="11" t="n">
        <v>0</v>
      </c>
      <c r="R256" s="12" t="n">
        <f aca="false">Q256/$P256</f>
        <v>0</v>
      </c>
      <c r="S256" s="11" t="n">
        <v>144.73</v>
      </c>
      <c r="T256" s="12" t="n">
        <f aca="false">S256/$P256</f>
        <v>0.998137931034483</v>
      </c>
      <c r="U256" s="11" t="n">
        <v>144.73</v>
      </c>
      <c r="V256" s="12" t="n">
        <f aca="false">U256/$P256</f>
        <v>0.998137931034483</v>
      </c>
      <c r="W256" s="11" t="n">
        <v>144.73</v>
      </c>
      <c r="X256" s="12" t="n">
        <f aca="false">W256/$P256</f>
        <v>0.998137931034483</v>
      </c>
      <c r="Y256" s="11" t="n">
        <f aca="false">K256</f>
        <v>0</v>
      </c>
      <c r="Z256" s="11" t="n">
        <f aca="false">Y256</f>
        <v>0</v>
      </c>
    </row>
    <row r="257" customFormat="false" ht="12.8" hidden="false" customHeight="false" outlineLevel="0" collapsed="false">
      <c r="A257" s="1" t="n">
        <v>5</v>
      </c>
      <c r="B257" s="1" t="n">
        <v>1</v>
      </c>
      <c r="C257" s="1" t="n">
        <v>2</v>
      </c>
      <c r="D257" s="85" t="s">
        <v>21</v>
      </c>
      <c r="E257" s="86" t="n">
        <v>41</v>
      </c>
      <c r="F257" s="86" t="s">
        <v>23</v>
      </c>
      <c r="G257" s="87" t="n">
        <f aca="false">SUM(G256:G256)</f>
        <v>1059.8</v>
      </c>
      <c r="H257" s="87" t="n">
        <f aca="false">SUM(H256:H256)</f>
        <v>144.4</v>
      </c>
      <c r="I257" s="87" t="n">
        <f aca="false">SUM(I256)</f>
        <v>0</v>
      </c>
      <c r="J257" s="87" t="n">
        <f aca="false">SUM(J256)</f>
        <v>0</v>
      </c>
      <c r="K257" s="87" t="n">
        <f aca="false">SUM(K256)</f>
        <v>0</v>
      </c>
      <c r="L257" s="87" t="n">
        <f aca="false">SUM(L256)</f>
        <v>0</v>
      </c>
      <c r="M257" s="87" t="n">
        <f aca="false">SUM(M256)</f>
        <v>145</v>
      </c>
      <c r="N257" s="87" t="n">
        <f aca="false">SUM(N256)</f>
        <v>0</v>
      </c>
      <c r="O257" s="87" t="n">
        <f aca="false">SUM(O256)</f>
        <v>0</v>
      </c>
      <c r="P257" s="87" t="n">
        <f aca="false">SUM(P256)</f>
        <v>145</v>
      </c>
      <c r="Q257" s="87" t="n">
        <f aca="false">SUM(Q256)</f>
        <v>0</v>
      </c>
      <c r="R257" s="88" t="n">
        <f aca="false">Q257/$P257</f>
        <v>0</v>
      </c>
      <c r="S257" s="87" t="n">
        <f aca="false">SUM(S256)</f>
        <v>144.73</v>
      </c>
      <c r="T257" s="88" t="n">
        <f aca="false">S257/$P257</f>
        <v>0.998137931034483</v>
      </c>
      <c r="U257" s="87" t="n">
        <f aca="false">SUM(U256)</f>
        <v>144.73</v>
      </c>
      <c r="V257" s="88" t="n">
        <f aca="false">U257/$P257</f>
        <v>0.998137931034483</v>
      </c>
      <c r="W257" s="87" t="n">
        <f aca="false">SUM(W256)</f>
        <v>144.73</v>
      </c>
      <c r="X257" s="88" t="n">
        <f aca="false">W257/$P257</f>
        <v>0.998137931034483</v>
      </c>
      <c r="Y257" s="87" t="n">
        <f aca="false">SUM(Y256:Y256)</f>
        <v>0</v>
      </c>
      <c r="Z257" s="87" t="n">
        <f aca="false">SUM(Z256:Z256)</f>
        <v>0</v>
      </c>
    </row>
    <row r="258" customFormat="false" ht="12.8" hidden="false" customHeight="false" outlineLevel="0" collapsed="false">
      <c r="D258" s="18"/>
      <c r="E258" s="19"/>
      <c r="F258" s="14" t="s">
        <v>116</v>
      </c>
      <c r="G258" s="15" t="n">
        <f aca="false">G255+G257</f>
        <v>1301.03</v>
      </c>
      <c r="H258" s="15" t="n">
        <f aca="false">H255+H257</f>
        <v>385.63</v>
      </c>
      <c r="I258" s="15" t="n">
        <f aca="false">I255+I257</f>
        <v>229</v>
      </c>
      <c r="J258" s="15" t="n">
        <f aca="false">J255+J257</f>
        <v>0</v>
      </c>
      <c r="K258" s="15" t="n">
        <f aca="false">K255+K257</f>
        <v>210</v>
      </c>
      <c r="L258" s="15" t="n">
        <f aca="false">L255+L257</f>
        <v>0</v>
      </c>
      <c r="M258" s="15" t="n">
        <f aca="false">M255+M257</f>
        <v>145</v>
      </c>
      <c r="N258" s="15" t="n">
        <f aca="false">N255+N257</f>
        <v>0</v>
      </c>
      <c r="O258" s="15" t="n">
        <f aca="false">O255+O257</f>
        <v>0</v>
      </c>
      <c r="P258" s="15" t="n">
        <f aca="false">P255+P257</f>
        <v>355</v>
      </c>
      <c r="Q258" s="15" t="n">
        <f aca="false">Q255+Q257</f>
        <v>210.77</v>
      </c>
      <c r="R258" s="16" t="n">
        <f aca="false">Q258/$P258</f>
        <v>0.593718309859155</v>
      </c>
      <c r="S258" s="15" t="n">
        <f aca="false">S255+S257</f>
        <v>355.5</v>
      </c>
      <c r="T258" s="16" t="n">
        <f aca="false">S258/$P258</f>
        <v>1.00140845070423</v>
      </c>
      <c r="U258" s="15" t="n">
        <f aca="false">U255+U257</f>
        <v>355.5</v>
      </c>
      <c r="V258" s="16" t="n">
        <f aca="false">U258/$P258</f>
        <v>1.00140845070423</v>
      </c>
      <c r="W258" s="15" t="n">
        <f aca="false">W255+W257</f>
        <v>355.5</v>
      </c>
      <c r="X258" s="16" t="n">
        <f aca="false">W258/$P258</f>
        <v>1.00140845070423</v>
      </c>
      <c r="Y258" s="15" t="n">
        <f aca="false">Y255+Y257</f>
        <v>210</v>
      </c>
      <c r="Z258" s="15" t="n">
        <f aca="false">Z255+Z257</f>
        <v>210</v>
      </c>
    </row>
    <row r="260" customFormat="false" ht="12.8" hidden="false" customHeight="false" outlineLevel="0" collapsed="false">
      <c r="D260" s="66" t="s">
        <v>191</v>
      </c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7"/>
      <c r="S260" s="66"/>
      <c r="T260" s="67"/>
      <c r="U260" s="66"/>
      <c r="V260" s="67"/>
      <c r="W260" s="66"/>
      <c r="X260" s="67"/>
      <c r="Y260" s="66"/>
      <c r="Z260" s="66"/>
    </row>
    <row r="261" customFormat="false" ht="12.8" hidden="false" customHeight="false" outlineLevel="0" collapsed="false">
      <c r="D261" s="7" t="s">
        <v>33</v>
      </c>
      <c r="E261" s="7" t="s">
        <v>34</v>
      </c>
      <c r="F261" s="7" t="s">
        <v>35</v>
      </c>
      <c r="G261" s="7" t="s">
        <v>1</v>
      </c>
      <c r="H261" s="7" t="s">
        <v>2</v>
      </c>
      <c r="I261" s="7" t="s">
        <v>3</v>
      </c>
      <c r="J261" s="7" t="s">
        <v>4</v>
      </c>
      <c r="K261" s="7" t="s">
        <v>5</v>
      </c>
      <c r="L261" s="7" t="s">
        <v>6</v>
      </c>
      <c r="M261" s="7" t="s">
        <v>7</v>
      </c>
      <c r="N261" s="7" t="s">
        <v>8</v>
      </c>
      <c r="O261" s="7" t="s">
        <v>9</v>
      </c>
      <c r="P261" s="7" t="s">
        <v>10</v>
      </c>
      <c r="Q261" s="7" t="s">
        <v>11</v>
      </c>
      <c r="R261" s="8" t="s">
        <v>12</v>
      </c>
      <c r="S261" s="7" t="s">
        <v>13</v>
      </c>
      <c r="T261" s="8" t="s">
        <v>14</v>
      </c>
      <c r="U261" s="7" t="s">
        <v>15</v>
      </c>
      <c r="V261" s="8" t="s">
        <v>16</v>
      </c>
      <c r="W261" s="7" t="s">
        <v>17</v>
      </c>
      <c r="X261" s="8" t="s">
        <v>18</v>
      </c>
      <c r="Y261" s="7" t="s">
        <v>19</v>
      </c>
      <c r="Z261" s="7" t="s">
        <v>20</v>
      </c>
    </row>
    <row r="262" customFormat="false" ht="12.8" hidden="false" customHeight="false" outlineLevel="0" collapsed="false">
      <c r="A262" s="1" t="n">
        <v>5</v>
      </c>
      <c r="B262" s="1" t="n">
        <v>1</v>
      </c>
      <c r="C262" s="1" t="n">
        <v>3</v>
      </c>
      <c r="D262" s="36" t="s">
        <v>192</v>
      </c>
      <c r="E262" s="10" t="n">
        <v>620</v>
      </c>
      <c r="F262" s="10" t="s">
        <v>122</v>
      </c>
      <c r="G262" s="11" t="n">
        <v>712.92</v>
      </c>
      <c r="H262" s="11" t="n">
        <v>712.92</v>
      </c>
      <c r="I262" s="11" t="n">
        <v>713</v>
      </c>
      <c r="J262" s="11" t="n">
        <v>828.31</v>
      </c>
      <c r="K262" s="11" t="n">
        <v>840</v>
      </c>
      <c r="L262" s="11"/>
      <c r="M262" s="11"/>
      <c r="N262" s="11"/>
      <c r="O262" s="11" t="n">
        <v>53</v>
      </c>
      <c r="P262" s="11" t="n">
        <f aca="false">K262+SUM(L262:O262)</f>
        <v>893</v>
      </c>
      <c r="Q262" s="11" t="n">
        <v>219.46</v>
      </c>
      <c r="R262" s="12" t="n">
        <f aca="false">Q262/$P262</f>
        <v>0.24575587905935</v>
      </c>
      <c r="S262" s="11" t="n">
        <v>443.8</v>
      </c>
      <c r="T262" s="12" t="n">
        <f aca="false">S262/$P262</f>
        <v>0.496976483762598</v>
      </c>
      <c r="U262" s="11" t="n">
        <v>668.14</v>
      </c>
      <c r="V262" s="12" t="n">
        <f aca="false">U262/$P262</f>
        <v>0.748197088465845</v>
      </c>
      <c r="W262" s="11" t="n">
        <v>892.48</v>
      </c>
      <c r="X262" s="12" t="n">
        <f aca="false">W262/$P262</f>
        <v>0.999417693169093</v>
      </c>
      <c r="Y262" s="11" t="n">
        <f aca="false">K262</f>
        <v>840</v>
      </c>
      <c r="Z262" s="11" t="n">
        <f aca="false">Y262</f>
        <v>840</v>
      </c>
    </row>
    <row r="263" customFormat="false" ht="12.8" hidden="false" customHeight="false" outlineLevel="0" collapsed="false">
      <c r="A263" s="1" t="n">
        <v>5</v>
      </c>
      <c r="B263" s="1" t="n">
        <v>1</v>
      </c>
      <c r="C263" s="1" t="n">
        <v>3</v>
      </c>
      <c r="D263" s="36"/>
      <c r="E263" s="10" t="n">
        <v>630</v>
      </c>
      <c r="F263" s="10" t="s">
        <v>123</v>
      </c>
      <c r="G263" s="11" t="n">
        <v>12430.87</v>
      </c>
      <c r="H263" s="11" t="n">
        <v>12337.96</v>
      </c>
      <c r="I263" s="11" t="n">
        <v>12340</v>
      </c>
      <c r="J263" s="11" t="n">
        <v>12581.27</v>
      </c>
      <c r="K263" s="11" t="n">
        <f aca="false">12500-251</f>
        <v>12249</v>
      </c>
      <c r="L263" s="11"/>
      <c r="M263" s="11"/>
      <c r="N263" s="11"/>
      <c r="O263" s="11" t="n">
        <v>97</v>
      </c>
      <c r="P263" s="11" t="n">
        <f aca="false">K263+SUM(L263:O263)</f>
        <v>12346</v>
      </c>
      <c r="Q263" s="11" t="n">
        <v>2542.66</v>
      </c>
      <c r="R263" s="12" t="n">
        <f aca="false">Q263/$P263</f>
        <v>0.205950105297262</v>
      </c>
      <c r="S263" s="11" t="n">
        <v>5818.49</v>
      </c>
      <c r="T263" s="12" t="n">
        <f aca="false">S263/$P263</f>
        <v>0.471285436578649</v>
      </c>
      <c r="U263" s="11" t="n">
        <v>8983.49</v>
      </c>
      <c r="V263" s="12" t="n">
        <f aca="false">U263/$P263</f>
        <v>0.727643771261947</v>
      </c>
      <c r="W263" s="11" t="n">
        <v>12346.19</v>
      </c>
      <c r="X263" s="12" t="n">
        <f aca="false">W263/$P263</f>
        <v>1.00001538959987</v>
      </c>
      <c r="Y263" s="11" t="n">
        <f aca="false">I263</f>
        <v>12340</v>
      </c>
      <c r="Z263" s="11" t="n">
        <f aca="false">Y263</f>
        <v>12340</v>
      </c>
    </row>
    <row r="264" customFormat="false" ht="12.8" hidden="false" customHeight="false" outlineLevel="0" collapsed="false">
      <c r="A264" s="1" t="n">
        <v>5</v>
      </c>
      <c r="B264" s="1" t="n">
        <v>1</v>
      </c>
      <c r="C264" s="1" t="n">
        <v>3</v>
      </c>
      <c r="D264" s="75" t="s">
        <v>21</v>
      </c>
      <c r="E264" s="14" t="n">
        <v>41</v>
      </c>
      <c r="F264" s="14" t="s">
        <v>23</v>
      </c>
      <c r="G264" s="15" t="n">
        <f aca="false">SUM(G262:G263)</f>
        <v>13143.79</v>
      </c>
      <c r="H264" s="15" t="n">
        <f aca="false">SUM(H262:H263)</f>
        <v>13050.88</v>
      </c>
      <c r="I264" s="15" t="n">
        <f aca="false">SUM(I262:I263)</f>
        <v>13053</v>
      </c>
      <c r="J264" s="15" t="n">
        <f aca="false">SUM(J262:J263)</f>
        <v>13409.58</v>
      </c>
      <c r="K264" s="15" t="n">
        <f aca="false">SUM(K262:K263)</f>
        <v>13089</v>
      </c>
      <c r="L264" s="15" t="n">
        <f aca="false">SUM(L262:L263)</f>
        <v>0</v>
      </c>
      <c r="M264" s="15" t="n">
        <f aca="false">SUM(M262:M263)</f>
        <v>0</v>
      </c>
      <c r="N264" s="15" t="n">
        <f aca="false">SUM(N262:N263)</f>
        <v>0</v>
      </c>
      <c r="O264" s="15" t="n">
        <f aca="false">SUM(O262:O263)</f>
        <v>150</v>
      </c>
      <c r="P264" s="15" t="n">
        <f aca="false">SUM(P262:P263)</f>
        <v>13239</v>
      </c>
      <c r="Q264" s="15" t="n">
        <f aca="false">SUM(Q262:Q263)</f>
        <v>2762.12</v>
      </c>
      <c r="R264" s="16" t="n">
        <f aca="false">Q264/$P264</f>
        <v>0.208635093284991</v>
      </c>
      <c r="S264" s="15" t="n">
        <f aca="false">SUM(S262:S263)</f>
        <v>6262.29</v>
      </c>
      <c r="T264" s="16" t="n">
        <f aca="false">S264/$P264</f>
        <v>0.473018354860639</v>
      </c>
      <c r="U264" s="15" t="n">
        <f aca="false">SUM(U262:U263)</f>
        <v>9651.63</v>
      </c>
      <c r="V264" s="16" t="n">
        <f aca="false">U264/$P264</f>
        <v>0.729030138227963</v>
      </c>
      <c r="W264" s="15" t="n">
        <f aca="false">SUM(W262:W263)</f>
        <v>13238.67</v>
      </c>
      <c r="X264" s="16" t="n">
        <f aca="false">W264/$P264</f>
        <v>0.999975073646046</v>
      </c>
      <c r="Y264" s="15" t="n">
        <f aca="false">SUM(Y262:Y263)</f>
        <v>13180</v>
      </c>
      <c r="Z264" s="15" t="n">
        <f aca="false">SUM(Z262:Z263)</f>
        <v>13180</v>
      </c>
    </row>
    <row r="266" customFormat="false" ht="12.8" hidden="false" customHeight="false" outlineLevel="0" collapsed="false">
      <c r="E266" s="44" t="s">
        <v>56</v>
      </c>
      <c r="F266" s="18" t="s">
        <v>140</v>
      </c>
      <c r="G266" s="45" t="n">
        <v>9054.99</v>
      </c>
      <c r="H266" s="45" t="n">
        <v>9317</v>
      </c>
      <c r="I266" s="45" t="n">
        <v>9300</v>
      </c>
      <c r="J266" s="45" t="n">
        <v>9525.85</v>
      </c>
      <c r="K266" s="45" t="n">
        <f aca="false">(326+261+193+61)*11</f>
        <v>9251</v>
      </c>
      <c r="L266" s="45"/>
      <c r="M266" s="45"/>
      <c r="N266" s="45"/>
      <c r="O266" s="45"/>
      <c r="P266" s="45" t="n">
        <f aca="false">K266+SUM(L266:O266)</f>
        <v>9251</v>
      </c>
      <c r="Q266" s="45" t="n">
        <v>1682</v>
      </c>
      <c r="R266" s="46" t="n">
        <f aca="false">Q266/$P266</f>
        <v>0.181818181818182</v>
      </c>
      <c r="S266" s="45" t="n">
        <v>4205</v>
      </c>
      <c r="T266" s="46" t="n">
        <f aca="false">S266/$P266</f>
        <v>0.454545454545455</v>
      </c>
      <c r="U266" s="45" t="n">
        <v>6728</v>
      </c>
      <c r="V266" s="46" t="n">
        <f aca="false">U266/$P266</f>
        <v>0.727272727272727</v>
      </c>
      <c r="W266" s="45" t="n">
        <v>9251</v>
      </c>
      <c r="X266" s="92" t="n">
        <f aca="false">W266/$P266</f>
        <v>1</v>
      </c>
      <c r="Y266" s="45" t="n">
        <f aca="false">K266</f>
        <v>9251</v>
      </c>
      <c r="Z266" s="48" t="n">
        <f aca="false">Y266</f>
        <v>9251</v>
      </c>
    </row>
    <row r="267" customFormat="false" ht="12.8" hidden="false" customHeight="false" outlineLevel="0" collapsed="false">
      <c r="E267" s="57"/>
      <c r="F267" s="76" t="s">
        <v>193</v>
      </c>
      <c r="G267" s="59" t="n">
        <v>2040</v>
      </c>
      <c r="H267" s="59" t="n">
        <v>2040</v>
      </c>
      <c r="I267" s="59" t="n">
        <v>2040</v>
      </c>
      <c r="J267" s="59" t="n">
        <v>2370</v>
      </c>
      <c r="K267" s="59" t="n">
        <v>2400</v>
      </c>
      <c r="L267" s="59"/>
      <c r="M267" s="59"/>
      <c r="N267" s="59"/>
      <c r="O267" s="59" t="n">
        <v>154</v>
      </c>
      <c r="P267" s="59" t="n">
        <f aca="false">K267+SUM(L267:O267)</f>
        <v>2554</v>
      </c>
      <c r="Q267" s="59" t="n">
        <v>628</v>
      </c>
      <c r="R267" s="60" t="n">
        <f aca="false">Q267/$P267</f>
        <v>0.245888801879405</v>
      </c>
      <c r="S267" s="59" t="n">
        <v>1270</v>
      </c>
      <c r="T267" s="60" t="n">
        <f aca="false">S267/$P267</f>
        <v>0.497259201252937</v>
      </c>
      <c r="U267" s="59" t="n">
        <v>1912</v>
      </c>
      <c r="V267" s="60" t="n">
        <f aca="false">U267/$P267</f>
        <v>0.748629600626468</v>
      </c>
      <c r="W267" s="59" t="n">
        <v>2554</v>
      </c>
      <c r="X267" s="97" t="n">
        <f aca="false">W267/$P267</f>
        <v>1</v>
      </c>
      <c r="Y267" s="59" t="n">
        <f aca="false">K267</f>
        <v>2400</v>
      </c>
      <c r="Z267" s="62" t="n">
        <f aca="false">Y267</f>
        <v>2400</v>
      </c>
    </row>
    <row r="269" customFormat="false" ht="12.8" hidden="false" customHeight="false" outlineLevel="0" collapsed="false">
      <c r="D269" s="66" t="s">
        <v>194</v>
      </c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7"/>
      <c r="S269" s="66"/>
      <c r="T269" s="67"/>
      <c r="U269" s="66"/>
      <c r="V269" s="67"/>
      <c r="W269" s="66"/>
      <c r="X269" s="67"/>
      <c r="Y269" s="66"/>
      <c r="Z269" s="66"/>
    </row>
    <row r="270" customFormat="false" ht="12.8" hidden="false" customHeight="false" outlineLevel="0" collapsed="false">
      <c r="D270" s="7" t="s">
        <v>33</v>
      </c>
      <c r="E270" s="7" t="s">
        <v>34</v>
      </c>
      <c r="F270" s="7" t="s">
        <v>35</v>
      </c>
      <c r="G270" s="7" t="s">
        <v>1</v>
      </c>
      <c r="H270" s="7" t="s">
        <v>2</v>
      </c>
      <c r="I270" s="7" t="s">
        <v>3</v>
      </c>
      <c r="J270" s="7" t="s">
        <v>4</v>
      </c>
      <c r="K270" s="7" t="s">
        <v>5</v>
      </c>
      <c r="L270" s="7" t="s">
        <v>6</v>
      </c>
      <c r="M270" s="7" t="s">
        <v>7</v>
      </c>
      <c r="N270" s="7" t="s">
        <v>8</v>
      </c>
      <c r="O270" s="7" t="s">
        <v>9</v>
      </c>
      <c r="P270" s="7" t="s">
        <v>10</v>
      </c>
      <c r="Q270" s="7" t="s">
        <v>11</v>
      </c>
      <c r="R270" s="8" t="s">
        <v>12</v>
      </c>
      <c r="S270" s="7" t="s">
        <v>13</v>
      </c>
      <c r="T270" s="8" t="s">
        <v>14</v>
      </c>
      <c r="U270" s="7" t="s">
        <v>15</v>
      </c>
      <c r="V270" s="8" t="s">
        <v>16</v>
      </c>
      <c r="W270" s="7" t="s">
        <v>17</v>
      </c>
      <c r="X270" s="8" t="s">
        <v>18</v>
      </c>
      <c r="Y270" s="7" t="s">
        <v>19</v>
      </c>
      <c r="Z270" s="7" t="s">
        <v>20</v>
      </c>
    </row>
    <row r="271" customFormat="false" ht="12.8" hidden="false" customHeight="false" outlineLevel="0" collapsed="false">
      <c r="A271" s="1" t="n">
        <v>5</v>
      </c>
      <c r="B271" s="1" t="n">
        <v>1</v>
      </c>
      <c r="C271" s="1" t="n">
        <v>4</v>
      </c>
      <c r="D271" s="36" t="s">
        <v>195</v>
      </c>
      <c r="E271" s="10" t="n">
        <v>630</v>
      </c>
      <c r="F271" s="10" t="s">
        <v>123</v>
      </c>
      <c r="G271" s="11" t="n">
        <v>0</v>
      </c>
      <c r="H271" s="11" t="n">
        <v>305</v>
      </c>
      <c r="I271" s="11" t="n">
        <v>100</v>
      </c>
      <c r="J271" s="11" t="n">
        <v>55</v>
      </c>
      <c r="K271" s="11" t="n">
        <v>100</v>
      </c>
      <c r="L271" s="11" t="n">
        <v>506</v>
      </c>
      <c r="M271" s="11"/>
      <c r="N271" s="11"/>
      <c r="O271" s="11" t="n">
        <v>717</v>
      </c>
      <c r="P271" s="11" t="n">
        <f aca="false">K271+SUM(L271:O271)</f>
        <v>1323</v>
      </c>
      <c r="Q271" s="11" t="n">
        <v>506.4</v>
      </c>
      <c r="R271" s="12" t="n">
        <f aca="false">Q271/$P271</f>
        <v>0.382766439909297</v>
      </c>
      <c r="S271" s="11" t="n">
        <v>561.4</v>
      </c>
      <c r="T271" s="12" t="n">
        <f aca="false">S271/$P271</f>
        <v>0.424338624338624</v>
      </c>
      <c r="U271" s="11" t="n">
        <v>561.4</v>
      </c>
      <c r="V271" s="12" t="n">
        <f aca="false">U271/$P271</f>
        <v>0.424338624338624</v>
      </c>
      <c r="W271" s="11" t="n">
        <v>1277.8</v>
      </c>
      <c r="X271" s="12" t="n">
        <f aca="false">W271/$P271</f>
        <v>0.96583522297808</v>
      </c>
      <c r="Y271" s="11" t="n">
        <f aca="false">I271</f>
        <v>100</v>
      </c>
      <c r="Z271" s="11" t="n">
        <f aca="false">Y271</f>
        <v>100</v>
      </c>
    </row>
    <row r="272" customFormat="false" ht="12.8" hidden="false" customHeight="false" outlineLevel="0" collapsed="false">
      <c r="A272" s="1" t="n">
        <v>5</v>
      </c>
      <c r="B272" s="1" t="n">
        <v>1</v>
      </c>
      <c r="C272" s="1" t="n">
        <v>4</v>
      </c>
      <c r="D272" s="75" t="s">
        <v>21</v>
      </c>
      <c r="E272" s="14" t="n">
        <v>41</v>
      </c>
      <c r="F272" s="14" t="s">
        <v>23</v>
      </c>
      <c r="G272" s="15" t="n">
        <f aca="false">SUM(G271:G271)</f>
        <v>0</v>
      </c>
      <c r="H272" s="15" t="n">
        <f aca="false">SUM(H271:H271)</f>
        <v>305</v>
      </c>
      <c r="I272" s="15" t="n">
        <f aca="false">SUM(I271:I271)</f>
        <v>100</v>
      </c>
      <c r="J272" s="15" t="n">
        <f aca="false">SUM(J271:J271)</f>
        <v>55</v>
      </c>
      <c r="K272" s="15" t="n">
        <f aca="false">SUM(K271:K271)</f>
        <v>100</v>
      </c>
      <c r="L272" s="15" t="n">
        <f aca="false">SUM(L271:L271)</f>
        <v>506</v>
      </c>
      <c r="M272" s="15" t="n">
        <f aca="false">SUM(M271:M271)</f>
        <v>0</v>
      </c>
      <c r="N272" s="15" t="n">
        <f aca="false">SUM(N271:N271)</f>
        <v>0</v>
      </c>
      <c r="O272" s="15" t="n">
        <f aca="false">SUM(O271:O271)</f>
        <v>717</v>
      </c>
      <c r="P272" s="15" t="n">
        <f aca="false">SUM(P271:P271)</f>
        <v>1323</v>
      </c>
      <c r="Q272" s="15" t="n">
        <f aca="false">SUM(Q271:Q271)</f>
        <v>506.4</v>
      </c>
      <c r="R272" s="16" t="n">
        <f aca="false">Q272/$P272</f>
        <v>0.382766439909297</v>
      </c>
      <c r="S272" s="15" t="n">
        <f aca="false">SUM(S271:S271)</f>
        <v>561.4</v>
      </c>
      <c r="T272" s="16" t="n">
        <f aca="false">S272/$P272</f>
        <v>0.424338624338624</v>
      </c>
      <c r="U272" s="15" t="n">
        <f aca="false">SUM(U271:U271)</f>
        <v>561.4</v>
      </c>
      <c r="V272" s="16" t="n">
        <f aca="false">U272/$P272</f>
        <v>0.424338624338624</v>
      </c>
      <c r="W272" s="15" t="n">
        <f aca="false">SUM(W271:W271)</f>
        <v>1277.8</v>
      </c>
      <c r="X272" s="16" t="n">
        <f aca="false">W272/$P272</f>
        <v>0.96583522297808</v>
      </c>
      <c r="Y272" s="15" t="n">
        <f aca="false">SUM(Y271:Y271)</f>
        <v>100</v>
      </c>
      <c r="Z272" s="15" t="n">
        <f aca="false">SUM(Z271:Z271)</f>
        <v>100</v>
      </c>
    </row>
    <row r="274" customFormat="false" ht="12.8" hidden="false" customHeight="false" outlineLevel="0" collapsed="false">
      <c r="D274" s="31" t="s">
        <v>196</v>
      </c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2"/>
      <c r="S274" s="31"/>
      <c r="T274" s="32"/>
      <c r="U274" s="31"/>
      <c r="V274" s="32"/>
      <c r="W274" s="31"/>
      <c r="X274" s="32"/>
      <c r="Y274" s="31"/>
      <c r="Z274" s="31"/>
    </row>
    <row r="275" customFormat="false" ht="12.8" hidden="false" customHeight="false" outlineLevel="0" collapsed="false">
      <c r="D275" s="105"/>
      <c r="E275" s="105"/>
      <c r="F275" s="105"/>
      <c r="G275" s="7" t="s">
        <v>1</v>
      </c>
      <c r="H275" s="7" t="s">
        <v>2</v>
      </c>
      <c r="I275" s="7" t="s">
        <v>3</v>
      </c>
      <c r="J275" s="7" t="s">
        <v>4</v>
      </c>
      <c r="K275" s="7" t="s">
        <v>5</v>
      </c>
      <c r="L275" s="7" t="s">
        <v>6</v>
      </c>
      <c r="M275" s="7" t="s">
        <v>7</v>
      </c>
      <c r="N275" s="7" t="s">
        <v>8</v>
      </c>
      <c r="O275" s="7" t="s">
        <v>9</v>
      </c>
      <c r="P275" s="7" t="s">
        <v>10</v>
      </c>
      <c r="Q275" s="7" t="s">
        <v>11</v>
      </c>
      <c r="R275" s="8" t="s">
        <v>12</v>
      </c>
      <c r="S275" s="7" t="s">
        <v>13</v>
      </c>
      <c r="T275" s="8" t="s">
        <v>14</v>
      </c>
      <c r="U275" s="7" t="s">
        <v>15</v>
      </c>
      <c r="V275" s="8" t="s">
        <v>16</v>
      </c>
      <c r="W275" s="7" t="s">
        <v>17</v>
      </c>
      <c r="X275" s="8" t="s">
        <v>18</v>
      </c>
      <c r="Y275" s="7" t="s">
        <v>19</v>
      </c>
      <c r="Z275" s="7" t="s">
        <v>20</v>
      </c>
    </row>
    <row r="276" customFormat="false" ht="12.8" hidden="false" customHeight="false" outlineLevel="0" collapsed="false">
      <c r="A276" s="1" t="n">
        <v>5</v>
      </c>
      <c r="B276" s="1" t="n">
        <v>2</v>
      </c>
      <c r="D276" s="33" t="s">
        <v>21</v>
      </c>
      <c r="E276" s="10" t="n">
        <v>111</v>
      </c>
      <c r="F276" s="10" t="s">
        <v>103</v>
      </c>
      <c r="G276" s="11" t="n">
        <f aca="false">G300</f>
        <v>17749.35</v>
      </c>
      <c r="H276" s="11" t="n">
        <f aca="false">H300</f>
        <v>25239.92</v>
      </c>
      <c r="I276" s="11" t="n">
        <f aca="false">I300</f>
        <v>26328</v>
      </c>
      <c r="J276" s="11" t="n">
        <f aca="false">J300</f>
        <v>37906.3</v>
      </c>
      <c r="K276" s="11" t="n">
        <f aca="false">K300</f>
        <v>16422</v>
      </c>
      <c r="L276" s="11" t="n">
        <f aca="false">L300</f>
        <v>0</v>
      </c>
      <c r="M276" s="11" t="n">
        <f aca="false">M300</f>
        <v>-1982</v>
      </c>
      <c r="N276" s="11" t="n">
        <f aca="false">N300</f>
        <v>-2000</v>
      </c>
      <c r="O276" s="11" t="n">
        <f aca="false">O300</f>
        <v>-9757</v>
      </c>
      <c r="P276" s="11" t="n">
        <f aca="false">P300</f>
        <v>2683</v>
      </c>
      <c r="Q276" s="11" t="n">
        <f aca="false">Q300</f>
        <v>0</v>
      </c>
      <c r="R276" s="12" t="n">
        <f aca="false">Q276/$P276</f>
        <v>0</v>
      </c>
      <c r="S276" s="11" t="n">
        <f aca="false">S300</f>
        <v>888.44</v>
      </c>
      <c r="T276" s="12" t="n">
        <f aca="false">S276/$P276</f>
        <v>0.331136787178531</v>
      </c>
      <c r="U276" s="11" t="n">
        <f aca="false">U300</f>
        <v>2306</v>
      </c>
      <c r="V276" s="12" t="n">
        <f aca="false">U276/$P276</f>
        <v>0.859485650391353</v>
      </c>
      <c r="W276" s="11" t="n">
        <f aca="false">W300</f>
        <v>2682.93</v>
      </c>
      <c r="X276" s="12" t="n">
        <f aca="false">W276/$P276</f>
        <v>0.99997390980246</v>
      </c>
      <c r="Y276" s="11" t="n">
        <f aca="false">Y300</f>
        <v>2217</v>
      </c>
      <c r="Z276" s="11" t="n">
        <f aca="false">Z300</f>
        <v>0</v>
      </c>
    </row>
    <row r="277" customFormat="false" ht="12.8" hidden="false" customHeight="false" outlineLevel="0" collapsed="false">
      <c r="A277" s="1" t="n">
        <v>5</v>
      </c>
      <c r="B277" s="1" t="n">
        <v>2</v>
      </c>
      <c r="D277" s="33" t="s">
        <v>21</v>
      </c>
      <c r="E277" s="10" t="n">
        <v>41</v>
      </c>
      <c r="F277" s="10" t="s">
        <v>23</v>
      </c>
      <c r="G277" s="11" t="n">
        <f aca="false">G284+G293+G305</f>
        <v>63205.35</v>
      </c>
      <c r="H277" s="11" t="n">
        <f aca="false">H284+H293+H305</f>
        <v>27434.47</v>
      </c>
      <c r="I277" s="11" t="n">
        <f aca="false">I284+I293+I305</f>
        <v>28245</v>
      </c>
      <c r="J277" s="11" t="n">
        <f aca="false">J284+J293+J305</f>
        <v>31630.62</v>
      </c>
      <c r="K277" s="11" t="n">
        <f aca="false">K284+K293+K305</f>
        <v>24995</v>
      </c>
      <c r="L277" s="11" t="n">
        <f aca="false">L284+L293+L305</f>
        <v>0</v>
      </c>
      <c r="M277" s="11" t="n">
        <f aca="false">M284+M293+M305</f>
        <v>-666</v>
      </c>
      <c r="N277" s="11" t="n">
        <f aca="false">N284+N293+N305</f>
        <v>2000</v>
      </c>
      <c r="O277" s="11" t="n">
        <f aca="false">O284+O293+O305</f>
        <v>6198</v>
      </c>
      <c r="P277" s="11" t="n">
        <f aca="false">P284+P293+P305</f>
        <v>32527</v>
      </c>
      <c r="Q277" s="11" t="n">
        <f aca="false">Q284+Q293+Q305</f>
        <v>8053.54</v>
      </c>
      <c r="R277" s="12" t="n">
        <f aca="false">Q277/$P277</f>
        <v>0.247595536016233</v>
      </c>
      <c r="S277" s="11" t="n">
        <f aca="false">S284+S293+S305</f>
        <v>12087.72</v>
      </c>
      <c r="T277" s="12" t="n">
        <f aca="false">S277/$P277</f>
        <v>0.371621114766194</v>
      </c>
      <c r="U277" s="11" t="n">
        <f aca="false">U284+U293+U305</f>
        <v>17580.38</v>
      </c>
      <c r="V277" s="12" t="n">
        <f aca="false">U277/$P277</f>
        <v>0.540485750299751</v>
      </c>
      <c r="W277" s="11" t="n">
        <f aca="false">W284+W293+W305</f>
        <v>32185.52</v>
      </c>
      <c r="X277" s="12" t="n">
        <f aca="false">W277/$P277</f>
        <v>0.989501644787407</v>
      </c>
      <c r="Y277" s="11" t="n">
        <f aca="false">Y284+Y293+Y305</f>
        <v>12400</v>
      </c>
      <c r="Z277" s="11" t="n">
        <f aca="false">Z284+Z293+Z305</f>
        <v>10000</v>
      </c>
    </row>
    <row r="278" customFormat="false" ht="12.8" hidden="false" customHeight="false" outlineLevel="0" collapsed="false">
      <c r="D278" s="18"/>
      <c r="E278" s="19"/>
      <c r="F278" s="14" t="s">
        <v>116</v>
      </c>
      <c r="G278" s="15" t="n">
        <f aca="false">SUM(G277:G277)</f>
        <v>63205.35</v>
      </c>
      <c r="H278" s="15" t="n">
        <f aca="false">SUM(H277:H277)</f>
        <v>27434.47</v>
      </c>
      <c r="I278" s="15" t="n">
        <f aca="false">SUM(I277:I277)</f>
        <v>28245</v>
      </c>
      <c r="J278" s="15" t="n">
        <f aca="false">SUM(J277:J277)</f>
        <v>31630.62</v>
      </c>
      <c r="K278" s="15" t="n">
        <f aca="false">SUM(K277:K277)</f>
        <v>24995</v>
      </c>
      <c r="L278" s="15" t="n">
        <f aca="false">SUM(L277:L277)</f>
        <v>0</v>
      </c>
      <c r="M278" s="15" t="n">
        <f aca="false">SUM(M277:M277)</f>
        <v>-666</v>
      </c>
      <c r="N278" s="15" t="n">
        <f aca="false">SUM(N277:N277)</f>
        <v>2000</v>
      </c>
      <c r="O278" s="15" t="n">
        <f aca="false">SUM(O277:O277)</f>
        <v>6198</v>
      </c>
      <c r="P278" s="15" t="n">
        <f aca="false">SUM(P277:P277)</f>
        <v>32527</v>
      </c>
      <c r="Q278" s="15" t="n">
        <f aca="false">SUM(Q277:Q277)</f>
        <v>8053.54</v>
      </c>
      <c r="R278" s="16" t="n">
        <f aca="false">Q278/$P278</f>
        <v>0.247595536016233</v>
      </c>
      <c r="S278" s="15" t="n">
        <f aca="false">SUM(S276:S277)</f>
        <v>12976.16</v>
      </c>
      <c r="T278" s="16" t="n">
        <f aca="false">S278/$P278</f>
        <v>0.398935038583331</v>
      </c>
      <c r="U278" s="15" t="n">
        <f aca="false">SUM(U277:U277)</f>
        <v>17580.38</v>
      </c>
      <c r="V278" s="16" t="n">
        <f aca="false">U278/$P278</f>
        <v>0.540485750299751</v>
      </c>
      <c r="W278" s="15" t="n">
        <f aca="false">SUM(W277:W277)</f>
        <v>32185.52</v>
      </c>
      <c r="X278" s="16" t="n">
        <f aca="false">W278/$P278</f>
        <v>0.989501644787407</v>
      </c>
      <c r="Y278" s="15" t="n">
        <f aca="false">SUM(Y277:Y277)</f>
        <v>12400</v>
      </c>
      <c r="Z278" s="15" t="n">
        <f aca="false">SUM(Z277:Z277)</f>
        <v>10000</v>
      </c>
    </row>
    <row r="280" customFormat="false" ht="12.8" hidden="false" customHeight="false" outlineLevel="0" collapsed="false">
      <c r="D280" s="66" t="s">
        <v>197</v>
      </c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7"/>
      <c r="S280" s="66"/>
      <c r="T280" s="67"/>
      <c r="U280" s="66"/>
      <c r="V280" s="67"/>
      <c r="W280" s="66"/>
      <c r="X280" s="67"/>
      <c r="Y280" s="66"/>
      <c r="Z280" s="66"/>
    </row>
    <row r="281" customFormat="false" ht="12.8" hidden="false" customHeight="false" outlineLevel="0" collapsed="false">
      <c r="D281" s="7" t="s">
        <v>33</v>
      </c>
      <c r="E281" s="7" t="s">
        <v>34</v>
      </c>
      <c r="F281" s="7" t="s">
        <v>35</v>
      </c>
      <c r="G281" s="7" t="s">
        <v>1</v>
      </c>
      <c r="H281" s="7" t="s">
        <v>2</v>
      </c>
      <c r="I281" s="7" t="s">
        <v>3</v>
      </c>
      <c r="J281" s="7" t="s">
        <v>4</v>
      </c>
      <c r="K281" s="7" t="s">
        <v>5</v>
      </c>
      <c r="L281" s="7" t="s">
        <v>6</v>
      </c>
      <c r="M281" s="7" t="s">
        <v>7</v>
      </c>
      <c r="N281" s="7" t="s">
        <v>8</v>
      </c>
      <c r="O281" s="7" t="s">
        <v>9</v>
      </c>
      <c r="P281" s="7" t="s">
        <v>10</v>
      </c>
      <c r="Q281" s="7" t="s">
        <v>11</v>
      </c>
      <c r="R281" s="8" t="s">
        <v>12</v>
      </c>
      <c r="S281" s="7" t="s">
        <v>13</v>
      </c>
      <c r="T281" s="8" t="s">
        <v>14</v>
      </c>
      <c r="U281" s="7" t="s">
        <v>15</v>
      </c>
      <c r="V281" s="8" t="s">
        <v>16</v>
      </c>
      <c r="W281" s="7" t="s">
        <v>17</v>
      </c>
      <c r="X281" s="8" t="s">
        <v>18</v>
      </c>
      <c r="Y281" s="7" t="s">
        <v>19</v>
      </c>
      <c r="Z281" s="7" t="s">
        <v>20</v>
      </c>
    </row>
    <row r="282" customFormat="false" ht="12.8" hidden="false" customHeight="false" outlineLevel="0" collapsed="false">
      <c r="A282" s="1" t="n">
        <v>5</v>
      </c>
      <c r="B282" s="1" t="n">
        <v>2</v>
      </c>
      <c r="C282" s="1" t="n">
        <v>1</v>
      </c>
      <c r="D282" s="89" t="s">
        <v>198</v>
      </c>
      <c r="E282" s="10" t="n">
        <v>630</v>
      </c>
      <c r="F282" s="10" t="s">
        <v>123</v>
      </c>
      <c r="G282" s="11" t="n">
        <v>41754.86</v>
      </c>
      <c r="H282" s="11" t="n">
        <v>14295.99</v>
      </c>
      <c r="I282" s="11" t="n">
        <v>15100</v>
      </c>
      <c r="J282" s="11" t="n">
        <v>3959.21</v>
      </c>
      <c r="K282" s="11" t="n">
        <v>7000</v>
      </c>
      <c r="L282" s="11"/>
      <c r="M282" s="11"/>
      <c r="N282" s="11"/>
      <c r="O282" s="11" t="n">
        <f aca="false">-1739+2000+676</f>
        <v>937</v>
      </c>
      <c r="P282" s="11" t="n">
        <f aca="false">K282+SUM(L282:O282)</f>
        <v>7937</v>
      </c>
      <c r="Q282" s="11" t="n">
        <v>527.08</v>
      </c>
      <c r="R282" s="12" t="n">
        <f aca="false">Q282/$P282</f>
        <v>0.0664079627063122</v>
      </c>
      <c r="S282" s="11" t="n">
        <v>527.08</v>
      </c>
      <c r="T282" s="12" t="n">
        <f aca="false">S282/$P282</f>
        <v>0.0664079627063122</v>
      </c>
      <c r="U282" s="11" t="n">
        <v>1432.63</v>
      </c>
      <c r="V282" s="12" t="n">
        <f aca="false">U282/$P282</f>
        <v>0.180500188988283</v>
      </c>
      <c r="W282" s="11" t="n">
        <v>7936.38</v>
      </c>
      <c r="X282" s="12" t="n">
        <f aca="false">W282/$P282</f>
        <v>0.99992188484314</v>
      </c>
      <c r="Y282" s="11" t="n">
        <f aca="false">K282</f>
        <v>7000</v>
      </c>
      <c r="Z282" s="11" t="n">
        <f aca="false">Y282</f>
        <v>7000</v>
      </c>
    </row>
    <row r="283" customFormat="false" ht="12.8" hidden="false" customHeight="false" outlineLevel="0" collapsed="false">
      <c r="A283" s="1" t="n">
        <v>5</v>
      </c>
      <c r="B283" s="1" t="n">
        <v>2</v>
      </c>
      <c r="C283" s="1" t="n">
        <v>1</v>
      </c>
      <c r="D283" s="89"/>
      <c r="E283" s="10" t="n">
        <v>640</v>
      </c>
      <c r="F283" s="10" t="s">
        <v>124</v>
      </c>
      <c r="G283" s="11" t="n">
        <v>2800</v>
      </c>
      <c r="H283" s="11" t="n">
        <v>0</v>
      </c>
      <c r="I283" s="11" t="n">
        <v>0</v>
      </c>
      <c r="J283" s="11" t="n">
        <v>0</v>
      </c>
      <c r="K283" s="11" t="n">
        <v>0</v>
      </c>
      <c r="L283" s="11"/>
      <c r="M283" s="11"/>
      <c r="N283" s="11"/>
      <c r="O283" s="11"/>
      <c r="P283" s="11" t="n">
        <f aca="false">K283+SUM(L283:O283)</f>
        <v>0</v>
      </c>
      <c r="Q283" s="11" t="n">
        <v>0</v>
      </c>
      <c r="R283" s="12" t="e">
        <f aca="false">Q283/$P283</f>
        <v>#DIV/0!</v>
      </c>
      <c r="S283" s="11" t="n">
        <v>0</v>
      </c>
      <c r="T283" s="12" t="e">
        <f aca="false">S283/$P283</f>
        <v>#DIV/0!</v>
      </c>
      <c r="U283" s="11" t="n">
        <v>0</v>
      </c>
      <c r="V283" s="12" t="e">
        <f aca="false">U283/$P283</f>
        <v>#DIV/0!</v>
      </c>
      <c r="W283" s="11" t="n">
        <v>0</v>
      </c>
      <c r="X283" s="12" t="e">
        <f aca="false">W283/$P283</f>
        <v>#DIV/0!</v>
      </c>
      <c r="Y283" s="11" t="n">
        <f aca="false">K283</f>
        <v>0</v>
      </c>
      <c r="Z283" s="11" t="n">
        <f aca="false">Y283</f>
        <v>0</v>
      </c>
    </row>
    <row r="284" customFormat="false" ht="12.8" hidden="false" customHeight="false" outlineLevel="0" collapsed="false">
      <c r="A284" s="1" t="n">
        <v>5</v>
      </c>
      <c r="B284" s="1" t="n">
        <v>2</v>
      </c>
      <c r="C284" s="1" t="n">
        <v>1</v>
      </c>
      <c r="D284" s="75" t="s">
        <v>21</v>
      </c>
      <c r="E284" s="14" t="n">
        <v>41</v>
      </c>
      <c r="F284" s="14" t="s">
        <v>23</v>
      </c>
      <c r="G284" s="15" t="n">
        <f aca="false">SUM(G282:G283)</f>
        <v>44554.86</v>
      </c>
      <c r="H284" s="15" t="n">
        <f aca="false">SUM(H282:H283)</f>
        <v>14295.99</v>
      </c>
      <c r="I284" s="15" t="n">
        <f aca="false">SUM(I282:I283)</f>
        <v>15100</v>
      </c>
      <c r="J284" s="15" t="n">
        <f aca="false">SUM(J282:J283)</f>
        <v>3959.21</v>
      </c>
      <c r="K284" s="15" t="n">
        <f aca="false">SUM(K282:K283)</f>
        <v>7000</v>
      </c>
      <c r="L284" s="15" t="n">
        <f aca="false">SUM(L282:L283)</f>
        <v>0</v>
      </c>
      <c r="M284" s="15" t="n">
        <f aca="false">SUM(M282:M283)</f>
        <v>0</v>
      </c>
      <c r="N284" s="15" t="n">
        <f aca="false">SUM(N282:N283)</f>
        <v>0</v>
      </c>
      <c r="O284" s="15" t="n">
        <f aca="false">SUM(O282:O283)</f>
        <v>937</v>
      </c>
      <c r="P284" s="15" t="n">
        <f aca="false">SUM(P282:P283)</f>
        <v>7937</v>
      </c>
      <c r="Q284" s="15" t="n">
        <f aca="false">SUM(Q282:Q283)</f>
        <v>527.08</v>
      </c>
      <c r="R284" s="16" t="n">
        <f aca="false">Q284/$P284</f>
        <v>0.0664079627063122</v>
      </c>
      <c r="S284" s="15" t="n">
        <f aca="false">SUM(S282:S283)</f>
        <v>527.08</v>
      </c>
      <c r="T284" s="16" t="n">
        <f aca="false">S284/$P284</f>
        <v>0.0664079627063122</v>
      </c>
      <c r="U284" s="15" t="n">
        <f aca="false">SUM(U282:U283)</f>
        <v>1432.63</v>
      </c>
      <c r="V284" s="16" t="n">
        <f aca="false">U284/$P284</f>
        <v>0.180500188988283</v>
      </c>
      <c r="W284" s="15" t="n">
        <f aca="false">SUM(W282:W283)</f>
        <v>7936.38</v>
      </c>
      <c r="X284" s="16" t="n">
        <f aca="false">W284/$P284</f>
        <v>0.99992188484314</v>
      </c>
      <c r="Y284" s="15" t="n">
        <f aca="false">SUM(Y282:Y283)</f>
        <v>7000</v>
      </c>
      <c r="Z284" s="15" t="n">
        <f aca="false">SUM(Z282:Z283)</f>
        <v>7000</v>
      </c>
    </row>
    <row r="286" customFormat="false" ht="12.8" hidden="false" customHeight="false" outlineLevel="0" collapsed="false">
      <c r="E286" s="44" t="s">
        <v>56</v>
      </c>
      <c r="F286" s="18" t="s">
        <v>199</v>
      </c>
      <c r="G286" s="45" t="n">
        <v>544.68</v>
      </c>
      <c r="H286" s="45" t="n">
        <v>1584.1</v>
      </c>
      <c r="I286" s="45" t="n">
        <v>4600</v>
      </c>
      <c r="J286" s="45" t="n">
        <f aca="false">462+642.36</f>
        <v>1104.36</v>
      </c>
      <c r="K286" s="45" t="n">
        <v>4500</v>
      </c>
      <c r="L286" s="45"/>
      <c r="M286" s="45"/>
      <c r="N286" s="45" t="n">
        <v>-1500</v>
      </c>
      <c r="O286" s="45" t="n">
        <f aca="false">1122-1973</f>
        <v>-851</v>
      </c>
      <c r="P286" s="45" t="n">
        <f aca="false">K286+SUM(L286:O286)</f>
        <v>2149</v>
      </c>
      <c r="Q286" s="45" t="n">
        <v>527.08</v>
      </c>
      <c r="R286" s="46" t="n">
        <f aca="false">Q286/$P286</f>
        <v>0.245267566309912</v>
      </c>
      <c r="S286" s="45" t="n">
        <v>527.08</v>
      </c>
      <c r="T286" s="46" t="n">
        <f aca="false">S286/$P286</f>
        <v>0.245267566309912</v>
      </c>
      <c r="U286" s="45" t="n">
        <v>527.08</v>
      </c>
      <c r="V286" s="46" t="n">
        <f aca="false">U286/$P286</f>
        <v>0.245267566309912</v>
      </c>
      <c r="W286" s="45" t="n">
        <v>2148.73</v>
      </c>
      <c r="X286" s="92" t="n">
        <f aca="false">W286/$P286</f>
        <v>0.99987436016752</v>
      </c>
      <c r="Y286" s="45" t="n">
        <f aca="false">K286</f>
        <v>4500</v>
      </c>
      <c r="Z286" s="48" t="n">
        <f aca="false">Y286</f>
        <v>4500</v>
      </c>
    </row>
    <row r="287" customFormat="false" ht="12.8" hidden="false" customHeight="false" outlineLevel="0" collapsed="false">
      <c r="E287" s="49"/>
      <c r="F287" s="50" t="s">
        <v>200</v>
      </c>
      <c r="G287" s="51" t="n">
        <v>29609.74</v>
      </c>
      <c r="H287" s="51" t="n">
        <v>6791.76</v>
      </c>
      <c r="I287" s="51" t="n">
        <v>6700</v>
      </c>
      <c r="J287" s="51" t="n">
        <v>1415.59</v>
      </c>
      <c r="K287" s="51" t="n">
        <v>1500</v>
      </c>
      <c r="L287" s="51"/>
      <c r="M287" s="51"/>
      <c r="N287" s="51"/>
      <c r="O287" s="51" t="n">
        <v>-486</v>
      </c>
      <c r="P287" s="51" t="n">
        <f aca="false">K287+SUM(L287:O287)</f>
        <v>1014</v>
      </c>
      <c r="Q287" s="51" t="n">
        <v>0</v>
      </c>
      <c r="R287" s="2" t="n">
        <f aca="false">Q287/$P287</f>
        <v>0</v>
      </c>
      <c r="S287" s="51" t="n">
        <v>0</v>
      </c>
      <c r="T287" s="2" t="n">
        <f aca="false">S287/$P287</f>
        <v>0</v>
      </c>
      <c r="U287" s="51" t="n">
        <v>0</v>
      </c>
      <c r="V287" s="2" t="n">
        <f aca="false">U287/$P287</f>
        <v>0</v>
      </c>
      <c r="W287" s="51" t="n">
        <v>1014.35</v>
      </c>
      <c r="X287" s="93" t="n">
        <f aca="false">W287/$P287</f>
        <v>1.00034516765286</v>
      </c>
      <c r="Y287" s="51" t="n">
        <f aca="false">K287</f>
        <v>1500</v>
      </c>
      <c r="Z287" s="53" t="n">
        <f aca="false">Y287</f>
        <v>1500</v>
      </c>
    </row>
    <row r="288" customFormat="false" ht="12.8" hidden="false" customHeight="false" outlineLevel="0" collapsed="false">
      <c r="E288" s="57"/>
      <c r="F288" s="76" t="s">
        <v>201</v>
      </c>
      <c r="G288" s="59" t="n">
        <v>10960.44</v>
      </c>
      <c r="H288" s="59" t="n">
        <v>3727.48</v>
      </c>
      <c r="I288" s="59" t="n">
        <v>3700</v>
      </c>
      <c r="J288" s="59" t="n">
        <v>358.42</v>
      </c>
      <c r="K288" s="59" t="n">
        <v>800</v>
      </c>
      <c r="L288" s="59"/>
      <c r="M288" s="59"/>
      <c r="N288" s="59" t="n">
        <v>1500</v>
      </c>
      <c r="O288" s="59" t="n">
        <v>1784</v>
      </c>
      <c r="P288" s="59" t="n">
        <f aca="false">K288+SUM(L288:O288)</f>
        <v>4084</v>
      </c>
      <c r="Q288" s="59" t="n">
        <v>0</v>
      </c>
      <c r="R288" s="60" t="n">
        <f aca="false">Q288/$P288</f>
        <v>0</v>
      </c>
      <c r="S288" s="59" t="n">
        <v>0</v>
      </c>
      <c r="T288" s="60" t="n">
        <f aca="false">S288/$P288</f>
        <v>0</v>
      </c>
      <c r="U288" s="59" t="n">
        <v>905.55</v>
      </c>
      <c r="V288" s="60" t="n">
        <f aca="false">U288/$P288</f>
        <v>0.221731145935357</v>
      </c>
      <c r="W288" s="59" t="n">
        <v>4083.58</v>
      </c>
      <c r="X288" s="97" t="n">
        <f aca="false">W288/$P288</f>
        <v>0.999897159647404</v>
      </c>
      <c r="Y288" s="59" t="n">
        <f aca="false">K288</f>
        <v>800</v>
      </c>
      <c r="Z288" s="62" t="n">
        <f aca="false">Y288</f>
        <v>800</v>
      </c>
    </row>
    <row r="289" customFormat="false" ht="12.8" hidden="false" customHeight="false" outlineLevel="0" collapsed="false"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S289" s="51"/>
      <c r="U289" s="51"/>
      <c r="W289" s="51"/>
      <c r="Y289" s="51"/>
      <c r="Z289" s="51"/>
    </row>
    <row r="290" customFormat="false" ht="12.8" hidden="false" customHeight="false" outlineLevel="0" collapsed="false">
      <c r="D290" s="66" t="s">
        <v>202</v>
      </c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7"/>
      <c r="S290" s="66"/>
      <c r="T290" s="67"/>
      <c r="U290" s="66"/>
      <c r="V290" s="67"/>
      <c r="W290" s="66"/>
      <c r="X290" s="67"/>
      <c r="Y290" s="66"/>
      <c r="Z290" s="66"/>
    </row>
    <row r="291" customFormat="false" ht="12.8" hidden="false" customHeight="false" outlineLevel="0" collapsed="false">
      <c r="D291" s="7" t="s">
        <v>33</v>
      </c>
      <c r="E291" s="7" t="s">
        <v>34</v>
      </c>
      <c r="F291" s="7" t="s">
        <v>35</v>
      </c>
      <c r="G291" s="7" t="s">
        <v>1</v>
      </c>
      <c r="H291" s="7" t="s">
        <v>2</v>
      </c>
      <c r="I291" s="7" t="s">
        <v>3</v>
      </c>
      <c r="J291" s="7" t="s">
        <v>4</v>
      </c>
      <c r="K291" s="7" t="s">
        <v>5</v>
      </c>
      <c r="L291" s="7" t="s">
        <v>6</v>
      </c>
      <c r="M291" s="7" t="s">
        <v>7</v>
      </c>
      <c r="N291" s="7" t="s">
        <v>8</v>
      </c>
      <c r="O291" s="7" t="s">
        <v>9</v>
      </c>
      <c r="P291" s="7" t="s">
        <v>10</v>
      </c>
      <c r="Q291" s="7" t="s">
        <v>11</v>
      </c>
      <c r="R291" s="8" t="s">
        <v>12</v>
      </c>
      <c r="S291" s="7" t="s">
        <v>13</v>
      </c>
      <c r="T291" s="8" t="s">
        <v>14</v>
      </c>
      <c r="U291" s="7" t="s">
        <v>15</v>
      </c>
      <c r="V291" s="8" t="s">
        <v>16</v>
      </c>
      <c r="W291" s="7" t="s">
        <v>17</v>
      </c>
      <c r="X291" s="8" t="s">
        <v>18</v>
      </c>
      <c r="Y291" s="7" t="s">
        <v>19</v>
      </c>
      <c r="Z291" s="7" t="s">
        <v>20</v>
      </c>
    </row>
    <row r="292" customFormat="false" ht="12.8" hidden="false" customHeight="false" outlineLevel="0" collapsed="false">
      <c r="A292" s="1" t="n">
        <v>5</v>
      </c>
      <c r="B292" s="1" t="n">
        <v>2</v>
      </c>
      <c r="C292" s="1" t="n">
        <v>2</v>
      </c>
      <c r="D292" s="36" t="s">
        <v>203</v>
      </c>
      <c r="E292" s="10" t="n">
        <v>630</v>
      </c>
      <c r="F292" s="10" t="s">
        <v>123</v>
      </c>
      <c r="G292" s="11" t="n">
        <v>971.53</v>
      </c>
      <c r="H292" s="11" t="n">
        <v>761.78</v>
      </c>
      <c r="I292" s="11" t="n">
        <v>1500</v>
      </c>
      <c r="J292" s="11" t="n">
        <v>2933.5</v>
      </c>
      <c r="K292" s="11" t="n">
        <v>3000</v>
      </c>
      <c r="L292" s="11"/>
      <c r="M292" s="11"/>
      <c r="N292" s="11"/>
      <c r="O292" s="11" t="n">
        <v>231</v>
      </c>
      <c r="P292" s="11" t="n">
        <f aca="false">K292+SUM(L292:O292)</f>
        <v>3231</v>
      </c>
      <c r="Q292" s="11" t="n">
        <v>312.15</v>
      </c>
      <c r="R292" s="12" t="n">
        <f aca="false">Q292/$P292</f>
        <v>0.09661095636026</v>
      </c>
      <c r="S292" s="11" t="n">
        <v>1412.15</v>
      </c>
      <c r="T292" s="12" t="n">
        <f aca="false">S292/$P292</f>
        <v>0.437062828845559</v>
      </c>
      <c r="U292" s="11" t="n">
        <v>1412.15</v>
      </c>
      <c r="V292" s="12" t="n">
        <f aca="false">U292/$P292</f>
        <v>0.437062828845559</v>
      </c>
      <c r="W292" s="11" t="n">
        <v>3231.61</v>
      </c>
      <c r="X292" s="12" t="n">
        <f aca="false">W292/$P292</f>
        <v>1.00018879603838</v>
      </c>
      <c r="Y292" s="11" t="n">
        <f aca="false">K292</f>
        <v>3000</v>
      </c>
      <c r="Z292" s="11" t="n">
        <f aca="false">Y292</f>
        <v>3000</v>
      </c>
    </row>
    <row r="293" customFormat="false" ht="12.8" hidden="false" customHeight="false" outlineLevel="0" collapsed="false">
      <c r="A293" s="1" t="n">
        <v>5</v>
      </c>
      <c r="B293" s="1" t="n">
        <v>2</v>
      </c>
      <c r="C293" s="1" t="n">
        <v>2</v>
      </c>
      <c r="D293" s="75" t="s">
        <v>21</v>
      </c>
      <c r="E293" s="14" t="n">
        <v>41</v>
      </c>
      <c r="F293" s="14" t="s">
        <v>23</v>
      </c>
      <c r="G293" s="15" t="n">
        <f aca="false">SUM(G292:G292)</f>
        <v>971.53</v>
      </c>
      <c r="H293" s="15" t="n">
        <f aca="false">SUM(H292:H292)</f>
        <v>761.78</v>
      </c>
      <c r="I293" s="15" t="n">
        <f aca="false">SUM(I292:I292)</f>
        <v>1500</v>
      </c>
      <c r="J293" s="15" t="n">
        <f aca="false">SUM(J292:J292)</f>
        <v>2933.5</v>
      </c>
      <c r="K293" s="15" t="n">
        <f aca="false">SUM(K292:K292)</f>
        <v>3000</v>
      </c>
      <c r="L293" s="15" t="n">
        <f aca="false">SUM(L292:L292)</f>
        <v>0</v>
      </c>
      <c r="M293" s="15" t="n">
        <f aca="false">SUM(M292:M292)</f>
        <v>0</v>
      </c>
      <c r="N293" s="15" t="n">
        <f aca="false">SUM(N292:N292)</f>
        <v>0</v>
      </c>
      <c r="O293" s="15" t="n">
        <f aca="false">SUM(O292:O292)</f>
        <v>231</v>
      </c>
      <c r="P293" s="15" t="n">
        <f aca="false">SUM(P292:P292)</f>
        <v>3231</v>
      </c>
      <c r="Q293" s="15" t="n">
        <f aca="false">SUM(Q292:Q292)</f>
        <v>312.15</v>
      </c>
      <c r="R293" s="16" t="n">
        <f aca="false">Q293/$P293</f>
        <v>0.09661095636026</v>
      </c>
      <c r="S293" s="15" t="n">
        <f aca="false">SUM(S292:S292)</f>
        <v>1412.15</v>
      </c>
      <c r="T293" s="16" t="n">
        <f aca="false">S293/$P293</f>
        <v>0.437062828845559</v>
      </c>
      <c r="U293" s="15" t="n">
        <f aca="false">SUM(U292:U292)</f>
        <v>1412.15</v>
      </c>
      <c r="V293" s="16" t="n">
        <f aca="false">U293/$P293</f>
        <v>0.437062828845559</v>
      </c>
      <c r="W293" s="15" t="n">
        <f aca="false">SUM(W292:W292)</f>
        <v>3231.61</v>
      </c>
      <c r="X293" s="16" t="n">
        <f aca="false">W293/$P293</f>
        <v>1.00018879603838</v>
      </c>
      <c r="Y293" s="15" t="n">
        <f aca="false">SUM(Y292:Y292)</f>
        <v>3000</v>
      </c>
      <c r="Z293" s="15" t="n">
        <f aca="false">SUM(Z292:Z292)</f>
        <v>3000</v>
      </c>
    </row>
    <row r="295" customFormat="false" ht="12.8" hidden="false" customHeight="false" outlineLevel="0" collapsed="false">
      <c r="D295" s="66" t="s">
        <v>204</v>
      </c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7"/>
      <c r="S295" s="66"/>
      <c r="T295" s="67"/>
      <c r="U295" s="66"/>
      <c r="V295" s="67"/>
      <c r="W295" s="66"/>
      <c r="X295" s="67"/>
      <c r="Y295" s="66"/>
      <c r="Z295" s="66"/>
    </row>
    <row r="296" customFormat="false" ht="12.8" hidden="false" customHeight="false" outlineLevel="0" collapsed="false">
      <c r="D296" s="7" t="s">
        <v>33</v>
      </c>
      <c r="E296" s="7" t="s">
        <v>34</v>
      </c>
      <c r="F296" s="7" t="s">
        <v>35</v>
      </c>
      <c r="G296" s="7" t="s">
        <v>1</v>
      </c>
      <c r="H296" s="7" t="s">
        <v>2</v>
      </c>
      <c r="I296" s="7" t="s">
        <v>3</v>
      </c>
      <c r="J296" s="7" t="s">
        <v>4</v>
      </c>
      <c r="K296" s="7" t="s">
        <v>5</v>
      </c>
      <c r="L296" s="7" t="s">
        <v>6</v>
      </c>
      <c r="M296" s="7" t="s">
        <v>7</v>
      </c>
      <c r="N296" s="7" t="s">
        <v>8</v>
      </c>
      <c r="O296" s="7" t="s">
        <v>9</v>
      </c>
      <c r="P296" s="7" t="s">
        <v>10</v>
      </c>
      <c r="Q296" s="7" t="s">
        <v>11</v>
      </c>
      <c r="R296" s="8" t="s">
        <v>12</v>
      </c>
      <c r="S296" s="7" t="s">
        <v>13</v>
      </c>
      <c r="T296" s="8" t="s">
        <v>14</v>
      </c>
      <c r="U296" s="7" t="s">
        <v>15</v>
      </c>
      <c r="V296" s="8" t="s">
        <v>16</v>
      </c>
      <c r="W296" s="7" t="s">
        <v>17</v>
      </c>
      <c r="X296" s="8" t="s">
        <v>18</v>
      </c>
      <c r="Y296" s="7" t="s">
        <v>19</v>
      </c>
      <c r="Z296" s="7" t="s">
        <v>20</v>
      </c>
    </row>
    <row r="297" customFormat="false" ht="12.8" hidden="false" customHeight="false" outlineLevel="0" collapsed="false">
      <c r="A297" s="1" t="n">
        <v>5</v>
      </c>
      <c r="B297" s="1" t="n">
        <v>2</v>
      </c>
      <c r="C297" s="1" t="n">
        <v>3</v>
      </c>
      <c r="D297" s="106" t="s">
        <v>203</v>
      </c>
      <c r="E297" s="10" t="n">
        <v>610</v>
      </c>
      <c r="F297" s="10" t="s">
        <v>121</v>
      </c>
      <c r="G297" s="11" t="n">
        <v>13176.56</v>
      </c>
      <c r="H297" s="11" t="n">
        <v>18703.16</v>
      </c>
      <c r="I297" s="11" t="n">
        <v>19330</v>
      </c>
      <c r="J297" s="11" t="n">
        <v>27712.89</v>
      </c>
      <c r="K297" s="11" t="n">
        <f aca="false">4745+7424</f>
        <v>12169</v>
      </c>
      <c r="L297" s="11"/>
      <c r="M297" s="11" t="n">
        <f aca="false">-1095-887</f>
        <v>-1982</v>
      </c>
      <c r="N297" s="11" t="n">
        <v>-2000</v>
      </c>
      <c r="O297" s="11" t="n">
        <v>-8187</v>
      </c>
      <c r="P297" s="11" t="n">
        <f aca="false">K297+SUM(L297:O297)</f>
        <v>0</v>
      </c>
      <c r="Q297" s="11" t="n">
        <v>0</v>
      </c>
      <c r="R297" s="12" t="e">
        <f aca="false">Q297/$P297</f>
        <v>#DIV/0!</v>
      </c>
      <c r="S297" s="11" t="n">
        <v>0</v>
      </c>
      <c r="T297" s="12" t="e">
        <f aca="false">S297/$P297</f>
        <v>#DIV/0!</v>
      </c>
      <c r="U297" s="11" t="n">
        <v>0</v>
      </c>
      <c r="V297" s="12" t="e">
        <f aca="false">U297/$P297</f>
        <v>#DIV/0!</v>
      </c>
      <c r="W297" s="11" t="n">
        <v>0</v>
      </c>
      <c r="X297" s="12" t="e">
        <f aca="false">W297/$P297</f>
        <v>#DIV/0!</v>
      </c>
      <c r="Y297" s="11" t="n">
        <f aca="false">1160</f>
        <v>1160</v>
      </c>
      <c r="Z297" s="11" t="n">
        <v>0</v>
      </c>
    </row>
    <row r="298" customFormat="false" ht="12.8" hidden="false" customHeight="false" outlineLevel="0" collapsed="false">
      <c r="A298" s="1" t="n">
        <v>5</v>
      </c>
      <c r="B298" s="1" t="n">
        <v>2</v>
      </c>
      <c r="C298" s="1" t="n">
        <v>3</v>
      </c>
      <c r="D298" s="106"/>
      <c r="E298" s="10" t="n">
        <v>620</v>
      </c>
      <c r="F298" s="10" t="s">
        <v>122</v>
      </c>
      <c r="G298" s="11" t="n">
        <v>4572.79</v>
      </c>
      <c r="H298" s="11" t="n">
        <v>6536.76</v>
      </c>
      <c r="I298" s="11" t="n">
        <v>6998</v>
      </c>
      <c r="J298" s="11" t="n">
        <v>9788.5</v>
      </c>
      <c r="K298" s="11" t="n">
        <v>4253</v>
      </c>
      <c r="L298" s="11"/>
      <c r="M298" s="11"/>
      <c r="N298" s="11"/>
      <c r="O298" s="11" t="n">
        <v>-1570</v>
      </c>
      <c r="P298" s="11" t="n">
        <f aca="false">K298+SUM(L298:O298)</f>
        <v>2683</v>
      </c>
      <c r="Q298" s="11" t="n">
        <v>0</v>
      </c>
      <c r="R298" s="12" t="n">
        <f aca="false">Q298/$P298</f>
        <v>0</v>
      </c>
      <c r="S298" s="11" t="n">
        <v>888.44</v>
      </c>
      <c r="T298" s="12" t="n">
        <f aca="false">S298/$P298</f>
        <v>0.331136787178531</v>
      </c>
      <c r="U298" s="11" t="n">
        <v>2306</v>
      </c>
      <c r="V298" s="12" t="n">
        <f aca="false">U298/$P298</f>
        <v>0.859485650391353</v>
      </c>
      <c r="W298" s="11" t="n">
        <v>2682.93</v>
      </c>
      <c r="X298" s="12" t="n">
        <f aca="false">W298/$P298</f>
        <v>0.99997390980246</v>
      </c>
      <c r="Y298" s="11" t="n">
        <f aca="false">405+163*4</f>
        <v>1057</v>
      </c>
      <c r="Z298" s="11" t="n">
        <v>0</v>
      </c>
    </row>
    <row r="299" customFormat="false" ht="12.8" hidden="false" customHeight="false" outlineLevel="0" collapsed="false">
      <c r="A299" s="1" t="n">
        <v>5</v>
      </c>
      <c r="B299" s="1" t="n">
        <v>2</v>
      </c>
      <c r="C299" s="1" t="n">
        <v>3</v>
      </c>
      <c r="D299" s="106"/>
      <c r="E299" s="10" t="n">
        <v>630</v>
      </c>
      <c r="F299" s="10" t="s">
        <v>123</v>
      </c>
      <c r="G299" s="11" t="n">
        <v>0</v>
      </c>
      <c r="H299" s="11" t="n">
        <v>0</v>
      </c>
      <c r="I299" s="11" t="n">
        <v>0</v>
      </c>
      <c r="J299" s="11" t="n">
        <v>404.91</v>
      </c>
      <c r="K299" s="11" t="n">
        <v>0</v>
      </c>
      <c r="L299" s="11"/>
      <c r="M299" s="11"/>
      <c r="N299" s="11"/>
      <c r="O299" s="11"/>
      <c r="P299" s="11" t="n">
        <f aca="false">K299+SUM(L299:O299)</f>
        <v>0</v>
      </c>
      <c r="Q299" s="11" t="n">
        <v>0</v>
      </c>
      <c r="R299" s="12" t="e">
        <f aca="false">Q299/$P299</f>
        <v>#DIV/0!</v>
      </c>
      <c r="S299" s="11" t="n">
        <v>0</v>
      </c>
      <c r="T299" s="12" t="e">
        <f aca="false">S299/$P299</f>
        <v>#DIV/0!</v>
      </c>
      <c r="U299" s="11" t="n">
        <v>0</v>
      </c>
      <c r="V299" s="12" t="e">
        <f aca="false">U299/$P299</f>
        <v>#DIV/0!</v>
      </c>
      <c r="W299" s="11" t="n">
        <v>0</v>
      </c>
      <c r="X299" s="12" t="e">
        <f aca="false">W299/$P299</f>
        <v>#DIV/0!</v>
      </c>
      <c r="Y299" s="11" t="n">
        <f aca="false">K299</f>
        <v>0</v>
      </c>
      <c r="Z299" s="11" t="n">
        <f aca="false">Y299</f>
        <v>0</v>
      </c>
    </row>
    <row r="300" customFormat="false" ht="12.8" hidden="false" customHeight="false" outlineLevel="0" collapsed="false">
      <c r="A300" s="1" t="n">
        <v>5</v>
      </c>
      <c r="B300" s="1" t="n">
        <v>2</v>
      </c>
      <c r="C300" s="1" t="n">
        <v>3</v>
      </c>
      <c r="D300" s="107" t="s">
        <v>21</v>
      </c>
      <c r="E300" s="108" t="s">
        <v>205</v>
      </c>
      <c r="F300" s="86" t="s">
        <v>206</v>
      </c>
      <c r="G300" s="87" t="n">
        <f aca="false">SUM(G297:G299)</f>
        <v>17749.35</v>
      </c>
      <c r="H300" s="87" t="n">
        <f aca="false">SUM(H297:H299)</f>
        <v>25239.92</v>
      </c>
      <c r="I300" s="87" t="n">
        <f aca="false">SUM(I297:I299)</f>
        <v>26328</v>
      </c>
      <c r="J300" s="87" t="n">
        <f aca="false">SUM(J297:J299)</f>
        <v>37906.3</v>
      </c>
      <c r="K300" s="87" t="n">
        <f aca="false">SUM(K297:K299)</f>
        <v>16422</v>
      </c>
      <c r="L300" s="87" t="n">
        <f aca="false">SUM(L297:L299)</f>
        <v>0</v>
      </c>
      <c r="M300" s="87" t="n">
        <f aca="false">SUM(M297:M299)</f>
        <v>-1982</v>
      </c>
      <c r="N300" s="87" t="n">
        <f aca="false">SUM(N297:N299)</f>
        <v>-2000</v>
      </c>
      <c r="O300" s="87" t="n">
        <f aca="false">SUM(O297:O299)</f>
        <v>-9757</v>
      </c>
      <c r="P300" s="87" t="n">
        <f aca="false">SUM(P297:P299)</f>
        <v>2683</v>
      </c>
      <c r="Q300" s="87" t="n">
        <f aca="false">SUM(Q297:Q299)</f>
        <v>0</v>
      </c>
      <c r="R300" s="88" t="n">
        <f aca="false">Q300/$P300</f>
        <v>0</v>
      </c>
      <c r="S300" s="87" t="n">
        <f aca="false">SUM(S297:S299)</f>
        <v>888.44</v>
      </c>
      <c r="T300" s="88" t="n">
        <f aca="false">S300/$P300</f>
        <v>0.331136787178531</v>
      </c>
      <c r="U300" s="87" t="n">
        <f aca="false">SUM(U297:U299)</f>
        <v>2306</v>
      </c>
      <c r="V300" s="88" t="n">
        <f aca="false">U300/$P300</f>
        <v>0.859485650391353</v>
      </c>
      <c r="W300" s="87" t="n">
        <f aca="false">SUM(W297:W299)</f>
        <v>2682.93</v>
      </c>
      <c r="X300" s="88" t="n">
        <f aca="false">W300/$P300</f>
        <v>0.99997390980246</v>
      </c>
      <c r="Y300" s="87" t="n">
        <f aca="false">SUM(Y297:Y299)</f>
        <v>2217</v>
      </c>
      <c r="Z300" s="87" t="n">
        <f aca="false">SUM(Z297:Z299)</f>
        <v>0</v>
      </c>
    </row>
    <row r="301" customFormat="false" ht="12.8" hidden="false" customHeight="false" outlineLevel="0" collapsed="false">
      <c r="A301" s="1" t="n">
        <v>5</v>
      </c>
      <c r="B301" s="1" t="n">
        <v>2</v>
      </c>
      <c r="C301" s="1" t="n">
        <v>3</v>
      </c>
      <c r="D301" s="106" t="s">
        <v>203</v>
      </c>
      <c r="E301" s="10" t="n">
        <v>610</v>
      </c>
      <c r="F301" s="10" t="s">
        <v>121</v>
      </c>
      <c r="G301" s="11" t="n">
        <v>11297.46</v>
      </c>
      <c r="H301" s="11" t="n">
        <v>7034.37</v>
      </c>
      <c r="I301" s="11" t="n">
        <v>6590</v>
      </c>
      <c r="J301" s="11" t="n">
        <v>14361.67</v>
      </c>
      <c r="K301" s="11" t="n">
        <f aca="false">1856+7440</f>
        <v>9296</v>
      </c>
      <c r="L301" s="11" t="n">
        <v>-78</v>
      </c>
      <c r="M301" s="11" t="n">
        <v>887</v>
      </c>
      <c r="N301" s="11" t="n">
        <v>2000</v>
      </c>
      <c r="O301" s="11" t="n">
        <f aca="false">1390+970+34+1811</f>
        <v>4205</v>
      </c>
      <c r="P301" s="11" t="n">
        <f aca="false">K301+SUM(L301:O301)</f>
        <v>16310</v>
      </c>
      <c r="Q301" s="11" t="n">
        <v>5245.08</v>
      </c>
      <c r="R301" s="12" t="n">
        <f aca="false">Q301/$P301</f>
        <v>0.321586756591048</v>
      </c>
      <c r="S301" s="11" t="n">
        <v>7726.7</v>
      </c>
      <c r="T301" s="12" t="n">
        <f aca="false">S301/$P301</f>
        <v>0.473740036787247</v>
      </c>
      <c r="U301" s="11" t="n">
        <v>11782.72</v>
      </c>
      <c r="V301" s="12" t="n">
        <f aca="false">U301/$P301</f>
        <v>0.722423053341508</v>
      </c>
      <c r="W301" s="11" t="n">
        <v>16310.54</v>
      </c>
      <c r="X301" s="12" t="n">
        <f aca="false">W301/$P301</f>
        <v>1.00003310852238</v>
      </c>
      <c r="Y301" s="11" t="n">
        <f aca="false">465*4</f>
        <v>1860</v>
      </c>
      <c r="Z301" s="11" t="n">
        <v>0</v>
      </c>
    </row>
    <row r="302" customFormat="false" ht="12.8" hidden="false" customHeight="false" outlineLevel="0" collapsed="false">
      <c r="A302" s="1" t="n">
        <v>5</v>
      </c>
      <c r="B302" s="1" t="n">
        <v>2</v>
      </c>
      <c r="C302" s="1" t="n">
        <v>3</v>
      </c>
      <c r="D302" s="106"/>
      <c r="E302" s="10" t="n">
        <v>620</v>
      </c>
      <c r="F302" s="10" t="s">
        <v>122</v>
      </c>
      <c r="G302" s="11" t="n">
        <v>4209.94</v>
      </c>
      <c r="H302" s="11" t="n">
        <v>2496.76</v>
      </c>
      <c r="I302" s="11" t="n">
        <v>2061</v>
      </c>
      <c r="J302" s="11" t="n">
        <v>4903.17</v>
      </c>
      <c r="K302" s="11" t="n">
        <v>3249</v>
      </c>
      <c r="L302" s="11"/>
      <c r="M302" s="11" t="n">
        <v>-985</v>
      </c>
      <c r="N302" s="11"/>
      <c r="O302" s="11" t="n">
        <f aca="false">725-34+471</f>
        <v>1162</v>
      </c>
      <c r="P302" s="11" t="n">
        <f aca="false">K302+SUM(L302:O302)</f>
        <v>3426</v>
      </c>
      <c r="Q302" s="11" t="n">
        <v>1824.95</v>
      </c>
      <c r="R302" s="12" t="n">
        <f aca="false">Q302/$P302</f>
        <v>0.532676590776416</v>
      </c>
      <c r="S302" s="11" t="n">
        <v>1824.95</v>
      </c>
      <c r="T302" s="12" t="n">
        <f aca="false">S302/$P302</f>
        <v>0.532676590776416</v>
      </c>
      <c r="U302" s="11" t="n">
        <v>1824.95</v>
      </c>
      <c r="V302" s="12" t="n">
        <f aca="false">U302/$P302</f>
        <v>0.532676590776416</v>
      </c>
      <c r="W302" s="11" t="n">
        <v>3083.15</v>
      </c>
      <c r="X302" s="12" t="n">
        <f aca="false">W302/$P302</f>
        <v>0.899927028604787</v>
      </c>
      <c r="Y302" s="11" t="n">
        <v>0</v>
      </c>
      <c r="Z302" s="11" t="n">
        <v>0</v>
      </c>
    </row>
    <row r="303" customFormat="false" ht="12.8" hidden="false" customHeight="false" outlineLevel="0" collapsed="false">
      <c r="A303" s="1" t="n">
        <v>5</v>
      </c>
      <c r="B303" s="1" t="n">
        <v>2</v>
      </c>
      <c r="C303" s="1" t="n">
        <v>3</v>
      </c>
      <c r="D303" s="106"/>
      <c r="E303" s="10" t="n">
        <v>630</v>
      </c>
      <c r="F303" s="10" t="s">
        <v>123</v>
      </c>
      <c r="G303" s="11" t="n">
        <v>2082.57</v>
      </c>
      <c r="H303" s="11" t="n">
        <v>2845.57</v>
      </c>
      <c r="I303" s="11" t="n">
        <v>2994</v>
      </c>
      <c r="J303" s="11" t="n">
        <v>5336.29</v>
      </c>
      <c r="K303" s="11" t="n">
        <v>2450</v>
      </c>
      <c r="L303" s="11"/>
      <c r="M303" s="11" t="n">
        <v>-568</v>
      </c>
      <c r="N303" s="11" t="n">
        <v>-108</v>
      </c>
      <c r="O303" s="11" t="n">
        <v>-337</v>
      </c>
      <c r="P303" s="11" t="n">
        <f aca="false">K303+SUM(L303:O303)</f>
        <v>1437</v>
      </c>
      <c r="Q303" s="11" t="n">
        <v>65.85</v>
      </c>
      <c r="R303" s="12" t="n">
        <f aca="false">Q303/$P303</f>
        <v>0.0458246346555324</v>
      </c>
      <c r="S303" s="11" t="n">
        <v>518.41</v>
      </c>
      <c r="T303" s="12" t="n">
        <f aca="false">S303/$P303</f>
        <v>0.360758524704245</v>
      </c>
      <c r="U303" s="11" t="n">
        <v>1049.5</v>
      </c>
      <c r="V303" s="12" t="n">
        <f aca="false">U303/$P303</f>
        <v>0.730340988169798</v>
      </c>
      <c r="W303" s="11" t="n">
        <v>1437.46</v>
      </c>
      <c r="X303" s="12" t="n">
        <f aca="false">W303/$P303</f>
        <v>1.00032011134308</v>
      </c>
      <c r="Y303" s="11" t="n">
        <v>540</v>
      </c>
      <c r="Z303" s="11" t="n">
        <v>0</v>
      </c>
    </row>
    <row r="304" customFormat="false" ht="12.8" hidden="false" customHeight="false" outlineLevel="0" collapsed="false">
      <c r="A304" s="1" t="n">
        <v>5</v>
      </c>
      <c r="B304" s="1" t="n">
        <v>2</v>
      </c>
      <c r="C304" s="1" t="n">
        <v>3</v>
      </c>
      <c r="D304" s="106"/>
      <c r="E304" s="10" t="n">
        <v>640</v>
      </c>
      <c r="F304" s="10" t="s">
        <v>124</v>
      </c>
      <c r="G304" s="11" t="n">
        <v>88.99</v>
      </c>
      <c r="H304" s="11" t="n">
        <v>0</v>
      </c>
      <c r="I304" s="11" t="n">
        <v>0</v>
      </c>
      <c r="J304" s="11" t="n">
        <v>136.78</v>
      </c>
      <c r="K304" s="11" t="n">
        <v>0</v>
      </c>
      <c r="L304" s="11" t="n">
        <v>78</v>
      </c>
      <c r="M304" s="11"/>
      <c r="N304" s="11" t="n">
        <v>108</v>
      </c>
      <c r="O304" s="11"/>
      <c r="P304" s="11" t="n">
        <f aca="false">K304+SUM(L304:O304)</f>
        <v>186</v>
      </c>
      <c r="Q304" s="11" t="n">
        <v>78.43</v>
      </c>
      <c r="R304" s="12" t="n">
        <f aca="false">Q304/$P304</f>
        <v>0.421666666666667</v>
      </c>
      <c r="S304" s="11" t="n">
        <v>78.43</v>
      </c>
      <c r="T304" s="12" t="n">
        <f aca="false">S304/$P304</f>
        <v>0.421666666666667</v>
      </c>
      <c r="U304" s="11" t="n">
        <v>78.43</v>
      </c>
      <c r="V304" s="12" t="n">
        <f aca="false">U304/$P304</f>
        <v>0.421666666666667</v>
      </c>
      <c r="W304" s="11" t="n">
        <v>186.38</v>
      </c>
      <c r="X304" s="12" t="n">
        <f aca="false">W304/$P304</f>
        <v>1.00204301075269</v>
      </c>
      <c r="Y304" s="11" t="n">
        <v>0</v>
      </c>
      <c r="Z304" s="11" t="n">
        <v>0</v>
      </c>
    </row>
    <row r="305" customFormat="false" ht="12.8" hidden="false" customHeight="false" outlineLevel="0" collapsed="false">
      <c r="A305" s="1" t="n">
        <v>5</v>
      </c>
      <c r="B305" s="1" t="n">
        <v>2</v>
      </c>
      <c r="C305" s="1" t="n">
        <v>3</v>
      </c>
      <c r="D305" s="107" t="s">
        <v>21</v>
      </c>
      <c r="E305" s="86" t="n">
        <v>41</v>
      </c>
      <c r="F305" s="86" t="s">
        <v>23</v>
      </c>
      <c r="G305" s="87" t="n">
        <f aca="false">SUM(G301:G304)</f>
        <v>17678.96</v>
      </c>
      <c r="H305" s="87" t="n">
        <f aca="false">SUM(H301:H304)</f>
        <v>12376.7</v>
      </c>
      <c r="I305" s="87" t="n">
        <f aca="false">SUM(I301:I304)</f>
        <v>11645</v>
      </c>
      <c r="J305" s="87" t="n">
        <f aca="false">SUM(J301:J304)</f>
        <v>24737.91</v>
      </c>
      <c r="K305" s="87" t="n">
        <f aca="false">SUM(K301:K304)</f>
        <v>14995</v>
      </c>
      <c r="L305" s="87" t="n">
        <f aca="false">SUM(L301:L304)</f>
        <v>0</v>
      </c>
      <c r="M305" s="87" t="n">
        <f aca="false">SUM(M301:M304)</f>
        <v>-666</v>
      </c>
      <c r="N305" s="87" t="n">
        <f aca="false">SUM(N301:N304)</f>
        <v>2000</v>
      </c>
      <c r="O305" s="87" t="n">
        <f aca="false">SUM(O301:O304)</f>
        <v>5030</v>
      </c>
      <c r="P305" s="87" t="n">
        <f aca="false">SUM(P301:P304)</f>
        <v>21359</v>
      </c>
      <c r="Q305" s="87" t="n">
        <f aca="false">SUM(Q301:Q304)</f>
        <v>7214.31</v>
      </c>
      <c r="R305" s="88" t="n">
        <f aca="false">Q305/$P305</f>
        <v>0.337764408446088</v>
      </c>
      <c r="S305" s="87" t="n">
        <f aca="false">SUM(S301:S304)</f>
        <v>10148.49</v>
      </c>
      <c r="T305" s="88" t="n">
        <f aca="false">S305/$P305</f>
        <v>0.475138817360363</v>
      </c>
      <c r="U305" s="87" t="n">
        <f aca="false">SUM(U301:U304)</f>
        <v>14735.6</v>
      </c>
      <c r="V305" s="88" t="n">
        <f aca="false">U305/$P305</f>
        <v>0.689901212603586</v>
      </c>
      <c r="W305" s="87" t="n">
        <f aca="false">SUM(W301:W304)</f>
        <v>21017.53</v>
      </c>
      <c r="X305" s="88" t="n">
        <f aca="false">W305/$P305</f>
        <v>0.984012828315932</v>
      </c>
      <c r="Y305" s="87" t="n">
        <f aca="false">SUM(Y301:Y304)</f>
        <v>2400</v>
      </c>
      <c r="Z305" s="87" t="n">
        <f aca="false">SUM(Z301:Z304)</f>
        <v>0</v>
      </c>
    </row>
    <row r="306" customFormat="false" ht="12.8" hidden="false" customHeight="false" outlineLevel="0" collapsed="false">
      <c r="D306" s="18"/>
      <c r="E306" s="19"/>
      <c r="F306" s="14" t="s">
        <v>116</v>
      </c>
      <c r="G306" s="15" t="n">
        <f aca="false">G300+G305</f>
        <v>35428.31</v>
      </c>
      <c r="H306" s="15" t="n">
        <f aca="false">H300+H305</f>
        <v>37616.62</v>
      </c>
      <c r="I306" s="15" t="n">
        <f aca="false">I300+I305</f>
        <v>37973</v>
      </c>
      <c r="J306" s="15" t="n">
        <f aca="false">J300+J305</f>
        <v>62644.21</v>
      </c>
      <c r="K306" s="15" t="n">
        <f aca="false">K300+K305</f>
        <v>31417</v>
      </c>
      <c r="L306" s="15" t="n">
        <f aca="false">L300+L305</f>
        <v>0</v>
      </c>
      <c r="M306" s="15" t="n">
        <f aca="false">M300+M305</f>
        <v>-2648</v>
      </c>
      <c r="N306" s="15" t="n">
        <f aca="false">N300+N305</f>
        <v>0</v>
      </c>
      <c r="O306" s="15" t="n">
        <f aca="false">O300+O305</f>
        <v>-4727</v>
      </c>
      <c r="P306" s="15" t="n">
        <f aca="false">P300+P305</f>
        <v>24042</v>
      </c>
      <c r="Q306" s="15" t="n">
        <f aca="false">Q300+Q305</f>
        <v>7214.31</v>
      </c>
      <c r="R306" s="16" t="n">
        <f aca="false">Q306/$P306</f>
        <v>0.300071125530322</v>
      </c>
      <c r="S306" s="15" t="n">
        <f aca="false">S300+S305</f>
        <v>11036.93</v>
      </c>
      <c r="T306" s="16" t="n">
        <f aca="false">S306/$P306</f>
        <v>0.459068713085434</v>
      </c>
      <c r="U306" s="15" t="n">
        <f aca="false">U300+U305</f>
        <v>17041.6</v>
      </c>
      <c r="V306" s="16" t="n">
        <f aca="false">U306/$P306</f>
        <v>0.708826220780301</v>
      </c>
      <c r="W306" s="15" t="n">
        <f aca="false">W300+W305</f>
        <v>23700.46</v>
      </c>
      <c r="X306" s="16" t="n">
        <f aca="false">W306/$P306</f>
        <v>0.985794027119208</v>
      </c>
      <c r="Y306" s="15" t="n">
        <f aca="false">Y300+Y305</f>
        <v>4617</v>
      </c>
      <c r="Z306" s="15" t="n">
        <f aca="false">Z300+Z305</f>
        <v>0</v>
      </c>
    </row>
    <row r="308" customFormat="false" ht="12.8" hidden="false" customHeight="false" outlineLevel="0" collapsed="false">
      <c r="D308" s="20" t="s">
        <v>207</v>
      </c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1"/>
      <c r="S308" s="20"/>
      <c r="T308" s="21"/>
      <c r="U308" s="20"/>
      <c r="V308" s="21"/>
      <c r="W308" s="20"/>
      <c r="X308" s="21"/>
      <c r="Y308" s="20"/>
      <c r="Z308" s="20"/>
    </row>
    <row r="309" customFormat="false" ht="12.8" hidden="false" customHeight="false" outlineLevel="0" collapsed="false">
      <c r="D309" s="6"/>
      <c r="E309" s="6"/>
      <c r="F309" s="6"/>
      <c r="G309" s="7" t="s">
        <v>1</v>
      </c>
      <c r="H309" s="7" t="s">
        <v>2</v>
      </c>
      <c r="I309" s="7" t="s">
        <v>3</v>
      </c>
      <c r="J309" s="7" t="s">
        <v>4</v>
      </c>
      <c r="K309" s="7" t="s">
        <v>5</v>
      </c>
      <c r="L309" s="7" t="s">
        <v>6</v>
      </c>
      <c r="M309" s="7" t="s">
        <v>7</v>
      </c>
      <c r="N309" s="7" t="s">
        <v>8</v>
      </c>
      <c r="O309" s="7" t="s">
        <v>9</v>
      </c>
      <c r="P309" s="7" t="s">
        <v>10</v>
      </c>
      <c r="Q309" s="7" t="s">
        <v>11</v>
      </c>
      <c r="R309" s="8" t="s">
        <v>12</v>
      </c>
      <c r="S309" s="7" t="s">
        <v>13</v>
      </c>
      <c r="T309" s="8" t="s">
        <v>14</v>
      </c>
      <c r="U309" s="7" t="s">
        <v>15</v>
      </c>
      <c r="V309" s="8" t="s">
        <v>16</v>
      </c>
      <c r="W309" s="7" t="s">
        <v>17</v>
      </c>
      <c r="X309" s="8" t="s">
        <v>18</v>
      </c>
      <c r="Y309" s="7" t="s">
        <v>19</v>
      </c>
      <c r="Z309" s="7" t="s">
        <v>20</v>
      </c>
    </row>
    <row r="310" customFormat="false" ht="12.8" hidden="false" customHeight="false" outlineLevel="0" collapsed="false">
      <c r="A310" s="1" t="n">
        <v>6</v>
      </c>
      <c r="D310" s="22" t="s">
        <v>21</v>
      </c>
      <c r="E310" s="23" t="n">
        <v>41</v>
      </c>
      <c r="F310" s="23" t="s">
        <v>23</v>
      </c>
      <c r="G310" s="24" t="n">
        <f aca="false">G316+G339+G374</f>
        <v>69040.48</v>
      </c>
      <c r="H310" s="24" t="n">
        <f aca="false">H316+H339+H374</f>
        <v>50038.47</v>
      </c>
      <c r="I310" s="24" t="n">
        <f aca="false">I316+I339+I374</f>
        <v>44400</v>
      </c>
      <c r="J310" s="24" t="n">
        <f aca="false">J316+J339+J374</f>
        <v>34403.53</v>
      </c>
      <c r="K310" s="24" t="n">
        <f aca="false">K316+K339+K374</f>
        <v>46590</v>
      </c>
      <c r="L310" s="24" t="n">
        <f aca="false">L316+L339+L374</f>
        <v>0</v>
      </c>
      <c r="M310" s="24" t="n">
        <f aca="false">M316+M339+M374</f>
        <v>524</v>
      </c>
      <c r="N310" s="24" t="n">
        <f aca="false">N316+N339+N374</f>
        <v>338</v>
      </c>
      <c r="O310" s="24" t="n">
        <f aca="false">O316+O339+O374</f>
        <v>-130</v>
      </c>
      <c r="P310" s="24" t="n">
        <f aca="false">P316+P339+P374</f>
        <v>47322</v>
      </c>
      <c r="Q310" s="24" t="n">
        <f aca="false">Q316+Q339+Q374</f>
        <v>16024.98</v>
      </c>
      <c r="R310" s="25" t="n">
        <f aca="false">Q310/$P310</f>
        <v>0.338636997590972</v>
      </c>
      <c r="S310" s="24" t="n">
        <f aca="false">S316+S339+S374</f>
        <v>20217.21</v>
      </c>
      <c r="T310" s="25" t="n">
        <f aca="false">S310/$P310</f>
        <v>0.427226448586281</v>
      </c>
      <c r="U310" s="24" t="n">
        <f aca="false">U316+U339+U374</f>
        <v>41626.86</v>
      </c>
      <c r="V310" s="25" t="n">
        <f aca="false">U310/$P310</f>
        <v>0.879651324965132</v>
      </c>
      <c r="W310" s="24" t="n">
        <f aca="false">W316+W339+W374</f>
        <v>45905.89</v>
      </c>
      <c r="X310" s="25" t="n">
        <f aca="false">W310/$P310</f>
        <v>0.970075017962047</v>
      </c>
      <c r="Y310" s="24" t="n">
        <f aca="false">Y316+Y339+Y374</f>
        <v>34730</v>
      </c>
      <c r="Z310" s="24" t="n">
        <f aca="false">Z316+Z339+Z374</f>
        <v>34730</v>
      </c>
    </row>
    <row r="311" customFormat="false" ht="12.8" hidden="false" customHeight="false" outlineLevel="0" collapsed="false">
      <c r="D311" s="18"/>
      <c r="E311" s="19"/>
      <c r="F311" s="27" t="s">
        <v>116</v>
      </c>
      <c r="G311" s="28" t="n">
        <f aca="false">SUM(G310:G310)</f>
        <v>69040.48</v>
      </c>
      <c r="H311" s="28" t="n">
        <f aca="false">SUM(H310:H310)</f>
        <v>50038.47</v>
      </c>
      <c r="I311" s="28" t="n">
        <f aca="false">SUM(I310:I310)</f>
        <v>44400</v>
      </c>
      <c r="J311" s="28" t="n">
        <f aca="false">SUM(J310:J310)</f>
        <v>34403.53</v>
      </c>
      <c r="K311" s="28" t="n">
        <f aca="false">SUM(K310:K310)</f>
        <v>46590</v>
      </c>
      <c r="L311" s="28" t="n">
        <f aca="false">SUM(L310:L310)</f>
        <v>0</v>
      </c>
      <c r="M311" s="28" t="n">
        <f aca="false">SUM(M310:M310)</f>
        <v>524</v>
      </c>
      <c r="N311" s="28" t="n">
        <f aca="false">SUM(N310:N310)</f>
        <v>338</v>
      </c>
      <c r="O311" s="28" t="n">
        <f aca="false">SUM(O310:O310)</f>
        <v>-130</v>
      </c>
      <c r="P311" s="28" t="n">
        <f aca="false">SUM(P310:P310)</f>
        <v>47322</v>
      </c>
      <c r="Q311" s="28" t="n">
        <f aca="false">SUM(Q310:Q310)</f>
        <v>16024.98</v>
      </c>
      <c r="R311" s="29" t="n">
        <f aca="false">Q311/$P311</f>
        <v>0.338636997590972</v>
      </c>
      <c r="S311" s="28" t="n">
        <f aca="false">SUM(S310:S310)</f>
        <v>20217.21</v>
      </c>
      <c r="T311" s="29" t="n">
        <f aca="false">S311/$P311</f>
        <v>0.427226448586281</v>
      </c>
      <c r="U311" s="28" t="n">
        <f aca="false">SUM(U310:U310)</f>
        <v>41626.86</v>
      </c>
      <c r="V311" s="29" t="n">
        <f aca="false">U311/$P311</f>
        <v>0.879651324965132</v>
      </c>
      <c r="W311" s="28" t="n">
        <f aca="false">SUM(W310:W310)</f>
        <v>45905.89</v>
      </c>
      <c r="X311" s="29" t="n">
        <f aca="false">W311/$P311</f>
        <v>0.970075017962047</v>
      </c>
      <c r="Y311" s="28" t="n">
        <f aca="false">SUM(Y310:Y310)</f>
        <v>34730</v>
      </c>
      <c r="Z311" s="28" t="n">
        <f aca="false">SUM(Z310:Z310)</f>
        <v>34730</v>
      </c>
    </row>
    <row r="313" customFormat="false" ht="12.8" hidden="false" customHeight="false" outlineLevel="0" collapsed="false">
      <c r="D313" s="31" t="s">
        <v>208</v>
      </c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2"/>
      <c r="S313" s="31"/>
      <c r="T313" s="32"/>
      <c r="U313" s="31"/>
      <c r="V313" s="32"/>
      <c r="W313" s="31"/>
      <c r="X313" s="32"/>
      <c r="Y313" s="31"/>
      <c r="Z313" s="31"/>
    </row>
    <row r="314" customFormat="false" ht="12.8" hidden="false" customHeight="false" outlineLevel="0" collapsed="false">
      <c r="D314" s="105"/>
      <c r="E314" s="105"/>
      <c r="F314" s="105"/>
      <c r="G314" s="7" t="s">
        <v>1</v>
      </c>
      <c r="H314" s="7" t="s">
        <v>2</v>
      </c>
      <c r="I314" s="7" t="s">
        <v>3</v>
      </c>
      <c r="J314" s="7" t="s">
        <v>4</v>
      </c>
      <c r="K314" s="7" t="s">
        <v>5</v>
      </c>
      <c r="L314" s="7" t="s">
        <v>6</v>
      </c>
      <c r="M314" s="7" t="s">
        <v>7</v>
      </c>
      <c r="N314" s="7" t="s">
        <v>8</v>
      </c>
      <c r="O314" s="7" t="s">
        <v>9</v>
      </c>
      <c r="P314" s="7" t="s">
        <v>10</v>
      </c>
      <c r="Q314" s="7" t="s">
        <v>11</v>
      </c>
      <c r="R314" s="8" t="s">
        <v>12</v>
      </c>
      <c r="S314" s="7" t="s">
        <v>13</v>
      </c>
      <c r="T314" s="8" t="s">
        <v>14</v>
      </c>
      <c r="U314" s="7" t="s">
        <v>15</v>
      </c>
      <c r="V314" s="8" t="s">
        <v>16</v>
      </c>
      <c r="W314" s="7" t="s">
        <v>17</v>
      </c>
      <c r="X314" s="8" t="s">
        <v>18</v>
      </c>
      <c r="Y314" s="7" t="s">
        <v>19</v>
      </c>
      <c r="Z314" s="7" t="s">
        <v>20</v>
      </c>
    </row>
    <row r="315" customFormat="false" ht="12.8" hidden="false" customHeight="false" outlineLevel="0" collapsed="false">
      <c r="A315" s="1" t="n">
        <v>6</v>
      </c>
      <c r="B315" s="1" t="n">
        <v>1</v>
      </c>
      <c r="D315" s="33" t="s">
        <v>21</v>
      </c>
      <c r="E315" s="10" t="n">
        <v>41</v>
      </c>
      <c r="F315" s="10" t="s">
        <v>23</v>
      </c>
      <c r="G315" s="11" t="n">
        <f aca="false">G324+G329</f>
        <v>23331.76</v>
      </c>
      <c r="H315" s="11" t="n">
        <f aca="false">H324+H329</f>
        <v>23164.29</v>
      </c>
      <c r="I315" s="11" t="n">
        <f aca="false">I324+I329</f>
        <v>11000</v>
      </c>
      <c r="J315" s="11" t="n">
        <f aca="false">J324+J329</f>
        <v>10380.96</v>
      </c>
      <c r="K315" s="11" t="n">
        <f aca="false">K324+K329</f>
        <v>9159</v>
      </c>
      <c r="L315" s="11" t="n">
        <f aca="false">L324+L329</f>
        <v>0</v>
      </c>
      <c r="M315" s="11" t="n">
        <f aca="false">M324+M329</f>
        <v>300</v>
      </c>
      <c r="N315" s="11" t="n">
        <f aca="false">N324+N329</f>
        <v>0</v>
      </c>
      <c r="O315" s="11" t="n">
        <f aca="false">O324+O329</f>
        <v>0</v>
      </c>
      <c r="P315" s="11" t="n">
        <f aca="false">P324+P329</f>
        <v>9459</v>
      </c>
      <c r="Q315" s="11" t="n">
        <f aca="false">Q324+Q329</f>
        <v>5048</v>
      </c>
      <c r="R315" s="12" t="n">
        <f aca="false">Q315/$P315</f>
        <v>0.533671635479438</v>
      </c>
      <c r="S315" s="11" t="n">
        <f aca="false">S324+S329</f>
        <v>6370.25</v>
      </c>
      <c r="T315" s="12" t="n">
        <f aca="false">S315/$P315</f>
        <v>0.673459139443916</v>
      </c>
      <c r="U315" s="11" t="n">
        <f aca="false">U324+U329</f>
        <v>7662.26</v>
      </c>
      <c r="V315" s="12" t="n">
        <f aca="false">U315/$P315</f>
        <v>0.810049688127709</v>
      </c>
      <c r="W315" s="11" t="n">
        <f aca="false">W324+W329</f>
        <v>8284.26</v>
      </c>
      <c r="X315" s="12" t="n">
        <f aca="false">W315/$P315</f>
        <v>0.875807167776721</v>
      </c>
      <c r="Y315" s="11" t="n">
        <f aca="false">Y324+Y329</f>
        <v>10309</v>
      </c>
      <c r="Z315" s="11" t="n">
        <f aca="false">Z324+Z329</f>
        <v>10309</v>
      </c>
    </row>
    <row r="316" customFormat="false" ht="12.8" hidden="false" customHeight="false" outlineLevel="0" collapsed="false">
      <c r="A316" s="1" t="n">
        <v>6</v>
      </c>
      <c r="B316" s="1" t="n">
        <v>1</v>
      </c>
      <c r="D316" s="18"/>
      <c r="E316" s="19"/>
      <c r="F316" s="14" t="s">
        <v>116</v>
      </c>
      <c r="G316" s="15" t="n">
        <f aca="false">SUM(G315:G315)</f>
        <v>23331.76</v>
      </c>
      <c r="H316" s="15" t="n">
        <f aca="false">SUM(H315:H315)</f>
        <v>23164.29</v>
      </c>
      <c r="I316" s="15" t="n">
        <f aca="false">SUM(I315:I315)</f>
        <v>11000</v>
      </c>
      <c r="J316" s="15" t="n">
        <f aca="false">SUM(J315:J315)</f>
        <v>10380.96</v>
      </c>
      <c r="K316" s="15" t="n">
        <f aca="false">SUM(K315:K315)</f>
        <v>9159</v>
      </c>
      <c r="L316" s="15" t="n">
        <f aca="false">SUM(L315:L315)</f>
        <v>0</v>
      </c>
      <c r="M316" s="15" t="n">
        <f aca="false">SUM(M315:M315)</f>
        <v>300</v>
      </c>
      <c r="N316" s="15" t="n">
        <f aca="false">SUM(N315:N315)</f>
        <v>0</v>
      </c>
      <c r="O316" s="15" t="n">
        <f aca="false">SUM(O315:O315)</f>
        <v>0</v>
      </c>
      <c r="P316" s="15" t="n">
        <f aca="false">SUM(P315:P315)</f>
        <v>9459</v>
      </c>
      <c r="Q316" s="15" t="n">
        <f aca="false">SUM(Q315:Q315)</f>
        <v>5048</v>
      </c>
      <c r="R316" s="16" t="n">
        <f aca="false">Q316/$P316</f>
        <v>0.533671635479438</v>
      </c>
      <c r="S316" s="15" t="n">
        <f aca="false">SUM(S315:S315)</f>
        <v>6370.25</v>
      </c>
      <c r="T316" s="16" t="n">
        <f aca="false">S316/$P316</f>
        <v>0.673459139443916</v>
      </c>
      <c r="U316" s="15" t="n">
        <f aca="false">SUM(U315:U315)</f>
        <v>7662.26</v>
      </c>
      <c r="V316" s="16" t="n">
        <f aca="false">U316/$P316</f>
        <v>0.810049688127709</v>
      </c>
      <c r="W316" s="15" t="n">
        <f aca="false">SUM(W315:W315)</f>
        <v>8284.26</v>
      </c>
      <c r="X316" s="16" t="n">
        <f aca="false">W316/$P316</f>
        <v>0.875807167776721</v>
      </c>
      <c r="Y316" s="15" t="n">
        <f aca="false">SUM(Y315:Y315)</f>
        <v>10309</v>
      </c>
      <c r="Z316" s="15" t="n">
        <f aca="false">SUM(Z315:Z315)</f>
        <v>10309</v>
      </c>
    </row>
    <row r="318" customFormat="false" ht="12.8" hidden="false" customHeight="false" outlineLevel="0" collapsed="false">
      <c r="D318" s="66" t="s">
        <v>209</v>
      </c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7"/>
      <c r="S318" s="66"/>
      <c r="T318" s="67"/>
      <c r="U318" s="66"/>
      <c r="V318" s="67"/>
      <c r="W318" s="66"/>
      <c r="X318" s="67"/>
      <c r="Y318" s="66"/>
      <c r="Z318" s="66"/>
    </row>
    <row r="319" customFormat="false" ht="12.8" hidden="false" customHeight="false" outlineLevel="0" collapsed="false">
      <c r="D319" s="7" t="s">
        <v>33</v>
      </c>
      <c r="E319" s="7" t="s">
        <v>34</v>
      </c>
      <c r="F319" s="7" t="s">
        <v>35</v>
      </c>
      <c r="G319" s="7" t="s">
        <v>1</v>
      </c>
      <c r="H319" s="7" t="s">
        <v>2</v>
      </c>
      <c r="I319" s="7" t="s">
        <v>3</v>
      </c>
      <c r="J319" s="7" t="s">
        <v>4</v>
      </c>
      <c r="K319" s="7" t="s">
        <v>5</v>
      </c>
      <c r="L319" s="7" t="s">
        <v>6</v>
      </c>
      <c r="M319" s="7" t="s">
        <v>7</v>
      </c>
      <c r="N319" s="7" t="s">
        <v>8</v>
      </c>
      <c r="O319" s="7" t="s">
        <v>9</v>
      </c>
      <c r="P319" s="7" t="s">
        <v>10</v>
      </c>
      <c r="Q319" s="7" t="s">
        <v>11</v>
      </c>
      <c r="R319" s="8" t="s">
        <v>12</v>
      </c>
      <c r="S319" s="7" t="s">
        <v>13</v>
      </c>
      <c r="T319" s="8" t="s">
        <v>14</v>
      </c>
      <c r="U319" s="7" t="s">
        <v>15</v>
      </c>
      <c r="V319" s="8" t="s">
        <v>16</v>
      </c>
      <c r="W319" s="7" t="s">
        <v>17</v>
      </c>
      <c r="X319" s="8" t="s">
        <v>18</v>
      </c>
      <c r="Y319" s="7" t="s">
        <v>19</v>
      </c>
      <c r="Z319" s="7" t="s">
        <v>20</v>
      </c>
    </row>
    <row r="320" customFormat="false" ht="12.8" hidden="false" customHeight="false" outlineLevel="0" collapsed="false">
      <c r="A320" s="1" t="n">
        <v>6</v>
      </c>
      <c r="B320" s="1" t="n">
        <v>1</v>
      </c>
      <c r="C320" s="1" t="n">
        <v>1</v>
      </c>
      <c r="D320" s="36" t="s">
        <v>210</v>
      </c>
      <c r="E320" s="10" t="n">
        <v>610</v>
      </c>
      <c r="F320" s="10" t="s">
        <v>121</v>
      </c>
      <c r="G320" s="11" t="n">
        <v>7700.41</v>
      </c>
      <c r="H320" s="11" t="n">
        <v>2414.62</v>
      </c>
      <c r="I320" s="11" t="n">
        <v>0</v>
      </c>
      <c r="J320" s="11" t="n">
        <v>0</v>
      </c>
      <c r="K320" s="11" t="n">
        <v>0</v>
      </c>
      <c r="L320" s="11"/>
      <c r="M320" s="11"/>
      <c r="N320" s="11"/>
      <c r="O320" s="11"/>
      <c r="P320" s="11" t="n">
        <f aca="false">K320+SUM(L320:O320)</f>
        <v>0</v>
      </c>
      <c r="Q320" s="11" t="n">
        <v>0</v>
      </c>
      <c r="R320" s="12" t="e">
        <f aca="false">Q320/$P320</f>
        <v>#DIV/0!</v>
      </c>
      <c r="S320" s="11" t="n">
        <v>0</v>
      </c>
      <c r="T320" s="12" t="e">
        <f aca="false">S320/$P320</f>
        <v>#DIV/0!</v>
      </c>
      <c r="U320" s="11" t="n">
        <v>0</v>
      </c>
      <c r="V320" s="12" t="e">
        <f aca="false">U320/$P320</f>
        <v>#DIV/0!</v>
      </c>
      <c r="W320" s="11" t="n">
        <v>0</v>
      </c>
      <c r="X320" s="12" t="e">
        <f aca="false">W320/$P320</f>
        <v>#DIV/0!</v>
      </c>
      <c r="Y320" s="11" t="n">
        <f aca="false">I320</f>
        <v>0</v>
      </c>
      <c r="Z320" s="11" t="n">
        <f aca="false">Y320</f>
        <v>0</v>
      </c>
    </row>
    <row r="321" customFormat="false" ht="12.8" hidden="false" customHeight="false" outlineLevel="0" collapsed="false">
      <c r="A321" s="1" t="n">
        <v>6</v>
      </c>
      <c r="B321" s="1" t="n">
        <v>1</v>
      </c>
      <c r="C321" s="1" t="n">
        <v>1</v>
      </c>
      <c r="D321" s="36"/>
      <c r="E321" s="10" t="n">
        <v>620</v>
      </c>
      <c r="F321" s="10" t="s">
        <v>122</v>
      </c>
      <c r="G321" s="11" t="n">
        <v>3208.26</v>
      </c>
      <c r="H321" s="11" t="n">
        <v>1550.51</v>
      </c>
      <c r="I321" s="11" t="n">
        <v>0</v>
      </c>
      <c r="J321" s="11" t="n">
        <v>108.36</v>
      </c>
      <c r="K321" s="11" t="n">
        <v>0</v>
      </c>
      <c r="L321" s="11"/>
      <c r="M321" s="11"/>
      <c r="N321" s="11"/>
      <c r="O321" s="11"/>
      <c r="P321" s="11" t="n">
        <f aca="false">K321+SUM(L321:O321)</f>
        <v>0</v>
      </c>
      <c r="Q321" s="11" t="n">
        <v>0</v>
      </c>
      <c r="R321" s="12" t="e">
        <f aca="false">Q321/$P321</f>
        <v>#DIV/0!</v>
      </c>
      <c r="S321" s="11" t="n">
        <v>0</v>
      </c>
      <c r="T321" s="12" t="e">
        <f aca="false">S321/$P321</f>
        <v>#DIV/0!</v>
      </c>
      <c r="U321" s="11" t="n">
        <v>0</v>
      </c>
      <c r="V321" s="12" t="e">
        <f aca="false">U321/$P321</f>
        <v>#DIV/0!</v>
      </c>
      <c r="W321" s="11" t="n">
        <v>0</v>
      </c>
      <c r="X321" s="12" t="e">
        <f aca="false">W321/$P321</f>
        <v>#DIV/0!</v>
      </c>
      <c r="Y321" s="11" t="n">
        <f aca="false">I321</f>
        <v>0</v>
      </c>
      <c r="Z321" s="11" t="n">
        <f aca="false">Y321</f>
        <v>0</v>
      </c>
    </row>
    <row r="322" customFormat="false" ht="12.8" hidden="false" customHeight="false" outlineLevel="0" collapsed="false">
      <c r="A322" s="1" t="n">
        <v>6</v>
      </c>
      <c r="B322" s="1" t="n">
        <v>1</v>
      </c>
      <c r="C322" s="1" t="n">
        <v>1</v>
      </c>
      <c r="D322" s="36"/>
      <c r="E322" s="10" t="n">
        <v>630</v>
      </c>
      <c r="F322" s="10" t="s">
        <v>123</v>
      </c>
      <c r="G322" s="11" t="n">
        <v>9555.19</v>
      </c>
      <c r="H322" s="11" t="n">
        <v>14318.22</v>
      </c>
      <c r="I322" s="11" t="n">
        <f aca="false">1300+2500</f>
        <v>3800</v>
      </c>
      <c r="J322" s="11" t="n">
        <v>4964.81</v>
      </c>
      <c r="K322" s="11" t="n">
        <f aca="false">3800-1505+814</f>
        <v>3109</v>
      </c>
      <c r="L322" s="11"/>
      <c r="M322" s="11" t="n">
        <v>300</v>
      </c>
      <c r="N322" s="11"/>
      <c r="O322" s="11"/>
      <c r="P322" s="11" t="n">
        <f aca="false">K322+SUM(L322:O322)</f>
        <v>3409</v>
      </c>
      <c r="Q322" s="11" t="n">
        <v>148</v>
      </c>
      <c r="R322" s="12" t="n">
        <f aca="false">Q322/$P322</f>
        <v>0.0434144910530948</v>
      </c>
      <c r="S322" s="11" t="n">
        <v>1470.25</v>
      </c>
      <c r="T322" s="12" t="n">
        <f aca="false">S322/$P322</f>
        <v>0.431284834262247</v>
      </c>
      <c r="U322" s="11" t="n">
        <v>1712.26</v>
      </c>
      <c r="V322" s="12" t="n">
        <f aca="false">U322/$P322</f>
        <v>0.50227632736873</v>
      </c>
      <c r="W322" s="11" t="n">
        <v>2234.26</v>
      </c>
      <c r="X322" s="12" t="n">
        <f aca="false">W322/$P322</f>
        <v>0.655400410677618</v>
      </c>
      <c r="Y322" s="11" t="n">
        <f aca="false">K322</f>
        <v>3109</v>
      </c>
      <c r="Z322" s="11" t="n">
        <f aca="false">Y322</f>
        <v>3109</v>
      </c>
    </row>
    <row r="323" customFormat="false" ht="12.8" hidden="false" customHeight="false" outlineLevel="0" collapsed="false">
      <c r="A323" s="1" t="n">
        <v>6</v>
      </c>
      <c r="B323" s="1" t="n">
        <v>1</v>
      </c>
      <c r="C323" s="1" t="n">
        <v>1</v>
      </c>
      <c r="D323" s="36"/>
      <c r="E323" s="10" t="n">
        <v>640</v>
      </c>
      <c r="F323" s="10" t="s">
        <v>124</v>
      </c>
      <c r="G323" s="11" t="n">
        <v>0</v>
      </c>
      <c r="H323" s="11" t="n">
        <v>1421.96</v>
      </c>
      <c r="I323" s="11" t="n">
        <v>4200</v>
      </c>
      <c r="J323" s="11" t="n">
        <v>3117.79</v>
      </c>
      <c r="K323" s="11" t="n">
        <v>4200</v>
      </c>
      <c r="L323" s="11"/>
      <c r="M323" s="11"/>
      <c r="N323" s="11"/>
      <c r="O323" s="11"/>
      <c r="P323" s="11" t="n">
        <f aca="false">K323+SUM(L323:O323)</f>
        <v>4200</v>
      </c>
      <c r="Q323" s="11" t="n">
        <v>4200</v>
      </c>
      <c r="R323" s="12" t="n">
        <f aca="false">Q323/$P323</f>
        <v>1</v>
      </c>
      <c r="S323" s="11" t="n">
        <v>4200</v>
      </c>
      <c r="T323" s="12" t="n">
        <f aca="false">S323/$P323</f>
        <v>1</v>
      </c>
      <c r="U323" s="11" t="n">
        <v>4200</v>
      </c>
      <c r="V323" s="12" t="n">
        <f aca="false">U323/$P323</f>
        <v>1</v>
      </c>
      <c r="W323" s="11" t="n">
        <v>4200</v>
      </c>
      <c r="X323" s="12" t="n">
        <f aca="false">W323/$P323</f>
        <v>1</v>
      </c>
      <c r="Y323" s="11" t="n">
        <f aca="false">K323</f>
        <v>4200</v>
      </c>
      <c r="Z323" s="11" t="n">
        <f aca="false">Y323</f>
        <v>4200</v>
      </c>
    </row>
    <row r="324" customFormat="false" ht="12.8" hidden="false" customHeight="false" outlineLevel="0" collapsed="false">
      <c r="A324" s="1" t="n">
        <v>6</v>
      </c>
      <c r="B324" s="1" t="n">
        <v>1</v>
      </c>
      <c r="C324" s="1" t="n">
        <v>1</v>
      </c>
      <c r="D324" s="75" t="s">
        <v>21</v>
      </c>
      <c r="E324" s="14" t="n">
        <v>41</v>
      </c>
      <c r="F324" s="14" t="s">
        <v>23</v>
      </c>
      <c r="G324" s="15" t="n">
        <f aca="false">SUM(G320:G323)</f>
        <v>20463.86</v>
      </c>
      <c r="H324" s="15" t="n">
        <f aca="false">SUM(H320:H323)</f>
        <v>19705.31</v>
      </c>
      <c r="I324" s="15" t="n">
        <f aca="false">SUM(I320:I323)</f>
        <v>8000</v>
      </c>
      <c r="J324" s="15" t="n">
        <f aca="false">SUM(J320:J323)</f>
        <v>8190.96</v>
      </c>
      <c r="K324" s="15" t="n">
        <f aca="false">SUM(K320:K323)</f>
        <v>7309</v>
      </c>
      <c r="L324" s="15" t="n">
        <f aca="false">SUM(L320:L323)</f>
        <v>0</v>
      </c>
      <c r="M324" s="15" t="n">
        <f aca="false">SUM(M320:M323)</f>
        <v>300</v>
      </c>
      <c r="N324" s="15" t="n">
        <f aca="false">SUM(N320:N323)</f>
        <v>0</v>
      </c>
      <c r="O324" s="15" t="n">
        <f aca="false">SUM(O320:O323)</f>
        <v>0</v>
      </c>
      <c r="P324" s="15" t="n">
        <f aca="false">SUM(P320:P323)</f>
        <v>7609</v>
      </c>
      <c r="Q324" s="15" t="n">
        <f aca="false">SUM(Q320:Q323)</f>
        <v>4348</v>
      </c>
      <c r="R324" s="16" t="n">
        <f aca="false">Q324/$P324</f>
        <v>0.571428571428571</v>
      </c>
      <c r="S324" s="15" t="n">
        <f aca="false">SUM(S320:S323)</f>
        <v>5670.25</v>
      </c>
      <c r="T324" s="16" t="n">
        <f aca="false">S324/$P324</f>
        <v>0.745203049020896</v>
      </c>
      <c r="U324" s="15" t="n">
        <f aca="false">SUM(U320:U323)</f>
        <v>5912.26</v>
      </c>
      <c r="V324" s="16" t="n">
        <f aca="false">U324/$P324</f>
        <v>0.777008805362071</v>
      </c>
      <c r="W324" s="15" t="n">
        <f aca="false">SUM(W320:W323)</f>
        <v>6434.26</v>
      </c>
      <c r="X324" s="16" t="n">
        <f aca="false">W324/$P324</f>
        <v>0.845611775528979</v>
      </c>
      <c r="Y324" s="15" t="n">
        <f aca="false">SUM(Y320:Y323)</f>
        <v>7309</v>
      </c>
      <c r="Z324" s="15" t="n">
        <f aca="false">SUM(Z320:Z323)</f>
        <v>7309</v>
      </c>
    </row>
    <row r="326" customFormat="false" ht="12.8" hidden="false" customHeight="false" outlineLevel="0" collapsed="false">
      <c r="D326" s="66" t="s">
        <v>211</v>
      </c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7"/>
      <c r="S326" s="66"/>
      <c r="T326" s="67"/>
      <c r="U326" s="66"/>
      <c r="V326" s="67"/>
      <c r="W326" s="66"/>
      <c r="X326" s="67"/>
      <c r="Y326" s="66"/>
      <c r="Z326" s="66"/>
    </row>
    <row r="327" customFormat="false" ht="12.8" hidden="false" customHeight="false" outlineLevel="0" collapsed="false">
      <c r="D327" s="7" t="s">
        <v>33</v>
      </c>
      <c r="E327" s="7" t="s">
        <v>34</v>
      </c>
      <c r="F327" s="7" t="s">
        <v>35</v>
      </c>
      <c r="G327" s="7" t="s">
        <v>1</v>
      </c>
      <c r="H327" s="7" t="s">
        <v>2</v>
      </c>
      <c r="I327" s="7" t="s">
        <v>3</v>
      </c>
      <c r="J327" s="7" t="s">
        <v>4</v>
      </c>
      <c r="K327" s="7" t="s">
        <v>5</v>
      </c>
      <c r="L327" s="7" t="s">
        <v>6</v>
      </c>
      <c r="M327" s="7" t="s">
        <v>7</v>
      </c>
      <c r="N327" s="7" t="s">
        <v>8</v>
      </c>
      <c r="O327" s="7" t="s">
        <v>9</v>
      </c>
      <c r="P327" s="7" t="s">
        <v>10</v>
      </c>
      <c r="Q327" s="7" t="s">
        <v>11</v>
      </c>
      <c r="R327" s="8" t="s">
        <v>12</v>
      </c>
      <c r="S327" s="7" t="s">
        <v>13</v>
      </c>
      <c r="T327" s="8" t="s">
        <v>14</v>
      </c>
      <c r="U327" s="7" t="s">
        <v>15</v>
      </c>
      <c r="V327" s="8" t="s">
        <v>16</v>
      </c>
      <c r="W327" s="7" t="s">
        <v>17</v>
      </c>
      <c r="X327" s="8" t="s">
        <v>18</v>
      </c>
      <c r="Y327" s="7" t="s">
        <v>19</v>
      </c>
      <c r="Z327" s="7" t="s">
        <v>20</v>
      </c>
    </row>
    <row r="328" customFormat="false" ht="12.8" hidden="false" customHeight="false" outlineLevel="0" collapsed="false">
      <c r="A328" s="1" t="n">
        <v>6</v>
      </c>
      <c r="B328" s="1" t="n">
        <v>1</v>
      </c>
      <c r="C328" s="1" t="n">
        <v>2</v>
      </c>
      <c r="D328" s="36" t="s">
        <v>210</v>
      </c>
      <c r="E328" s="10" t="n">
        <v>640</v>
      </c>
      <c r="F328" s="10" t="s">
        <v>124</v>
      </c>
      <c r="G328" s="11" t="n">
        <v>2867.9</v>
      </c>
      <c r="H328" s="11" t="n">
        <v>3458.98</v>
      </c>
      <c r="I328" s="11" t="n">
        <v>3000</v>
      </c>
      <c r="J328" s="11" t="n">
        <v>2190</v>
      </c>
      <c r="K328" s="11" t="n">
        <v>1850</v>
      </c>
      <c r="L328" s="11"/>
      <c r="M328" s="11"/>
      <c r="N328" s="11"/>
      <c r="O328" s="11"/>
      <c r="P328" s="11" t="n">
        <f aca="false">K328+SUM(L328:O328)</f>
        <v>1850</v>
      </c>
      <c r="Q328" s="11" t="n">
        <v>700</v>
      </c>
      <c r="R328" s="12" t="n">
        <f aca="false">Q328/$P328</f>
        <v>0.378378378378378</v>
      </c>
      <c r="S328" s="11" t="n">
        <v>700</v>
      </c>
      <c r="T328" s="12" t="n">
        <f aca="false">S328/$P328</f>
        <v>0.378378378378378</v>
      </c>
      <c r="U328" s="11" t="n">
        <v>1750</v>
      </c>
      <c r="V328" s="12" t="n">
        <f aca="false">U328/$P328</f>
        <v>0.945945945945946</v>
      </c>
      <c r="W328" s="11" t="n">
        <v>1850</v>
      </c>
      <c r="X328" s="12" t="n">
        <f aca="false">W328/$P328</f>
        <v>1</v>
      </c>
      <c r="Y328" s="11" t="n">
        <v>3000</v>
      </c>
      <c r="Z328" s="11" t="n">
        <f aca="false">Y328</f>
        <v>3000</v>
      </c>
    </row>
    <row r="329" customFormat="false" ht="12.8" hidden="false" customHeight="false" outlineLevel="0" collapsed="false">
      <c r="A329" s="1" t="n">
        <v>6</v>
      </c>
      <c r="B329" s="1" t="n">
        <v>1</v>
      </c>
      <c r="C329" s="1" t="n">
        <v>2</v>
      </c>
      <c r="D329" s="75" t="s">
        <v>21</v>
      </c>
      <c r="E329" s="14" t="n">
        <v>41</v>
      </c>
      <c r="F329" s="14" t="s">
        <v>23</v>
      </c>
      <c r="G329" s="15" t="n">
        <f aca="false">SUM(G328:G328)</f>
        <v>2867.9</v>
      </c>
      <c r="H329" s="15" t="n">
        <f aca="false">SUM(H328:H328)</f>
        <v>3458.98</v>
      </c>
      <c r="I329" s="15" t="n">
        <f aca="false">SUM(I328:I328)</f>
        <v>3000</v>
      </c>
      <c r="J329" s="15" t="n">
        <f aca="false">SUM(J328:J328)</f>
        <v>2190</v>
      </c>
      <c r="K329" s="15" t="n">
        <f aca="false">SUM(K328:K328)</f>
        <v>1850</v>
      </c>
      <c r="L329" s="15" t="n">
        <f aca="false">SUM(L328:L328)</f>
        <v>0</v>
      </c>
      <c r="M329" s="15" t="n">
        <f aca="false">SUM(M328:M328)</f>
        <v>0</v>
      </c>
      <c r="N329" s="15" t="n">
        <f aca="false">SUM(N328:N328)</f>
        <v>0</v>
      </c>
      <c r="O329" s="15" t="n">
        <f aca="false">SUM(O328:O328)</f>
        <v>0</v>
      </c>
      <c r="P329" s="15" t="n">
        <f aca="false">SUM(P328:P328)</f>
        <v>1850</v>
      </c>
      <c r="Q329" s="15" t="n">
        <f aca="false">SUM(Q328:Q328)</f>
        <v>700</v>
      </c>
      <c r="R329" s="16" t="n">
        <f aca="false">Q329/$P329</f>
        <v>0.378378378378378</v>
      </c>
      <c r="S329" s="15" t="n">
        <f aca="false">SUM(S328:S328)</f>
        <v>700</v>
      </c>
      <c r="T329" s="16" t="n">
        <f aca="false">S329/$P329</f>
        <v>0.378378378378378</v>
      </c>
      <c r="U329" s="15" t="n">
        <f aca="false">SUM(U328:U328)</f>
        <v>1750</v>
      </c>
      <c r="V329" s="16" t="n">
        <f aca="false">U329/$P329</f>
        <v>0.945945945945946</v>
      </c>
      <c r="W329" s="15" t="n">
        <f aca="false">SUM(W328:W328)</f>
        <v>1850</v>
      </c>
      <c r="X329" s="16" t="n">
        <f aca="false">W329/$P329</f>
        <v>1</v>
      </c>
      <c r="Y329" s="15" t="n">
        <f aca="false">SUM(Y328:Y328)</f>
        <v>3000</v>
      </c>
      <c r="Z329" s="15" t="n">
        <f aca="false">SUM(Z328:Z328)</f>
        <v>3000</v>
      </c>
    </row>
    <row r="331" customFormat="false" ht="12.8" hidden="false" customHeight="false" outlineLevel="0" collapsed="false">
      <c r="E331" s="44" t="s">
        <v>56</v>
      </c>
      <c r="F331" s="18" t="s">
        <v>212</v>
      </c>
      <c r="G331" s="45" t="n">
        <v>2059.9</v>
      </c>
      <c r="H331" s="45" t="n">
        <v>1558.98</v>
      </c>
      <c r="I331" s="45" t="n">
        <v>1100</v>
      </c>
      <c r="J331" s="45" t="n">
        <v>1100</v>
      </c>
      <c r="K331" s="45" t="n">
        <v>1000</v>
      </c>
      <c r="L331" s="45"/>
      <c r="M331" s="45"/>
      <c r="N331" s="45"/>
      <c r="O331" s="45"/>
      <c r="P331" s="45" t="n">
        <f aca="false">K331+SUM(L331:O331)</f>
        <v>1000</v>
      </c>
      <c r="Q331" s="45" t="n">
        <v>700</v>
      </c>
      <c r="R331" s="46" t="n">
        <f aca="false">Q331/$P331</f>
        <v>0.7</v>
      </c>
      <c r="S331" s="45" t="n">
        <v>700</v>
      </c>
      <c r="T331" s="46" t="n">
        <f aca="false">S331/$P331</f>
        <v>0.7</v>
      </c>
      <c r="U331" s="45" t="n">
        <v>1000</v>
      </c>
      <c r="V331" s="46" t="n">
        <f aca="false">U331/$P331</f>
        <v>1</v>
      </c>
      <c r="W331" s="45" t="n">
        <v>1000</v>
      </c>
      <c r="X331" s="92" t="n">
        <f aca="false">W331/$P331</f>
        <v>1</v>
      </c>
      <c r="Y331" s="45"/>
      <c r="Z331" s="48"/>
    </row>
    <row r="332" customFormat="false" ht="12.8" hidden="false" customHeight="false" outlineLevel="0" collapsed="false">
      <c r="E332" s="57"/>
      <c r="F332" s="58" t="s">
        <v>213</v>
      </c>
      <c r="G332" s="59" t="n">
        <v>808</v>
      </c>
      <c r="H332" s="59" t="n">
        <v>900</v>
      </c>
      <c r="I332" s="59" t="n">
        <v>450</v>
      </c>
      <c r="J332" s="59" t="n">
        <v>450</v>
      </c>
      <c r="K332" s="59" t="n">
        <v>850</v>
      </c>
      <c r="L332" s="59"/>
      <c r="M332" s="59"/>
      <c r="N332" s="59"/>
      <c r="O332" s="59"/>
      <c r="P332" s="59" t="n">
        <f aca="false">K332+SUM(L332:O332)</f>
        <v>850</v>
      </c>
      <c r="Q332" s="59" t="n">
        <v>0</v>
      </c>
      <c r="R332" s="60" t="n">
        <f aca="false">Q332/$P332</f>
        <v>0</v>
      </c>
      <c r="S332" s="59" t="n">
        <v>0</v>
      </c>
      <c r="T332" s="60" t="n">
        <f aca="false">S332/$P332</f>
        <v>0</v>
      </c>
      <c r="U332" s="59" t="n">
        <v>750</v>
      </c>
      <c r="V332" s="60" t="n">
        <f aca="false">U332/$P332</f>
        <v>0.882352941176471</v>
      </c>
      <c r="W332" s="59" t="n">
        <v>850</v>
      </c>
      <c r="X332" s="97" t="n">
        <f aca="false">W332/$P332</f>
        <v>1</v>
      </c>
      <c r="Y332" s="51"/>
      <c r="Z332" s="53"/>
    </row>
    <row r="333" customFormat="false" ht="12.8" hidden="true" customHeight="false" outlineLevel="0" collapsed="false">
      <c r="E333" s="49"/>
      <c r="F333" s="50" t="s">
        <v>214</v>
      </c>
      <c r="G333" s="51"/>
      <c r="H333" s="51" t="n">
        <v>1000</v>
      </c>
      <c r="I333" s="51" t="n">
        <v>750</v>
      </c>
      <c r="J333" s="51" t="n">
        <v>640</v>
      </c>
      <c r="K333" s="51"/>
      <c r="L333" s="51"/>
      <c r="M333" s="51"/>
      <c r="N333" s="51"/>
      <c r="O333" s="51"/>
      <c r="P333" s="51" t="n">
        <f aca="false">K333+SUM(L333:O333)</f>
        <v>0</v>
      </c>
      <c r="Q333" s="51" t="n">
        <v>0</v>
      </c>
      <c r="R333" s="2" t="e">
        <f aca="false">Q333/$P333</f>
        <v>#DIV/0!</v>
      </c>
      <c r="S333" s="51"/>
      <c r="T333" s="2" t="e">
        <f aca="false">S333/$P333</f>
        <v>#DIV/0!</v>
      </c>
      <c r="U333" s="51"/>
      <c r="V333" s="2" t="e">
        <f aca="false">U333/$P333</f>
        <v>#DIV/0!</v>
      </c>
      <c r="W333" s="51"/>
      <c r="X333" s="93" t="e">
        <f aca="false">W333/$P333</f>
        <v>#DIV/0!</v>
      </c>
      <c r="Y333" s="51"/>
      <c r="Z333" s="53"/>
    </row>
    <row r="334" customFormat="false" ht="12.8" hidden="true" customHeight="false" outlineLevel="0" collapsed="false">
      <c r="E334" s="57"/>
      <c r="F334" s="76" t="s">
        <v>215</v>
      </c>
      <c r="G334" s="59"/>
      <c r="H334" s="59"/>
      <c r="I334" s="59" t="n">
        <v>700</v>
      </c>
      <c r="J334" s="59"/>
      <c r="K334" s="59"/>
      <c r="L334" s="59"/>
      <c r="M334" s="59"/>
      <c r="N334" s="59"/>
      <c r="O334" s="59"/>
      <c r="P334" s="59" t="n">
        <f aca="false">K334+SUM(L334:O334)</f>
        <v>0</v>
      </c>
      <c r="Q334" s="59" t="n">
        <v>0</v>
      </c>
      <c r="R334" s="60" t="e">
        <f aca="false">Q334/$P334</f>
        <v>#DIV/0!</v>
      </c>
      <c r="S334" s="59"/>
      <c r="T334" s="60" t="e">
        <f aca="false">S334/$P334</f>
        <v>#DIV/0!</v>
      </c>
      <c r="U334" s="59"/>
      <c r="V334" s="60" t="e">
        <f aca="false">U334/$P334</f>
        <v>#DIV/0!</v>
      </c>
      <c r="W334" s="59"/>
      <c r="X334" s="97" t="e">
        <f aca="false">W334/$P334</f>
        <v>#DIV/0!</v>
      </c>
      <c r="Y334" s="59" t="n">
        <v>3000</v>
      </c>
      <c r="Z334" s="62" t="n">
        <v>3000</v>
      </c>
    </row>
    <row r="336" customFormat="false" ht="12.8" hidden="false" customHeight="false" outlineLevel="0" collapsed="false">
      <c r="D336" s="31" t="s">
        <v>216</v>
      </c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2"/>
      <c r="S336" s="31"/>
      <c r="T336" s="32"/>
      <c r="U336" s="31"/>
      <c r="V336" s="32"/>
      <c r="W336" s="31"/>
      <c r="X336" s="32"/>
      <c r="Y336" s="31"/>
      <c r="Z336" s="31"/>
    </row>
    <row r="337" customFormat="false" ht="12.8" hidden="false" customHeight="false" outlineLevel="0" collapsed="false">
      <c r="D337" s="105"/>
      <c r="E337" s="105"/>
      <c r="F337" s="105"/>
      <c r="G337" s="7" t="s">
        <v>1</v>
      </c>
      <c r="H337" s="7" t="s">
        <v>2</v>
      </c>
      <c r="I337" s="7" t="s">
        <v>3</v>
      </c>
      <c r="J337" s="7" t="s">
        <v>4</v>
      </c>
      <c r="K337" s="7" t="s">
        <v>5</v>
      </c>
      <c r="L337" s="7" t="s">
        <v>6</v>
      </c>
      <c r="M337" s="7" t="s">
        <v>7</v>
      </c>
      <c r="N337" s="7" t="s">
        <v>8</v>
      </c>
      <c r="O337" s="7" t="s">
        <v>9</v>
      </c>
      <c r="P337" s="7" t="s">
        <v>10</v>
      </c>
      <c r="Q337" s="7" t="s">
        <v>11</v>
      </c>
      <c r="R337" s="8" t="s">
        <v>12</v>
      </c>
      <c r="S337" s="7" t="s">
        <v>13</v>
      </c>
      <c r="T337" s="8" t="s">
        <v>14</v>
      </c>
      <c r="U337" s="7" t="s">
        <v>15</v>
      </c>
      <c r="V337" s="8" t="s">
        <v>16</v>
      </c>
      <c r="W337" s="7" t="s">
        <v>17</v>
      </c>
      <c r="X337" s="8" t="s">
        <v>18</v>
      </c>
      <c r="Y337" s="7" t="s">
        <v>19</v>
      </c>
      <c r="Z337" s="7" t="s">
        <v>20</v>
      </c>
    </row>
    <row r="338" customFormat="false" ht="12.8" hidden="false" customHeight="false" outlineLevel="0" collapsed="false">
      <c r="A338" s="1" t="n">
        <v>6</v>
      </c>
      <c r="B338" s="1" t="n">
        <v>2</v>
      </c>
      <c r="D338" s="109" t="s">
        <v>21</v>
      </c>
      <c r="E338" s="110" t="n">
        <v>41</v>
      </c>
      <c r="F338" s="110" t="s">
        <v>23</v>
      </c>
      <c r="G338" s="11" t="n">
        <f aca="false">G345+G356+G369</f>
        <v>37144</v>
      </c>
      <c r="H338" s="11" t="n">
        <f aca="false">H345+H356+H369</f>
        <v>16390.24</v>
      </c>
      <c r="I338" s="11" t="n">
        <f aca="false">I345+I356+I369</f>
        <v>24500</v>
      </c>
      <c r="J338" s="11" t="n">
        <f aca="false">J345+J356+J369</f>
        <v>15189.14</v>
      </c>
      <c r="K338" s="11" t="n">
        <f aca="false">K345+K356+K369</f>
        <v>26856</v>
      </c>
      <c r="L338" s="11"/>
      <c r="M338" s="11" t="n">
        <f aca="false">M345+M356+M369</f>
        <v>224</v>
      </c>
      <c r="N338" s="11" t="n">
        <f aca="false">N345+N356+N369</f>
        <v>338</v>
      </c>
      <c r="O338" s="11"/>
      <c r="P338" s="11" t="n">
        <f aca="false">K338+SUM(L338:O338)</f>
        <v>27418</v>
      </c>
      <c r="Q338" s="11" t="n">
        <f aca="false">Q345+Q356+Q369</f>
        <v>3113.78</v>
      </c>
      <c r="R338" s="12" t="n">
        <f aca="false">Q338/$P338</f>
        <v>0.113566999781166</v>
      </c>
      <c r="S338" s="11" t="n">
        <f aca="false">S345+S356+S369</f>
        <v>5483.76</v>
      </c>
      <c r="T338" s="12" t="n">
        <f aca="false">S338/$P338</f>
        <v>0.200005835582464</v>
      </c>
      <c r="U338" s="11" t="n">
        <f aca="false">U345+U356+U369</f>
        <v>23519.04</v>
      </c>
      <c r="V338" s="12" t="n">
        <f aca="false">U338/$P338</f>
        <v>0.857795608724196</v>
      </c>
      <c r="W338" s="11" t="n">
        <f aca="false">W345+W356+W369</f>
        <v>27176.07</v>
      </c>
      <c r="X338" s="12" t="n">
        <f aca="false">W338/$P338</f>
        <v>0.991176234590415</v>
      </c>
      <c r="Y338" s="11" t="n">
        <f aca="false">Y345+Y356+Y369</f>
        <v>14856</v>
      </c>
      <c r="Z338" s="11" t="n">
        <f aca="false">Z345+Z356+Z369</f>
        <v>14856</v>
      </c>
    </row>
    <row r="339" customFormat="false" ht="12.8" hidden="false" customHeight="false" outlineLevel="0" collapsed="false">
      <c r="A339" s="1" t="n">
        <v>6</v>
      </c>
      <c r="B339" s="1" t="n">
        <v>2</v>
      </c>
      <c r="D339" s="18"/>
      <c r="E339" s="19"/>
      <c r="F339" s="14" t="s">
        <v>116</v>
      </c>
      <c r="G339" s="15" t="n">
        <f aca="false">SUM(G338:G338)</f>
        <v>37144</v>
      </c>
      <c r="H339" s="15" t="n">
        <f aca="false">SUM(H338:H338)</f>
        <v>16390.24</v>
      </c>
      <c r="I339" s="15" t="n">
        <f aca="false">SUM(I338:I338)</f>
        <v>24500</v>
      </c>
      <c r="J339" s="15" t="n">
        <f aca="false">SUM(J338:J338)</f>
        <v>15189.14</v>
      </c>
      <c r="K339" s="15" t="n">
        <f aca="false">SUM(K338:K338)</f>
        <v>26856</v>
      </c>
      <c r="L339" s="15" t="n">
        <f aca="false">SUM(L338:L338)</f>
        <v>0</v>
      </c>
      <c r="M339" s="15" t="n">
        <f aca="false">SUM(M338:M338)</f>
        <v>224</v>
      </c>
      <c r="N339" s="15" t="n">
        <f aca="false">SUM(N338:N338)</f>
        <v>338</v>
      </c>
      <c r="O339" s="15" t="n">
        <f aca="false">SUM(O338:O338)</f>
        <v>0</v>
      </c>
      <c r="P339" s="15" t="n">
        <f aca="false">SUM(P338:P338)</f>
        <v>27418</v>
      </c>
      <c r="Q339" s="15" t="n">
        <f aca="false">SUM(Q338:Q338)</f>
        <v>3113.78</v>
      </c>
      <c r="R339" s="16" t="n">
        <f aca="false">Q339/$P339</f>
        <v>0.113566999781166</v>
      </c>
      <c r="S339" s="15" t="n">
        <f aca="false">SUM(S338:S338)</f>
        <v>5483.76</v>
      </c>
      <c r="T339" s="16" t="n">
        <f aca="false">S339/$P339</f>
        <v>0.200005835582464</v>
      </c>
      <c r="U339" s="15" t="n">
        <f aca="false">SUM(U338:U338)</f>
        <v>23519.04</v>
      </c>
      <c r="V339" s="16" t="n">
        <f aca="false">U339/$P339</f>
        <v>0.857795608724196</v>
      </c>
      <c r="W339" s="15" t="n">
        <f aca="false">SUM(W338:W338)</f>
        <v>27176.07</v>
      </c>
      <c r="X339" s="16" t="n">
        <f aca="false">W339/$P339</f>
        <v>0.991176234590415</v>
      </c>
      <c r="Y339" s="15" t="n">
        <f aca="false">SUM(Y338:Y338)</f>
        <v>14856</v>
      </c>
      <c r="Z339" s="15" t="n">
        <f aca="false">SUM(Z338:Z338)</f>
        <v>14856</v>
      </c>
    </row>
    <row r="341" customFormat="false" ht="12.8" hidden="false" customHeight="false" outlineLevel="0" collapsed="false">
      <c r="D341" s="66" t="s">
        <v>217</v>
      </c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7"/>
      <c r="S341" s="66"/>
      <c r="T341" s="67"/>
      <c r="U341" s="66"/>
      <c r="V341" s="67"/>
      <c r="W341" s="66"/>
      <c r="X341" s="67"/>
      <c r="Y341" s="66"/>
      <c r="Z341" s="66"/>
    </row>
    <row r="342" customFormat="false" ht="12.8" hidden="false" customHeight="false" outlineLevel="0" collapsed="false">
      <c r="D342" s="7" t="s">
        <v>33</v>
      </c>
      <c r="E342" s="7" t="s">
        <v>34</v>
      </c>
      <c r="F342" s="7" t="s">
        <v>35</v>
      </c>
      <c r="G342" s="7" t="s">
        <v>1</v>
      </c>
      <c r="H342" s="7" t="s">
        <v>2</v>
      </c>
      <c r="I342" s="7" t="s">
        <v>3</v>
      </c>
      <c r="J342" s="7" t="s">
        <v>4</v>
      </c>
      <c r="K342" s="7" t="s">
        <v>5</v>
      </c>
      <c r="L342" s="7" t="s">
        <v>6</v>
      </c>
      <c r="M342" s="7" t="s">
        <v>7</v>
      </c>
      <c r="N342" s="7" t="s">
        <v>8</v>
      </c>
      <c r="O342" s="7" t="s">
        <v>9</v>
      </c>
      <c r="P342" s="7" t="s">
        <v>10</v>
      </c>
      <c r="Q342" s="7" t="s">
        <v>11</v>
      </c>
      <c r="R342" s="8" t="s">
        <v>12</v>
      </c>
      <c r="S342" s="7" t="s">
        <v>13</v>
      </c>
      <c r="T342" s="8" t="s">
        <v>14</v>
      </c>
      <c r="U342" s="7" t="s">
        <v>15</v>
      </c>
      <c r="V342" s="8" t="s">
        <v>16</v>
      </c>
      <c r="W342" s="7" t="s">
        <v>17</v>
      </c>
      <c r="X342" s="8" t="s">
        <v>18</v>
      </c>
      <c r="Y342" s="7" t="s">
        <v>19</v>
      </c>
      <c r="Z342" s="7" t="s">
        <v>20</v>
      </c>
    </row>
    <row r="343" customFormat="false" ht="12.8" hidden="false" customHeight="false" outlineLevel="0" collapsed="false">
      <c r="A343" s="1" t="n">
        <v>6</v>
      </c>
      <c r="B343" s="1" t="n">
        <v>2</v>
      </c>
      <c r="C343" s="1" t="n">
        <v>1</v>
      </c>
      <c r="D343" s="36" t="s">
        <v>218</v>
      </c>
      <c r="E343" s="10" t="n">
        <v>620</v>
      </c>
      <c r="F343" s="10" t="s">
        <v>122</v>
      </c>
      <c r="G343" s="11" t="n">
        <v>896.55</v>
      </c>
      <c r="H343" s="11" t="n">
        <v>600.88</v>
      </c>
      <c r="I343" s="11" t="n">
        <v>452</v>
      </c>
      <c r="J343" s="11" t="n">
        <v>452.64</v>
      </c>
      <c r="K343" s="11" t="n">
        <v>316</v>
      </c>
      <c r="L343" s="11"/>
      <c r="M343" s="11"/>
      <c r="N343" s="11"/>
      <c r="O343" s="11"/>
      <c r="P343" s="11" t="n">
        <f aca="false">K343+SUM(L343:O343)</f>
        <v>316</v>
      </c>
      <c r="Q343" s="11" t="n">
        <v>88.14</v>
      </c>
      <c r="R343" s="12" t="n">
        <f aca="false">Q343/$P343</f>
        <v>0.278924050632911</v>
      </c>
      <c r="S343" s="11" t="n">
        <v>163.77</v>
      </c>
      <c r="T343" s="12" t="n">
        <f aca="false">S343/$P343</f>
        <v>0.518259493670886</v>
      </c>
      <c r="U343" s="11" t="n">
        <v>239.4</v>
      </c>
      <c r="V343" s="12" t="n">
        <f aca="false">U343/$P343</f>
        <v>0.757594936708861</v>
      </c>
      <c r="W343" s="11" t="n">
        <v>315.03</v>
      </c>
      <c r="X343" s="12" t="n">
        <f aca="false">W343/$P343</f>
        <v>0.996930379746835</v>
      </c>
      <c r="Y343" s="11" t="n">
        <f aca="false">K343</f>
        <v>316</v>
      </c>
      <c r="Z343" s="11" t="n">
        <f aca="false">Y343</f>
        <v>316</v>
      </c>
    </row>
    <row r="344" customFormat="false" ht="12.8" hidden="false" customHeight="false" outlineLevel="0" collapsed="false">
      <c r="A344" s="1" t="n">
        <v>6</v>
      </c>
      <c r="B344" s="1" t="n">
        <v>2</v>
      </c>
      <c r="C344" s="1" t="n">
        <v>1</v>
      </c>
      <c r="D344" s="36"/>
      <c r="E344" s="10" t="n">
        <v>630</v>
      </c>
      <c r="F344" s="10" t="s">
        <v>123</v>
      </c>
      <c r="G344" s="11" t="n">
        <v>11438.25</v>
      </c>
      <c r="H344" s="11" t="n">
        <v>8012.75</v>
      </c>
      <c r="I344" s="11" t="n">
        <v>7848</v>
      </c>
      <c r="J344" s="11" t="n">
        <v>5628.05</v>
      </c>
      <c r="K344" s="37" t="n">
        <f aca="false">5040-1099-1</f>
        <v>3940</v>
      </c>
      <c r="L344" s="37"/>
      <c r="M344" s="37" t="n">
        <v>224</v>
      </c>
      <c r="N344" s="37" t="n">
        <v>338</v>
      </c>
      <c r="O344" s="37" t="n">
        <v>60</v>
      </c>
      <c r="P344" s="11" t="n">
        <f aca="false">K344+SUM(L344:O344)</f>
        <v>4562</v>
      </c>
      <c r="Q344" s="37" t="n">
        <v>1224.74</v>
      </c>
      <c r="R344" s="38" t="n">
        <f aca="false">Q344/$P344</f>
        <v>0.268465585269619</v>
      </c>
      <c r="S344" s="37" t="n">
        <v>2478.06</v>
      </c>
      <c r="T344" s="38" t="n">
        <f aca="false">S344/$P344</f>
        <v>0.54319596668128</v>
      </c>
      <c r="U344" s="37" t="n">
        <v>3507.06</v>
      </c>
      <c r="V344" s="38" t="n">
        <f aca="false">U344/$P344</f>
        <v>0.768754932047348</v>
      </c>
      <c r="W344" s="37" t="n">
        <v>4562.12</v>
      </c>
      <c r="X344" s="38" t="n">
        <f aca="false">W344/$P344</f>
        <v>1.00002630425252</v>
      </c>
      <c r="Y344" s="11" t="n">
        <f aca="false">K344</f>
        <v>3940</v>
      </c>
      <c r="Z344" s="11" t="n">
        <f aca="false">Y344</f>
        <v>3940</v>
      </c>
    </row>
    <row r="345" customFormat="false" ht="12.8" hidden="false" customHeight="false" outlineLevel="0" collapsed="false">
      <c r="A345" s="1" t="n">
        <v>6</v>
      </c>
      <c r="B345" s="1" t="n">
        <v>2</v>
      </c>
      <c r="C345" s="1" t="n">
        <v>1</v>
      </c>
      <c r="D345" s="75" t="s">
        <v>21</v>
      </c>
      <c r="E345" s="14" t="n">
        <v>41</v>
      </c>
      <c r="F345" s="14" t="s">
        <v>23</v>
      </c>
      <c r="G345" s="15" t="n">
        <f aca="false">SUM(G343:G344)</f>
        <v>12334.8</v>
      </c>
      <c r="H345" s="15" t="n">
        <f aca="false">SUM(H343:H344)</f>
        <v>8613.63</v>
      </c>
      <c r="I345" s="15" t="n">
        <f aca="false">SUM(I343:I344)</f>
        <v>8300</v>
      </c>
      <c r="J345" s="15" t="n">
        <f aca="false">SUM(J343:J344)</f>
        <v>6080.69</v>
      </c>
      <c r="K345" s="15" t="n">
        <f aca="false">SUM(K343:K344)</f>
        <v>4256</v>
      </c>
      <c r="L345" s="15" t="n">
        <f aca="false">SUM(L343:L344)</f>
        <v>0</v>
      </c>
      <c r="M345" s="15" t="n">
        <f aca="false">SUM(M343:M344)</f>
        <v>224</v>
      </c>
      <c r="N345" s="15" t="n">
        <f aca="false">SUM(N343:N344)</f>
        <v>338</v>
      </c>
      <c r="O345" s="15" t="n">
        <f aca="false">SUM(O343:O344)</f>
        <v>60</v>
      </c>
      <c r="P345" s="15" t="n">
        <f aca="false">SUM(P343:P344)</f>
        <v>4878</v>
      </c>
      <c r="Q345" s="15" t="n">
        <f aca="false">SUM(Q343:Q344)</f>
        <v>1312.88</v>
      </c>
      <c r="R345" s="16" t="n">
        <f aca="false">Q345/$P345</f>
        <v>0.269143091430914</v>
      </c>
      <c r="S345" s="15" t="n">
        <f aca="false">SUM(S343:S344)</f>
        <v>2641.83</v>
      </c>
      <c r="T345" s="16" t="n">
        <f aca="false">S345/$P345</f>
        <v>0.541580565805658</v>
      </c>
      <c r="U345" s="15" t="n">
        <f aca="false">SUM(U343:U344)</f>
        <v>3746.46</v>
      </c>
      <c r="V345" s="16" t="n">
        <f aca="false">U345/$P345</f>
        <v>0.768031980319803</v>
      </c>
      <c r="W345" s="15" t="n">
        <f aca="false">SUM(W343:W344)</f>
        <v>4877.15</v>
      </c>
      <c r="X345" s="16" t="n">
        <f aca="false">W345/$P345</f>
        <v>0.999825748257483</v>
      </c>
      <c r="Y345" s="15" t="n">
        <f aca="false">SUM(Y343:Y344)</f>
        <v>4256</v>
      </c>
      <c r="Z345" s="15" t="n">
        <f aca="false">SUM(Z343:Z344)</f>
        <v>4256</v>
      </c>
    </row>
    <row r="347" customFormat="false" ht="12.8" hidden="false" customHeight="false" outlineLevel="0" collapsed="false">
      <c r="E347" s="44" t="s">
        <v>56</v>
      </c>
      <c r="F347" s="18" t="s">
        <v>140</v>
      </c>
      <c r="G347" s="45" t="n">
        <v>1818.85</v>
      </c>
      <c r="H347" s="45" t="n">
        <v>1210</v>
      </c>
      <c r="I347" s="45" t="n">
        <v>1200</v>
      </c>
      <c r="J347" s="45" t="n">
        <v>869</v>
      </c>
      <c r="K347" s="45" t="n">
        <v>869</v>
      </c>
      <c r="L347" s="45"/>
      <c r="M347" s="45"/>
      <c r="N347" s="45"/>
      <c r="O347" s="45"/>
      <c r="P347" s="45" t="n">
        <f aca="false">K347+SUM(L347:O347)</f>
        <v>869</v>
      </c>
      <c r="Q347" s="45" t="n">
        <v>158</v>
      </c>
      <c r="R347" s="46" t="n">
        <f aca="false">Q347/$P347</f>
        <v>0.181818181818182</v>
      </c>
      <c r="S347" s="45" t="n">
        <v>395</v>
      </c>
      <c r="T347" s="46" t="n">
        <f aca="false">S347/$P347</f>
        <v>0.454545454545455</v>
      </c>
      <c r="U347" s="45" t="n">
        <v>632</v>
      </c>
      <c r="V347" s="46" t="n">
        <f aca="false">U347/$P347</f>
        <v>0.727272727272727</v>
      </c>
      <c r="W347" s="45" t="n">
        <v>869</v>
      </c>
      <c r="X347" s="92" t="n">
        <f aca="false">W347/$P347</f>
        <v>1</v>
      </c>
      <c r="Y347" s="45" t="n">
        <f aca="false">K347</f>
        <v>869</v>
      </c>
      <c r="Z347" s="48" t="n">
        <f aca="false">Y347</f>
        <v>869</v>
      </c>
    </row>
    <row r="348" customFormat="false" ht="12.8" hidden="false" customHeight="false" outlineLevel="0" collapsed="false">
      <c r="E348" s="49"/>
      <c r="F348" s="50" t="s">
        <v>141</v>
      </c>
      <c r="G348" s="51" t="n">
        <v>2280.16</v>
      </c>
      <c r="H348" s="51" t="n">
        <v>2932</v>
      </c>
      <c r="I348" s="51" t="n">
        <v>2900</v>
      </c>
      <c r="J348" s="51" t="n">
        <v>2268</v>
      </c>
      <c r="K348" s="51" t="n">
        <v>1771</v>
      </c>
      <c r="L348" s="51"/>
      <c r="M348" s="51"/>
      <c r="N348" s="51"/>
      <c r="O348" s="51" t="n">
        <v>60</v>
      </c>
      <c r="P348" s="51" t="n">
        <f aca="false">K348+SUM(L348:O348)</f>
        <v>1831</v>
      </c>
      <c r="Q348" s="51" t="n">
        <v>615.74</v>
      </c>
      <c r="R348" s="2" t="n">
        <f aca="false">Q348/$P348</f>
        <v>0.336286182413981</v>
      </c>
      <c r="S348" s="51" t="n">
        <v>1020.74</v>
      </c>
      <c r="T348" s="2" t="n">
        <f aca="false">S348/$P348</f>
        <v>0.557476788640087</v>
      </c>
      <c r="U348" s="51" t="n">
        <v>1425.74</v>
      </c>
      <c r="V348" s="2" t="n">
        <f aca="false">U348/$P348</f>
        <v>0.778667394866193</v>
      </c>
      <c r="W348" s="51" t="n">
        <v>1830.74</v>
      </c>
      <c r="X348" s="93" t="n">
        <f aca="false">W348/$P348</f>
        <v>0.999858001092299</v>
      </c>
      <c r="Y348" s="51" t="n">
        <f aca="false">K348</f>
        <v>1771</v>
      </c>
      <c r="Z348" s="53" t="n">
        <f aca="false">Y348</f>
        <v>1771</v>
      </c>
    </row>
    <row r="349" customFormat="false" ht="12.8" hidden="false" customHeight="false" outlineLevel="0" collapsed="false">
      <c r="E349" s="57"/>
      <c r="F349" s="76" t="s">
        <v>219</v>
      </c>
      <c r="G349" s="59" t="n">
        <v>5482.55</v>
      </c>
      <c r="H349" s="59" t="n">
        <v>3170.88</v>
      </c>
      <c r="I349" s="59" t="n">
        <v>2316</v>
      </c>
      <c r="J349" s="59" t="n">
        <v>2316</v>
      </c>
      <c r="K349" s="59" t="n">
        <v>1300</v>
      </c>
      <c r="L349" s="59"/>
      <c r="M349" s="59"/>
      <c r="N349" s="59" t="n">
        <v>312</v>
      </c>
      <c r="O349" s="59"/>
      <c r="P349" s="59" t="n">
        <f aca="false">K349+SUM(L349:O349)</f>
        <v>1612</v>
      </c>
      <c r="Q349" s="59" t="n">
        <v>451</v>
      </c>
      <c r="R349" s="60" t="n">
        <f aca="false">Q349/$P349</f>
        <v>0.279776674937965</v>
      </c>
      <c r="S349" s="59" t="n">
        <v>838</v>
      </c>
      <c r="T349" s="60" t="n">
        <f aca="false">S349/$P349</f>
        <v>0.51985111662531</v>
      </c>
      <c r="U349" s="59" t="n">
        <v>1225</v>
      </c>
      <c r="V349" s="60" t="n">
        <f aca="false">U349/$P349</f>
        <v>0.759925558312655</v>
      </c>
      <c r="W349" s="59" t="n">
        <v>1612</v>
      </c>
      <c r="X349" s="97" t="n">
        <f aca="false">W349/$P349</f>
        <v>1</v>
      </c>
      <c r="Y349" s="59" t="n">
        <f aca="false">K349</f>
        <v>1300</v>
      </c>
      <c r="Z349" s="62" t="n">
        <f aca="false">Y349</f>
        <v>1300</v>
      </c>
    </row>
    <row r="351" customFormat="false" ht="12.8" hidden="false" customHeight="false" outlineLevel="0" collapsed="false">
      <c r="D351" s="66" t="s">
        <v>220</v>
      </c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7"/>
      <c r="S351" s="66"/>
      <c r="T351" s="67"/>
      <c r="U351" s="66"/>
      <c r="V351" s="67"/>
      <c r="W351" s="66"/>
      <c r="X351" s="67"/>
      <c r="Y351" s="66"/>
      <c r="Z351" s="66"/>
    </row>
    <row r="352" customFormat="false" ht="12.8" hidden="false" customHeight="false" outlineLevel="0" collapsed="false">
      <c r="D352" s="7" t="s">
        <v>33</v>
      </c>
      <c r="E352" s="7" t="s">
        <v>34</v>
      </c>
      <c r="F352" s="7" t="s">
        <v>35</v>
      </c>
      <c r="G352" s="7" t="s">
        <v>1</v>
      </c>
      <c r="H352" s="7" t="s">
        <v>2</v>
      </c>
      <c r="I352" s="7" t="s">
        <v>3</v>
      </c>
      <c r="J352" s="7" t="s">
        <v>4</v>
      </c>
      <c r="K352" s="7" t="s">
        <v>5</v>
      </c>
      <c r="L352" s="7" t="s">
        <v>6</v>
      </c>
      <c r="M352" s="7" t="s">
        <v>7</v>
      </c>
      <c r="N352" s="7" t="s">
        <v>8</v>
      </c>
      <c r="O352" s="7" t="s">
        <v>9</v>
      </c>
      <c r="P352" s="7" t="s">
        <v>10</v>
      </c>
      <c r="Q352" s="7" t="s">
        <v>11</v>
      </c>
      <c r="R352" s="8" t="s">
        <v>12</v>
      </c>
      <c r="S352" s="7" t="s">
        <v>13</v>
      </c>
      <c r="T352" s="8" t="s">
        <v>14</v>
      </c>
      <c r="U352" s="7" t="s">
        <v>15</v>
      </c>
      <c r="V352" s="8" t="s">
        <v>16</v>
      </c>
      <c r="W352" s="7" t="s">
        <v>17</v>
      </c>
      <c r="X352" s="8" t="s">
        <v>18</v>
      </c>
      <c r="Y352" s="7" t="s">
        <v>19</v>
      </c>
      <c r="Z352" s="7" t="s">
        <v>20</v>
      </c>
    </row>
    <row r="353" customFormat="false" ht="12.8" hidden="false" customHeight="false" outlineLevel="0" collapsed="false">
      <c r="A353" s="1" t="n">
        <v>6</v>
      </c>
      <c r="B353" s="1" t="n">
        <v>2</v>
      </c>
      <c r="C353" s="1" t="n">
        <v>2</v>
      </c>
      <c r="D353" s="36" t="s">
        <v>218</v>
      </c>
      <c r="E353" s="10" t="n">
        <v>620</v>
      </c>
      <c r="F353" s="10" t="s">
        <v>122</v>
      </c>
      <c r="G353" s="11" t="n">
        <v>274.59</v>
      </c>
      <c r="H353" s="11" t="n">
        <v>201.09</v>
      </c>
      <c r="I353" s="11" t="n">
        <v>0</v>
      </c>
      <c r="J353" s="11" t="n">
        <v>143.57</v>
      </c>
      <c r="K353" s="11" t="n">
        <v>0</v>
      </c>
      <c r="L353" s="11" t="n">
        <v>74</v>
      </c>
      <c r="M353" s="11" t="n">
        <v>80</v>
      </c>
      <c r="N353" s="11" t="n">
        <v>67</v>
      </c>
      <c r="O353" s="11" t="n">
        <v>62</v>
      </c>
      <c r="P353" s="11" t="n">
        <f aca="false">K353+SUM(L353:O353)</f>
        <v>283</v>
      </c>
      <c r="Q353" s="11" t="n">
        <v>74.04</v>
      </c>
      <c r="R353" s="12" t="n">
        <f aca="false">Q353/$P353</f>
        <v>0.261625441696113</v>
      </c>
      <c r="S353" s="11" t="n">
        <v>154.05</v>
      </c>
      <c r="T353" s="12" t="n">
        <f aca="false">S353/$P353</f>
        <v>0.54434628975265</v>
      </c>
      <c r="U353" s="11" t="n">
        <v>221.05</v>
      </c>
      <c r="V353" s="12" t="n">
        <f aca="false">U353/$P353</f>
        <v>0.781095406360424</v>
      </c>
      <c r="W353" s="11" t="n">
        <v>283.87</v>
      </c>
      <c r="X353" s="12" t="n">
        <f aca="false">W353/$P353</f>
        <v>1.003074204947</v>
      </c>
      <c r="Y353" s="11" t="n">
        <f aca="false">K353</f>
        <v>0</v>
      </c>
      <c r="Z353" s="11" t="n">
        <f aca="false">Y353</f>
        <v>0</v>
      </c>
    </row>
    <row r="354" customFormat="false" ht="12.8" hidden="false" customHeight="false" outlineLevel="0" collapsed="false">
      <c r="A354" s="1" t="n">
        <v>6</v>
      </c>
      <c r="B354" s="1" t="n">
        <v>2</v>
      </c>
      <c r="C354" s="1" t="n">
        <v>2</v>
      </c>
      <c r="D354" s="36"/>
      <c r="E354" s="10" t="n">
        <v>630</v>
      </c>
      <c r="F354" s="10" t="s">
        <v>123</v>
      </c>
      <c r="G354" s="11" t="n">
        <v>20349.11</v>
      </c>
      <c r="H354" s="11" t="n">
        <v>4058.5</v>
      </c>
      <c r="I354" s="11" t="n">
        <v>6500</v>
      </c>
      <c r="J354" s="11" t="n">
        <v>4368.38</v>
      </c>
      <c r="K354" s="11" t="n">
        <v>14000</v>
      </c>
      <c r="L354" s="11" t="n">
        <v>-74</v>
      </c>
      <c r="M354" s="11" t="n">
        <v>-80</v>
      </c>
      <c r="N354" s="11" t="n">
        <v>-417</v>
      </c>
      <c r="O354" s="11" t="n">
        <v>-864</v>
      </c>
      <c r="P354" s="11" t="n">
        <f aca="false">K354+SUM(L354:O354)</f>
        <v>12565</v>
      </c>
      <c r="Q354" s="11" t="n">
        <v>1726.86</v>
      </c>
      <c r="R354" s="12" t="n">
        <f aca="false">Q354/$P354</f>
        <v>0.137434142459212</v>
      </c>
      <c r="S354" s="11" t="n">
        <v>2687.88</v>
      </c>
      <c r="T354" s="12" t="n">
        <f aca="false">S354/$P354</f>
        <v>0.21391802626343</v>
      </c>
      <c r="U354" s="11" t="n">
        <v>11201.53</v>
      </c>
      <c r="V354" s="12" t="n">
        <f aca="false">U354/$P354</f>
        <v>0.891486669319538</v>
      </c>
      <c r="W354" s="11" t="n">
        <v>12322.91</v>
      </c>
      <c r="X354" s="12" t="n">
        <f aca="false">W354/$P354</f>
        <v>0.980732988460008</v>
      </c>
      <c r="Y354" s="11" t="n">
        <v>3000</v>
      </c>
      <c r="Z354" s="11" t="n">
        <f aca="false">Y354</f>
        <v>3000</v>
      </c>
    </row>
    <row r="355" customFormat="false" ht="12.8" hidden="false" customHeight="false" outlineLevel="0" collapsed="false">
      <c r="A355" s="1" t="n">
        <v>6</v>
      </c>
      <c r="B355" s="1" t="n">
        <v>2</v>
      </c>
      <c r="C355" s="1" t="n">
        <v>2</v>
      </c>
      <c r="D355" s="36"/>
      <c r="E355" s="10" t="n">
        <v>640</v>
      </c>
      <c r="F355" s="10" t="s">
        <v>124</v>
      </c>
      <c r="G355" s="11" t="n">
        <v>2970</v>
      </c>
      <c r="H355" s="11" t="n">
        <v>2500</v>
      </c>
      <c r="I355" s="11" t="n">
        <v>8500</v>
      </c>
      <c r="J355" s="11" t="n">
        <v>4000</v>
      </c>
      <c r="K355" s="11" t="n">
        <v>8000</v>
      </c>
      <c r="L355" s="11"/>
      <c r="M355" s="11"/>
      <c r="N355" s="11" t="n">
        <v>350</v>
      </c>
      <c r="O355" s="11"/>
      <c r="P355" s="11" t="n">
        <f aca="false">K355+SUM(L355:O355)</f>
        <v>8350</v>
      </c>
      <c r="Q355" s="11" t="n">
        <v>0</v>
      </c>
      <c r="R355" s="12" t="n">
        <f aca="false">Q355/$P355</f>
        <v>0</v>
      </c>
      <c r="S355" s="11" t="n">
        <v>0</v>
      </c>
      <c r="T355" s="12" t="n">
        <f aca="false">S355/$P355</f>
        <v>0</v>
      </c>
      <c r="U355" s="11" t="n">
        <v>8350</v>
      </c>
      <c r="V355" s="12" t="n">
        <f aca="false">U355/$P355</f>
        <v>1</v>
      </c>
      <c r="W355" s="11" t="n">
        <v>8350</v>
      </c>
      <c r="X355" s="12" t="n">
        <f aca="false">W355/$P355</f>
        <v>1</v>
      </c>
      <c r="Y355" s="11" t="n">
        <v>7000</v>
      </c>
      <c r="Z355" s="11" t="n">
        <f aca="false">Y355</f>
        <v>7000</v>
      </c>
    </row>
    <row r="356" customFormat="false" ht="12.8" hidden="false" customHeight="false" outlineLevel="0" collapsed="false">
      <c r="A356" s="1" t="n">
        <v>6</v>
      </c>
      <c r="B356" s="1" t="n">
        <v>2</v>
      </c>
      <c r="C356" s="1" t="n">
        <v>2</v>
      </c>
      <c r="D356" s="75" t="s">
        <v>21</v>
      </c>
      <c r="E356" s="14" t="n">
        <v>41</v>
      </c>
      <c r="F356" s="14" t="s">
        <v>23</v>
      </c>
      <c r="G356" s="15" t="n">
        <f aca="false">SUM(G353:G355)</f>
        <v>23593.7</v>
      </c>
      <c r="H356" s="15" t="n">
        <f aca="false">SUM(H353:H355)</f>
        <v>6759.59</v>
      </c>
      <c r="I356" s="15" t="n">
        <f aca="false">SUM(I353:I355)</f>
        <v>15000</v>
      </c>
      <c r="J356" s="15" t="n">
        <f aca="false">SUM(J353:J355)</f>
        <v>8511.95</v>
      </c>
      <c r="K356" s="15" t="n">
        <f aca="false">SUM(K353:K355)</f>
        <v>22000</v>
      </c>
      <c r="L356" s="15" t="n">
        <f aca="false">SUM(L353:L355)</f>
        <v>0</v>
      </c>
      <c r="M356" s="15" t="n">
        <f aca="false">SUM(M353:M355)</f>
        <v>0</v>
      </c>
      <c r="N356" s="15" t="n">
        <f aca="false">SUM(N353:N355)</f>
        <v>0</v>
      </c>
      <c r="O356" s="15" t="n">
        <f aca="false">SUM(O353:O355)</f>
        <v>-802</v>
      </c>
      <c r="P356" s="15" t="n">
        <f aca="false">SUM(P353:P355)</f>
        <v>21198</v>
      </c>
      <c r="Q356" s="15" t="n">
        <f aca="false">SUM(Q353:Q355)</f>
        <v>1800.9</v>
      </c>
      <c r="R356" s="16" t="n">
        <f aca="false">Q356/$P356</f>
        <v>0.0849561279365978</v>
      </c>
      <c r="S356" s="15" t="n">
        <f aca="false">SUM(S353:S355)</f>
        <v>2841.93</v>
      </c>
      <c r="T356" s="16" t="n">
        <f aca="false">S356/$P356</f>
        <v>0.134065949617888</v>
      </c>
      <c r="U356" s="15" t="n">
        <f aca="false">SUM(U353:U355)</f>
        <v>19772.58</v>
      </c>
      <c r="V356" s="16" t="n">
        <f aca="false">U356/$P356</f>
        <v>0.932756863855081</v>
      </c>
      <c r="W356" s="15" t="n">
        <f aca="false">SUM(W353:W355)</f>
        <v>20956.78</v>
      </c>
      <c r="X356" s="16" t="n">
        <f aca="false">W356/$P356</f>
        <v>0.988620624587225</v>
      </c>
      <c r="Y356" s="15" t="n">
        <f aca="false">SUM(Y353:Y355)</f>
        <v>10000</v>
      </c>
      <c r="Z356" s="15" t="n">
        <f aca="false">SUM(Z353:Z355)</f>
        <v>10000</v>
      </c>
    </row>
    <row r="358" customFormat="false" ht="12.8" hidden="false" customHeight="false" outlineLevel="0" collapsed="false">
      <c r="E358" s="44" t="s">
        <v>56</v>
      </c>
      <c r="F358" s="18" t="s">
        <v>221</v>
      </c>
      <c r="G358" s="45" t="n">
        <v>5616.33</v>
      </c>
      <c r="H358" s="45" t="n">
        <v>2500</v>
      </c>
      <c r="I358" s="45"/>
      <c r="J358" s="45"/>
      <c r="K358" s="45" t="n">
        <v>4000</v>
      </c>
      <c r="L358" s="45"/>
      <c r="M358" s="45"/>
      <c r="N358" s="45"/>
      <c r="O358" s="45"/>
      <c r="P358" s="45" t="n">
        <f aca="false">K358+SUM(L358:O358)</f>
        <v>4000</v>
      </c>
      <c r="Q358" s="45" t="n">
        <v>0</v>
      </c>
      <c r="R358" s="46" t="n">
        <f aca="false">Q358/$P358</f>
        <v>0</v>
      </c>
      <c r="S358" s="45" t="n">
        <v>0</v>
      </c>
      <c r="T358" s="46" t="n">
        <f aca="false">S358/$P358</f>
        <v>0</v>
      </c>
      <c r="U358" s="45" t="n">
        <v>4000</v>
      </c>
      <c r="V358" s="46" t="n">
        <f aca="false">U358/$P358</f>
        <v>1</v>
      </c>
      <c r="W358" s="45" t="n">
        <v>4000</v>
      </c>
      <c r="X358" s="92" t="n">
        <f aca="false">W358/$P358</f>
        <v>1</v>
      </c>
      <c r="Y358" s="45"/>
      <c r="Z358" s="48"/>
    </row>
    <row r="359" customFormat="false" ht="12.8" hidden="false" customHeight="false" outlineLevel="0" collapsed="false">
      <c r="E359" s="49"/>
      <c r="F359" s="1" t="s">
        <v>222</v>
      </c>
      <c r="G359" s="51" t="n">
        <v>7798.66</v>
      </c>
      <c r="H359" s="54"/>
      <c r="I359" s="51"/>
      <c r="J359" s="51" t="n">
        <v>4000</v>
      </c>
      <c r="K359" s="51" t="n">
        <v>4000</v>
      </c>
      <c r="L359" s="51"/>
      <c r="M359" s="51"/>
      <c r="N359" s="51"/>
      <c r="O359" s="51"/>
      <c r="P359" s="51" t="n">
        <f aca="false">K359+SUM(L359:O359)</f>
        <v>4000</v>
      </c>
      <c r="Q359" s="51" t="n">
        <v>0</v>
      </c>
      <c r="R359" s="2" t="n">
        <f aca="false">Q359/$P359</f>
        <v>0</v>
      </c>
      <c r="S359" s="51" t="n">
        <v>0</v>
      </c>
      <c r="T359" s="2" t="n">
        <f aca="false">S359/$P359</f>
        <v>0</v>
      </c>
      <c r="U359" s="51" t="n">
        <v>4000</v>
      </c>
      <c r="V359" s="2" t="n">
        <f aca="false">U359/$P359</f>
        <v>1</v>
      </c>
      <c r="W359" s="51" t="n">
        <v>4000</v>
      </c>
      <c r="X359" s="93" t="n">
        <f aca="false">W359/$P359</f>
        <v>1</v>
      </c>
      <c r="Y359" s="51"/>
      <c r="Z359" s="53"/>
    </row>
    <row r="360" customFormat="false" ht="12.8" hidden="false" customHeight="false" outlineLevel="0" collapsed="false">
      <c r="E360" s="49"/>
      <c r="F360" s="1" t="s">
        <v>223</v>
      </c>
      <c r="G360" s="51"/>
      <c r="H360" s="54"/>
      <c r="I360" s="51"/>
      <c r="J360" s="51"/>
      <c r="K360" s="51" t="n">
        <v>10000</v>
      </c>
      <c r="L360" s="51"/>
      <c r="M360" s="51"/>
      <c r="N360" s="51" t="n">
        <f aca="false">-1010+564</f>
        <v>-446</v>
      </c>
      <c r="O360" s="51" t="n">
        <v>-1288</v>
      </c>
      <c r="P360" s="51" t="n">
        <f aca="false">K360+SUM(L360:O360)</f>
        <v>8266</v>
      </c>
      <c r="Q360" s="51" t="n">
        <v>0</v>
      </c>
      <c r="R360" s="2" t="n">
        <f aca="false">Q360/$P360</f>
        <v>0</v>
      </c>
      <c r="S360" s="51" t="n">
        <v>0</v>
      </c>
      <c r="T360" s="2" t="n">
        <f aca="false">S360/$P360</f>
        <v>0</v>
      </c>
      <c r="U360" s="51" t="n">
        <v>8024.46</v>
      </c>
      <c r="V360" s="2" t="n">
        <f aca="false">U360/$P360</f>
        <v>0.970779095088314</v>
      </c>
      <c r="W360" s="51" t="n">
        <v>8024.46</v>
      </c>
      <c r="X360" s="93" t="n">
        <f aca="false">W360/$P360</f>
        <v>0.970779095088314</v>
      </c>
      <c r="Y360" s="51"/>
      <c r="Z360" s="53"/>
    </row>
    <row r="361" customFormat="false" ht="12.8" hidden="false" customHeight="false" outlineLevel="0" collapsed="false">
      <c r="E361" s="57"/>
      <c r="F361" s="76" t="s">
        <v>224</v>
      </c>
      <c r="G361" s="111" t="n">
        <v>4173.74</v>
      </c>
      <c r="H361" s="111" t="n">
        <v>3408</v>
      </c>
      <c r="I361" s="111" t="n">
        <v>6500</v>
      </c>
      <c r="J361" s="111" t="n">
        <v>4511.95</v>
      </c>
      <c r="K361" s="111" t="n">
        <f aca="false">3000+1000</f>
        <v>4000</v>
      </c>
      <c r="L361" s="111"/>
      <c r="M361" s="111"/>
      <c r="N361" s="111"/>
      <c r="O361" s="111" t="n">
        <v>299</v>
      </c>
      <c r="P361" s="111" t="n">
        <f aca="false">K361+SUM(L361:O361)</f>
        <v>4299</v>
      </c>
      <c r="Q361" s="111" t="n">
        <v>1800.9</v>
      </c>
      <c r="R361" s="112" t="n">
        <f aca="false">Q361/$P361</f>
        <v>0.418911374738311</v>
      </c>
      <c r="S361" s="111" t="n">
        <v>2841.93</v>
      </c>
      <c r="T361" s="112" t="n">
        <f aca="false">S361/$P361</f>
        <v>0.661067690160502</v>
      </c>
      <c r="U361" s="111" t="n">
        <v>3177.07</v>
      </c>
      <c r="V361" s="112" t="n">
        <f aca="false">U361/$P361</f>
        <v>0.739025354733659</v>
      </c>
      <c r="W361" s="111" t="n">
        <v>4298.45</v>
      </c>
      <c r="X361" s="113" t="n">
        <f aca="false">W361/$P361</f>
        <v>0.999872063270528</v>
      </c>
      <c r="Y361" s="111"/>
      <c r="Z361" s="114"/>
    </row>
    <row r="362" customFormat="false" ht="12.8" hidden="true" customHeight="false" outlineLevel="0" collapsed="false">
      <c r="E362" s="49"/>
      <c r="F362" s="50" t="s">
        <v>225</v>
      </c>
      <c r="G362" s="54" t="n">
        <v>4620.26</v>
      </c>
      <c r="H362" s="51"/>
      <c r="I362" s="51"/>
      <c r="J362" s="51"/>
      <c r="K362" s="51"/>
      <c r="L362" s="51"/>
      <c r="M362" s="51"/>
      <c r="N362" s="51"/>
      <c r="O362" s="51"/>
      <c r="P362" s="51" t="n">
        <f aca="false">K362+SUM(L362:O362)</f>
        <v>0</v>
      </c>
      <c r="Q362" s="51" t="n">
        <v>0</v>
      </c>
      <c r="R362" s="2" t="e">
        <f aca="false">Q362/$P362</f>
        <v>#DIV/0!</v>
      </c>
      <c r="S362" s="51"/>
      <c r="T362" s="2" t="e">
        <f aca="false">S362/$P362</f>
        <v>#DIV/0!</v>
      </c>
      <c r="U362" s="51"/>
      <c r="V362" s="2" t="e">
        <f aca="false">U362/$P362</f>
        <v>#DIV/0!</v>
      </c>
      <c r="W362" s="51"/>
      <c r="X362" s="93" t="e">
        <f aca="false">W362/$P362</f>
        <v>#DIV/0!</v>
      </c>
      <c r="Y362" s="51"/>
      <c r="Z362" s="53"/>
    </row>
    <row r="363" customFormat="false" ht="12.8" hidden="true" customHeight="false" outlineLevel="0" collapsed="false">
      <c r="E363" s="57"/>
      <c r="F363" s="76" t="s">
        <v>215</v>
      </c>
      <c r="G363" s="59"/>
      <c r="H363" s="59"/>
      <c r="I363" s="59" t="n">
        <v>8500</v>
      </c>
      <c r="J363" s="59"/>
      <c r="K363" s="59"/>
      <c r="L363" s="59"/>
      <c r="M363" s="59"/>
      <c r="N363" s="59"/>
      <c r="O363" s="59"/>
      <c r="P363" s="59" t="n">
        <f aca="false">K363+SUM(L363:O363)</f>
        <v>0</v>
      </c>
      <c r="Q363" s="59" t="n">
        <v>0</v>
      </c>
      <c r="R363" s="60" t="e">
        <f aca="false">Q363/$P363</f>
        <v>#DIV/0!</v>
      </c>
      <c r="S363" s="59"/>
      <c r="T363" s="60" t="e">
        <f aca="false">S363/$P363</f>
        <v>#DIV/0!</v>
      </c>
      <c r="U363" s="59"/>
      <c r="V363" s="60" t="e">
        <f aca="false">U363/$P363</f>
        <v>#DIV/0!</v>
      </c>
      <c r="W363" s="59"/>
      <c r="X363" s="97" t="e">
        <f aca="false">W363/$P363</f>
        <v>#DIV/0!</v>
      </c>
      <c r="Y363" s="59" t="n">
        <v>10000</v>
      </c>
      <c r="Z363" s="62" t="n">
        <v>10000</v>
      </c>
    </row>
    <row r="365" customFormat="false" ht="12.8" hidden="false" customHeight="false" outlineLevel="0" collapsed="false">
      <c r="D365" s="66" t="s">
        <v>226</v>
      </c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7"/>
      <c r="S365" s="66"/>
      <c r="T365" s="67"/>
      <c r="U365" s="66"/>
      <c r="V365" s="67"/>
      <c r="W365" s="66"/>
      <c r="X365" s="67"/>
      <c r="Y365" s="66"/>
      <c r="Z365" s="66"/>
    </row>
    <row r="366" customFormat="false" ht="12.8" hidden="false" customHeight="false" outlineLevel="0" collapsed="false">
      <c r="D366" s="7" t="s">
        <v>33</v>
      </c>
      <c r="E366" s="7" t="s">
        <v>34</v>
      </c>
      <c r="F366" s="7" t="s">
        <v>35</v>
      </c>
      <c r="G366" s="7" t="s">
        <v>1</v>
      </c>
      <c r="H366" s="7" t="s">
        <v>2</v>
      </c>
      <c r="I366" s="7" t="s">
        <v>3</v>
      </c>
      <c r="J366" s="7" t="s">
        <v>4</v>
      </c>
      <c r="K366" s="7" t="s">
        <v>5</v>
      </c>
      <c r="L366" s="7" t="s">
        <v>6</v>
      </c>
      <c r="M366" s="7" t="s">
        <v>7</v>
      </c>
      <c r="N366" s="7" t="s">
        <v>8</v>
      </c>
      <c r="O366" s="7" t="s">
        <v>9</v>
      </c>
      <c r="P366" s="7" t="s">
        <v>10</v>
      </c>
      <c r="Q366" s="7" t="s">
        <v>11</v>
      </c>
      <c r="R366" s="8" t="s">
        <v>12</v>
      </c>
      <c r="S366" s="7" t="s">
        <v>13</v>
      </c>
      <c r="T366" s="8" t="s">
        <v>14</v>
      </c>
      <c r="U366" s="7" t="s">
        <v>15</v>
      </c>
      <c r="V366" s="8" t="s">
        <v>16</v>
      </c>
      <c r="W366" s="7" t="s">
        <v>17</v>
      </c>
      <c r="X366" s="8" t="s">
        <v>18</v>
      </c>
      <c r="Y366" s="7" t="s">
        <v>19</v>
      </c>
      <c r="Z366" s="7" t="s">
        <v>20</v>
      </c>
    </row>
    <row r="367" customFormat="false" ht="12.8" hidden="false" customHeight="false" outlineLevel="0" collapsed="false">
      <c r="D367" s="36" t="s">
        <v>218</v>
      </c>
      <c r="E367" s="10" t="n">
        <v>620</v>
      </c>
      <c r="F367" s="10" t="s">
        <v>122</v>
      </c>
      <c r="G367" s="11"/>
      <c r="H367" s="11"/>
      <c r="I367" s="11"/>
      <c r="J367" s="11"/>
      <c r="K367" s="11" t="n">
        <v>0</v>
      </c>
      <c r="L367" s="11"/>
      <c r="M367" s="11"/>
      <c r="N367" s="11"/>
      <c r="O367" s="11" t="n">
        <v>126</v>
      </c>
      <c r="P367" s="11" t="n">
        <f aca="false">K367+SUM(L367:O367)</f>
        <v>126</v>
      </c>
      <c r="Q367" s="11" t="n">
        <v>0</v>
      </c>
      <c r="R367" s="12" t="n">
        <f aca="false">Q367/$P367</f>
        <v>0</v>
      </c>
      <c r="S367" s="11" t="n">
        <v>0</v>
      </c>
      <c r="T367" s="12" t="n">
        <f aca="false">S367/$P367</f>
        <v>0</v>
      </c>
      <c r="U367" s="11" t="n">
        <v>0</v>
      </c>
      <c r="V367" s="12" t="n">
        <f aca="false">U367/$P367</f>
        <v>0</v>
      </c>
      <c r="W367" s="11" t="n">
        <v>125.7</v>
      </c>
      <c r="X367" s="12" t="n">
        <f aca="false">W367/$P367</f>
        <v>0.997619047619048</v>
      </c>
      <c r="Y367" s="11"/>
      <c r="Z367" s="11"/>
    </row>
    <row r="368" customFormat="false" ht="12.8" hidden="false" customHeight="false" outlineLevel="0" collapsed="false">
      <c r="A368" s="1" t="n">
        <v>6</v>
      </c>
      <c r="B368" s="1" t="n">
        <v>2</v>
      </c>
      <c r="C368" s="1" t="n">
        <v>3</v>
      </c>
      <c r="D368" s="36" t="s">
        <v>218</v>
      </c>
      <c r="E368" s="10" t="n">
        <v>630</v>
      </c>
      <c r="F368" s="10" t="s">
        <v>123</v>
      </c>
      <c r="G368" s="11" t="n">
        <v>1215.5</v>
      </c>
      <c r="H368" s="11" t="n">
        <v>1017.02</v>
      </c>
      <c r="I368" s="11" t="n">
        <v>1200</v>
      </c>
      <c r="J368" s="11" t="n">
        <v>596.5</v>
      </c>
      <c r="K368" s="11" t="n">
        <v>600</v>
      </c>
      <c r="L368" s="11"/>
      <c r="M368" s="11"/>
      <c r="N368" s="11"/>
      <c r="O368" s="11" t="n">
        <v>616</v>
      </c>
      <c r="P368" s="11" t="n">
        <f aca="false">K368+SUM(L368:O368)</f>
        <v>1216</v>
      </c>
      <c r="Q368" s="11" t="n">
        <v>0</v>
      </c>
      <c r="R368" s="12" t="n">
        <f aca="false">Q368/$P368</f>
        <v>0</v>
      </c>
      <c r="S368" s="11" t="n">
        <v>0</v>
      </c>
      <c r="T368" s="12" t="n">
        <f aca="false">S368/$P368</f>
        <v>0</v>
      </c>
      <c r="U368" s="11" t="n">
        <v>0</v>
      </c>
      <c r="V368" s="12" t="n">
        <f aca="false">U368/$P368</f>
        <v>0</v>
      </c>
      <c r="W368" s="11" t="n">
        <v>1216.44</v>
      </c>
      <c r="X368" s="12" t="n">
        <f aca="false">W368/$P368</f>
        <v>1.00036184210526</v>
      </c>
      <c r="Y368" s="11" t="n">
        <f aca="false">K368</f>
        <v>600</v>
      </c>
      <c r="Z368" s="11" t="n">
        <f aca="false">Y368</f>
        <v>600</v>
      </c>
    </row>
    <row r="369" customFormat="false" ht="12.8" hidden="false" customHeight="false" outlineLevel="0" collapsed="false">
      <c r="A369" s="1" t="n">
        <v>6</v>
      </c>
      <c r="B369" s="1" t="n">
        <v>2</v>
      </c>
      <c r="C369" s="1" t="n">
        <v>3</v>
      </c>
      <c r="D369" s="75" t="s">
        <v>21</v>
      </c>
      <c r="E369" s="14" t="n">
        <v>41</v>
      </c>
      <c r="F369" s="14" t="s">
        <v>23</v>
      </c>
      <c r="G369" s="15" t="n">
        <f aca="false">SUM(G367:G368)</f>
        <v>1215.5</v>
      </c>
      <c r="H369" s="15" t="n">
        <f aca="false">SUM(H367:H368)</f>
        <v>1017.02</v>
      </c>
      <c r="I369" s="15" t="n">
        <f aca="false">SUM(I367:I368)</f>
        <v>1200</v>
      </c>
      <c r="J369" s="15" t="n">
        <f aca="false">SUM(J367:J368)</f>
        <v>596.5</v>
      </c>
      <c r="K369" s="15" t="n">
        <f aca="false">SUM(K367:K368)</f>
        <v>600</v>
      </c>
      <c r="L369" s="15" t="n">
        <f aca="false">SUM(L367:L368)</f>
        <v>0</v>
      </c>
      <c r="M369" s="15" t="n">
        <f aca="false">SUM(M367:M368)</f>
        <v>0</v>
      </c>
      <c r="N369" s="15" t="n">
        <f aca="false">SUM(N367:N368)</f>
        <v>0</v>
      </c>
      <c r="O369" s="15" t="n">
        <f aca="false">SUM(O367:O368)</f>
        <v>742</v>
      </c>
      <c r="P369" s="15" t="n">
        <f aca="false">SUM(P367:P368)</f>
        <v>1342</v>
      </c>
      <c r="Q369" s="15" t="n">
        <f aca="false">SUM(Q367:Q368)</f>
        <v>0</v>
      </c>
      <c r="R369" s="16" t="n">
        <f aca="false">Q369/$P369</f>
        <v>0</v>
      </c>
      <c r="S369" s="15" t="n">
        <f aca="false">SUM(S367:S368)</f>
        <v>0</v>
      </c>
      <c r="T369" s="16" t="n">
        <f aca="false">S369/$P369</f>
        <v>0</v>
      </c>
      <c r="U369" s="15" t="n">
        <f aca="false">SUM(U367:U368)</f>
        <v>0</v>
      </c>
      <c r="V369" s="16" t="n">
        <f aca="false">U369/$P369</f>
        <v>0</v>
      </c>
      <c r="W369" s="15" t="n">
        <f aca="false">SUM(W367:W368)</f>
        <v>1342.14</v>
      </c>
      <c r="X369" s="16" t="n">
        <f aca="false">W369/$P369</f>
        <v>1.0001043219076</v>
      </c>
      <c r="Y369" s="15" t="n">
        <f aca="false">SUM(Y368:Y368)</f>
        <v>600</v>
      </c>
      <c r="Z369" s="15" t="n">
        <f aca="false">SUM(Z368:Z368)</f>
        <v>600</v>
      </c>
    </row>
    <row r="371" customFormat="false" ht="12.8" hidden="false" customHeight="false" outlineLevel="0" collapsed="false">
      <c r="D371" s="31" t="s">
        <v>227</v>
      </c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2"/>
      <c r="S371" s="31"/>
      <c r="T371" s="32"/>
      <c r="U371" s="31"/>
      <c r="V371" s="32"/>
      <c r="W371" s="31"/>
      <c r="X371" s="32"/>
      <c r="Y371" s="31"/>
      <c r="Z371" s="31"/>
    </row>
    <row r="372" customFormat="false" ht="12.8" hidden="false" customHeight="false" outlineLevel="0" collapsed="false">
      <c r="D372" s="7"/>
      <c r="E372" s="7"/>
      <c r="F372" s="7"/>
      <c r="G372" s="7" t="s">
        <v>1</v>
      </c>
      <c r="H372" s="7" t="s">
        <v>2</v>
      </c>
      <c r="I372" s="7" t="s">
        <v>3</v>
      </c>
      <c r="J372" s="7" t="s">
        <v>4</v>
      </c>
      <c r="K372" s="7" t="s">
        <v>5</v>
      </c>
      <c r="L372" s="7" t="s">
        <v>6</v>
      </c>
      <c r="M372" s="7" t="s">
        <v>7</v>
      </c>
      <c r="N372" s="7" t="s">
        <v>8</v>
      </c>
      <c r="O372" s="7" t="s">
        <v>9</v>
      </c>
      <c r="P372" s="7" t="s">
        <v>10</v>
      </c>
      <c r="Q372" s="7" t="s">
        <v>11</v>
      </c>
      <c r="R372" s="8" t="s">
        <v>12</v>
      </c>
      <c r="S372" s="7" t="s">
        <v>13</v>
      </c>
      <c r="T372" s="8" t="s">
        <v>14</v>
      </c>
      <c r="U372" s="7" t="s">
        <v>15</v>
      </c>
      <c r="V372" s="8" t="s">
        <v>16</v>
      </c>
      <c r="W372" s="7" t="s">
        <v>17</v>
      </c>
      <c r="X372" s="8" t="s">
        <v>18</v>
      </c>
      <c r="Y372" s="7" t="s">
        <v>19</v>
      </c>
      <c r="Z372" s="7" t="s">
        <v>20</v>
      </c>
    </row>
    <row r="373" customFormat="false" ht="12.8" hidden="false" customHeight="false" outlineLevel="0" collapsed="false">
      <c r="A373" s="1" t="n">
        <v>6</v>
      </c>
      <c r="B373" s="1" t="n">
        <v>3</v>
      </c>
      <c r="D373" s="33" t="s">
        <v>21</v>
      </c>
      <c r="E373" s="10" t="n">
        <v>41</v>
      </c>
      <c r="F373" s="10" t="s">
        <v>23</v>
      </c>
      <c r="G373" s="11" t="n">
        <f aca="false">G380+G387</f>
        <v>8564.72</v>
      </c>
      <c r="H373" s="11" t="n">
        <f aca="false">H380+H387</f>
        <v>10483.94</v>
      </c>
      <c r="I373" s="11" t="n">
        <f aca="false">I380+I387</f>
        <v>8900</v>
      </c>
      <c r="J373" s="11" t="n">
        <f aca="false">J380+J387</f>
        <v>8833.43</v>
      </c>
      <c r="K373" s="11" t="n">
        <f aca="false">K380+K387</f>
        <v>10575</v>
      </c>
      <c r="L373" s="11" t="n">
        <f aca="false">L380+L387</f>
        <v>0</v>
      </c>
      <c r="M373" s="11" t="n">
        <f aca="false">M380+M387</f>
        <v>0</v>
      </c>
      <c r="N373" s="11" t="n">
        <f aca="false">N380+N387</f>
        <v>0</v>
      </c>
      <c r="O373" s="11" t="n">
        <f aca="false">O380+O387</f>
        <v>-130</v>
      </c>
      <c r="P373" s="11" t="n">
        <f aca="false">P380+P387</f>
        <v>10445</v>
      </c>
      <c r="Q373" s="11" t="n">
        <f aca="false">Q380+Q387</f>
        <v>7863.2</v>
      </c>
      <c r="R373" s="12" t="n">
        <f aca="false">Q373/$P373</f>
        <v>0.752819530876017</v>
      </c>
      <c r="S373" s="11" t="n">
        <f aca="false">S380+S387</f>
        <v>8363.2</v>
      </c>
      <c r="T373" s="12" t="n">
        <f aca="false">S373/$P373</f>
        <v>0.800689325035902</v>
      </c>
      <c r="U373" s="11" t="n">
        <f aca="false">U380+U387</f>
        <v>10445.56</v>
      </c>
      <c r="V373" s="12" t="n">
        <f aca="false">U373/$P373</f>
        <v>1.00005361416946</v>
      </c>
      <c r="W373" s="11" t="n">
        <f aca="false">W380+W387</f>
        <v>10445.56</v>
      </c>
      <c r="X373" s="12" t="n">
        <f aca="false">W373/$P373</f>
        <v>1.00005361416946</v>
      </c>
      <c r="Y373" s="11" t="n">
        <f aca="false">Y380+Y387</f>
        <v>9565</v>
      </c>
      <c r="Z373" s="11" t="n">
        <f aca="false">Z380+Z387</f>
        <v>9565</v>
      </c>
    </row>
    <row r="374" customFormat="false" ht="12.8" hidden="false" customHeight="false" outlineLevel="0" collapsed="false">
      <c r="D374" s="18"/>
      <c r="E374" s="19"/>
      <c r="F374" s="14" t="s">
        <v>116</v>
      </c>
      <c r="G374" s="15" t="n">
        <f aca="false">SUM(G373:G373)</f>
        <v>8564.72</v>
      </c>
      <c r="H374" s="15" t="n">
        <f aca="false">SUM(H373:H373)</f>
        <v>10483.94</v>
      </c>
      <c r="I374" s="15" t="n">
        <f aca="false">SUM(I373:I373)</f>
        <v>8900</v>
      </c>
      <c r="J374" s="15" t="n">
        <f aca="false">SUM(J373:J373)</f>
        <v>8833.43</v>
      </c>
      <c r="K374" s="15" t="n">
        <f aca="false">SUM(K373:K373)</f>
        <v>10575</v>
      </c>
      <c r="L374" s="15" t="n">
        <f aca="false">SUM(L373:L373)</f>
        <v>0</v>
      </c>
      <c r="M374" s="15" t="n">
        <f aca="false">SUM(M373:M373)</f>
        <v>0</v>
      </c>
      <c r="N374" s="15" t="n">
        <f aca="false">SUM(N373:N373)</f>
        <v>0</v>
      </c>
      <c r="O374" s="15" t="n">
        <f aca="false">SUM(O373:O373)</f>
        <v>-130</v>
      </c>
      <c r="P374" s="15" t="n">
        <f aca="false">SUM(P373:P373)</f>
        <v>10445</v>
      </c>
      <c r="Q374" s="15" t="n">
        <f aca="false">SUM(Q373:Q373)</f>
        <v>7863.2</v>
      </c>
      <c r="R374" s="16" t="n">
        <f aca="false">Q374/$P374</f>
        <v>0.752819530876017</v>
      </c>
      <c r="S374" s="15" t="n">
        <f aca="false">SUM(S373:S373)</f>
        <v>8363.2</v>
      </c>
      <c r="T374" s="16" t="n">
        <f aca="false">S374/$P374</f>
        <v>0.800689325035902</v>
      </c>
      <c r="U374" s="15" t="n">
        <f aca="false">SUM(U373:U373)</f>
        <v>10445.56</v>
      </c>
      <c r="V374" s="16" t="n">
        <f aca="false">U374/$P374</f>
        <v>1.00005361416946</v>
      </c>
      <c r="W374" s="15" t="n">
        <f aca="false">SUM(W373:W373)</f>
        <v>10445.56</v>
      </c>
      <c r="X374" s="16" t="n">
        <f aca="false">W374/$P374</f>
        <v>1.00005361416946</v>
      </c>
      <c r="Y374" s="15" t="n">
        <f aca="false">SUM(Y373:Y373)</f>
        <v>9565</v>
      </c>
      <c r="Z374" s="15" t="n">
        <f aca="false">SUM(Z373:Z373)</f>
        <v>9565</v>
      </c>
    </row>
    <row r="376" customFormat="false" ht="12.8" hidden="false" customHeight="false" outlineLevel="0" collapsed="false">
      <c r="D376" s="66" t="s">
        <v>228</v>
      </c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7"/>
      <c r="S376" s="66"/>
      <c r="T376" s="67"/>
      <c r="U376" s="66"/>
      <c r="V376" s="67"/>
      <c r="W376" s="66"/>
      <c r="X376" s="67"/>
      <c r="Y376" s="66"/>
      <c r="Z376" s="66"/>
    </row>
    <row r="377" customFormat="false" ht="12.8" hidden="false" customHeight="false" outlineLevel="0" collapsed="false">
      <c r="D377" s="7" t="s">
        <v>33</v>
      </c>
      <c r="E377" s="7" t="s">
        <v>34</v>
      </c>
      <c r="F377" s="7" t="s">
        <v>35</v>
      </c>
      <c r="G377" s="7" t="s">
        <v>1</v>
      </c>
      <c r="H377" s="7" t="s">
        <v>2</v>
      </c>
      <c r="I377" s="7" t="s">
        <v>3</v>
      </c>
      <c r="J377" s="7" t="s">
        <v>4</v>
      </c>
      <c r="K377" s="7" t="s">
        <v>5</v>
      </c>
      <c r="L377" s="7" t="s">
        <v>6</v>
      </c>
      <c r="M377" s="7" t="s">
        <v>7</v>
      </c>
      <c r="N377" s="7" t="s">
        <v>8</v>
      </c>
      <c r="O377" s="7" t="s">
        <v>9</v>
      </c>
      <c r="P377" s="7" t="s">
        <v>10</v>
      </c>
      <c r="Q377" s="7" t="s">
        <v>11</v>
      </c>
      <c r="R377" s="8" t="s">
        <v>12</v>
      </c>
      <c r="S377" s="7" t="s">
        <v>13</v>
      </c>
      <c r="T377" s="8" t="s">
        <v>14</v>
      </c>
      <c r="U377" s="7" t="s">
        <v>15</v>
      </c>
      <c r="V377" s="8" t="s">
        <v>16</v>
      </c>
      <c r="W377" s="7" t="s">
        <v>17</v>
      </c>
      <c r="X377" s="8" t="s">
        <v>18</v>
      </c>
      <c r="Y377" s="7" t="s">
        <v>19</v>
      </c>
      <c r="Z377" s="7" t="s">
        <v>20</v>
      </c>
    </row>
    <row r="378" customFormat="false" ht="12.8" hidden="false" customHeight="false" outlineLevel="0" collapsed="false">
      <c r="A378" s="1" t="n">
        <v>6</v>
      </c>
      <c r="B378" s="1" t="n">
        <v>3</v>
      </c>
      <c r="C378" s="1" t="n">
        <v>1</v>
      </c>
      <c r="D378" s="36" t="s">
        <v>229</v>
      </c>
      <c r="E378" s="10" t="n">
        <v>630</v>
      </c>
      <c r="F378" s="10" t="s">
        <v>123</v>
      </c>
      <c r="G378" s="11" t="n">
        <v>164.72</v>
      </c>
      <c r="H378" s="11" t="n">
        <v>7483.94</v>
      </c>
      <c r="I378" s="11" t="n">
        <v>5400</v>
      </c>
      <c r="J378" s="11" t="n">
        <v>5564.72</v>
      </c>
      <c r="K378" s="11" t="n">
        <f aca="false">5565+610</f>
        <v>6175</v>
      </c>
      <c r="L378" s="11"/>
      <c r="M378" s="11"/>
      <c r="N378" s="11"/>
      <c r="O378" s="11"/>
      <c r="P378" s="11" t="n">
        <f aca="false">K378+SUM(L378:O378)</f>
        <v>6175</v>
      </c>
      <c r="Q378" s="11" t="n">
        <v>6093.37</v>
      </c>
      <c r="R378" s="12" t="n">
        <f aca="false">Q378/$P378</f>
        <v>0.986780566801619</v>
      </c>
      <c r="S378" s="11" t="n">
        <v>6093.37</v>
      </c>
      <c r="T378" s="12" t="n">
        <f aca="false">S378/$P378</f>
        <v>0.986780566801619</v>
      </c>
      <c r="U378" s="11" t="n">
        <v>6175.73</v>
      </c>
      <c r="V378" s="12" t="n">
        <f aca="false">U378/$P378</f>
        <v>1.00011821862348</v>
      </c>
      <c r="W378" s="11" t="n">
        <v>6175.73</v>
      </c>
      <c r="X378" s="12" t="n">
        <f aca="false">W378/$P378</f>
        <v>1.00011821862348</v>
      </c>
      <c r="Y378" s="11" t="n">
        <v>5565</v>
      </c>
      <c r="Z378" s="11" t="n">
        <f aca="false">Y378</f>
        <v>5565</v>
      </c>
    </row>
    <row r="379" customFormat="false" ht="12.8" hidden="false" customHeight="false" outlineLevel="0" collapsed="false">
      <c r="A379" s="1" t="n">
        <v>6</v>
      </c>
      <c r="B379" s="1" t="n">
        <v>3</v>
      </c>
      <c r="C379" s="1" t="n">
        <v>1</v>
      </c>
      <c r="D379" s="36"/>
      <c r="E379" s="10" t="n">
        <v>640</v>
      </c>
      <c r="F379" s="10" t="s">
        <v>124</v>
      </c>
      <c r="G379" s="11" t="n">
        <v>5400</v>
      </c>
      <c r="H379" s="11" t="n">
        <v>0</v>
      </c>
      <c r="I379" s="11" t="n">
        <v>0</v>
      </c>
      <c r="J379" s="11" t="n">
        <v>0</v>
      </c>
      <c r="K379" s="11" t="n">
        <v>0</v>
      </c>
      <c r="L379" s="11"/>
      <c r="M379" s="11"/>
      <c r="N379" s="11"/>
      <c r="O379" s="11"/>
      <c r="P379" s="11" t="n">
        <f aca="false">K379+SUM(L379:O379)</f>
        <v>0</v>
      </c>
      <c r="Q379" s="11" t="n">
        <v>0</v>
      </c>
      <c r="R379" s="12" t="e">
        <f aca="false">Q379/$P379</f>
        <v>#DIV/0!</v>
      </c>
      <c r="S379" s="11" t="n">
        <v>0</v>
      </c>
      <c r="T379" s="12" t="e">
        <f aca="false">S379/$P379</f>
        <v>#DIV/0!</v>
      </c>
      <c r="U379" s="11" t="n">
        <v>0</v>
      </c>
      <c r="V379" s="12" t="e">
        <f aca="false">U379/$P379</f>
        <v>#DIV/0!</v>
      </c>
      <c r="W379" s="11" t="n">
        <v>0</v>
      </c>
      <c r="X379" s="12" t="e">
        <f aca="false">W379/$P379</f>
        <v>#DIV/0!</v>
      </c>
      <c r="Y379" s="11" t="n">
        <f aca="false">K379</f>
        <v>0</v>
      </c>
      <c r="Z379" s="11" t="n">
        <f aca="false">Y379</f>
        <v>0</v>
      </c>
    </row>
    <row r="380" customFormat="false" ht="12.8" hidden="false" customHeight="false" outlineLevel="0" collapsed="false">
      <c r="A380" s="1" t="n">
        <v>6</v>
      </c>
      <c r="B380" s="1" t="n">
        <v>3</v>
      </c>
      <c r="C380" s="1" t="n">
        <v>1</v>
      </c>
      <c r="D380" s="75" t="s">
        <v>21</v>
      </c>
      <c r="E380" s="14" t="n">
        <v>41</v>
      </c>
      <c r="F380" s="14" t="s">
        <v>23</v>
      </c>
      <c r="G380" s="15" t="n">
        <f aca="false">SUM(G378:G379)</f>
        <v>5564.72</v>
      </c>
      <c r="H380" s="15" t="n">
        <f aca="false">SUM(H378:H379)</f>
        <v>7483.94</v>
      </c>
      <c r="I380" s="15" t="n">
        <f aca="false">SUM(I378:I379)</f>
        <v>5400</v>
      </c>
      <c r="J380" s="15" t="n">
        <f aca="false">SUM(J378:J379)</f>
        <v>5564.72</v>
      </c>
      <c r="K380" s="15" t="n">
        <f aca="false">SUM(K378:K379)</f>
        <v>6175</v>
      </c>
      <c r="L380" s="15" t="n">
        <f aca="false">SUM(L378:L379)</f>
        <v>0</v>
      </c>
      <c r="M380" s="15" t="n">
        <f aca="false">SUM(M378:M379)</f>
        <v>0</v>
      </c>
      <c r="N380" s="15" t="n">
        <f aca="false">SUM(N378:N379)</f>
        <v>0</v>
      </c>
      <c r="O380" s="15" t="n">
        <f aca="false">SUM(O378:O379)</f>
        <v>0</v>
      </c>
      <c r="P380" s="15" t="n">
        <f aca="false">SUM(P378:P379)</f>
        <v>6175</v>
      </c>
      <c r="Q380" s="15" t="n">
        <f aca="false">SUM(Q378:Q379)</f>
        <v>6093.37</v>
      </c>
      <c r="R380" s="16" t="n">
        <f aca="false">Q380/$P380</f>
        <v>0.986780566801619</v>
      </c>
      <c r="S380" s="15" t="n">
        <f aca="false">SUM(S378:S379)</f>
        <v>6093.37</v>
      </c>
      <c r="T380" s="16" t="n">
        <f aca="false">S380/$P380</f>
        <v>0.986780566801619</v>
      </c>
      <c r="U380" s="15" t="n">
        <f aca="false">SUM(U378:U379)</f>
        <v>6175.73</v>
      </c>
      <c r="V380" s="16" t="n">
        <f aca="false">U380/$P380</f>
        <v>1.00011821862348</v>
      </c>
      <c r="W380" s="15" t="n">
        <f aca="false">SUM(W378:W379)</f>
        <v>6175.73</v>
      </c>
      <c r="X380" s="16" t="n">
        <f aca="false">W380/$P380</f>
        <v>1.00011821862348</v>
      </c>
      <c r="Y380" s="15" t="n">
        <f aca="false">SUM(Y378:Y379)</f>
        <v>5565</v>
      </c>
      <c r="Z380" s="15" t="n">
        <f aca="false">SUM(Z378:Z379)</f>
        <v>5565</v>
      </c>
    </row>
    <row r="382" customFormat="false" ht="12.8" hidden="false" customHeight="false" outlineLevel="0" collapsed="false">
      <c r="E382" s="80" t="s">
        <v>56</v>
      </c>
      <c r="F382" s="81" t="s">
        <v>230</v>
      </c>
      <c r="G382" s="82" t="n">
        <v>5400</v>
      </c>
      <c r="H382" s="82" t="n">
        <v>5400</v>
      </c>
      <c r="I382" s="82" t="n">
        <v>5400</v>
      </c>
      <c r="J382" s="82" t="n">
        <v>5400</v>
      </c>
      <c r="K382" s="82" t="n">
        <v>5400</v>
      </c>
      <c r="L382" s="82"/>
      <c r="M382" s="82"/>
      <c r="N382" s="82"/>
      <c r="O382" s="82"/>
      <c r="P382" s="82" t="n">
        <f aca="false">K382+SUM(L382:O382)</f>
        <v>5400</v>
      </c>
      <c r="Q382" s="82" t="n">
        <v>5400</v>
      </c>
      <c r="R382" s="83" t="n">
        <f aca="false">Q382/$P382</f>
        <v>1</v>
      </c>
      <c r="S382" s="82" t="n">
        <v>5400</v>
      </c>
      <c r="T382" s="83" t="n">
        <f aca="false">S382/$P382</f>
        <v>1</v>
      </c>
      <c r="U382" s="82" t="n">
        <v>5400</v>
      </c>
      <c r="V382" s="83" t="n">
        <f aca="false">U382/$P382</f>
        <v>1</v>
      </c>
      <c r="W382" s="82" t="n">
        <v>5400</v>
      </c>
      <c r="X382" s="115" t="n">
        <f aca="false">W382/$P382</f>
        <v>1</v>
      </c>
      <c r="Y382" s="82" t="n">
        <v>5400</v>
      </c>
      <c r="Z382" s="84" t="n">
        <v>5400</v>
      </c>
    </row>
    <row r="384" customFormat="false" ht="12.8" hidden="false" customHeight="false" outlineLevel="0" collapsed="false">
      <c r="D384" s="66" t="s">
        <v>231</v>
      </c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7"/>
      <c r="S384" s="66"/>
      <c r="T384" s="67"/>
      <c r="U384" s="66"/>
      <c r="V384" s="67"/>
      <c r="W384" s="66"/>
      <c r="X384" s="67"/>
      <c r="Y384" s="66"/>
      <c r="Z384" s="66"/>
    </row>
    <row r="385" customFormat="false" ht="12.8" hidden="false" customHeight="false" outlineLevel="0" collapsed="false">
      <c r="D385" s="7" t="s">
        <v>33</v>
      </c>
      <c r="E385" s="7" t="s">
        <v>34</v>
      </c>
      <c r="F385" s="7" t="s">
        <v>35</v>
      </c>
      <c r="G385" s="7" t="s">
        <v>1</v>
      </c>
      <c r="H385" s="7" t="s">
        <v>2</v>
      </c>
      <c r="I385" s="7" t="s">
        <v>3</v>
      </c>
      <c r="J385" s="7" t="s">
        <v>4</v>
      </c>
      <c r="K385" s="7" t="s">
        <v>5</v>
      </c>
      <c r="L385" s="7" t="s">
        <v>6</v>
      </c>
      <c r="M385" s="7" t="s">
        <v>7</v>
      </c>
      <c r="N385" s="7" t="s">
        <v>8</v>
      </c>
      <c r="O385" s="7" t="s">
        <v>9</v>
      </c>
      <c r="P385" s="7" t="s">
        <v>10</v>
      </c>
      <c r="Q385" s="7" t="s">
        <v>11</v>
      </c>
      <c r="R385" s="8" t="s">
        <v>12</v>
      </c>
      <c r="S385" s="7" t="s">
        <v>13</v>
      </c>
      <c r="T385" s="8" t="s">
        <v>14</v>
      </c>
      <c r="U385" s="7" t="s">
        <v>15</v>
      </c>
      <c r="V385" s="8" t="s">
        <v>16</v>
      </c>
      <c r="W385" s="7" t="s">
        <v>17</v>
      </c>
      <c r="X385" s="8" t="s">
        <v>18</v>
      </c>
      <c r="Y385" s="7" t="s">
        <v>19</v>
      </c>
      <c r="Z385" s="7" t="s">
        <v>20</v>
      </c>
    </row>
    <row r="386" customFormat="false" ht="12.8" hidden="false" customHeight="false" outlineLevel="0" collapsed="false">
      <c r="A386" s="1" t="n">
        <v>6</v>
      </c>
      <c r="B386" s="1" t="n">
        <v>3</v>
      </c>
      <c r="C386" s="1" t="n">
        <v>2</v>
      </c>
      <c r="D386" s="36" t="s">
        <v>229</v>
      </c>
      <c r="E386" s="10" t="n">
        <v>640</v>
      </c>
      <c r="F386" s="10" t="s">
        <v>124</v>
      </c>
      <c r="G386" s="11" t="n">
        <v>3000</v>
      </c>
      <c r="H386" s="11" t="n">
        <v>3000</v>
      </c>
      <c r="I386" s="11" t="n">
        <v>3500</v>
      </c>
      <c r="J386" s="11" t="n">
        <v>3268.71</v>
      </c>
      <c r="K386" s="11" t="n">
        <v>4400</v>
      </c>
      <c r="L386" s="11"/>
      <c r="M386" s="11"/>
      <c r="N386" s="11"/>
      <c r="O386" s="11" t="n">
        <v>-130</v>
      </c>
      <c r="P386" s="11" t="n">
        <f aca="false">K386+SUM(L386:O386)</f>
        <v>4270</v>
      </c>
      <c r="Q386" s="11" t="n">
        <v>1769.83</v>
      </c>
      <c r="R386" s="12" t="n">
        <f aca="false">Q386/$P386</f>
        <v>0.414480093676815</v>
      </c>
      <c r="S386" s="11" t="n">
        <v>2269.83</v>
      </c>
      <c r="T386" s="12" t="n">
        <f aca="false">S386/$P386</f>
        <v>0.531576112412178</v>
      </c>
      <c r="U386" s="11" t="n">
        <v>4269.83</v>
      </c>
      <c r="V386" s="12" t="n">
        <f aca="false">U386/$P386</f>
        <v>0.99996018735363</v>
      </c>
      <c r="W386" s="11" t="n">
        <v>4269.83</v>
      </c>
      <c r="X386" s="12" t="n">
        <f aca="false">W386/$P386</f>
        <v>0.99996018735363</v>
      </c>
      <c r="Y386" s="11" t="n">
        <v>4000</v>
      </c>
      <c r="Z386" s="11" t="n">
        <f aca="false">Y386</f>
        <v>4000</v>
      </c>
    </row>
    <row r="387" customFormat="false" ht="12.8" hidden="false" customHeight="false" outlineLevel="0" collapsed="false">
      <c r="A387" s="1" t="n">
        <v>6</v>
      </c>
      <c r="B387" s="1" t="n">
        <v>3</v>
      </c>
      <c r="C387" s="1" t="n">
        <v>2</v>
      </c>
      <c r="D387" s="75" t="s">
        <v>21</v>
      </c>
      <c r="E387" s="14" t="n">
        <v>41</v>
      </c>
      <c r="F387" s="14" t="s">
        <v>23</v>
      </c>
      <c r="G387" s="15" t="n">
        <f aca="false">SUM(G386:G386)</f>
        <v>3000</v>
      </c>
      <c r="H387" s="15" t="n">
        <f aca="false">SUM(H386:H386)</f>
        <v>3000</v>
      </c>
      <c r="I387" s="15" t="n">
        <f aca="false">SUM(I386:I386)</f>
        <v>3500</v>
      </c>
      <c r="J387" s="15" t="n">
        <f aca="false">SUM(J386:J386)</f>
        <v>3268.71</v>
      </c>
      <c r="K387" s="15" t="n">
        <f aca="false">SUM(K386:K386)</f>
        <v>4400</v>
      </c>
      <c r="L387" s="15" t="n">
        <f aca="false">SUM(L386:L386)</f>
        <v>0</v>
      </c>
      <c r="M387" s="15" t="n">
        <f aca="false">SUM(M386:M386)</f>
        <v>0</v>
      </c>
      <c r="N387" s="15" t="n">
        <f aca="false">SUM(N386:N386)</f>
        <v>0</v>
      </c>
      <c r="O387" s="15" t="n">
        <f aca="false">SUM(O386:O386)</f>
        <v>-130</v>
      </c>
      <c r="P387" s="15" t="n">
        <f aca="false">SUM(P386:P386)</f>
        <v>4270</v>
      </c>
      <c r="Q387" s="15" t="n">
        <f aca="false">SUM(Q386:Q386)</f>
        <v>1769.83</v>
      </c>
      <c r="R387" s="16" t="n">
        <f aca="false">Q387/$P387</f>
        <v>0.414480093676815</v>
      </c>
      <c r="S387" s="15" t="n">
        <f aca="false">SUM(S386:S386)</f>
        <v>2269.83</v>
      </c>
      <c r="T387" s="16" t="n">
        <f aca="false">S387/$P387</f>
        <v>0.531576112412178</v>
      </c>
      <c r="U387" s="15" t="n">
        <f aca="false">SUM(U386:U386)</f>
        <v>4269.83</v>
      </c>
      <c r="V387" s="16" t="n">
        <f aca="false">U387/$P387</f>
        <v>0.99996018735363</v>
      </c>
      <c r="W387" s="15" t="n">
        <f aca="false">SUM(W386:W386)</f>
        <v>4269.83</v>
      </c>
      <c r="X387" s="16" t="n">
        <f aca="false">W387/$P387</f>
        <v>0.99996018735363</v>
      </c>
      <c r="Y387" s="15" t="n">
        <f aca="false">SUM(Y386:Y386)</f>
        <v>4000</v>
      </c>
      <c r="Z387" s="15" t="n">
        <f aca="false">SUM(Z386:Z386)</f>
        <v>4000</v>
      </c>
    </row>
    <row r="389" customFormat="false" ht="12.8" hidden="false" customHeight="false" outlineLevel="0" collapsed="false">
      <c r="E389" s="44" t="s">
        <v>56</v>
      </c>
      <c r="F389" s="18" t="s">
        <v>232</v>
      </c>
      <c r="G389" s="45" t="n">
        <v>1000</v>
      </c>
      <c r="H389" s="45" t="n">
        <v>1000</v>
      </c>
      <c r="I389" s="45" t="n">
        <v>500</v>
      </c>
      <c r="J389" s="45" t="n">
        <v>1100</v>
      </c>
      <c r="K389" s="45" t="n">
        <v>1100</v>
      </c>
      <c r="L389" s="45"/>
      <c r="M389" s="45"/>
      <c r="N389" s="45"/>
      <c r="O389" s="45"/>
      <c r="P389" s="45" t="n">
        <f aca="false">K389+SUM(L389:O389)</f>
        <v>1100</v>
      </c>
      <c r="Q389" s="45" t="n">
        <v>1100</v>
      </c>
      <c r="R389" s="46" t="n">
        <f aca="false">Q389/$P389</f>
        <v>1</v>
      </c>
      <c r="S389" s="45" t="n">
        <v>1100</v>
      </c>
      <c r="T389" s="46" t="n">
        <f aca="false">S389/$P389</f>
        <v>1</v>
      </c>
      <c r="U389" s="45" t="n">
        <v>1100</v>
      </c>
      <c r="V389" s="46" t="n">
        <f aca="false">U389/$P389</f>
        <v>1</v>
      </c>
      <c r="W389" s="45" t="n">
        <v>1100</v>
      </c>
      <c r="X389" s="92" t="n">
        <f aca="false">W389/$P389</f>
        <v>1</v>
      </c>
      <c r="Y389" s="45"/>
      <c r="Z389" s="48"/>
    </row>
    <row r="390" customFormat="false" ht="12.8" hidden="false" customHeight="false" outlineLevel="0" collapsed="false">
      <c r="E390" s="49"/>
      <c r="F390" s="1" t="s">
        <v>233</v>
      </c>
      <c r="G390" s="51" t="n">
        <v>1600</v>
      </c>
      <c r="H390" s="54" t="n">
        <v>2000</v>
      </c>
      <c r="I390" s="51" t="n">
        <v>2000</v>
      </c>
      <c r="J390" s="51" t="n">
        <v>1168.71</v>
      </c>
      <c r="K390" s="51" t="n">
        <v>1800</v>
      </c>
      <c r="L390" s="51"/>
      <c r="M390" s="51"/>
      <c r="N390" s="51"/>
      <c r="O390" s="51" t="n">
        <v>-130</v>
      </c>
      <c r="P390" s="51" t="n">
        <f aca="false">K390+SUM(L390:O390)</f>
        <v>1670</v>
      </c>
      <c r="Q390" s="51" t="n">
        <v>669.83</v>
      </c>
      <c r="R390" s="2" t="n">
        <f aca="false">Q390/$P390</f>
        <v>0.401095808383234</v>
      </c>
      <c r="S390" s="51" t="n">
        <v>669.83</v>
      </c>
      <c r="T390" s="2" t="n">
        <f aca="false">S390/$P390</f>
        <v>0.401095808383234</v>
      </c>
      <c r="U390" s="51" t="n">
        <v>1669.83</v>
      </c>
      <c r="V390" s="2" t="n">
        <f aca="false">U390/$P390</f>
        <v>0.999898203592814</v>
      </c>
      <c r="W390" s="51" t="n">
        <v>1669.83</v>
      </c>
      <c r="X390" s="93" t="n">
        <f aca="false">W390/$P390</f>
        <v>0.999898203592814</v>
      </c>
      <c r="Y390" s="51"/>
      <c r="Z390" s="53"/>
    </row>
    <row r="391" customFormat="false" ht="12.8" hidden="false" customHeight="false" outlineLevel="0" collapsed="false">
      <c r="E391" s="49"/>
      <c r="F391" s="50" t="s">
        <v>234</v>
      </c>
      <c r="G391" s="51"/>
      <c r="H391" s="54"/>
      <c r="I391" s="51" t="n">
        <v>1000</v>
      </c>
      <c r="J391" s="51" t="n">
        <v>1000</v>
      </c>
      <c r="K391" s="51" t="n">
        <v>1000</v>
      </c>
      <c r="L391" s="51"/>
      <c r="M391" s="51"/>
      <c r="N391" s="51"/>
      <c r="O391" s="51"/>
      <c r="P391" s="51" t="n">
        <f aca="false">K391+SUM(L391:O391)</f>
        <v>1000</v>
      </c>
      <c r="Q391" s="51" t="n">
        <v>0</v>
      </c>
      <c r="R391" s="2" t="n">
        <f aca="false">Q391/$P391</f>
        <v>0</v>
      </c>
      <c r="S391" s="51" t="n">
        <v>0</v>
      </c>
      <c r="T391" s="2" t="n">
        <f aca="false">S391/$P391</f>
        <v>0</v>
      </c>
      <c r="U391" s="51" t="n">
        <v>1000</v>
      </c>
      <c r="V391" s="2" t="n">
        <f aca="false">U391/$P391</f>
        <v>1</v>
      </c>
      <c r="W391" s="51" t="n">
        <v>1000</v>
      </c>
      <c r="X391" s="93" t="n">
        <f aca="false">W391/$P391</f>
        <v>1</v>
      </c>
      <c r="Y391" s="51"/>
      <c r="Z391" s="53"/>
    </row>
    <row r="392" customFormat="false" ht="12.8" hidden="false" customHeight="false" outlineLevel="0" collapsed="false">
      <c r="E392" s="57"/>
      <c r="F392" s="58" t="s">
        <v>235</v>
      </c>
      <c r="G392" s="59"/>
      <c r="H392" s="111"/>
      <c r="I392" s="59"/>
      <c r="J392" s="59"/>
      <c r="K392" s="59" t="n">
        <v>500</v>
      </c>
      <c r="L392" s="59"/>
      <c r="M392" s="59"/>
      <c r="N392" s="59"/>
      <c r="O392" s="59"/>
      <c r="P392" s="59" t="n">
        <f aca="false">K392+SUM(L392:O392)</f>
        <v>500</v>
      </c>
      <c r="Q392" s="59" t="n">
        <v>0</v>
      </c>
      <c r="R392" s="60" t="n">
        <f aca="false">Q392/$P392</f>
        <v>0</v>
      </c>
      <c r="S392" s="59" t="n">
        <v>500</v>
      </c>
      <c r="T392" s="60" t="n">
        <f aca="false">S392/$P392</f>
        <v>1</v>
      </c>
      <c r="U392" s="59" t="n">
        <v>500</v>
      </c>
      <c r="V392" s="60" t="n">
        <f aca="false">U392/$P392</f>
        <v>1</v>
      </c>
      <c r="W392" s="59" t="n">
        <v>500</v>
      </c>
      <c r="X392" s="97" t="n">
        <f aca="false">W392/$P392</f>
        <v>1</v>
      </c>
      <c r="Y392" s="59"/>
      <c r="Z392" s="62"/>
    </row>
    <row r="393" customFormat="false" ht="12.8" hidden="true" customHeight="false" outlineLevel="0" collapsed="false">
      <c r="E393" s="49"/>
      <c r="F393" s="50" t="s">
        <v>236</v>
      </c>
      <c r="G393" s="51" t="n">
        <v>1000</v>
      </c>
      <c r="H393" s="54"/>
      <c r="I393" s="51"/>
      <c r="J393" s="51"/>
      <c r="K393" s="51"/>
      <c r="L393" s="51"/>
      <c r="M393" s="51"/>
      <c r="N393" s="51"/>
      <c r="O393" s="51"/>
      <c r="P393" s="51" t="n">
        <f aca="false">K393+SUM(L393:O393)</f>
        <v>0</v>
      </c>
      <c r="Q393" s="51" t="n">
        <v>0</v>
      </c>
      <c r="R393" s="2" t="e">
        <f aca="false">Q393/$P393</f>
        <v>#DIV/0!</v>
      </c>
      <c r="S393" s="51"/>
      <c r="T393" s="2" t="e">
        <f aca="false">S393/$P393</f>
        <v>#DIV/0!</v>
      </c>
      <c r="U393" s="51"/>
      <c r="V393" s="2" t="e">
        <f aca="false">U393/$P393</f>
        <v>#DIV/0!</v>
      </c>
      <c r="W393" s="51"/>
      <c r="X393" s="93" t="e">
        <f aca="false">W393/$P393</f>
        <v>#DIV/0!</v>
      </c>
      <c r="Y393" s="51"/>
      <c r="Z393" s="53"/>
    </row>
    <row r="394" customFormat="false" ht="12.8" hidden="true" customHeight="false" outlineLevel="0" collapsed="false">
      <c r="E394" s="57"/>
      <c r="F394" s="76" t="s">
        <v>215</v>
      </c>
      <c r="G394" s="111"/>
      <c r="H394" s="111"/>
      <c r="I394" s="111"/>
      <c r="J394" s="111"/>
      <c r="K394" s="111"/>
      <c r="L394" s="111"/>
      <c r="M394" s="111"/>
      <c r="N394" s="111"/>
      <c r="O394" s="111"/>
      <c r="P394" s="111" t="n">
        <f aca="false">K394+SUM(L394:O394)</f>
        <v>0</v>
      </c>
      <c r="Q394" s="111" t="n">
        <v>0</v>
      </c>
      <c r="R394" s="112" t="e">
        <f aca="false">Q394/$P394</f>
        <v>#DIV/0!</v>
      </c>
      <c r="S394" s="111"/>
      <c r="T394" s="112" t="e">
        <f aca="false">S394/$P394</f>
        <v>#DIV/0!</v>
      </c>
      <c r="U394" s="111"/>
      <c r="V394" s="112" t="e">
        <f aca="false">U394/$P394</f>
        <v>#DIV/0!</v>
      </c>
      <c r="W394" s="111"/>
      <c r="X394" s="113" t="e">
        <f aca="false">W394/$P394</f>
        <v>#DIV/0!</v>
      </c>
      <c r="Y394" s="111" t="n">
        <v>4000</v>
      </c>
      <c r="Z394" s="62" t="n">
        <v>4000</v>
      </c>
    </row>
    <row r="396" customFormat="false" ht="12.8" hidden="false" customHeight="false" outlineLevel="0" collapsed="false">
      <c r="D396" s="20" t="s">
        <v>237</v>
      </c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1"/>
      <c r="S396" s="20"/>
      <c r="T396" s="21"/>
      <c r="U396" s="20"/>
      <c r="V396" s="21"/>
      <c r="W396" s="20"/>
      <c r="X396" s="21"/>
      <c r="Y396" s="20"/>
      <c r="Z396" s="20"/>
    </row>
    <row r="397" customFormat="false" ht="12.8" hidden="false" customHeight="false" outlineLevel="0" collapsed="false">
      <c r="D397" s="6"/>
      <c r="E397" s="6"/>
      <c r="F397" s="6"/>
      <c r="G397" s="7" t="s">
        <v>1</v>
      </c>
      <c r="H397" s="7" t="s">
        <v>2</v>
      </c>
      <c r="I397" s="7" t="s">
        <v>3</v>
      </c>
      <c r="J397" s="7" t="s">
        <v>4</v>
      </c>
      <c r="K397" s="7" t="s">
        <v>5</v>
      </c>
      <c r="L397" s="7" t="s">
        <v>6</v>
      </c>
      <c r="M397" s="7" t="s">
        <v>7</v>
      </c>
      <c r="N397" s="7" t="s">
        <v>8</v>
      </c>
      <c r="O397" s="7" t="s">
        <v>9</v>
      </c>
      <c r="P397" s="7" t="s">
        <v>10</v>
      </c>
      <c r="Q397" s="7" t="s">
        <v>11</v>
      </c>
      <c r="R397" s="8" t="s">
        <v>12</v>
      </c>
      <c r="S397" s="7" t="s">
        <v>13</v>
      </c>
      <c r="T397" s="8" t="s">
        <v>14</v>
      </c>
      <c r="U397" s="7" t="s">
        <v>15</v>
      </c>
      <c r="V397" s="8" t="s">
        <v>16</v>
      </c>
      <c r="W397" s="7" t="s">
        <v>17</v>
      </c>
      <c r="X397" s="8" t="s">
        <v>18</v>
      </c>
      <c r="Y397" s="7" t="s">
        <v>19</v>
      </c>
      <c r="Z397" s="7" t="s">
        <v>20</v>
      </c>
    </row>
    <row r="398" customFormat="false" ht="12.8" hidden="false" customHeight="false" outlineLevel="0" collapsed="false">
      <c r="A398" s="1" t="n">
        <v>7</v>
      </c>
      <c r="D398" s="22" t="s">
        <v>21</v>
      </c>
      <c r="E398" s="23" t="n">
        <v>111</v>
      </c>
      <c r="F398" s="23" t="s">
        <v>103</v>
      </c>
      <c r="G398" s="24" t="n">
        <f aca="false">G404+G438+G449</f>
        <v>61211.38</v>
      </c>
      <c r="H398" s="24" t="n">
        <f aca="false">H404+H438+H449</f>
        <v>52248.66</v>
      </c>
      <c r="I398" s="24" t="n">
        <f aca="false">I404+I438+I449</f>
        <v>48968</v>
      </c>
      <c r="J398" s="24" t="n">
        <f aca="false">J404+J438+J449</f>
        <v>39381.36</v>
      </c>
      <c r="K398" s="24" t="n">
        <f aca="false">K404+K438+K449</f>
        <v>39200</v>
      </c>
      <c r="L398" s="24" t="n">
        <f aca="false">L404+L438+L449</f>
        <v>0</v>
      </c>
      <c r="M398" s="24" t="n">
        <f aca="false">M404+M438+M449</f>
        <v>1370</v>
      </c>
      <c r="N398" s="24" t="n">
        <f aca="false">N404+N438+N449</f>
        <v>389</v>
      </c>
      <c r="O398" s="24" t="n">
        <f aca="false">O404+O438+O449</f>
        <v>-633</v>
      </c>
      <c r="P398" s="24" t="n">
        <f aca="false">P404+P438+P449</f>
        <v>40326</v>
      </c>
      <c r="Q398" s="24" t="n">
        <f aca="false">Q404+Q438+Q449</f>
        <v>11213.76</v>
      </c>
      <c r="R398" s="25" t="n">
        <f aca="false">Q398/$P398</f>
        <v>0.278077667013837</v>
      </c>
      <c r="S398" s="24" t="n">
        <f aca="false">S404+S438+S449</f>
        <v>21274</v>
      </c>
      <c r="T398" s="25" t="n">
        <f aca="false">S398/$P398</f>
        <v>0.527550463720676</v>
      </c>
      <c r="U398" s="24" t="n">
        <f aca="false">U404+U438+U449</f>
        <v>31178.68</v>
      </c>
      <c r="V398" s="25" t="n">
        <f aca="false">U398/$P398</f>
        <v>0.773165699548678</v>
      </c>
      <c r="W398" s="24" t="n">
        <f aca="false">W404+W438+W449</f>
        <v>40325.07</v>
      </c>
      <c r="X398" s="25" t="n">
        <f aca="false">W398/$P398</f>
        <v>0.999976937955661</v>
      </c>
      <c r="Y398" s="24" t="n">
        <f aca="false">Y404+Y438+Y449</f>
        <v>39200</v>
      </c>
      <c r="Z398" s="24" t="n">
        <f aca="false">Z404+Z438+Z449</f>
        <v>39200</v>
      </c>
    </row>
    <row r="399" customFormat="false" ht="12.8" hidden="false" customHeight="false" outlineLevel="0" collapsed="false">
      <c r="A399" s="1" t="n">
        <v>7</v>
      </c>
      <c r="D399" s="22"/>
      <c r="E399" s="23" t="n">
        <v>41</v>
      </c>
      <c r="F399" s="23" t="s">
        <v>23</v>
      </c>
      <c r="G399" s="24" t="n">
        <f aca="false">G405+G441+G453</f>
        <v>70685.62</v>
      </c>
      <c r="H399" s="24" t="n">
        <f aca="false">H405+H441+H453</f>
        <v>57484.89</v>
      </c>
      <c r="I399" s="24" t="n">
        <f aca="false">I405+I441+I453</f>
        <v>53888</v>
      </c>
      <c r="J399" s="24" t="n">
        <f aca="false">J405+J441+J453</f>
        <v>51935.6</v>
      </c>
      <c r="K399" s="24" t="n">
        <f aca="false">K405+K441+K453</f>
        <v>56418</v>
      </c>
      <c r="L399" s="24" t="n">
        <f aca="false">L405+L441+L453</f>
        <v>0</v>
      </c>
      <c r="M399" s="24" t="n">
        <f aca="false">M405+M441+M453</f>
        <v>0</v>
      </c>
      <c r="N399" s="24" t="n">
        <f aca="false">N405+N441+N453</f>
        <v>0</v>
      </c>
      <c r="O399" s="24" t="n">
        <f aca="false">O405+O441+O453</f>
        <v>-2756</v>
      </c>
      <c r="P399" s="24" t="n">
        <f aca="false">P405+P441+P453</f>
        <v>53662</v>
      </c>
      <c r="Q399" s="24" t="n">
        <f aca="false">Q405+Q441+Q453</f>
        <v>11269.47</v>
      </c>
      <c r="R399" s="25" t="n">
        <f aca="false">Q399/$P399</f>
        <v>0.21000838582237</v>
      </c>
      <c r="S399" s="24" t="n">
        <f aca="false">S405+S441+S453</f>
        <v>22861.13</v>
      </c>
      <c r="T399" s="25" t="n">
        <f aca="false">S399/$P399</f>
        <v>0.426020834109798</v>
      </c>
      <c r="U399" s="24" t="n">
        <f aca="false">U405+U441+U453</f>
        <v>32701.78</v>
      </c>
      <c r="V399" s="25" t="n">
        <f aca="false">U399/$P399</f>
        <v>0.609402929447281</v>
      </c>
      <c r="W399" s="24" t="n">
        <f aca="false">W405+W441+W453</f>
        <v>51813.01</v>
      </c>
      <c r="X399" s="25" t="n">
        <f aca="false">W399/$P399</f>
        <v>0.96554377399277</v>
      </c>
      <c r="Y399" s="24" t="n">
        <f aca="false">Y405+Y441+Y453</f>
        <v>50850</v>
      </c>
      <c r="Z399" s="24" t="n">
        <f aca="false">Z405+Z441+Z453</f>
        <v>51705</v>
      </c>
    </row>
    <row r="400" customFormat="false" ht="12.8" hidden="false" customHeight="false" outlineLevel="0" collapsed="false">
      <c r="A400" s="1" t="n">
        <v>7</v>
      </c>
      <c r="D400" s="18"/>
      <c r="E400" s="19"/>
      <c r="F400" s="27" t="s">
        <v>116</v>
      </c>
      <c r="G400" s="28" t="n">
        <f aca="false">SUM(G398:G399)</f>
        <v>131897</v>
      </c>
      <c r="H400" s="28" t="n">
        <f aca="false">SUM(H398:H399)</f>
        <v>109733.55</v>
      </c>
      <c r="I400" s="28" t="n">
        <f aca="false">SUM(I398:I399)</f>
        <v>102856</v>
      </c>
      <c r="J400" s="28" t="n">
        <f aca="false">SUM(J398:J399)</f>
        <v>91316.96</v>
      </c>
      <c r="K400" s="28" t="n">
        <f aca="false">SUM(K398:K399)</f>
        <v>95618</v>
      </c>
      <c r="L400" s="28" t="n">
        <f aca="false">SUM(L398:L399)</f>
        <v>0</v>
      </c>
      <c r="M400" s="28" t="n">
        <f aca="false">SUM(M398:M399)</f>
        <v>1370</v>
      </c>
      <c r="N400" s="28" t="n">
        <f aca="false">SUM(N398:N399)</f>
        <v>389</v>
      </c>
      <c r="O400" s="28" t="n">
        <f aca="false">SUM(O398:O399)</f>
        <v>-3389</v>
      </c>
      <c r="P400" s="28" t="n">
        <f aca="false">SUM(P398:P399)</f>
        <v>93988</v>
      </c>
      <c r="Q400" s="28" t="n">
        <f aca="false">SUM(Q398:Q399)</f>
        <v>22483.23</v>
      </c>
      <c r="R400" s="29" t="n">
        <f aca="false">Q400/$P400</f>
        <v>0.239213835808827</v>
      </c>
      <c r="S400" s="28" t="n">
        <f aca="false">SUM(S398:S399)</f>
        <v>44135.13</v>
      </c>
      <c r="T400" s="29" t="n">
        <f aca="false">S400/$P400</f>
        <v>0.469582606290165</v>
      </c>
      <c r="U400" s="28" t="n">
        <f aca="false">SUM(U398:U399)</f>
        <v>63880.46</v>
      </c>
      <c r="V400" s="29" t="n">
        <f aca="false">U400/$P400</f>
        <v>0.679666127590756</v>
      </c>
      <c r="W400" s="28" t="n">
        <f aca="false">SUM(W398:W399)</f>
        <v>92138.08</v>
      </c>
      <c r="X400" s="29" t="n">
        <f aca="false">W400/$P400</f>
        <v>0.980317487338809</v>
      </c>
      <c r="Y400" s="28" t="n">
        <f aca="false">SUM(Y398:Y399)</f>
        <v>90050</v>
      </c>
      <c r="Z400" s="28" t="n">
        <f aca="false">SUM(Z398:Z399)</f>
        <v>90905</v>
      </c>
    </row>
    <row r="402" customFormat="false" ht="12.8" hidden="false" customHeight="false" outlineLevel="0" collapsed="false">
      <c r="D402" s="31" t="s">
        <v>238</v>
      </c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2"/>
      <c r="S402" s="31"/>
      <c r="T402" s="32"/>
      <c r="U402" s="31"/>
      <c r="V402" s="32"/>
      <c r="W402" s="31"/>
      <c r="X402" s="32"/>
      <c r="Y402" s="31"/>
      <c r="Z402" s="31"/>
    </row>
    <row r="403" customFormat="false" ht="12.8" hidden="false" customHeight="false" outlineLevel="0" collapsed="false">
      <c r="D403" s="105"/>
      <c r="E403" s="105"/>
      <c r="F403" s="105"/>
      <c r="G403" s="7" t="s">
        <v>1</v>
      </c>
      <c r="H403" s="7" t="s">
        <v>2</v>
      </c>
      <c r="I403" s="7" t="s">
        <v>3</v>
      </c>
      <c r="J403" s="7" t="s">
        <v>4</v>
      </c>
      <c r="K403" s="7" t="s">
        <v>5</v>
      </c>
      <c r="L403" s="7" t="s">
        <v>6</v>
      </c>
      <c r="M403" s="7" t="s">
        <v>7</v>
      </c>
      <c r="N403" s="7" t="s">
        <v>8</v>
      </c>
      <c r="O403" s="7" t="s">
        <v>9</v>
      </c>
      <c r="P403" s="7" t="s">
        <v>10</v>
      </c>
      <c r="Q403" s="7" t="s">
        <v>11</v>
      </c>
      <c r="R403" s="8" t="s">
        <v>12</v>
      </c>
      <c r="S403" s="7" t="s">
        <v>13</v>
      </c>
      <c r="T403" s="8" t="s">
        <v>14</v>
      </c>
      <c r="U403" s="7" t="s">
        <v>15</v>
      </c>
      <c r="V403" s="8" t="s">
        <v>16</v>
      </c>
      <c r="W403" s="7" t="s">
        <v>17</v>
      </c>
      <c r="X403" s="8" t="s">
        <v>18</v>
      </c>
      <c r="Y403" s="7" t="s">
        <v>19</v>
      </c>
      <c r="Z403" s="7" t="s">
        <v>20</v>
      </c>
    </row>
    <row r="404" customFormat="false" ht="12.8" hidden="false" customHeight="false" outlineLevel="0" collapsed="false">
      <c r="A404" s="1" t="n">
        <v>7</v>
      </c>
      <c r="B404" s="1" t="n">
        <v>1</v>
      </c>
      <c r="D404" s="33" t="s">
        <v>21</v>
      </c>
      <c r="E404" s="10" t="n">
        <v>111</v>
      </c>
      <c r="F404" s="10" t="s">
        <v>103</v>
      </c>
      <c r="G404" s="11" t="n">
        <f aca="false">G413</f>
        <v>59591.02</v>
      </c>
      <c r="H404" s="11" t="n">
        <f aca="false">H413</f>
        <v>50189.54</v>
      </c>
      <c r="I404" s="11" t="n">
        <f aca="false">I413</f>
        <v>38400</v>
      </c>
      <c r="J404" s="11" t="n">
        <f aca="false">J413</f>
        <v>38347.4</v>
      </c>
      <c r="K404" s="11" t="n">
        <f aca="false">K413</f>
        <v>38400</v>
      </c>
      <c r="L404" s="11" t="n">
        <f aca="false">L413</f>
        <v>0</v>
      </c>
      <c r="M404" s="11" t="n">
        <f aca="false">M413</f>
        <v>1031</v>
      </c>
      <c r="N404" s="11" t="n">
        <f aca="false">N413</f>
        <v>0</v>
      </c>
      <c r="O404" s="11" t="n">
        <f aca="false">O413</f>
        <v>-935</v>
      </c>
      <c r="P404" s="11" t="n">
        <f aca="false">P413</f>
        <v>38496</v>
      </c>
      <c r="Q404" s="11" t="n">
        <f aca="false">Q413</f>
        <v>10630.96</v>
      </c>
      <c r="R404" s="12" t="n">
        <f aca="false">Q404/$P404</f>
        <v>0.276157522859518</v>
      </c>
      <c r="S404" s="11" t="n">
        <f aca="false">S413</f>
        <v>20230.96</v>
      </c>
      <c r="T404" s="12" t="n">
        <f aca="false">S404/$P404</f>
        <v>0.525534081463009</v>
      </c>
      <c r="U404" s="11" t="n">
        <f aca="false">U413</f>
        <v>29830.96</v>
      </c>
      <c r="V404" s="12" t="n">
        <f aca="false">U404/$P404</f>
        <v>0.7749106400665</v>
      </c>
      <c r="W404" s="11" t="n">
        <f aca="false">W413</f>
        <v>38494.67</v>
      </c>
      <c r="X404" s="12" t="n">
        <f aca="false">W404/$P404</f>
        <v>0.999965450955943</v>
      </c>
      <c r="Y404" s="11" t="n">
        <f aca="false">Y413</f>
        <v>38400</v>
      </c>
      <c r="Z404" s="11" t="n">
        <f aca="false">Z413</f>
        <v>38400</v>
      </c>
    </row>
    <row r="405" customFormat="false" ht="12.8" hidden="false" customHeight="false" outlineLevel="0" collapsed="false">
      <c r="A405" s="1" t="n">
        <v>7</v>
      </c>
      <c r="B405" s="1" t="n">
        <v>1</v>
      </c>
      <c r="D405" s="33"/>
      <c r="E405" s="10" t="n">
        <v>41</v>
      </c>
      <c r="F405" s="10" t="s">
        <v>23</v>
      </c>
      <c r="G405" s="11" t="n">
        <f aca="false">G418+G429</f>
        <v>54301.11</v>
      </c>
      <c r="H405" s="11" t="n">
        <f aca="false">H418+H429</f>
        <v>44149.55</v>
      </c>
      <c r="I405" s="11" t="n">
        <f aca="false">I418+I429</f>
        <v>49620</v>
      </c>
      <c r="J405" s="11" t="n">
        <f aca="false">J418+J429</f>
        <v>46980.06</v>
      </c>
      <c r="K405" s="11" t="n">
        <f aca="false">K418+K429</f>
        <v>53168</v>
      </c>
      <c r="L405" s="11" t="n">
        <f aca="false">L418+L429</f>
        <v>0</v>
      </c>
      <c r="M405" s="11" t="n">
        <f aca="false">M418+M429</f>
        <v>0</v>
      </c>
      <c r="N405" s="11" t="n">
        <f aca="false">N418+N429</f>
        <v>0</v>
      </c>
      <c r="O405" s="11" t="n">
        <f aca="false">O418+O429</f>
        <v>-2454</v>
      </c>
      <c r="P405" s="11" t="n">
        <f aca="false">P418+P429</f>
        <v>50714</v>
      </c>
      <c r="Q405" s="11" t="n">
        <f aca="false">Q418+Q429</f>
        <v>11269.47</v>
      </c>
      <c r="R405" s="12" t="n">
        <f aca="false">Q405/$P405</f>
        <v>0.222216153330441</v>
      </c>
      <c r="S405" s="11" t="n">
        <f aca="false">S418+S429</f>
        <v>21661.13</v>
      </c>
      <c r="T405" s="12" t="n">
        <f aca="false">S405/$P405</f>
        <v>0.427123279567772</v>
      </c>
      <c r="U405" s="11" t="n">
        <f aca="false">U418+U429</f>
        <v>31401.78</v>
      </c>
      <c r="V405" s="12" t="n">
        <f aca="false">U405/$P405</f>
        <v>0.619193516583192</v>
      </c>
      <c r="W405" s="11" t="n">
        <f aca="false">W418+W429</f>
        <v>48913.01</v>
      </c>
      <c r="X405" s="12" t="n">
        <f aca="false">W405/$P405</f>
        <v>0.96448732105533</v>
      </c>
      <c r="Y405" s="11" t="n">
        <f aca="false">Y418+Y429</f>
        <v>47600</v>
      </c>
      <c r="Z405" s="11" t="n">
        <f aca="false">Z418+Z429</f>
        <v>48455</v>
      </c>
    </row>
    <row r="406" customFormat="false" ht="12.8" hidden="false" customHeight="false" outlineLevel="0" collapsed="false">
      <c r="A406" s="1" t="n">
        <v>7</v>
      </c>
      <c r="B406" s="1" t="n">
        <v>1</v>
      </c>
      <c r="D406" s="18"/>
      <c r="E406" s="19"/>
      <c r="F406" s="14" t="s">
        <v>116</v>
      </c>
      <c r="G406" s="15" t="n">
        <f aca="false">SUM(G404:G405)</f>
        <v>113892.13</v>
      </c>
      <c r="H406" s="15" t="n">
        <f aca="false">SUM(H404:H405)</f>
        <v>94339.09</v>
      </c>
      <c r="I406" s="15" t="n">
        <f aca="false">SUM(I404:I405)</f>
        <v>88020</v>
      </c>
      <c r="J406" s="15" t="n">
        <f aca="false">SUM(J404:J405)</f>
        <v>85327.46</v>
      </c>
      <c r="K406" s="15" t="n">
        <f aca="false">SUM(K404:K405)</f>
        <v>91568</v>
      </c>
      <c r="L406" s="15" t="n">
        <f aca="false">SUM(L404:L405)</f>
        <v>0</v>
      </c>
      <c r="M406" s="15" t="n">
        <f aca="false">SUM(M404:M405)</f>
        <v>1031</v>
      </c>
      <c r="N406" s="15" t="n">
        <f aca="false">SUM(N404:N405)</f>
        <v>0</v>
      </c>
      <c r="O406" s="15" t="n">
        <f aca="false">SUM(O404:O405)</f>
        <v>-3389</v>
      </c>
      <c r="P406" s="15" t="n">
        <f aca="false">SUM(P404:P405)</f>
        <v>89210</v>
      </c>
      <c r="Q406" s="15" t="n">
        <f aca="false">SUM(Q404:Q405)</f>
        <v>21900.43</v>
      </c>
      <c r="R406" s="16" t="n">
        <f aca="false">Q406/$P406</f>
        <v>0.245492994058962</v>
      </c>
      <c r="S406" s="15" t="n">
        <f aca="false">SUM(S404:S405)</f>
        <v>41892.09</v>
      </c>
      <c r="T406" s="16" t="n">
        <f aca="false">S406/$P406</f>
        <v>0.469589619997758</v>
      </c>
      <c r="U406" s="15" t="n">
        <f aca="false">SUM(U404:U405)</f>
        <v>61232.74</v>
      </c>
      <c r="V406" s="16" t="n">
        <f aca="false">U406/$P406</f>
        <v>0.686388745656317</v>
      </c>
      <c r="W406" s="15" t="n">
        <f aca="false">SUM(W404:W405)</f>
        <v>87407.68</v>
      </c>
      <c r="X406" s="16" t="n">
        <f aca="false">W406/$P406</f>
        <v>0.979796883757426</v>
      </c>
      <c r="Y406" s="15" t="n">
        <f aca="false">SUM(Y404:Y405)</f>
        <v>86000</v>
      </c>
      <c r="Z406" s="15" t="n">
        <f aca="false">SUM(Z404:Z405)</f>
        <v>86855</v>
      </c>
    </row>
    <row r="408" customFormat="false" ht="12.8" hidden="false" customHeight="false" outlineLevel="0" collapsed="false">
      <c r="D408" s="66" t="s">
        <v>239</v>
      </c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7"/>
      <c r="S408" s="66"/>
      <c r="T408" s="67"/>
      <c r="U408" s="66"/>
      <c r="V408" s="67"/>
      <c r="W408" s="66"/>
      <c r="X408" s="67"/>
      <c r="Y408" s="66"/>
      <c r="Z408" s="66"/>
    </row>
    <row r="409" customFormat="false" ht="12.8" hidden="false" customHeight="false" outlineLevel="0" collapsed="false">
      <c r="D409" s="7" t="s">
        <v>33</v>
      </c>
      <c r="E409" s="7" t="s">
        <v>34</v>
      </c>
      <c r="F409" s="7" t="s">
        <v>35</v>
      </c>
      <c r="G409" s="7" t="s">
        <v>1</v>
      </c>
      <c r="H409" s="7" t="s">
        <v>2</v>
      </c>
      <c r="I409" s="7" t="s">
        <v>3</v>
      </c>
      <c r="J409" s="7" t="s">
        <v>4</v>
      </c>
      <c r="K409" s="7" t="s">
        <v>5</v>
      </c>
      <c r="L409" s="7" t="s">
        <v>6</v>
      </c>
      <c r="M409" s="7" t="s">
        <v>7</v>
      </c>
      <c r="N409" s="7" t="s">
        <v>8</v>
      </c>
      <c r="O409" s="7" t="s">
        <v>9</v>
      </c>
      <c r="P409" s="7" t="s">
        <v>10</v>
      </c>
      <c r="Q409" s="7" t="s">
        <v>11</v>
      </c>
      <c r="R409" s="8" t="s">
        <v>12</v>
      </c>
      <c r="S409" s="7" t="s">
        <v>13</v>
      </c>
      <c r="T409" s="8" t="s">
        <v>14</v>
      </c>
      <c r="U409" s="7" t="s">
        <v>15</v>
      </c>
      <c r="V409" s="8" t="s">
        <v>16</v>
      </c>
      <c r="W409" s="7" t="s">
        <v>17</v>
      </c>
      <c r="X409" s="8" t="s">
        <v>18</v>
      </c>
      <c r="Y409" s="7" t="s">
        <v>19</v>
      </c>
      <c r="Z409" s="7" t="s">
        <v>20</v>
      </c>
    </row>
    <row r="410" customFormat="false" ht="12.8" hidden="false" customHeight="false" outlineLevel="0" collapsed="false">
      <c r="A410" s="1" t="n">
        <v>7</v>
      </c>
      <c r="B410" s="1" t="n">
        <v>1</v>
      </c>
      <c r="C410" s="1" t="n">
        <v>1</v>
      </c>
      <c r="D410" s="36" t="s">
        <v>240</v>
      </c>
      <c r="E410" s="10" t="n">
        <v>610</v>
      </c>
      <c r="F410" s="10" t="s">
        <v>121</v>
      </c>
      <c r="G410" s="11" t="n">
        <v>42130.6</v>
      </c>
      <c r="H410" s="11" t="n">
        <v>36294.73</v>
      </c>
      <c r="I410" s="11" t="n">
        <v>28455</v>
      </c>
      <c r="J410" s="11" t="n">
        <v>27474.49</v>
      </c>
      <c r="K410" s="11" t="n">
        <v>28455</v>
      </c>
      <c r="L410" s="11"/>
      <c r="M410" s="11"/>
      <c r="N410" s="11"/>
      <c r="O410" s="11" t="n">
        <v>-690</v>
      </c>
      <c r="P410" s="11" t="n">
        <f aca="false">K410+SUM(L410:O410)</f>
        <v>27765</v>
      </c>
      <c r="Q410" s="11" t="n">
        <v>7114.23</v>
      </c>
      <c r="R410" s="12" t="n">
        <f aca="false">Q410/$P410</f>
        <v>0.256230145867099</v>
      </c>
      <c r="S410" s="11" t="n">
        <v>14224.01</v>
      </c>
      <c r="T410" s="12" t="n">
        <f aca="false">S410/$P410</f>
        <v>0.512300018008284</v>
      </c>
      <c r="U410" s="11" t="n">
        <v>21341.65</v>
      </c>
      <c r="V410" s="12" t="n">
        <f aca="false">U410/$P410</f>
        <v>0.768652980370971</v>
      </c>
      <c r="W410" s="11" t="n">
        <v>27765.1</v>
      </c>
      <c r="X410" s="12" t="n">
        <f aca="false">W410/$P410</f>
        <v>1.00000360165676</v>
      </c>
      <c r="Y410" s="11" t="n">
        <f aca="false">K410</f>
        <v>28455</v>
      </c>
      <c r="Z410" s="11" t="n">
        <f aca="false">Y410</f>
        <v>28455</v>
      </c>
    </row>
    <row r="411" customFormat="false" ht="12.8" hidden="false" customHeight="false" outlineLevel="0" collapsed="false">
      <c r="A411" s="1" t="n">
        <v>7</v>
      </c>
      <c r="B411" s="1" t="n">
        <v>1</v>
      </c>
      <c r="C411" s="1" t="n">
        <v>1</v>
      </c>
      <c r="D411" s="36"/>
      <c r="E411" s="10" t="n">
        <v>620</v>
      </c>
      <c r="F411" s="10" t="s">
        <v>122</v>
      </c>
      <c r="G411" s="11" t="n">
        <v>14378.06</v>
      </c>
      <c r="H411" s="11" t="n">
        <v>12685.01</v>
      </c>
      <c r="I411" s="11" t="n">
        <v>9945</v>
      </c>
      <c r="J411" s="11" t="n">
        <v>9894.55</v>
      </c>
      <c r="K411" s="11" t="n">
        <v>9945</v>
      </c>
      <c r="L411" s="11"/>
      <c r="M411" s="11"/>
      <c r="N411" s="11"/>
      <c r="O411" s="11" t="n">
        <v>-245</v>
      </c>
      <c r="P411" s="11" t="n">
        <f aca="false">K411+SUM(L411:O411)</f>
        <v>9700</v>
      </c>
      <c r="Q411" s="11" t="n">
        <v>2485.77</v>
      </c>
      <c r="R411" s="12" t="n">
        <f aca="false">Q411/$P411</f>
        <v>0.256264948453608</v>
      </c>
      <c r="S411" s="11" t="n">
        <v>4975.99</v>
      </c>
      <c r="T411" s="12" t="n">
        <f aca="false">S411/$P411</f>
        <v>0.512988659793814</v>
      </c>
      <c r="U411" s="11" t="n">
        <v>7458.35</v>
      </c>
      <c r="V411" s="12" t="n">
        <f aca="false">U411/$P411</f>
        <v>0.76890206185567</v>
      </c>
      <c r="W411" s="11" t="n">
        <v>9698.61</v>
      </c>
      <c r="X411" s="12" t="n">
        <f aca="false">W411/$P411</f>
        <v>0.999856701030928</v>
      </c>
      <c r="Y411" s="11" t="n">
        <f aca="false">K411</f>
        <v>9945</v>
      </c>
      <c r="Z411" s="11" t="n">
        <f aca="false">Y411</f>
        <v>9945</v>
      </c>
    </row>
    <row r="412" customFormat="false" ht="12.8" hidden="false" customHeight="false" outlineLevel="0" collapsed="false">
      <c r="A412" s="1" t="n">
        <v>7</v>
      </c>
      <c r="B412" s="1" t="n">
        <v>1</v>
      </c>
      <c r="C412" s="1" t="n">
        <v>1</v>
      </c>
      <c r="D412" s="36"/>
      <c r="E412" s="10" t="n">
        <v>630</v>
      </c>
      <c r="F412" s="10" t="s">
        <v>123</v>
      </c>
      <c r="G412" s="11" t="n">
        <v>3082.36</v>
      </c>
      <c r="H412" s="11" t="n">
        <v>1209.8</v>
      </c>
      <c r="I412" s="11" t="n">
        <v>0</v>
      </c>
      <c r="J412" s="11" t="n">
        <v>978.36</v>
      </c>
      <c r="K412" s="11" t="n">
        <v>0</v>
      </c>
      <c r="L412" s="11"/>
      <c r="M412" s="11" t="n">
        <v>1031</v>
      </c>
      <c r="N412" s="11"/>
      <c r="O412" s="11"/>
      <c r="P412" s="11" t="n">
        <f aca="false">K412+SUM(L412:O412)</f>
        <v>1031</v>
      </c>
      <c r="Q412" s="11" t="n">
        <v>1030.96</v>
      </c>
      <c r="R412" s="12" t="n">
        <f aca="false">Q412/$P412</f>
        <v>0.99996120271581</v>
      </c>
      <c r="S412" s="11" t="n">
        <v>1030.96</v>
      </c>
      <c r="T412" s="12" t="n">
        <f aca="false">S412/$P412</f>
        <v>0.99996120271581</v>
      </c>
      <c r="U412" s="11" t="n">
        <v>1030.96</v>
      </c>
      <c r="V412" s="12" t="n">
        <f aca="false">U412/$P412</f>
        <v>0.99996120271581</v>
      </c>
      <c r="W412" s="11" t="n">
        <v>1030.96</v>
      </c>
      <c r="X412" s="12" t="n">
        <f aca="false">W412/$P412</f>
        <v>0.99996120271581</v>
      </c>
      <c r="Y412" s="11" t="n">
        <f aca="false">K412</f>
        <v>0</v>
      </c>
      <c r="Z412" s="11" t="n">
        <f aca="false">Y412</f>
        <v>0</v>
      </c>
    </row>
    <row r="413" customFormat="false" ht="12.8" hidden="false" customHeight="false" outlineLevel="0" collapsed="false">
      <c r="A413" s="1" t="n">
        <v>7</v>
      </c>
      <c r="B413" s="1" t="n">
        <v>1</v>
      </c>
      <c r="C413" s="1" t="n">
        <v>1</v>
      </c>
      <c r="D413" s="85" t="s">
        <v>21</v>
      </c>
      <c r="E413" s="86" t="n">
        <v>111</v>
      </c>
      <c r="F413" s="86" t="s">
        <v>127</v>
      </c>
      <c r="G413" s="87" t="n">
        <f aca="false">SUM(G410:G412)</f>
        <v>59591.02</v>
      </c>
      <c r="H413" s="87" t="n">
        <f aca="false">SUM(H410:H412)</f>
        <v>50189.54</v>
      </c>
      <c r="I413" s="87" t="n">
        <f aca="false">SUM(I410:I412)</f>
        <v>38400</v>
      </c>
      <c r="J413" s="87" t="n">
        <f aca="false">SUM(J410:J412)</f>
        <v>38347.4</v>
      </c>
      <c r="K413" s="87" t="n">
        <f aca="false">SUM(K410:K412)</f>
        <v>38400</v>
      </c>
      <c r="L413" s="87" t="n">
        <f aca="false">SUM(L410:L412)</f>
        <v>0</v>
      </c>
      <c r="M413" s="87" t="n">
        <f aca="false">SUM(M410:M412)</f>
        <v>1031</v>
      </c>
      <c r="N413" s="87" t="n">
        <f aca="false">SUM(N410:N412)</f>
        <v>0</v>
      </c>
      <c r="O413" s="87" t="n">
        <f aca="false">SUM(O410:O412)</f>
        <v>-935</v>
      </c>
      <c r="P413" s="87" t="n">
        <f aca="false">SUM(P410:P412)</f>
        <v>38496</v>
      </c>
      <c r="Q413" s="87" t="n">
        <f aca="false">SUM(Q410:Q412)</f>
        <v>10630.96</v>
      </c>
      <c r="R413" s="88" t="n">
        <f aca="false">Q413/$P413</f>
        <v>0.276157522859518</v>
      </c>
      <c r="S413" s="87" t="n">
        <f aca="false">SUM(S410:S412)</f>
        <v>20230.96</v>
      </c>
      <c r="T413" s="88" t="n">
        <f aca="false">S413/$P413</f>
        <v>0.525534081463009</v>
      </c>
      <c r="U413" s="87" t="n">
        <f aca="false">SUM(U410:U412)</f>
        <v>29830.96</v>
      </c>
      <c r="V413" s="88" t="n">
        <f aca="false">U413/$P413</f>
        <v>0.7749106400665</v>
      </c>
      <c r="W413" s="87" t="n">
        <f aca="false">SUM(W410:W412)</f>
        <v>38494.67</v>
      </c>
      <c r="X413" s="88" t="n">
        <f aca="false">W413/$P413</f>
        <v>0.999965450955943</v>
      </c>
      <c r="Y413" s="87" t="n">
        <f aca="false">SUM(Y410:Y412)</f>
        <v>38400</v>
      </c>
      <c r="Z413" s="87" t="n">
        <f aca="false">SUM(Z410:Z412)</f>
        <v>38400</v>
      </c>
    </row>
    <row r="414" customFormat="false" ht="12.8" hidden="false" customHeight="false" outlineLevel="0" collapsed="false">
      <c r="A414" s="1" t="n">
        <v>7</v>
      </c>
      <c r="B414" s="1" t="n">
        <v>1</v>
      </c>
      <c r="C414" s="1" t="n">
        <v>1</v>
      </c>
      <c r="D414" s="36" t="s">
        <v>240</v>
      </c>
      <c r="E414" s="10" t="n">
        <v>610</v>
      </c>
      <c r="F414" s="10" t="s">
        <v>121</v>
      </c>
      <c r="G414" s="11" t="n">
        <v>24014.29</v>
      </c>
      <c r="H414" s="11" t="n">
        <v>17516.8</v>
      </c>
      <c r="I414" s="11" t="n">
        <v>20507</v>
      </c>
      <c r="J414" s="11" t="n">
        <v>18802.14</v>
      </c>
      <c r="K414" s="11" t="n">
        <v>18249</v>
      </c>
      <c r="L414" s="11" t="n">
        <v>-61</v>
      </c>
      <c r="M414" s="11" t="n">
        <v>465</v>
      </c>
      <c r="N414" s="11"/>
      <c r="O414" s="11" t="n">
        <f aca="false">2000+1373</f>
        <v>3373</v>
      </c>
      <c r="P414" s="11" t="n">
        <f aca="false">K414+SUM(L414:O414)</f>
        <v>22026</v>
      </c>
      <c r="Q414" s="11" t="n">
        <v>5378.48</v>
      </c>
      <c r="R414" s="12" t="n">
        <f aca="false">Q414/$P414</f>
        <v>0.24418777808045</v>
      </c>
      <c r="S414" s="11" t="n">
        <v>10067.83</v>
      </c>
      <c r="T414" s="12" t="n">
        <f aca="false">S414/$P414</f>
        <v>0.457088440933442</v>
      </c>
      <c r="U414" s="11" t="n">
        <v>14672.11</v>
      </c>
      <c r="V414" s="12" t="n">
        <f aca="false">U414/$P414</f>
        <v>0.666126850086262</v>
      </c>
      <c r="W414" s="11" t="n">
        <v>22026.13</v>
      </c>
      <c r="X414" s="12" t="n">
        <f aca="false">W414/$P414</f>
        <v>1.00000590211568</v>
      </c>
      <c r="Y414" s="11" t="n">
        <v>18848</v>
      </c>
      <c r="Z414" s="11" t="n">
        <v>19470</v>
      </c>
    </row>
    <row r="415" customFormat="false" ht="12.8" hidden="false" customHeight="false" outlineLevel="0" collapsed="false">
      <c r="A415" s="1" t="n">
        <v>7</v>
      </c>
      <c r="B415" s="1" t="n">
        <v>1</v>
      </c>
      <c r="C415" s="1" t="n">
        <v>1</v>
      </c>
      <c r="D415" s="36"/>
      <c r="E415" s="10" t="n">
        <v>620</v>
      </c>
      <c r="F415" s="10" t="s">
        <v>122</v>
      </c>
      <c r="G415" s="11" t="n">
        <v>8383.1</v>
      </c>
      <c r="H415" s="11" t="n">
        <v>5988.15</v>
      </c>
      <c r="I415" s="11" t="n">
        <v>8691</v>
      </c>
      <c r="J415" s="11" t="n">
        <v>7347.28</v>
      </c>
      <c r="K415" s="11" t="n">
        <v>8189</v>
      </c>
      <c r="L415" s="11"/>
      <c r="M415" s="11"/>
      <c r="N415" s="11"/>
      <c r="O415" s="11" t="n">
        <v>429</v>
      </c>
      <c r="P415" s="11" t="n">
        <f aca="false">K415+SUM(L415:O415)</f>
        <v>8618</v>
      </c>
      <c r="Q415" s="11" t="n">
        <v>1665.85</v>
      </c>
      <c r="R415" s="12" t="n">
        <f aca="false">Q415/$P415</f>
        <v>0.193298909259689</v>
      </c>
      <c r="S415" s="11" t="n">
        <v>3871.9</v>
      </c>
      <c r="T415" s="12" t="n">
        <f aca="false">S415/$P415</f>
        <v>0.449280575539568</v>
      </c>
      <c r="U415" s="11" t="n">
        <v>5628.93</v>
      </c>
      <c r="V415" s="12" t="n">
        <f aca="false">U415/$P415</f>
        <v>0.653159665815735</v>
      </c>
      <c r="W415" s="11" t="n">
        <v>8620.44</v>
      </c>
      <c r="X415" s="12" t="n">
        <f aca="false">W415/$P415</f>
        <v>1.00028312833604</v>
      </c>
      <c r="Y415" s="11" t="n">
        <v>7532</v>
      </c>
      <c r="Z415" s="11" t="n">
        <v>7765</v>
      </c>
    </row>
    <row r="416" customFormat="false" ht="12.8" hidden="false" customHeight="false" outlineLevel="0" collapsed="false">
      <c r="A416" s="1" t="n">
        <v>7</v>
      </c>
      <c r="B416" s="1" t="n">
        <v>1</v>
      </c>
      <c r="C416" s="1" t="n">
        <v>1</v>
      </c>
      <c r="D416" s="36"/>
      <c r="E416" s="10" t="n">
        <v>630</v>
      </c>
      <c r="F416" s="10" t="s">
        <v>123</v>
      </c>
      <c r="G416" s="11" t="n">
        <v>15031.72</v>
      </c>
      <c r="H416" s="11" t="n">
        <v>14092.54</v>
      </c>
      <c r="I416" s="11" t="n">
        <v>11073</v>
      </c>
      <c r="J416" s="11" t="n">
        <v>13927.4</v>
      </c>
      <c r="K416" s="11" t="n">
        <f aca="false">7685+6594+3000+746-305</f>
        <v>17720</v>
      </c>
      <c r="L416" s="11"/>
      <c r="M416" s="11" t="n">
        <f aca="false">-465-78</f>
        <v>-543</v>
      </c>
      <c r="N416" s="11"/>
      <c r="O416" s="11" t="n">
        <f aca="false">35-190-177</f>
        <v>-332</v>
      </c>
      <c r="P416" s="11" t="n">
        <f aca="false">K416+SUM(L416:O416)</f>
        <v>16845</v>
      </c>
      <c r="Q416" s="11" t="n">
        <v>3565.77</v>
      </c>
      <c r="R416" s="12" t="n">
        <f aca="false">Q416/$P416</f>
        <v>0.211681211041852</v>
      </c>
      <c r="S416" s="11" t="n">
        <v>6904.13</v>
      </c>
      <c r="T416" s="12" t="n">
        <f aca="false">S416/$P416</f>
        <v>0.409862273671713</v>
      </c>
      <c r="U416" s="11" t="n">
        <v>10177.27</v>
      </c>
      <c r="V416" s="12" t="n">
        <f aca="false">U416/$P416</f>
        <v>0.604171564262392</v>
      </c>
      <c r="W416" s="11" t="n">
        <v>15044.36</v>
      </c>
      <c r="X416" s="12" t="n">
        <f aca="false">W416/$P416</f>
        <v>0.893105372514099</v>
      </c>
      <c r="Y416" s="11" t="n">
        <f aca="false">K416-3000</f>
        <v>14720</v>
      </c>
      <c r="Z416" s="11" t="n">
        <f aca="false">Y416</f>
        <v>14720</v>
      </c>
    </row>
    <row r="417" customFormat="false" ht="12.8" hidden="false" customHeight="false" outlineLevel="0" collapsed="false">
      <c r="A417" s="1" t="n">
        <v>7</v>
      </c>
      <c r="B417" s="1" t="n">
        <v>1</v>
      </c>
      <c r="C417" s="1" t="n">
        <v>1</v>
      </c>
      <c r="D417" s="36"/>
      <c r="E417" s="10" t="n">
        <v>640</v>
      </c>
      <c r="F417" s="10" t="s">
        <v>124</v>
      </c>
      <c r="G417" s="11" t="n">
        <v>253.82</v>
      </c>
      <c r="H417" s="11" t="n">
        <v>796.19</v>
      </c>
      <c r="I417" s="11" t="n">
        <v>2349</v>
      </c>
      <c r="J417" s="11" t="n">
        <v>342.63</v>
      </c>
      <c r="K417" s="11" t="n">
        <v>2510</v>
      </c>
      <c r="L417" s="11" t="n">
        <v>61</v>
      </c>
      <c r="M417" s="11" t="n">
        <v>78</v>
      </c>
      <c r="N417" s="11"/>
      <c r="O417" s="11" t="n">
        <f aca="false">-1236-1196</f>
        <v>-2432</v>
      </c>
      <c r="P417" s="11" t="n">
        <f aca="false">K417+SUM(L417:O417)</f>
        <v>217</v>
      </c>
      <c r="Q417" s="11" t="n">
        <v>60.85</v>
      </c>
      <c r="R417" s="12" t="n">
        <f aca="false">Q417/$P417</f>
        <v>0.280414746543779</v>
      </c>
      <c r="S417" s="11" t="n">
        <v>139.55</v>
      </c>
      <c r="T417" s="12" t="n">
        <f aca="false">S417/$P417</f>
        <v>0.643087557603687</v>
      </c>
      <c r="U417" s="11" t="n">
        <v>154.55</v>
      </c>
      <c r="V417" s="12" t="n">
        <f aca="false">U417/$P417</f>
        <v>0.71221198156682</v>
      </c>
      <c r="W417" s="11" t="n">
        <v>216.69</v>
      </c>
      <c r="X417" s="12" t="n">
        <f aca="false">W417/$P417</f>
        <v>0.998571428571429</v>
      </c>
      <c r="Y417" s="11" t="n">
        <v>0</v>
      </c>
      <c r="Z417" s="11" t="n">
        <f aca="false">Y417</f>
        <v>0</v>
      </c>
    </row>
    <row r="418" customFormat="false" ht="12.8" hidden="false" customHeight="false" outlineLevel="0" collapsed="false">
      <c r="A418" s="1" t="n">
        <v>7</v>
      </c>
      <c r="B418" s="1" t="n">
        <v>1</v>
      </c>
      <c r="C418" s="1" t="n">
        <v>1</v>
      </c>
      <c r="D418" s="85" t="s">
        <v>21</v>
      </c>
      <c r="E418" s="86" t="n">
        <v>41</v>
      </c>
      <c r="F418" s="86" t="s">
        <v>23</v>
      </c>
      <c r="G418" s="87" t="n">
        <f aca="false">SUM(G414:G417)</f>
        <v>47682.93</v>
      </c>
      <c r="H418" s="87" t="n">
        <f aca="false">SUM(H414:H417)</f>
        <v>38393.68</v>
      </c>
      <c r="I418" s="87" t="n">
        <f aca="false">SUM(I414:I417)</f>
        <v>42620</v>
      </c>
      <c r="J418" s="87" t="n">
        <f aca="false">SUM(J414:J417)</f>
        <v>40419.45</v>
      </c>
      <c r="K418" s="87" t="n">
        <f aca="false">SUM(K414:K417)</f>
        <v>46668</v>
      </c>
      <c r="L418" s="87" t="n">
        <f aca="false">SUM(L414:L417)</f>
        <v>0</v>
      </c>
      <c r="M418" s="87" t="n">
        <f aca="false">SUM(M414:M417)</f>
        <v>0</v>
      </c>
      <c r="N418" s="87" t="n">
        <f aca="false">SUM(N414:N417)</f>
        <v>0</v>
      </c>
      <c r="O418" s="87" t="n">
        <f aca="false">SUM(O414:O417)</f>
        <v>1038</v>
      </c>
      <c r="P418" s="87" t="n">
        <f aca="false">SUM(P414:P417)</f>
        <v>47706</v>
      </c>
      <c r="Q418" s="87" t="n">
        <f aca="false">SUM(Q414:Q417)</f>
        <v>10670.95</v>
      </c>
      <c r="R418" s="88" t="n">
        <f aca="false">Q418/$P418</f>
        <v>0.223681507567182</v>
      </c>
      <c r="S418" s="87" t="n">
        <f aca="false">SUM(S414:S417)</f>
        <v>20983.41</v>
      </c>
      <c r="T418" s="88" t="n">
        <f aca="false">S418/$P418</f>
        <v>0.43984844673626</v>
      </c>
      <c r="U418" s="87" t="n">
        <f aca="false">SUM(U414:U417)</f>
        <v>30632.86</v>
      </c>
      <c r="V418" s="88" t="n">
        <f aca="false">U418/$P418</f>
        <v>0.642117553347587</v>
      </c>
      <c r="W418" s="87" t="n">
        <f aca="false">SUM(W414:W417)</f>
        <v>45907.62</v>
      </c>
      <c r="X418" s="88" t="n">
        <f aca="false">W418/$P418</f>
        <v>0.962302854986794</v>
      </c>
      <c r="Y418" s="87" t="n">
        <f aca="false">SUM(Y414:Y417)</f>
        <v>41100</v>
      </c>
      <c r="Z418" s="87" t="n">
        <f aca="false">SUM(Z414:Z417)</f>
        <v>41955</v>
      </c>
    </row>
    <row r="419" customFormat="false" ht="12.8" hidden="false" customHeight="false" outlineLevel="0" collapsed="false">
      <c r="A419" s="1" t="n">
        <v>7</v>
      </c>
      <c r="B419" s="1" t="n">
        <v>1</v>
      </c>
      <c r="C419" s="1" t="n">
        <v>1</v>
      </c>
      <c r="D419" s="18"/>
      <c r="E419" s="19"/>
      <c r="F419" s="14" t="s">
        <v>116</v>
      </c>
      <c r="G419" s="15" t="n">
        <f aca="false">G413+G418</f>
        <v>107273.95</v>
      </c>
      <c r="H419" s="15" t="n">
        <f aca="false">H413+H418</f>
        <v>88583.22</v>
      </c>
      <c r="I419" s="15" t="n">
        <f aca="false">I413+I418</f>
        <v>81020</v>
      </c>
      <c r="J419" s="15" t="n">
        <f aca="false">J413+J418</f>
        <v>78766.85</v>
      </c>
      <c r="K419" s="15" t="n">
        <f aca="false">K413+K418</f>
        <v>85068</v>
      </c>
      <c r="L419" s="15" t="n">
        <f aca="false">L413+L418</f>
        <v>0</v>
      </c>
      <c r="M419" s="15" t="n">
        <f aca="false">M413+M418</f>
        <v>1031</v>
      </c>
      <c r="N419" s="15" t="n">
        <f aca="false">N413+N418</f>
        <v>0</v>
      </c>
      <c r="O419" s="15" t="n">
        <f aca="false">O413+O418</f>
        <v>103</v>
      </c>
      <c r="P419" s="15" t="n">
        <f aca="false">P413+P418</f>
        <v>86202</v>
      </c>
      <c r="Q419" s="15" t="n">
        <f aca="false">Q413+Q418</f>
        <v>21301.91</v>
      </c>
      <c r="R419" s="16" t="n">
        <f aca="false">Q419/$P419</f>
        <v>0.247116192199717</v>
      </c>
      <c r="S419" s="15" t="n">
        <f aca="false">S413+S418</f>
        <v>41214.37</v>
      </c>
      <c r="T419" s="16" t="n">
        <f aca="false">S419/$P419</f>
        <v>0.478113848866616</v>
      </c>
      <c r="U419" s="15" t="n">
        <f aca="false">U413+U418</f>
        <v>60463.82</v>
      </c>
      <c r="V419" s="16" t="n">
        <f aca="false">U419/$P419</f>
        <v>0.701420152664671</v>
      </c>
      <c r="W419" s="15" t="n">
        <f aca="false">W413+W418</f>
        <v>84402.29</v>
      </c>
      <c r="X419" s="16" t="n">
        <f aca="false">W419/$P419</f>
        <v>0.979122178139718</v>
      </c>
      <c r="Y419" s="15" t="n">
        <f aca="false">Y413+Y418</f>
        <v>79500</v>
      </c>
      <c r="Z419" s="15" t="n">
        <f aca="false">Z413+Z418</f>
        <v>80355</v>
      </c>
    </row>
    <row r="421" customFormat="false" ht="12.8" hidden="false" customHeight="false" outlineLevel="0" collapsed="false">
      <c r="E421" s="44" t="s">
        <v>56</v>
      </c>
      <c r="F421" s="18" t="s">
        <v>140</v>
      </c>
      <c r="G421" s="45" t="n">
        <v>2618.78</v>
      </c>
      <c r="H421" s="45" t="n">
        <v>2739</v>
      </c>
      <c r="I421" s="45" t="n">
        <v>2700</v>
      </c>
      <c r="J421" s="45" t="n">
        <v>3023.98</v>
      </c>
      <c r="K421" s="45" t="n">
        <v>2695</v>
      </c>
      <c r="L421" s="45"/>
      <c r="M421" s="45"/>
      <c r="N421" s="45"/>
      <c r="O421" s="45"/>
      <c r="P421" s="45" t="n">
        <f aca="false">K421+SUM(L421:O421)</f>
        <v>2695</v>
      </c>
      <c r="Q421" s="45" t="n">
        <v>490</v>
      </c>
      <c r="R421" s="46" t="n">
        <f aca="false">Q421/$P421</f>
        <v>0.181818181818182</v>
      </c>
      <c r="S421" s="45" t="n">
        <v>1225</v>
      </c>
      <c r="T421" s="46" t="n">
        <f aca="false">S421/$P421</f>
        <v>0.454545454545455</v>
      </c>
      <c r="U421" s="45" t="n">
        <v>1960</v>
      </c>
      <c r="V421" s="46" t="n">
        <f aca="false">U421/$P421</f>
        <v>0.727272727272727</v>
      </c>
      <c r="W421" s="45" t="n">
        <v>2695</v>
      </c>
      <c r="X421" s="92" t="n">
        <f aca="false">W421/$P421</f>
        <v>1</v>
      </c>
      <c r="Y421" s="45" t="n">
        <f aca="false">K421</f>
        <v>2695</v>
      </c>
      <c r="Z421" s="48" t="n">
        <f aca="false">Y421</f>
        <v>2695</v>
      </c>
    </row>
    <row r="422" customFormat="false" ht="12.8" hidden="false" customHeight="false" outlineLevel="0" collapsed="false">
      <c r="E422" s="49"/>
      <c r="F422" s="94" t="s">
        <v>141</v>
      </c>
      <c r="G422" s="95"/>
      <c r="H422" s="95"/>
      <c r="I422" s="95"/>
      <c r="J422" s="95" t="n">
        <v>782</v>
      </c>
      <c r="K422" s="95" t="n">
        <v>3096</v>
      </c>
      <c r="L422" s="95"/>
      <c r="M422" s="95"/>
      <c r="N422" s="95"/>
      <c r="O422" s="95" t="n">
        <v>435</v>
      </c>
      <c r="P422" s="95" t="n">
        <f aca="false">K422+SUM(L422:O422)</f>
        <v>3531</v>
      </c>
      <c r="Q422" s="95" t="n">
        <v>1208.82</v>
      </c>
      <c r="R422" s="96" t="n">
        <f aca="false">Q422/$P422</f>
        <v>0.342344944774851</v>
      </c>
      <c r="S422" s="95" t="n">
        <v>1982.82</v>
      </c>
      <c r="T422" s="96" t="n">
        <f aca="false">S422/$P422</f>
        <v>0.561546304163127</v>
      </c>
      <c r="U422" s="95" t="n">
        <v>2756.82</v>
      </c>
      <c r="V422" s="96" t="n">
        <f aca="false">U422/$P422</f>
        <v>0.780747663551402</v>
      </c>
      <c r="W422" s="95" t="n">
        <v>3530.82</v>
      </c>
      <c r="X422" s="93" t="n">
        <f aca="false">W422/$P422</f>
        <v>0.999949022939677</v>
      </c>
      <c r="Y422" s="95" t="n">
        <f aca="false">K422</f>
        <v>3096</v>
      </c>
      <c r="Z422" s="53" t="n">
        <f aca="false">Y422</f>
        <v>3096</v>
      </c>
    </row>
    <row r="423" customFormat="false" ht="12.8" hidden="false" customHeight="false" outlineLevel="0" collapsed="false">
      <c r="E423" s="57"/>
      <c r="F423" s="76" t="s">
        <v>241</v>
      </c>
      <c r="G423" s="59"/>
      <c r="H423" s="59"/>
      <c r="I423" s="59"/>
      <c r="J423" s="59"/>
      <c r="K423" s="59" t="n">
        <v>6200</v>
      </c>
      <c r="L423" s="59"/>
      <c r="M423" s="59"/>
      <c r="N423" s="59"/>
      <c r="O423" s="59" t="n">
        <f aca="false">-1236-1196</f>
        <v>-2432</v>
      </c>
      <c r="P423" s="59" t="n">
        <f aca="false">K423+SUM(L423:O423)</f>
        <v>3768</v>
      </c>
      <c r="Q423" s="59" t="n">
        <v>0</v>
      </c>
      <c r="R423" s="60" t="n">
        <f aca="false">Q423/$P423</f>
        <v>0</v>
      </c>
      <c r="S423" s="59" t="n">
        <v>0</v>
      </c>
      <c r="T423" s="60" t="n">
        <f aca="false">S423/$P423</f>
        <v>0</v>
      </c>
      <c r="U423" s="59" t="n">
        <v>0</v>
      </c>
      <c r="V423" s="60" t="n">
        <f aca="false">U423/$P423</f>
        <v>0</v>
      </c>
      <c r="W423" s="59" t="n">
        <v>0</v>
      </c>
      <c r="X423" s="97" t="n">
        <f aca="false">W423/$P423</f>
        <v>0</v>
      </c>
      <c r="Y423" s="59"/>
      <c r="Z423" s="62"/>
    </row>
    <row r="424" customFormat="false" ht="12.8" hidden="true" customHeight="false" outlineLevel="0" collapsed="false">
      <c r="E424" s="57"/>
      <c r="F424" s="76" t="s">
        <v>242</v>
      </c>
      <c r="G424" s="59" t="n">
        <v>3393.36</v>
      </c>
      <c r="H424" s="59" t="n">
        <v>2405.54</v>
      </c>
      <c r="I424" s="59" t="n">
        <v>500</v>
      </c>
      <c r="J424" s="59"/>
      <c r="K424" s="59"/>
      <c r="L424" s="59"/>
      <c r="M424" s="59"/>
      <c r="N424" s="59"/>
      <c r="O424" s="59"/>
      <c r="P424" s="59" t="n">
        <f aca="false">K424+SUM(L424:O424)</f>
        <v>0</v>
      </c>
      <c r="Q424" s="59" t="n">
        <v>0</v>
      </c>
      <c r="R424" s="60" t="e">
        <f aca="false">Q424/$P424</f>
        <v>#DIV/0!</v>
      </c>
      <c r="S424" s="59"/>
      <c r="T424" s="60" t="e">
        <f aca="false">S424/$P424</f>
        <v>#DIV/0!</v>
      </c>
      <c r="U424" s="59"/>
      <c r="V424" s="60" t="e">
        <f aca="false">U424/$P424</f>
        <v>#DIV/0!</v>
      </c>
      <c r="W424" s="59"/>
      <c r="X424" s="97" t="e">
        <f aca="false">W424/$P424</f>
        <v>#DIV/0!</v>
      </c>
      <c r="Y424" s="59" t="n">
        <v>0</v>
      </c>
      <c r="Z424" s="62" t="n">
        <v>0</v>
      </c>
    </row>
    <row r="426" customFormat="false" ht="12.8" hidden="false" customHeight="false" outlineLevel="0" collapsed="false">
      <c r="D426" s="66" t="s">
        <v>243</v>
      </c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7"/>
      <c r="S426" s="66"/>
      <c r="T426" s="67"/>
      <c r="U426" s="66"/>
      <c r="V426" s="67"/>
      <c r="W426" s="66"/>
      <c r="X426" s="67"/>
      <c r="Y426" s="66"/>
      <c r="Z426" s="66"/>
    </row>
    <row r="427" customFormat="false" ht="12.8" hidden="false" customHeight="false" outlineLevel="0" collapsed="false">
      <c r="D427" s="7" t="s">
        <v>33</v>
      </c>
      <c r="E427" s="7" t="s">
        <v>34</v>
      </c>
      <c r="F427" s="7" t="s">
        <v>35</v>
      </c>
      <c r="G427" s="7" t="s">
        <v>1</v>
      </c>
      <c r="H427" s="7" t="s">
        <v>2</v>
      </c>
      <c r="I427" s="7" t="s">
        <v>3</v>
      </c>
      <c r="J427" s="7" t="s">
        <v>4</v>
      </c>
      <c r="K427" s="7" t="s">
        <v>5</v>
      </c>
      <c r="L427" s="7" t="s">
        <v>6</v>
      </c>
      <c r="M427" s="7" t="s">
        <v>7</v>
      </c>
      <c r="N427" s="7" t="s">
        <v>8</v>
      </c>
      <c r="O427" s="7" t="s">
        <v>9</v>
      </c>
      <c r="P427" s="7" t="s">
        <v>10</v>
      </c>
      <c r="Q427" s="7" t="s">
        <v>11</v>
      </c>
      <c r="R427" s="8" t="s">
        <v>12</v>
      </c>
      <c r="S427" s="7" t="s">
        <v>13</v>
      </c>
      <c r="T427" s="8" t="s">
        <v>14</v>
      </c>
      <c r="U427" s="7" t="s">
        <v>15</v>
      </c>
      <c r="V427" s="8" t="s">
        <v>16</v>
      </c>
      <c r="W427" s="7" t="s">
        <v>17</v>
      </c>
      <c r="X427" s="8" t="s">
        <v>18</v>
      </c>
      <c r="Y427" s="7" t="s">
        <v>19</v>
      </c>
      <c r="Z427" s="7" t="s">
        <v>20</v>
      </c>
    </row>
    <row r="428" customFormat="false" ht="12.8" hidden="false" customHeight="false" outlineLevel="0" collapsed="false">
      <c r="A428" s="1" t="n">
        <v>7</v>
      </c>
      <c r="B428" s="1" t="n">
        <v>1</v>
      </c>
      <c r="C428" s="1" t="n">
        <v>2</v>
      </c>
      <c r="D428" s="36" t="s">
        <v>240</v>
      </c>
      <c r="E428" s="10" t="n">
        <v>630</v>
      </c>
      <c r="F428" s="10" t="s">
        <v>123</v>
      </c>
      <c r="G428" s="11" t="n">
        <v>6618.18</v>
      </c>
      <c r="H428" s="11" t="n">
        <v>5755.87</v>
      </c>
      <c r="I428" s="11" t="n">
        <v>7000</v>
      </c>
      <c r="J428" s="11" t="n">
        <v>6560.61</v>
      </c>
      <c r="K428" s="11" t="n">
        <v>6500</v>
      </c>
      <c r="L428" s="11"/>
      <c r="M428" s="11"/>
      <c r="N428" s="11"/>
      <c r="O428" s="11" t="n">
        <v>-3492</v>
      </c>
      <c r="P428" s="11" t="n">
        <f aca="false">K428+SUM(L428:O428)</f>
        <v>3008</v>
      </c>
      <c r="Q428" s="11" t="n">
        <v>598.52</v>
      </c>
      <c r="R428" s="12" t="n">
        <f aca="false">Q428/$P428</f>
        <v>0.198976063829787</v>
      </c>
      <c r="S428" s="11" t="n">
        <v>677.72</v>
      </c>
      <c r="T428" s="12" t="n">
        <f aca="false">S428/$P428</f>
        <v>0.22530585106383</v>
      </c>
      <c r="U428" s="11" t="n">
        <v>768.92</v>
      </c>
      <c r="V428" s="12" t="n">
        <f aca="false">U428/$P428</f>
        <v>0.255625</v>
      </c>
      <c r="W428" s="11" t="n">
        <v>3005.39</v>
      </c>
      <c r="X428" s="12" t="n">
        <f aca="false">W428/$P428</f>
        <v>0.999132313829787</v>
      </c>
      <c r="Y428" s="11" t="n">
        <f aca="false">K428</f>
        <v>6500</v>
      </c>
      <c r="Z428" s="11" t="n">
        <f aca="false">Y428</f>
        <v>6500</v>
      </c>
    </row>
    <row r="429" customFormat="false" ht="12.8" hidden="false" customHeight="false" outlineLevel="0" collapsed="false">
      <c r="A429" s="1" t="n">
        <v>7</v>
      </c>
      <c r="B429" s="1" t="n">
        <v>1</v>
      </c>
      <c r="C429" s="1" t="n">
        <v>2</v>
      </c>
      <c r="D429" s="75" t="s">
        <v>21</v>
      </c>
      <c r="E429" s="14" t="n">
        <v>41</v>
      </c>
      <c r="F429" s="14" t="s">
        <v>23</v>
      </c>
      <c r="G429" s="15" t="n">
        <f aca="false">SUM(G428:G428)</f>
        <v>6618.18</v>
      </c>
      <c r="H429" s="15" t="n">
        <f aca="false">SUM(H428:H428)</f>
        <v>5755.87</v>
      </c>
      <c r="I429" s="15" t="n">
        <f aca="false">SUM(I428:I428)</f>
        <v>7000</v>
      </c>
      <c r="J429" s="15" t="n">
        <f aca="false">SUM(J428:J428)</f>
        <v>6560.61</v>
      </c>
      <c r="K429" s="15" t="n">
        <f aca="false">SUM(K428:K428)</f>
        <v>6500</v>
      </c>
      <c r="L429" s="15" t="n">
        <f aca="false">SUM(L428:L428)</f>
        <v>0</v>
      </c>
      <c r="M429" s="15" t="n">
        <f aca="false">SUM(M428:M428)</f>
        <v>0</v>
      </c>
      <c r="N429" s="15" t="n">
        <f aca="false">SUM(N428:N428)</f>
        <v>0</v>
      </c>
      <c r="O429" s="15" t="n">
        <f aca="false">SUM(O428:O428)</f>
        <v>-3492</v>
      </c>
      <c r="P429" s="15" t="n">
        <f aca="false">SUM(P428:P428)</f>
        <v>3008</v>
      </c>
      <c r="Q429" s="15" t="n">
        <f aca="false">SUM(Q428:Q428)</f>
        <v>598.52</v>
      </c>
      <c r="R429" s="16" t="n">
        <f aca="false">Q429/$P429</f>
        <v>0.198976063829787</v>
      </c>
      <c r="S429" s="15" t="n">
        <f aca="false">SUM(S428:S428)</f>
        <v>677.72</v>
      </c>
      <c r="T429" s="16" t="n">
        <f aca="false">S429/$P429</f>
        <v>0.22530585106383</v>
      </c>
      <c r="U429" s="15" t="n">
        <f aca="false">SUM(U428:U428)</f>
        <v>768.92</v>
      </c>
      <c r="V429" s="16" t="n">
        <f aca="false">U429/$P429</f>
        <v>0.255625</v>
      </c>
      <c r="W429" s="15" t="n">
        <f aca="false">SUM(W428:W428)</f>
        <v>3005.39</v>
      </c>
      <c r="X429" s="16" t="n">
        <f aca="false">W429/$P429</f>
        <v>0.999132313829787</v>
      </c>
      <c r="Y429" s="15" t="n">
        <f aca="false">SUM(Y428:Y428)</f>
        <v>6500</v>
      </c>
      <c r="Z429" s="15" t="n">
        <f aca="false">SUM(Z428:Z428)</f>
        <v>6500</v>
      </c>
    </row>
    <row r="431" customFormat="false" ht="12.8" hidden="false" customHeight="false" outlineLevel="0" collapsed="false">
      <c r="E431" s="44" t="s">
        <v>56</v>
      </c>
      <c r="F431" s="18" t="s">
        <v>244</v>
      </c>
      <c r="G431" s="45" t="n">
        <v>5075.54</v>
      </c>
      <c r="H431" s="45" t="n">
        <v>4917.42</v>
      </c>
      <c r="I431" s="45" t="n">
        <f aca="false">5000</f>
        <v>5000</v>
      </c>
      <c r="J431" s="45" t="n">
        <v>4812.72</v>
      </c>
      <c r="K431" s="45" t="n">
        <v>5000</v>
      </c>
      <c r="L431" s="45"/>
      <c r="M431" s="45"/>
      <c r="N431" s="45" t="n">
        <v>-850</v>
      </c>
      <c r="O431" s="45" t="n">
        <v>-3492</v>
      </c>
      <c r="P431" s="45" t="n">
        <f aca="false">K431+SUM(L431:O431)</f>
        <v>658</v>
      </c>
      <c r="Q431" s="45" t="n">
        <v>244.56</v>
      </c>
      <c r="R431" s="46" t="n">
        <f aca="false">Q431/$P431</f>
        <v>0.371671732522796</v>
      </c>
      <c r="S431" s="45" t="n">
        <v>506.52</v>
      </c>
      <c r="T431" s="46" t="n">
        <f aca="false">S431/$P431</f>
        <v>0.769787234042553</v>
      </c>
      <c r="U431" s="45" t="n">
        <v>597.72</v>
      </c>
      <c r="V431" s="46" t="n">
        <f aca="false">U431/$P431</f>
        <v>0.90838905775076</v>
      </c>
      <c r="W431" s="45" t="n">
        <v>658.52</v>
      </c>
      <c r="X431" s="92" t="n">
        <f aca="false">W431/$P431</f>
        <v>1.00079027355623</v>
      </c>
      <c r="Y431" s="45" t="n">
        <f aca="false">K431</f>
        <v>5000</v>
      </c>
      <c r="Z431" s="48" t="n">
        <f aca="false">Y431</f>
        <v>5000</v>
      </c>
    </row>
    <row r="432" customFormat="false" ht="12.8" hidden="false" customHeight="false" outlineLevel="0" collapsed="false">
      <c r="E432" s="57"/>
      <c r="F432" s="76" t="s">
        <v>245</v>
      </c>
      <c r="G432" s="59"/>
      <c r="H432" s="59"/>
      <c r="I432" s="59"/>
      <c r="J432" s="59" t="n">
        <v>1747.89</v>
      </c>
      <c r="K432" s="59" t="n">
        <v>1500</v>
      </c>
      <c r="L432" s="59"/>
      <c r="M432" s="59"/>
      <c r="N432" s="59" t="n">
        <v>280</v>
      </c>
      <c r="O432" s="59" t="n">
        <v>570</v>
      </c>
      <c r="P432" s="59" t="n">
        <f aca="false">K432+SUM(L432:O432)</f>
        <v>2350</v>
      </c>
      <c r="Q432" s="59" t="n">
        <v>144.8</v>
      </c>
      <c r="R432" s="60" t="n">
        <f aca="false">Q432/$P432</f>
        <v>0.0616170212765957</v>
      </c>
      <c r="S432" s="59" t="n">
        <v>171.2</v>
      </c>
      <c r="T432" s="60" t="n">
        <f aca="false">S432/$P432</f>
        <v>0.0728510638297872</v>
      </c>
      <c r="U432" s="59" t="n">
        <v>171.2</v>
      </c>
      <c r="V432" s="60" t="n">
        <f aca="false">U432/$P432</f>
        <v>0.0728510638297872</v>
      </c>
      <c r="W432" s="59" t="n">
        <v>2346.87</v>
      </c>
      <c r="X432" s="97" t="n">
        <f aca="false">W432/$P432</f>
        <v>0.998668085106383</v>
      </c>
      <c r="Y432" s="59" t="n">
        <f aca="false">K432</f>
        <v>1500</v>
      </c>
      <c r="Z432" s="62" t="n">
        <f aca="false">Y432</f>
        <v>1500</v>
      </c>
    </row>
    <row r="434" customFormat="false" ht="12.8" hidden="false" customHeight="false" outlineLevel="0" collapsed="false">
      <c r="D434" s="31" t="s">
        <v>246</v>
      </c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2"/>
      <c r="S434" s="31"/>
      <c r="T434" s="32"/>
      <c r="U434" s="31"/>
      <c r="V434" s="32"/>
      <c r="W434" s="31"/>
      <c r="X434" s="32"/>
      <c r="Y434" s="31"/>
      <c r="Z434" s="31"/>
    </row>
    <row r="435" customFormat="false" ht="12.8" hidden="false" customHeight="false" outlineLevel="0" collapsed="false">
      <c r="D435" s="7" t="s">
        <v>33</v>
      </c>
      <c r="E435" s="7" t="s">
        <v>34</v>
      </c>
      <c r="F435" s="7" t="s">
        <v>35</v>
      </c>
      <c r="G435" s="7" t="s">
        <v>1</v>
      </c>
      <c r="H435" s="7" t="s">
        <v>2</v>
      </c>
      <c r="I435" s="7" t="s">
        <v>3</v>
      </c>
      <c r="J435" s="7" t="s">
        <v>4</v>
      </c>
      <c r="K435" s="7" t="s">
        <v>5</v>
      </c>
      <c r="L435" s="7" t="s">
        <v>6</v>
      </c>
      <c r="M435" s="7" t="s">
        <v>7</v>
      </c>
      <c r="N435" s="7" t="s">
        <v>8</v>
      </c>
      <c r="O435" s="7" t="s">
        <v>9</v>
      </c>
      <c r="P435" s="7" t="s">
        <v>10</v>
      </c>
      <c r="Q435" s="7" t="s">
        <v>11</v>
      </c>
      <c r="R435" s="8" t="s">
        <v>12</v>
      </c>
      <c r="S435" s="7" t="s">
        <v>13</v>
      </c>
      <c r="T435" s="8" t="s">
        <v>14</v>
      </c>
      <c r="U435" s="7" t="s">
        <v>15</v>
      </c>
      <c r="V435" s="8" t="s">
        <v>16</v>
      </c>
      <c r="W435" s="7" t="s">
        <v>17</v>
      </c>
      <c r="X435" s="8" t="s">
        <v>18</v>
      </c>
      <c r="Y435" s="7" t="s">
        <v>19</v>
      </c>
      <c r="Z435" s="7" t="s">
        <v>20</v>
      </c>
    </row>
    <row r="436" customFormat="false" ht="12.8" hidden="false" customHeight="false" outlineLevel="0" collapsed="false">
      <c r="A436" s="1" t="n">
        <v>7</v>
      </c>
      <c r="B436" s="1" t="n">
        <v>2</v>
      </c>
      <c r="D436" s="89" t="s">
        <v>247</v>
      </c>
      <c r="E436" s="10" t="n">
        <v>640</v>
      </c>
      <c r="F436" s="10" t="s">
        <v>124</v>
      </c>
      <c r="G436" s="11" t="n">
        <v>1620.36</v>
      </c>
      <c r="H436" s="11" t="n">
        <v>1317.12</v>
      </c>
      <c r="I436" s="11" t="n">
        <v>1300</v>
      </c>
      <c r="J436" s="11" t="n">
        <v>540.96</v>
      </c>
      <c r="K436" s="11" t="n">
        <v>500</v>
      </c>
      <c r="L436" s="11"/>
      <c r="M436" s="11" t="n">
        <v>206</v>
      </c>
      <c r="N436" s="11" t="n">
        <v>211</v>
      </c>
      <c r="O436" s="11" t="n">
        <v>141</v>
      </c>
      <c r="P436" s="11" t="n">
        <f aca="false">K436+SUM(L436:O436)</f>
        <v>1058</v>
      </c>
      <c r="Q436" s="11" t="n">
        <v>352.8</v>
      </c>
      <c r="R436" s="12" t="n">
        <f aca="false">Q436/$P436</f>
        <v>0.333459357277883</v>
      </c>
      <c r="S436" s="11" t="n">
        <v>635.04</v>
      </c>
      <c r="T436" s="12" t="n">
        <f aca="false">S436/$P436</f>
        <v>0.600226843100189</v>
      </c>
      <c r="U436" s="11" t="n">
        <v>846.72</v>
      </c>
      <c r="V436" s="12" t="n">
        <f aca="false">U436/$P436</f>
        <v>0.800302457466919</v>
      </c>
      <c r="W436" s="11" t="n">
        <v>1058.4</v>
      </c>
      <c r="X436" s="12" t="n">
        <f aca="false">W436/$P436</f>
        <v>1.00037807183365</v>
      </c>
      <c r="Y436" s="11" t="n">
        <f aca="false">K436</f>
        <v>500</v>
      </c>
      <c r="Z436" s="11" t="n">
        <f aca="false">Y436</f>
        <v>500</v>
      </c>
    </row>
    <row r="437" customFormat="false" ht="12.8" hidden="false" customHeight="false" outlineLevel="0" collapsed="false">
      <c r="A437" s="1" t="n">
        <v>7</v>
      </c>
      <c r="B437" s="1" t="n">
        <v>2</v>
      </c>
      <c r="D437" s="116" t="s">
        <v>248</v>
      </c>
      <c r="E437" s="10" t="n">
        <v>630</v>
      </c>
      <c r="F437" s="10" t="s">
        <v>123</v>
      </c>
      <c r="G437" s="11" t="n">
        <v>0</v>
      </c>
      <c r="H437" s="11" t="n">
        <v>742</v>
      </c>
      <c r="I437" s="11" t="n">
        <v>700</v>
      </c>
      <c r="J437" s="11" t="n">
        <v>493</v>
      </c>
      <c r="K437" s="11" t="n">
        <v>300</v>
      </c>
      <c r="L437" s="11"/>
      <c r="M437" s="11" t="n">
        <v>133</v>
      </c>
      <c r="N437" s="11" t="n">
        <v>178</v>
      </c>
      <c r="O437" s="11" t="n">
        <f aca="false">115+46</f>
        <v>161</v>
      </c>
      <c r="P437" s="11" t="n">
        <f aca="false">K437+SUM(L437:O437)</f>
        <v>772</v>
      </c>
      <c r="Q437" s="11" t="n">
        <v>230</v>
      </c>
      <c r="R437" s="12" t="n">
        <f aca="false">Q437/$P437</f>
        <v>0.297927461139896</v>
      </c>
      <c r="S437" s="11" t="n">
        <v>408</v>
      </c>
      <c r="T437" s="12" t="n">
        <f aca="false">S437/$P437</f>
        <v>0.528497409326425</v>
      </c>
      <c r="U437" s="11" t="n">
        <v>501</v>
      </c>
      <c r="V437" s="12" t="n">
        <f aca="false">U437/$P437</f>
        <v>0.648963730569948</v>
      </c>
      <c r="W437" s="11" t="n">
        <v>772</v>
      </c>
      <c r="X437" s="12" t="n">
        <f aca="false">W437/$P437</f>
        <v>1</v>
      </c>
      <c r="Y437" s="11" t="n">
        <f aca="false">K437</f>
        <v>300</v>
      </c>
      <c r="Z437" s="11" t="n">
        <f aca="false">Y437</f>
        <v>300</v>
      </c>
    </row>
    <row r="438" customFormat="false" ht="12.8" hidden="false" customHeight="false" outlineLevel="0" collapsed="false">
      <c r="A438" s="1" t="n">
        <v>7</v>
      </c>
      <c r="B438" s="1" t="n">
        <v>2</v>
      </c>
      <c r="D438" s="85" t="s">
        <v>21</v>
      </c>
      <c r="E438" s="86" t="n">
        <v>111</v>
      </c>
      <c r="F438" s="86" t="s">
        <v>127</v>
      </c>
      <c r="G438" s="87" t="n">
        <f aca="false">SUM(G436:G437)</f>
        <v>1620.36</v>
      </c>
      <c r="H438" s="87" t="n">
        <f aca="false">SUM(H436:H437)</f>
        <v>2059.12</v>
      </c>
      <c r="I438" s="87" t="n">
        <f aca="false">SUM(I436:I437)</f>
        <v>2000</v>
      </c>
      <c r="J438" s="87" t="n">
        <f aca="false">SUM(J436:J437)</f>
        <v>1033.96</v>
      </c>
      <c r="K438" s="87" t="n">
        <f aca="false">SUM(K436:K437)</f>
        <v>800</v>
      </c>
      <c r="L438" s="87" t="n">
        <f aca="false">SUM(L436:L437)</f>
        <v>0</v>
      </c>
      <c r="M438" s="87" t="n">
        <f aca="false">SUM(M436:M437)</f>
        <v>339</v>
      </c>
      <c r="N438" s="87" t="n">
        <f aca="false">SUM(N436:N437)</f>
        <v>389</v>
      </c>
      <c r="O438" s="87" t="n">
        <f aca="false">SUM(O436:O437)</f>
        <v>302</v>
      </c>
      <c r="P438" s="87" t="n">
        <f aca="false">SUM(P436:P437)</f>
        <v>1830</v>
      </c>
      <c r="Q438" s="87" t="n">
        <f aca="false">SUM(Q436:Q437)</f>
        <v>582.8</v>
      </c>
      <c r="R438" s="88" t="n">
        <f aca="false">Q438/$P438</f>
        <v>0.318469945355191</v>
      </c>
      <c r="S438" s="87" t="n">
        <f aca="false">SUM(S436:S437)</f>
        <v>1043.04</v>
      </c>
      <c r="T438" s="88" t="n">
        <f aca="false">S438/$P438</f>
        <v>0.569967213114754</v>
      </c>
      <c r="U438" s="87" t="n">
        <f aca="false">SUM(U436:U437)</f>
        <v>1347.72</v>
      </c>
      <c r="V438" s="88" t="n">
        <f aca="false">U438/$P438</f>
        <v>0.736459016393443</v>
      </c>
      <c r="W438" s="87" t="n">
        <f aca="false">SUM(W436:W437)</f>
        <v>1830.4</v>
      </c>
      <c r="X438" s="88" t="n">
        <f aca="false">W438/$P438</f>
        <v>1.00021857923497</v>
      </c>
      <c r="Y438" s="87" t="n">
        <f aca="false">SUM(Y436:Y437)</f>
        <v>800</v>
      </c>
      <c r="Z438" s="87" t="n">
        <f aca="false">SUM(Z436:Z437)</f>
        <v>800</v>
      </c>
    </row>
    <row r="439" customFormat="false" ht="12.8" hidden="false" customHeight="false" outlineLevel="0" collapsed="false">
      <c r="A439" s="1" t="n">
        <v>7</v>
      </c>
      <c r="B439" s="1" t="n">
        <v>2</v>
      </c>
      <c r="D439" s="117" t="s">
        <v>247</v>
      </c>
      <c r="E439" s="10" t="n">
        <v>640</v>
      </c>
      <c r="F439" s="10" t="s">
        <v>124</v>
      </c>
      <c r="G439" s="11" t="n">
        <v>2916.74</v>
      </c>
      <c r="H439" s="11" t="n">
        <v>3400</v>
      </c>
      <c r="I439" s="11" t="n">
        <v>3000</v>
      </c>
      <c r="J439" s="11" t="n">
        <v>4850</v>
      </c>
      <c r="K439" s="11" t="n">
        <v>3250</v>
      </c>
      <c r="L439" s="11"/>
      <c r="M439" s="11"/>
      <c r="N439" s="11"/>
      <c r="O439" s="11" t="n">
        <v>-302</v>
      </c>
      <c r="P439" s="11" t="n">
        <f aca="false">K439+SUM(L439:O439)</f>
        <v>2948</v>
      </c>
      <c r="Q439" s="11" t="n">
        <v>0</v>
      </c>
      <c r="R439" s="12" t="n">
        <f aca="false">Q439/$P439</f>
        <v>0</v>
      </c>
      <c r="S439" s="11" t="n">
        <v>1200</v>
      </c>
      <c r="T439" s="12" t="n">
        <f aca="false">S439/$P439</f>
        <v>0.407055630936228</v>
      </c>
      <c r="U439" s="11" t="n">
        <v>1300</v>
      </c>
      <c r="V439" s="12" t="n">
        <f aca="false">U439/$P439</f>
        <v>0.440976933514247</v>
      </c>
      <c r="W439" s="11" t="n">
        <v>2900</v>
      </c>
      <c r="X439" s="12" t="n">
        <f aca="false">W439/$P439</f>
        <v>0.983717774762551</v>
      </c>
      <c r="Y439" s="11" t="n">
        <f aca="false">K439</f>
        <v>3250</v>
      </c>
      <c r="Z439" s="11" t="n">
        <f aca="false">Y439</f>
        <v>3250</v>
      </c>
    </row>
    <row r="440" customFormat="false" ht="12.8" hidden="false" customHeight="false" outlineLevel="0" collapsed="false">
      <c r="A440" s="1" t="n">
        <v>7</v>
      </c>
      <c r="B440" s="1" t="n">
        <v>2</v>
      </c>
      <c r="D440" s="116" t="s">
        <v>248</v>
      </c>
      <c r="E440" s="10" t="n">
        <v>640</v>
      </c>
      <c r="F440" s="10" t="s">
        <v>124</v>
      </c>
      <c r="G440" s="11" t="n">
        <v>2915.87</v>
      </c>
      <c r="H440" s="11" t="n">
        <v>150</v>
      </c>
      <c r="I440" s="11" t="n">
        <v>500</v>
      </c>
      <c r="J440" s="11" t="n">
        <v>0</v>
      </c>
      <c r="K440" s="11" t="n">
        <v>0</v>
      </c>
      <c r="L440" s="11"/>
      <c r="M440" s="11"/>
      <c r="N440" s="11"/>
      <c r="O440" s="11" t="n">
        <v>0</v>
      </c>
      <c r="P440" s="11" t="n">
        <f aca="false">K440+SUM(L440:O440)</f>
        <v>0</v>
      </c>
      <c r="Q440" s="11" t="n">
        <v>0</v>
      </c>
      <c r="R440" s="12" t="e">
        <f aca="false">Q440/$P440</f>
        <v>#DIV/0!</v>
      </c>
      <c r="S440" s="11" t="n">
        <v>0</v>
      </c>
      <c r="T440" s="12" t="e">
        <f aca="false">S440/$P440</f>
        <v>#DIV/0!</v>
      </c>
      <c r="U440" s="11" t="n">
        <v>0</v>
      </c>
      <c r="V440" s="12" t="e">
        <f aca="false">U440/$P440</f>
        <v>#DIV/0!</v>
      </c>
      <c r="W440" s="11" t="n">
        <v>0</v>
      </c>
      <c r="X440" s="12" t="e">
        <f aca="false">W440/$P440</f>
        <v>#DIV/0!</v>
      </c>
      <c r="Y440" s="11" t="n">
        <f aca="false">K440</f>
        <v>0</v>
      </c>
      <c r="Z440" s="11" t="n">
        <f aca="false">Y440</f>
        <v>0</v>
      </c>
    </row>
    <row r="441" customFormat="false" ht="12.8" hidden="false" customHeight="false" outlineLevel="0" collapsed="false">
      <c r="A441" s="1" t="n">
        <v>7</v>
      </c>
      <c r="B441" s="1" t="n">
        <v>2</v>
      </c>
      <c r="D441" s="85" t="s">
        <v>21</v>
      </c>
      <c r="E441" s="86" t="n">
        <v>41</v>
      </c>
      <c r="F441" s="86" t="s">
        <v>23</v>
      </c>
      <c r="G441" s="87" t="n">
        <f aca="false">SUM(G439:G440)</f>
        <v>5832.61</v>
      </c>
      <c r="H441" s="87" t="n">
        <f aca="false">SUM(H439:H440)</f>
        <v>3550</v>
      </c>
      <c r="I441" s="87" t="n">
        <f aca="false">SUM(I439:I440)</f>
        <v>3500</v>
      </c>
      <c r="J441" s="87" t="n">
        <f aca="false">SUM(J439:J440)</f>
        <v>4850</v>
      </c>
      <c r="K441" s="87" t="n">
        <f aca="false">SUM(K439:K440)</f>
        <v>3250</v>
      </c>
      <c r="L441" s="87" t="n">
        <f aca="false">SUM(L439:L440)</f>
        <v>0</v>
      </c>
      <c r="M441" s="87" t="n">
        <f aca="false">SUM(M439:M440)</f>
        <v>0</v>
      </c>
      <c r="N441" s="87" t="n">
        <f aca="false">SUM(N439:N440)</f>
        <v>0</v>
      </c>
      <c r="O441" s="87" t="n">
        <f aca="false">SUM(O439:O440)</f>
        <v>-302</v>
      </c>
      <c r="P441" s="87" t="n">
        <f aca="false">SUM(P439:P440)</f>
        <v>2948</v>
      </c>
      <c r="Q441" s="87" t="n">
        <f aca="false">SUM(Q439:Q440)</f>
        <v>0</v>
      </c>
      <c r="R441" s="88" t="n">
        <f aca="false">Q441/$P441</f>
        <v>0</v>
      </c>
      <c r="S441" s="87" t="n">
        <f aca="false">SUM(S439:S440)</f>
        <v>1200</v>
      </c>
      <c r="T441" s="88" t="n">
        <f aca="false">S441/$P441</f>
        <v>0.407055630936228</v>
      </c>
      <c r="U441" s="87" t="n">
        <f aca="false">SUM(U439:U440)</f>
        <v>1300</v>
      </c>
      <c r="V441" s="88" t="n">
        <f aca="false">U441/$P441</f>
        <v>0.440976933514247</v>
      </c>
      <c r="W441" s="87" t="n">
        <f aca="false">SUM(W439:W440)</f>
        <v>2900</v>
      </c>
      <c r="X441" s="88" t="n">
        <f aca="false">W441/$P441</f>
        <v>0.983717774762551</v>
      </c>
      <c r="Y441" s="87" t="n">
        <f aca="false">SUM(Y439:Y440)</f>
        <v>3250</v>
      </c>
      <c r="Z441" s="87" t="n">
        <f aca="false">SUM(Z439:Z440)</f>
        <v>3250</v>
      </c>
    </row>
    <row r="442" customFormat="false" ht="12.8" hidden="false" customHeight="false" outlineLevel="0" collapsed="false">
      <c r="A442" s="1" t="n">
        <v>7</v>
      </c>
      <c r="B442" s="1" t="n">
        <v>2</v>
      </c>
      <c r="D442" s="18"/>
      <c r="E442" s="19"/>
      <c r="F442" s="14" t="s">
        <v>116</v>
      </c>
      <c r="G442" s="15" t="n">
        <f aca="false">G438+G441</f>
        <v>7452.97</v>
      </c>
      <c r="H442" s="15" t="n">
        <f aca="false">H438+H441</f>
        <v>5609.12</v>
      </c>
      <c r="I442" s="15" t="n">
        <f aca="false">I438+I441</f>
        <v>5500</v>
      </c>
      <c r="J442" s="15" t="n">
        <f aca="false">J438+J441</f>
        <v>5883.96</v>
      </c>
      <c r="K442" s="15" t="n">
        <f aca="false">K438+K441</f>
        <v>4050</v>
      </c>
      <c r="L442" s="15" t="n">
        <f aca="false">L438+L441</f>
        <v>0</v>
      </c>
      <c r="M442" s="15" t="n">
        <f aca="false">M438+M441</f>
        <v>339</v>
      </c>
      <c r="N442" s="15" t="n">
        <f aca="false">N438+N441</f>
        <v>389</v>
      </c>
      <c r="O442" s="15" t="n">
        <f aca="false">O438+O441</f>
        <v>0</v>
      </c>
      <c r="P442" s="15" t="n">
        <f aca="false">P438+P441</f>
        <v>4778</v>
      </c>
      <c r="Q442" s="15" t="n">
        <f aca="false">Q438+Q441</f>
        <v>582.8</v>
      </c>
      <c r="R442" s="16" t="n">
        <f aca="false">Q442/$P442</f>
        <v>0.121975722059439</v>
      </c>
      <c r="S442" s="15" t="n">
        <f aca="false">S438+S441</f>
        <v>2243.04</v>
      </c>
      <c r="T442" s="16" t="n">
        <f aca="false">S442/$P442</f>
        <v>0.469451653411469</v>
      </c>
      <c r="U442" s="15" t="n">
        <f aca="false">U438+U441</f>
        <v>2647.72</v>
      </c>
      <c r="V442" s="16" t="n">
        <f aca="false">U442/$P442</f>
        <v>0.554148179154458</v>
      </c>
      <c r="W442" s="15" t="n">
        <f aca="false">W438+W441</f>
        <v>4730.4</v>
      </c>
      <c r="X442" s="16" t="n">
        <f aca="false">W442/$P442</f>
        <v>0.990037672666388</v>
      </c>
      <c r="Y442" s="15" t="n">
        <f aca="false">Y438+Y441</f>
        <v>4050</v>
      </c>
      <c r="Z442" s="15" t="n">
        <f aca="false">Z438+Z441</f>
        <v>4050</v>
      </c>
    </row>
    <row r="443" customFormat="false" ht="12.8" hidden="true" customHeight="false" outlineLevel="0" collapsed="false"/>
    <row r="444" customFormat="false" ht="12.8" hidden="true" customHeight="false" outlineLevel="0" collapsed="false">
      <c r="D444" s="118" t="s">
        <v>249</v>
      </c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9"/>
      <c r="S444" s="118"/>
      <c r="T444" s="119"/>
      <c r="U444" s="118"/>
      <c r="V444" s="119"/>
      <c r="W444" s="118"/>
      <c r="X444" s="119"/>
      <c r="Y444" s="118"/>
      <c r="Z444" s="118"/>
    </row>
    <row r="445" customFormat="false" ht="12.8" hidden="true" customHeight="false" outlineLevel="0" collapsed="false">
      <c r="D445" s="120" t="s">
        <v>33</v>
      </c>
      <c r="E445" s="120" t="s">
        <v>34</v>
      </c>
      <c r="F445" s="120" t="s">
        <v>35</v>
      </c>
      <c r="G445" s="120" t="s">
        <v>1</v>
      </c>
      <c r="H445" s="120" t="s">
        <v>2</v>
      </c>
      <c r="I445" s="120" t="s">
        <v>3</v>
      </c>
      <c r="J445" s="120" t="s">
        <v>4</v>
      </c>
      <c r="K445" s="120" t="s">
        <v>5</v>
      </c>
      <c r="L445" s="120"/>
      <c r="M445" s="120"/>
      <c r="N445" s="120"/>
      <c r="O445" s="120"/>
      <c r="P445" s="120"/>
      <c r="Q445" s="120"/>
      <c r="R445" s="121"/>
      <c r="S445" s="120"/>
      <c r="T445" s="121"/>
      <c r="U445" s="120"/>
      <c r="V445" s="121"/>
      <c r="W445" s="120"/>
      <c r="X445" s="121"/>
      <c r="Y445" s="120" t="s">
        <v>19</v>
      </c>
      <c r="Z445" s="120" t="s">
        <v>20</v>
      </c>
    </row>
    <row r="446" customFormat="false" ht="12.8" hidden="true" customHeight="false" outlineLevel="0" collapsed="false">
      <c r="A446" s="1" t="n">
        <v>7</v>
      </c>
      <c r="B446" s="1" t="n">
        <v>3</v>
      </c>
      <c r="D446" s="122" t="s">
        <v>203</v>
      </c>
      <c r="E446" s="123" t="n">
        <v>610</v>
      </c>
      <c r="F446" s="123" t="s">
        <v>121</v>
      </c>
      <c r="G446" s="124" t="n">
        <v>0</v>
      </c>
      <c r="H446" s="124" t="n">
        <v>0</v>
      </c>
      <c r="I446" s="124" t="n">
        <v>5830</v>
      </c>
      <c r="J446" s="124" t="n">
        <v>0</v>
      </c>
      <c r="K446" s="124"/>
      <c r="L446" s="124"/>
      <c r="M446" s="124"/>
      <c r="N446" s="124"/>
      <c r="O446" s="124"/>
      <c r="P446" s="124"/>
      <c r="Q446" s="124"/>
      <c r="R446" s="125"/>
      <c r="S446" s="124"/>
      <c r="T446" s="125"/>
      <c r="U446" s="124"/>
      <c r="V446" s="125"/>
      <c r="W446" s="124"/>
      <c r="X446" s="125"/>
      <c r="Y446" s="124"/>
      <c r="Z446" s="124"/>
    </row>
    <row r="447" customFormat="false" ht="12.8" hidden="true" customHeight="false" outlineLevel="0" collapsed="false">
      <c r="A447" s="1" t="n">
        <v>7</v>
      </c>
      <c r="B447" s="1" t="n">
        <v>3</v>
      </c>
      <c r="D447" s="122"/>
      <c r="E447" s="123" t="n">
        <v>620</v>
      </c>
      <c r="F447" s="123" t="s">
        <v>122</v>
      </c>
      <c r="G447" s="124" t="n">
        <v>0</v>
      </c>
      <c r="H447" s="124" t="n">
        <v>0</v>
      </c>
      <c r="I447" s="124" t="n">
        <v>2038</v>
      </c>
      <c r="J447" s="124" t="n">
        <v>0</v>
      </c>
      <c r="K447" s="124"/>
      <c r="L447" s="124"/>
      <c r="M447" s="124"/>
      <c r="N447" s="124"/>
      <c r="O447" s="124"/>
      <c r="P447" s="124"/>
      <c r="Q447" s="124"/>
      <c r="R447" s="125"/>
      <c r="S447" s="124"/>
      <c r="T447" s="125"/>
      <c r="U447" s="124"/>
      <c r="V447" s="125"/>
      <c r="W447" s="124"/>
      <c r="X447" s="125"/>
      <c r="Y447" s="124"/>
      <c r="Z447" s="124"/>
    </row>
    <row r="448" customFormat="false" ht="12.8" hidden="true" customHeight="false" outlineLevel="0" collapsed="false">
      <c r="A448" s="1" t="n">
        <v>7</v>
      </c>
      <c r="B448" s="1" t="n">
        <v>3</v>
      </c>
      <c r="D448" s="122"/>
      <c r="E448" s="123" t="n">
        <v>630</v>
      </c>
      <c r="F448" s="123" t="s">
        <v>123</v>
      </c>
      <c r="G448" s="124" t="n">
        <v>0</v>
      </c>
      <c r="H448" s="124" t="n">
        <v>0</v>
      </c>
      <c r="I448" s="124" t="n">
        <v>700</v>
      </c>
      <c r="J448" s="124" t="n">
        <v>0</v>
      </c>
      <c r="K448" s="124"/>
      <c r="L448" s="124"/>
      <c r="M448" s="124"/>
      <c r="N448" s="124"/>
      <c r="O448" s="124"/>
      <c r="P448" s="124"/>
      <c r="Q448" s="124"/>
      <c r="R448" s="125"/>
      <c r="S448" s="124"/>
      <c r="T448" s="125"/>
      <c r="U448" s="124"/>
      <c r="V448" s="125"/>
      <c r="W448" s="124"/>
      <c r="X448" s="125"/>
      <c r="Y448" s="124"/>
      <c r="Z448" s="124"/>
    </row>
    <row r="449" customFormat="false" ht="12.8" hidden="true" customHeight="false" outlineLevel="0" collapsed="false">
      <c r="A449" s="1" t="n">
        <v>7</v>
      </c>
      <c r="B449" s="1" t="n">
        <v>3</v>
      </c>
      <c r="D449" s="126" t="s">
        <v>21</v>
      </c>
      <c r="E449" s="127" t="n">
        <v>111</v>
      </c>
      <c r="F449" s="127" t="s">
        <v>127</v>
      </c>
      <c r="G449" s="128" t="n">
        <f aca="false">SUM(G446:G448)</f>
        <v>0</v>
      </c>
      <c r="H449" s="128" t="n">
        <f aca="false">SUM(H446:H448)</f>
        <v>0</v>
      </c>
      <c r="I449" s="128" t="n">
        <f aca="false">SUM(I446:I448)</f>
        <v>8568</v>
      </c>
      <c r="J449" s="128" t="n">
        <f aca="false">SUM(J446:J448)</f>
        <v>0</v>
      </c>
      <c r="K449" s="128" t="n">
        <f aca="false">SUM(K446:K448)</f>
        <v>0</v>
      </c>
      <c r="L449" s="128"/>
      <c r="M449" s="128"/>
      <c r="N449" s="128"/>
      <c r="O449" s="128"/>
      <c r="P449" s="128"/>
      <c r="Q449" s="128"/>
      <c r="R449" s="129"/>
      <c r="S449" s="128"/>
      <c r="T449" s="129"/>
      <c r="U449" s="128"/>
      <c r="V449" s="129"/>
      <c r="W449" s="128"/>
      <c r="X449" s="129"/>
      <c r="Y449" s="128" t="n">
        <f aca="false">SUM(Y446:Y448)</f>
        <v>0</v>
      </c>
      <c r="Z449" s="128" t="n">
        <f aca="false">SUM(Z446:Z448)</f>
        <v>0</v>
      </c>
    </row>
    <row r="450" customFormat="false" ht="12.8" hidden="true" customHeight="false" outlineLevel="0" collapsed="false">
      <c r="A450" s="1" t="n">
        <v>7</v>
      </c>
      <c r="B450" s="1" t="n">
        <v>3</v>
      </c>
      <c r="D450" s="122" t="s">
        <v>203</v>
      </c>
      <c r="E450" s="123" t="n">
        <v>610</v>
      </c>
      <c r="F450" s="123" t="s">
        <v>121</v>
      </c>
      <c r="G450" s="124" t="n">
        <v>7217.85</v>
      </c>
      <c r="H450" s="124" t="n">
        <v>6323.5</v>
      </c>
      <c r="I450" s="124" t="n">
        <v>0</v>
      </c>
      <c r="J450" s="124" t="n">
        <v>0</v>
      </c>
      <c r="K450" s="124"/>
      <c r="L450" s="124"/>
      <c r="M450" s="124"/>
      <c r="N450" s="124"/>
      <c r="O450" s="124"/>
      <c r="P450" s="124"/>
      <c r="Q450" s="124"/>
      <c r="R450" s="125"/>
      <c r="S450" s="124"/>
      <c r="T450" s="125"/>
      <c r="U450" s="124"/>
      <c r="V450" s="125"/>
      <c r="W450" s="124"/>
      <c r="X450" s="125"/>
      <c r="Y450" s="124"/>
      <c r="Z450" s="124"/>
    </row>
    <row r="451" customFormat="false" ht="12.8" hidden="true" customHeight="false" outlineLevel="0" collapsed="false">
      <c r="A451" s="1" t="n">
        <v>7</v>
      </c>
      <c r="B451" s="1" t="n">
        <v>3</v>
      </c>
      <c r="D451" s="122"/>
      <c r="E451" s="123" t="n">
        <v>620</v>
      </c>
      <c r="F451" s="123" t="s">
        <v>122</v>
      </c>
      <c r="G451" s="124" t="n">
        <v>2593.47</v>
      </c>
      <c r="H451" s="124" t="n">
        <v>2122.5</v>
      </c>
      <c r="I451" s="124" t="n">
        <v>0</v>
      </c>
      <c r="J451" s="124" t="n">
        <v>0</v>
      </c>
      <c r="K451" s="124"/>
      <c r="L451" s="124"/>
      <c r="M451" s="124"/>
      <c r="N451" s="124"/>
      <c r="O451" s="124"/>
      <c r="P451" s="124"/>
      <c r="Q451" s="124"/>
      <c r="R451" s="125"/>
      <c r="S451" s="124"/>
      <c r="T451" s="125"/>
      <c r="U451" s="124"/>
      <c r="V451" s="125"/>
      <c r="W451" s="124"/>
      <c r="X451" s="125"/>
      <c r="Y451" s="124"/>
      <c r="Z451" s="124"/>
    </row>
    <row r="452" customFormat="false" ht="12.8" hidden="true" customHeight="false" outlineLevel="0" collapsed="false">
      <c r="A452" s="1" t="n">
        <v>7</v>
      </c>
      <c r="B452" s="1" t="n">
        <v>3</v>
      </c>
      <c r="D452" s="122"/>
      <c r="E452" s="123" t="n">
        <v>630</v>
      </c>
      <c r="F452" s="123" t="s">
        <v>123</v>
      </c>
      <c r="G452" s="124" t="n">
        <v>740.58</v>
      </c>
      <c r="H452" s="124" t="n">
        <v>1339.34</v>
      </c>
      <c r="I452" s="124" t="n">
        <v>768</v>
      </c>
      <c r="J452" s="124" t="n">
        <v>105.54</v>
      </c>
      <c r="K452" s="124"/>
      <c r="L452" s="124"/>
      <c r="M452" s="124"/>
      <c r="N452" s="124"/>
      <c r="O452" s="124"/>
      <c r="P452" s="124"/>
      <c r="Q452" s="124"/>
      <c r="R452" s="125"/>
      <c r="S452" s="124"/>
      <c r="T452" s="125"/>
      <c r="U452" s="124"/>
      <c r="V452" s="125"/>
      <c r="W452" s="124"/>
      <c r="X452" s="125"/>
      <c r="Y452" s="124"/>
      <c r="Z452" s="124"/>
    </row>
    <row r="453" customFormat="false" ht="12.8" hidden="true" customHeight="false" outlineLevel="0" collapsed="false">
      <c r="A453" s="1" t="n">
        <v>7</v>
      </c>
      <c r="B453" s="1" t="n">
        <v>3</v>
      </c>
      <c r="D453" s="126" t="s">
        <v>21</v>
      </c>
      <c r="E453" s="127" t="n">
        <v>41</v>
      </c>
      <c r="F453" s="127" t="s">
        <v>23</v>
      </c>
      <c r="G453" s="128" t="n">
        <f aca="false">SUM(G450:G452)</f>
        <v>10551.9</v>
      </c>
      <c r="H453" s="128" t="n">
        <f aca="false">SUM(H450:H452)</f>
        <v>9785.34</v>
      </c>
      <c r="I453" s="128" t="n">
        <f aca="false">SUM(I450:I452)</f>
        <v>768</v>
      </c>
      <c r="J453" s="128" t="n">
        <f aca="false">SUM(J450:J452)</f>
        <v>105.54</v>
      </c>
      <c r="K453" s="128" t="n">
        <f aca="false">SUM(K450:K452)</f>
        <v>0</v>
      </c>
      <c r="L453" s="128"/>
      <c r="M453" s="128"/>
      <c r="N453" s="128"/>
      <c r="O453" s="128"/>
      <c r="P453" s="128"/>
      <c r="Q453" s="128"/>
      <c r="R453" s="129"/>
      <c r="S453" s="128"/>
      <c r="T453" s="129"/>
      <c r="U453" s="128"/>
      <c r="V453" s="129"/>
      <c r="W453" s="128"/>
      <c r="X453" s="129"/>
      <c r="Y453" s="128" t="n">
        <f aca="false">SUM(Y450:Y452)</f>
        <v>0</v>
      </c>
      <c r="Z453" s="128" t="n">
        <f aca="false">SUM(Z450:Z452)</f>
        <v>0</v>
      </c>
    </row>
    <row r="454" customFormat="false" ht="12.8" hidden="true" customHeight="false" outlineLevel="0" collapsed="false">
      <c r="A454" s="1" t="n">
        <v>7</v>
      </c>
      <c r="B454" s="1" t="n">
        <v>3</v>
      </c>
      <c r="D454" s="130"/>
      <c r="E454" s="131"/>
      <c r="F454" s="132" t="s">
        <v>116</v>
      </c>
      <c r="G454" s="133" t="n">
        <f aca="false">G449+G453</f>
        <v>10551.9</v>
      </c>
      <c r="H454" s="133" t="n">
        <f aca="false">H449+H453</f>
        <v>9785.34</v>
      </c>
      <c r="I454" s="133" t="n">
        <f aca="false">I449+I453</f>
        <v>9336</v>
      </c>
      <c r="J454" s="133" t="n">
        <f aca="false">J449+J453</f>
        <v>105.54</v>
      </c>
      <c r="K454" s="133" t="n">
        <f aca="false">K449+K453</f>
        <v>0</v>
      </c>
      <c r="L454" s="133"/>
      <c r="M454" s="133"/>
      <c r="N454" s="133"/>
      <c r="O454" s="133"/>
      <c r="P454" s="133"/>
      <c r="Q454" s="133"/>
      <c r="R454" s="134"/>
      <c r="S454" s="133"/>
      <c r="T454" s="134"/>
      <c r="U454" s="133"/>
      <c r="V454" s="134"/>
      <c r="W454" s="133"/>
      <c r="X454" s="134"/>
      <c r="Y454" s="133" t="n">
        <f aca="false">Y449+Y453</f>
        <v>0</v>
      </c>
      <c r="Z454" s="133" t="n">
        <f aca="false">Z449+Z453</f>
        <v>0</v>
      </c>
    </row>
    <row r="456" customFormat="false" ht="12.8" hidden="false" customHeight="false" outlineLevel="0" collapsed="false">
      <c r="D456" s="20" t="s">
        <v>250</v>
      </c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1"/>
      <c r="S456" s="20"/>
      <c r="T456" s="21"/>
      <c r="U456" s="20"/>
      <c r="V456" s="21"/>
      <c r="W456" s="20"/>
      <c r="X456" s="21"/>
      <c r="Y456" s="20"/>
      <c r="Z456" s="20"/>
    </row>
    <row r="457" customFormat="false" ht="12.8" hidden="false" customHeight="false" outlineLevel="0" collapsed="false">
      <c r="D457" s="6"/>
      <c r="E457" s="6"/>
      <c r="F457" s="6"/>
      <c r="G457" s="7" t="s">
        <v>1</v>
      </c>
      <c r="H457" s="7" t="s">
        <v>2</v>
      </c>
      <c r="I457" s="7" t="s">
        <v>3</v>
      </c>
      <c r="J457" s="7" t="s">
        <v>4</v>
      </c>
      <c r="K457" s="7" t="s">
        <v>5</v>
      </c>
      <c r="L457" s="7" t="s">
        <v>6</v>
      </c>
      <c r="M457" s="7" t="s">
        <v>7</v>
      </c>
      <c r="N457" s="7" t="s">
        <v>8</v>
      </c>
      <c r="O457" s="7" t="s">
        <v>9</v>
      </c>
      <c r="P457" s="7" t="s">
        <v>10</v>
      </c>
      <c r="Q457" s="7" t="s">
        <v>11</v>
      </c>
      <c r="R457" s="8" t="s">
        <v>12</v>
      </c>
      <c r="S457" s="7" t="s">
        <v>13</v>
      </c>
      <c r="T457" s="8" t="s">
        <v>14</v>
      </c>
      <c r="U457" s="7" t="s">
        <v>15</v>
      </c>
      <c r="V457" s="8" t="s">
        <v>16</v>
      </c>
      <c r="W457" s="7" t="s">
        <v>17</v>
      </c>
      <c r="X457" s="8" t="s">
        <v>18</v>
      </c>
      <c r="Y457" s="7" t="s">
        <v>19</v>
      </c>
      <c r="Z457" s="7" t="s">
        <v>20</v>
      </c>
    </row>
    <row r="458" customFormat="false" ht="12.8" hidden="false" customHeight="false" outlineLevel="0" collapsed="false">
      <c r="A458" s="1" t="n">
        <v>8</v>
      </c>
      <c r="D458" s="22" t="s">
        <v>21</v>
      </c>
      <c r="E458" s="23" t="n">
        <v>111</v>
      </c>
      <c r="F458" s="23" t="s">
        <v>103</v>
      </c>
      <c r="G458" s="24" t="n">
        <f aca="false">G480+G517+G548</f>
        <v>0</v>
      </c>
      <c r="H458" s="24" t="n">
        <f aca="false">H480+H517+H548</f>
        <v>10000</v>
      </c>
      <c r="I458" s="24" t="n">
        <f aca="false">I480+I517+I548</f>
        <v>0</v>
      </c>
      <c r="J458" s="24" t="n">
        <f aca="false">J480+J517+J548</f>
        <v>50000</v>
      </c>
      <c r="K458" s="24" t="n">
        <f aca="false">K480+K507+K517+K548</f>
        <v>1505300</v>
      </c>
      <c r="L458" s="24" t="n">
        <f aca="false">L480+L507+L517+L548</f>
        <v>0</v>
      </c>
      <c r="M458" s="24" t="n">
        <f aca="false">M480+M507+M517+M548</f>
        <v>0</v>
      </c>
      <c r="N458" s="24" t="n">
        <f aca="false">N480+N507+N517+N548</f>
        <v>0</v>
      </c>
      <c r="O458" s="24" t="n">
        <f aca="false">O480+O507+O517+O548</f>
        <v>-1505300</v>
      </c>
      <c r="P458" s="24" t="n">
        <f aca="false">P480+P507+P517+P548</f>
        <v>0</v>
      </c>
      <c r="Q458" s="24" t="n">
        <f aca="false">Q480+Q507+Q517+Q548</f>
        <v>0</v>
      </c>
      <c r="R458" s="25" t="e">
        <f aca="false">Q458/$P458</f>
        <v>#DIV/0!</v>
      </c>
      <c r="S458" s="24" t="n">
        <f aca="false">S480+S507+S517+S548</f>
        <v>0</v>
      </c>
      <c r="T458" s="25" t="e">
        <f aca="false">S458/$P458</f>
        <v>#DIV/0!</v>
      </c>
      <c r="U458" s="24" t="n">
        <f aca="false">U480+U507+U517+U548</f>
        <v>0</v>
      </c>
      <c r="V458" s="25" t="e">
        <f aca="false">U458/$P458</f>
        <v>#DIV/0!</v>
      </c>
      <c r="W458" s="24" t="n">
        <f aca="false">W480+W507+W517+W548</f>
        <v>0</v>
      </c>
      <c r="X458" s="25" t="e">
        <f aca="false">W458/$P458</f>
        <v>#DIV/0!</v>
      </c>
      <c r="Y458" s="24" t="n">
        <f aca="false">Y480+Y517+Y548</f>
        <v>274600</v>
      </c>
      <c r="Z458" s="24" t="n">
        <f aca="false">Z480+Z517+Z548</f>
        <v>0</v>
      </c>
    </row>
    <row r="459" customFormat="false" ht="12.8" hidden="false" customHeight="false" outlineLevel="0" collapsed="false">
      <c r="A459" s="1" t="n">
        <v>8</v>
      </c>
      <c r="D459" s="22"/>
      <c r="E459" s="23" t="n">
        <v>41</v>
      </c>
      <c r="F459" s="23" t="s">
        <v>23</v>
      </c>
      <c r="G459" s="24" t="n">
        <f aca="false">G465+G481+G495+G508+G518+G537+G549+G560</f>
        <v>48692.63</v>
      </c>
      <c r="H459" s="24" t="n">
        <f aca="false">H465+H481+H495+H508+H518+H537+H549+H560</f>
        <v>12262.35</v>
      </c>
      <c r="I459" s="24" t="n">
        <f aca="false">I465+I481+I495+I508+I518+I537+I549+I560</f>
        <v>360450</v>
      </c>
      <c r="J459" s="24" t="n">
        <f aca="false">J465+J481+J495+J508+J518+J537+J549+J560</f>
        <v>279817.53</v>
      </c>
      <c r="K459" s="24" t="n">
        <f aca="false">K465+K481+K495+K508+K518+K537+K549+K560</f>
        <v>409903</v>
      </c>
      <c r="L459" s="24" t="n">
        <f aca="false">L465+L481+L495+L508+L518+L537+L549+L560</f>
        <v>0</v>
      </c>
      <c r="M459" s="24" t="n">
        <f aca="false">M465+M481+M495+M508+M518+M537+M549+M560</f>
        <v>45600</v>
      </c>
      <c r="N459" s="24" t="n">
        <f aca="false">N465+N481+N495+N508+N518+N537+N549+N560</f>
        <v>0</v>
      </c>
      <c r="O459" s="24" t="n">
        <f aca="false">O465+O481+O495+O508+O518+O537+O549+O560</f>
        <v>22519</v>
      </c>
      <c r="P459" s="24" t="n">
        <f aca="false">P465+P481+P495+P508+P518+P537+P549+P560</f>
        <v>478022</v>
      </c>
      <c r="Q459" s="24" t="n">
        <f aca="false">Q465+Q481+Q495+Q508+Q518+Q537+Q549+Q560</f>
        <v>25758.65</v>
      </c>
      <c r="R459" s="25" t="n">
        <f aca="false">Q459/$P459</f>
        <v>0.0538859090167398</v>
      </c>
      <c r="S459" s="24" t="n">
        <f aca="false">S465+S481+S495+S508+S518+S537+S549+S560</f>
        <v>70301.5</v>
      </c>
      <c r="T459" s="25" t="n">
        <f aca="false">S459/$P459</f>
        <v>0.147067498985402</v>
      </c>
      <c r="U459" s="24" t="n">
        <f aca="false">U465+U481+U495+U508+U518+U537+U549+U560</f>
        <v>126011.99</v>
      </c>
      <c r="V459" s="25" t="n">
        <f aca="false">U459/$P459</f>
        <v>0.263611277305229</v>
      </c>
      <c r="W459" s="24" t="n">
        <f aca="false">W465+W481+W495+W508+W518+W537+W549+W560</f>
        <v>275897.18</v>
      </c>
      <c r="X459" s="25" t="n">
        <f aca="false">W459/$P459</f>
        <v>0.577164189095899</v>
      </c>
      <c r="Y459" s="24" t="n">
        <f aca="false">Y465+Y481+Y495+Y508+Y518+Y537+Y549+Y560</f>
        <v>321209</v>
      </c>
      <c r="Z459" s="24" t="n">
        <f aca="false">Z465+Z481+Z495+Z508+Z518+Z537+Z549+Z560</f>
        <v>312279</v>
      </c>
    </row>
    <row r="460" customFormat="false" ht="12.8" hidden="false" customHeight="false" outlineLevel="0" collapsed="false">
      <c r="A460" s="1" t="n">
        <v>8</v>
      </c>
      <c r="D460" s="22"/>
      <c r="E460" s="23" t="n">
        <v>52</v>
      </c>
      <c r="F460" s="23" t="s">
        <v>27</v>
      </c>
      <c r="G460" s="24" t="n">
        <f aca="false">G466</f>
        <v>0</v>
      </c>
      <c r="H460" s="24" t="n">
        <f aca="false">H466</f>
        <v>0</v>
      </c>
      <c r="I460" s="24" t="n">
        <f aca="false">I466</f>
        <v>0</v>
      </c>
      <c r="J460" s="24" t="n">
        <f aca="false">J466</f>
        <v>0</v>
      </c>
      <c r="K460" s="24" t="n">
        <f aca="false">K466</f>
        <v>60000</v>
      </c>
      <c r="L460" s="24" t="n">
        <f aca="false">L466</f>
        <v>0</v>
      </c>
      <c r="M460" s="24" t="n">
        <f aca="false">M466</f>
        <v>0</v>
      </c>
      <c r="N460" s="24" t="n">
        <f aca="false">N466</f>
        <v>0</v>
      </c>
      <c r="O460" s="24" t="n">
        <f aca="false">O466</f>
        <v>-60000</v>
      </c>
      <c r="P460" s="24" t="n">
        <f aca="false">P466</f>
        <v>0</v>
      </c>
      <c r="Q460" s="24" t="n">
        <f aca="false">Q466</f>
        <v>0</v>
      </c>
      <c r="R460" s="25" t="e">
        <f aca="false">Q460/$P460</f>
        <v>#DIV/0!</v>
      </c>
      <c r="S460" s="24" t="n">
        <f aca="false">S466</f>
        <v>0</v>
      </c>
      <c r="T460" s="25" t="e">
        <f aca="false">S460/$P460</f>
        <v>#DIV/0!</v>
      </c>
      <c r="U460" s="24" t="n">
        <f aca="false">U466</f>
        <v>0</v>
      </c>
      <c r="V460" s="25" t="e">
        <f aca="false">U460/$P460</f>
        <v>#DIV/0!</v>
      </c>
      <c r="W460" s="24" t="n">
        <f aca="false">W466</f>
        <v>0</v>
      </c>
      <c r="X460" s="25" t="e">
        <f aca="false">W460/$P460</f>
        <v>#DIV/0!</v>
      </c>
      <c r="Y460" s="24" t="n">
        <f aca="false">Y466</f>
        <v>0</v>
      </c>
      <c r="Z460" s="24" t="n">
        <f aca="false">Z466</f>
        <v>0</v>
      </c>
    </row>
    <row r="461" customFormat="false" ht="12.8" hidden="false" customHeight="false" outlineLevel="0" collapsed="false">
      <c r="A461" s="1" t="n">
        <v>8</v>
      </c>
      <c r="D461" s="18"/>
      <c r="E461" s="19"/>
      <c r="F461" s="27" t="s">
        <v>116</v>
      </c>
      <c r="G461" s="28" t="n">
        <f aca="false">SUM(G458:G460)</f>
        <v>48692.63</v>
      </c>
      <c r="H461" s="28" t="n">
        <f aca="false">SUM(H458:H460)</f>
        <v>22262.35</v>
      </c>
      <c r="I461" s="28" t="n">
        <f aca="false">SUM(I458:I460)</f>
        <v>360450</v>
      </c>
      <c r="J461" s="28" t="n">
        <f aca="false">SUM(J458:J460)</f>
        <v>329817.53</v>
      </c>
      <c r="K461" s="28" t="n">
        <f aca="false">SUM(K458:K460)</f>
        <v>1975203</v>
      </c>
      <c r="L461" s="28" t="n">
        <f aca="false">SUM(L458:L460)</f>
        <v>0</v>
      </c>
      <c r="M461" s="28" t="n">
        <f aca="false">SUM(M458:M460)</f>
        <v>45600</v>
      </c>
      <c r="N461" s="28" t="n">
        <f aca="false">SUM(N458:N460)</f>
        <v>0</v>
      </c>
      <c r="O461" s="28" t="n">
        <f aca="false">SUM(O458:O460)</f>
        <v>-1542781</v>
      </c>
      <c r="P461" s="28" t="n">
        <f aca="false">SUM(P458:P460)</f>
        <v>478022</v>
      </c>
      <c r="Q461" s="28" t="n">
        <f aca="false">SUM(Q458:Q460)</f>
        <v>25758.65</v>
      </c>
      <c r="R461" s="29" t="n">
        <f aca="false">Q461/$P461</f>
        <v>0.0538859090167398</v>
      </c>
      <c r="S461" s="28" t="n">
        <f aca="false">SUM(S458:S460)</f>
        <v>70301.5</v>
      </c>
      <c r="T461" s="29" t="n">
        <f aca="false">S461/$P461</f>
        <v>0.147067498985402</v>
      </c>
      <c r="U461" s="28" t="n">
        <f aca="false">SUM(U458:U460)</f>
        <v>126011.99</v>
      </c>
      <c r="V461" s="29" t="n">
        <f aca="false">U461/$P461</f>
        <v>0.263611277305229</v>
      </c>
      <c r="W461" s="28" t="n">
        <f aca="false">SUM(W458:W460)</f>
        <v>275897.18</v>
      </c>
      <c r="X461" s="29" t="n">
        <f aca="false">W461/$P461</f>
        <v>0.577164189095899</v>
      </c>
      <c r="Y461" s="28" t="n">
        <f aca="false">SUM(Y458:Y460)</f>
        <v>595809</v>
      </c>
      <c r="Z461" s="28" t="n">
        <f aca="false">SUM(Z458:Z460)</f>
        <v>312279</v>
      </c>
    </row>
    <row r="463" customFormat="false" ht="12.8" hidden="false" customHeight="false" outlineLevel="0" collapsed="false">
      <c r="D463" s="31" t="s">
        <v>251</v>
      </c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2"/>
      <c r="S463" s="31"/>
      <c r="T463" s="32"/>
      <c r="U463" s="31"/>
      <c r="V463" s="32"/>
      <c r="W463" s="31"/>
      <c r="X463" s="32"/>
      <c r="Y463" s="31"/>
      <c r="Z463" s="31"/>
    </row>
    <row r="464" customFormat="false" ht="12.8" hidden="false" customHeight="false" outlineLevel="0" collapsed="false">
      <c r="D464" s="135"/>
      <c r="E464" s="7"/>
      <c r="F464" s="7"/>
      <c r="G464" s="7" t="s">
        <v>1</v>
      </c>
      <c r="H464" s="7" t="s">
        <v>2</v>
      </c>
      <c r="I464" s="7" t="s">
        <v>3</v>
      </c>
      <c r="J464" s="7" t="s">
        <v>4</v>
      </c>
      <c r="K464" s="7" t="s">
        <v>5</v>
      </c>
      <c r="L464" s="7" t="s">
        <v>6</v>
      </c>
      <c r="M464" s="7" t="s">
        <v>7</v>
      </c>
      <c r="N464" s="7" t="s">
        <v>8</v>
      </c>
      <c r="O464" s="7" t="s">
        <v>9</v>
      </c>
      <c r="P464" s="7" t="s">
        <v>10</v>
      </c>
      <c r="Q464" s="7" t="s">
        <v>11</v>
      </c>
      <c r="R464" s="8" t="s">
        <v>12</v>
      </c>
      <c r="S464" s="7" t="s">
        <v>13</v>
      </c>
      <c r="T464" s="8" t="s">
        <v>14</v>
      </c>
      <c r="U464" s="7" t="s">
        <v>15</v>
      </c>
      <c r="V464" s="8" t="s">
        <v>16</v>
      </c>
      <c r="W464" s="7" t="s">
        <v>17</v>
      </c>
      <c r="X464" s="8" t="s">
        <v>18</v>
      </c>
      <c r="Y464" s="7" t="s">
        <v>19</v>
      </c>
      <c r="Z464" s="7" t="s">
        <v>20</v>
      </c>
    </row>
    <row r="465" customFormat="false" ht="12.8" hidden="false" customHeight="false" outlineLevel="0" collapsed="false">
      <c r="A465" s="1" t="n">
        <v>8</v>
      </c>
      <c r="B465" s="1" t="n">
        <v>1</v>
      </c>
      <c r="D465" s="33" t="s">
        <v>21</v>
      </c>
      <c r="E465" s="10" t="n">
        <v>41</v>
      </c>
      <c r="F465" s="10" t="s">
        <v>23</v>
      </c>
      <c r="G465" s="11" t="n">
        <f aca="false">G470</f>
        <v>20990.96</v>
      </c>
      <c r="H465" s="11" t="n">
        <f aca="false">H470</f>
        <v>1081.99</v>
      </c>
      <c r="I465" s="11" t="n">
        <f aca="false">35000+25000</f>
        <v>60000</v>
      </c>
      <c r="J465" s="11" t="n">
        <v>85530.76</v>
      </c>
      <c r="K465" s="11" t="n">
        <v>75000</v>
      </c>
      <c r="L465" s="11" t="n">
        <f aca="false">SUM(L470:L476)-L466</f>
        <v>0</v>
      </c>
      <c r="M465" s="11" t="n">
        <f aca="false">SUM(M470:M476)-M466</f>
        <v>15000</v>
      </c>
      <c r="N465" s="11" t="n">
        <f aca="false">SUM(N470:N476)-N466</f>
        <v>0</v>
      </c>
      <c r="O465" s="11" t="n">
        <f aca="false">SUM(O470:O474)+59940</f>
        <v>64940</v>
      </c>
      <c r="P465" s="11" t="n">
        <f aca="false">P470+P475-P466</f>
        <v>154940</v>
      </c>
      <c r="Q465" s="11" t="n">
        <f aca="false">Q470+Q475-Q466</f>
        <v>17336.65</v>
      </c>
      <c r="R465" s="12" t="n">
        <f aca="false">Q465/$P465</f>
        <v>0.111892668129599</v>
      </c>
      <c r="S465" s="11" t="n">
        <f aca="false">S470+S475-S466</f>
        <v>32468.24</v>
      </c>
      <c r="T465" s="12" t="n">
        <f aca="false">S465/$P465</f>
        <v>0.209553633664644</v>
      </c>
      <c r="U465" s="11" t="n">
        <f aca="false">U470+U475-U466</f>
        <v>39439.32</v>
      </c>
      <c r="V465" s="12" t="n">
        <f aca="false">U465/$P465</f>
        <v>0.254545759648896</v>
      </c>
      <c r="W465" s="11" t="n">
        <f aca="false">W470+W475-W466</f>
        <v>153043.69</v>
      </c>
      <c r="X465" s="12" t="n">
        <f aca="false">W465/$P465</f>
        <v>0.987761004259713</v>
      </c>
      <c r="Y465" s="11" t="n">
        <v>0</v>
      </c>
      <c r="Z465" s="11" t="n">
        <f aca="false">Y465</f>
        <v>0</v>
      </c>
    </row>
    <row r="466" customFormat="false" ht="12.8" hidden="false" customHeight="false" outlineLevel="0" collapsed="false">
      <c r="A466" s="1" t="n">
        <v>8</v>
      </c>
      <c r="B466" s="1" t="n">
        <v>1</v>
      </c>
      <c r="D466" s="33"/>
      <c r="E466" s="10" t="n">
        <v>52</v>
      </c>
      <c r="F466" s="10" t="s">
        <v>27</v>
      </c>
      <c r="G466" s="11" t="n">
        <v>0</v>
      </c>
      <c r="H466" s="11" t="n">
        <v>0</v>
      </c>
      <c r="I466" s="11" t="n">
        <v>0</v>
      </c>
      <c r="J466" s="11" t="n">
        <v>0</v>
      </c>
      <c r="K466" s="11" t="n">
        <v>60000</v>
      </c>
      <c r="L466" s="11" t="n">
        <f aca="false">L475</f>
        <v>0</v>
      </c>
      <c r="M466" s="11" t="n">
        <f aca="false">M475</f>
        <v>0</v>
      </c>
      <c r="N466" s="11" t="n">
        <f aca="false">N475</f>
        <v>0</v>
      </c>
      <c r="O466" s="11" t="n">
        <v>-60000</v>
      </c>
      <c r="P466" s="11" t="n">
        <f aca="false">P475-89940</f>
        <v>0</v>
      </c>
      <c r="Q466" s="11" t="n">
        <f aca="false">Q475</f>
        <v>0</v>
      </c>
      <c r="R466" s="12" t="e">
        <f aca="false">Q466/$P466</f>
        <v>#DIV/0!</v>
      </c>
      <c r="S466" s="11" t="n">
        <f aca="false">S475</f>
        <v>0</v>
      </c>
      <c r="T466" s="12" t="e">
        <f aca="false">S466/$P466</f>
        <v>#DIV/0!</v>
      </c>
      <c r="U466" s="11" t="n">
        <f aca="false">U475</f>
        <v>0</v>
      </c>
      <c r="V466" s="12" t="e">
        <f aca="false">U466/$P466</f>
        <v>#DIV/0!</v>
      </c>
      <c r="W466" s="11" t="n">
        <v>0</v>
      </c>
      <c r="X466" s="12" t="e">
        <f aca="false">W466/$P466</f>
        <v>#DIV/0!</v>
      </c>
      <c r="Y466" s="11" t="n">
        <v>0</v>
      </c>
      <c r="Z466" s="11" t="n">
        <f aca="false">Y466</f>
        <v>0</v>
      </c>
    </row>
    <row r="467" customFormat="false" ht="12.8" hidden="false" customHeight="false" outlineLevel="0" collapsed="false">
      <c r="A467" s="1" t="n">
        <v>8</v>
      </c>
      <c r="B467" s="1" t="n">
        <v>1</v>
      </c>
      <c r="D467" s="18"/>
      <c r="E467" s="19"/>
      <c r="F467" s="14" t="s">
        <v>116</v>
      </c>
      <c r="G467" s="15" t="n">
        <f aca="false">SUM(G465:G465)</f>
        <v>20990.96</v>
      </c>
      <c r="H467" s="15" t="n">
        <f aca="false">SUM(H465:H465)</f>
        <v>1081.99</v>
      </c>
      <c r="I467" s="15" t="n">
        <f aca="false">SUM(I465:I465)</f>
        <v>60000</v>
      </c>
      <c r="J467" s="15" t="n">
        <f aca="false">SUM(J465:J465)</f>
        <v>85530.76</v>
      </c>
      <c r="K467" s="15" t="n">
        <f aca="false">SUM(K465:K466)</f>
        <v>135000</v>
      </c>
      <c r="L467" s="15" t="n">
        <f aca="false">SUM(L465:L466)</f>
        <v>0</v>
      </c>
      <c r="M467" s="15" t="n">
        <f aca="false">SUM(M465:M466)</f>
        <v>15000</v>
      </c>
      <c r="N467" s="15" t="n">
        <f aca="false">SUM(N465:N466)</f>
        <v>0</v>
      </c>
      <c r="O467" s="15" t="n">
        <f aca="false">SUM(O465:O466)</f>
        <v>4940</v>
      </c>
      <c r="P467" s="15" t="n">
        <f aca="false">SUM(P465:P466)</f>
        <v>154940</v>
      </c>
      <c r="Q467" s="15" t="n">
        <f aca="false">SUM(Q465:Q466)</f>
        <v>17336.65</v>
      </c>
      <c r="R467" s="16" t="n">
        <f aca="false">Q467/$P467</f>
        <v>0.111892668129599</v>
      </c>
      <c r="S467" s="15" t="n">
        <f aca="false">SUM(S465:S466)</f>
        <v>32468.24</v>
      </c>
      <c r="T467" s="16" t="n">
        <f aca="false">S467/$P467</f>
        <v>0.209553633664644</v>
      </c>
      <c r="U467" s="15" t="n">
        <f aca="false">SUM(U465:U466)</f>
        <v>39439.32</v>
      </c>
      <c r="V467" s="16" t="n">
        <f aca="false">U467/$P467</f>
        <v>0.254545759648896</v>
      </c>
      <c r="W467" s="15" t="n">
        <f aca="false">SUM(W465:W466)</f>
        <v>153043.69</v>
      </c>
      <c r="X467" s="16" t="n">
        <f aca="false">W467/$P467</f>
        <v>0.987761004259713</v>
      </c>
      <c r="Y467" s="15" t="n">
        <f aca="false">SUM(Y465:Y465)</f>
        <v>0</v>
      </c>
      <c r="Z467" s="15" t="n">
        <f aca="false">SUM(Z465:Z465)</f>
        <v>0</v>
      </c>
    </row>
    <row r="469" customFormat="false" ht="12.8" hidden="false" customHeight="false" outlineLevel="0" collapsed="false">
      <c r="D469" s="1" t="s">
        <v>56</v>
      </c>
    </row>
    <row r="470" customFormat="false" ht="12.8" hidden="false" customHeight="false" outlineLevel="0" collapsed="false">
      <c r="D470" s="33" t="s">
        <v>252</v>
      </c>
      <c r="E470" s="44" t="s">
        <v>253</v>
      </c>
      <c r="F470" s="18"/>
      <c r="G470" s="45" t="n">
        <v>20990.96</v>
      </c>
      <c r="H470" s="45" t="n">
        <v>1081.99</v>
      </c>
      <c r="I470" s="45" t="n">
        <v>35000</v>
      </c>
      <c r="J470" s="45" t="n">
        <f aca="false">SUM(J471:J474)</f>
        <v>55630.76</v>
      </c>
      <c r="K470" s="45" t="n">
        <f aca="false">SUM(K471:K474)</f>
        <v>45000</v>
      </c>
      <c r="L470" s="45"/>
      <c r="M470" s="45"/>
      <c r="N470" s="45"/>
      <c r="O470" s="45"/>
      <c r="P470" s="45" t="n">
        <f aca="false">SUM(P471:P474)</f>
        <v>65000</v>
      </c>
      <c r="Q470" s="45" t="n">
        <f aca="false">SUM(Q471:Q474)</f>
        <v>17336.65</v>
      </c>
      <c r="R470" s="46" t="n">
        <f aca="false">Q470/$P470</f>
        <v>0.266717692307692</v>
      </c>
      <c r="S470" s="45" t="n">
        <f aca="false">SUM(S471:S474)</f>
        <v>32468.24</v>
      </c>
      <c r="T470" s="46" t="n">
        <f aca="false">S470/$P470</f>
        <v>0.499511384615385</v>
      </c>
      <c r="U470" s="45" t="n">
        <f aca="false">SUM(U471:U474)</f>
        <v>39439.32</v>
      </c>
      <c r="V470" s="46" t="n">
        <f aca="false">U470/$P470</f>
        <v>0.606758769230769</v>
      </c>
      <c r="W470" s="45" t="n">
        <f aca="false">SUM(W471:W474)</f>
        <v>63103.69</v>
      </c>
      <c r="X470" s="92" t="n">
        <f aca="false">W470/$P470</f>
        <v>0.970826</v>
      </c>
      <c r="Y470" s="45"/>
      <c r="Z470" s="48"/>
    </row>
    <row r="471" customFormat="false" ht="12.8" hidden="false" customHeight="false" outlineLevel="0" collapsed="false">
      <c r="D471" s="33"/>
      <c r="E471" s="49" t="s">
        <v>254</v>
      </c>
      <c r="F471" s="94"/>
      <c r="G471" s="95"/>
      <c r="H471" s="95"/>
      <c r="I471" s="95"/>
      <c r="J471" s="95" t="n">
        <v>1914.06</v>
      </c>
      <c r="K471" s="95" t="n">
        <v>5000</v>
      </c>
      <c r="L471" s="95"/>
      <c r="M471" s="95"/>
      <c r="N471" s="95"/>
      <c r="O471" s="95" t="n">
        <v>-5000</v>
      </c>
      <c r="P471" s="95" t="n">
        <f aca="false">K471+SUM(L471:O471)</f>
        <v>0</v>
      </c>
      <c r="Q471" s="95" t="n">
        <v>0</v>
      </c>
      <c r="R471" s="96" t="e">
        <f aca="false">Q471/$P471</f>
        <v>#DIV/0!</v>
      </c>
      <c r="S471" s="95" t="n">
        <v>0</v>
      </c>
      <c r="T471" s="96" t="e">
        <f aca="false">S471/$P471</f>
        <v>#DIV/0!</v>
      </c>
      <c r="U471" s="95" t="n">
        <v>0</v>
      </c>
      <c r="V471" s="96" t="e">
        <f aca="false">U471/$P471</f>
        <v>#DIV/0!</v>
      </c>
      <c r="W471" s="95" t="n">
        <v>0</v>
      </c>
      <c r="X471" s="93" t="e">
        <f aca="false">W471/$P471</f>
        <v>#DIV/0!</v>
      </c>
      <c r="Y471" s="95"/>
      <c r="Z471" s="53"/>
    </row>
    <row r="472" customFormat="false" ht="12.8" hidden="false" customHeight="false" outlineLevel="0" collapsed="false">
      <c r="D472" s="33"/>
      <c r="E472" s="49" t="s">
        <v>255</v>
      </c>
      <c r="F472" s="94"/>
      <c r="G472" s="95"/>
      <c r="H472" s="95"/>
      <c r="I472" s="95"/>
      <c r="J472" s="95" t="n">
        <f aca="false">300+51801.09</f>
        <v>52101.09</v>
      </c>
      <c r="K472" s="95" t="n">
        <v>0</v>
      </c>
      <c r="L472" s="95"/>
      <c r="M472" s="95"/>
      <c r="N472" s="95"/>
      <c r="O472" s="95"/>
      <c r="P472" s="95" t="n">
        <f aca="false">K472+SUM(L472:O472)</f>
        <v>0</v>
      </c>
      <c r="Q472" s="95" t="n">
        <v>0</v>
      </c>
      <c r="R472" s="96" t="e">
        <f aca="false">Q472/$P472</f>
        <v>#DIV/0!</v>
      </c>
      <c r="S472" s="95" t="n">
        <v>0</v>
      </c>
      <c r="T472" s="96" t="e">
        <f aca="false">S472/$P472</f>
        <v>#DIV/0!</v>
      </c>
      <c r="U472" s="95" t="n">
        <v>0</v>
      </c>
      <c r="V472" s="96" t="e">
        <f aca="false">U472/$P472</f>
        <v>#DIV/0!</v>
      </c>
      <c r="W472" s="95" t="n">
        <v>0</v>
      </c>
      <c r="X472" s="93" t="e">
        <f aca="false">W472/$P472</f>
        <v>#DIV/0!</v>
      </c>
      <c r="Y472" s="95"/>
      <c r="Z472" s="53"/>
    </row>
    <row r="473" customFormat="false" ht="12.8" hidden="false" customHeight="false" outlineLevel="0" collapsed="false">
      <c r="D473" s="33"/>
      <c r="E473" s="49" t="s">
        <v>256</v>
      </c>
      <c r="F473" s="94"/>
      <c r="G473" s="95"/>
      <c r="H473" s="95"/>
      <c r="I473" s="95"/>
      <c r="J473" s="95"/>
      <c r="K473" s="95" t="n">
        <v>10000</v>
      </c>
      <c r="L473" s="95"/>
      <c r="M473" s="95"/>
      <c r="N473" s="95"/>
      <c r="O473" s="95" t="n">
        <v>5000</v>
      </c>
      <c r="P473" s="95" t="n">
        <f aca="false">K473+SUM(L473:O473)</f>
        <v>15000</v>
      </c>
      <c r="Q473" s="95" t="n">
        <v>0</v>
      </c>
      <c r="R473" s="96" t="n">
        <f aca="false">Q473/$P473</f>
        <v>0</v>
      </c>
      <c r="S473" s="95" t="n">
        <v>0</v>
      </c>
      <c r="T473" s="96" t="n">
        <f aca="false">S473/$P473</f>
        <v>0</v>
      </c>
      <c r="U473" s="95" t="n">
        <v>0</v>
      </c>
      <c r="V473" s="96" t="n">
        <f aca="false">U473/$P473</f>
        <v>0</v>
      </c>
      <c r="W473" s="95" t="n">
        <v>13648.01</v>
      </c>
      <c r="X473" s="93" t="n">
        <f aca="false">W473/$P473</f>
        <v>0.909867333333333</v>
      </c>
      <c r="Y473" s="95"/>
      <c r="Z473" s="53"/>
    </row>
    <row r="474" customFormat="false" ht="12.8" hidden="false" customHeight="false" outlineLevel="0" collapsed="false">
      <c r="D474" s="33"/>
      <c r="E474" s="57" t="s">
        <v>257</v>
      </c>
      <c r="F474" s="76"/>
      <c r="G474" s="59"/>
      <c r="H474" s="59"/>
      <c r="I474" s="59"/>
      <c r="J474" s="59" t="n">
        <f aca="false">180+1435.61</f>
        <v>1615.61</v>
      </c>
      <c r="K474" s="59" t="n">
        <v>30000</v>
      </c>
      <c r="L474" s="59"/>
      <c r="M474" s="59" t="n">
        <v>15000</v>
      </c>
      <c r="N474" s="59"/>
      <c r="O474" s="59" t="n">
        <v>5000</v>
      </c>
      <c r="P474" s="59" t="n">
        <f aca="false">K474+SUM(L474:O474)</f>
        <v>50000</v>
      </c>
      <c r="Q474" s="59" t="n">
        <v>17336.65</v>
      </c>
      <c r="R474" s="60" t="n">
        <f aca="false">Q474/$P474</f>
        <v>0.346733</v>
      </c>
      <c r="S474" s="59" t="n">
        <v>32468.24</v>
      </c>
      <c r="T474" s="60" t="n">
        <f aca="false">S474/$P474</f>
        <v>0.6493648</v>
      </c>
      <c r="U474" s="59" t="n">
        <v>39439.32</v>
      </c>
      <c r="V474" s="60" t="n">
        <f aca="false">U474/$P474</f>
        <v>0.7887864</v>
      </c>
      <c r="W474" s="59" t="n">
        <v>49455.68</v>
      </c>
      <c r="X474" s="97" t="n">
        <f aca="false">W474/$P474</f>
        <v>0.9891136</v>
      </c>
      <c r="Y474" s="59"/>
      <c r="Z474" s="62"/>
    </row>
    <row r="475" customFormat="false" ht="12.8" hidden="false" customHeight="false" outlineLevel="0" collapsed="false">
      <c r="D475" s="33"/>
      <c r="E475" s="80" t="s">
        <v>258</v>
      </c>
      <c r="F475" s="81"/>
      <c r="G475" s="82"/>
      <c r="H475" s="82"/>
      <c r="I475" s="82"/>
      <c r="J475" s="82"/>
      <c r="K475" s="82" t="n">
        <v>90000</v>
      </c>
      <c r="L475" s="82"/>
      <c r="M475" s="82"/>
      <c r="N475" s="82"/>
      <c r="O475" s="82" t="n">
        <f aca="false">-60000+59940</f>
        <v>-60</v>
      </c>
      <c r="P475" s="82" t="n">
        <f aca="false">K475+SUM(L475:O475)</f>
        <v>89940</v>
      </c>
      <c r="Q475" s="82" t="n">
        <v>0</v>
      </c>
      <c r="R475" s="83" t="n">
        <f aca="false">Q475/$P475</f>
        <v>0</v>
      </c>
      <c r="S475" s="82" t="n">
        <v>0</v>
      </c>
      <c r="T475" s="83" t="n">
        <f aca="false">S475/$P475</f>
        <v>0</v>
      </c>
      <c r="U475" s="82" t="n">
        <v>0</v>
      </c>
      <c r="V475" s="83" t="n">
        <f aca="false">U475/$P475</f>
        <v>0</v>
      </c>
      <c r="W475" s="82" t="n">
        <v>89940</v>
      </c>
      <c r="X475" s="115" t="n">
        <f aca="false">W475/$P475</f>
        <v>1</v>
      </c>
      <c r="Y475" s="82"/>
      <c r="Z475" s="84"/>
    </row>
    <row r="476" customFormat="false" ht="12.8" hidden="true" customHeight="false" outlineLevel="0" collapsed="false">
      <c r="D476" s="33"/>
      <c r="E476" s="80" t="s">
        <v>259</v>
      </c>
      <c r="F476" s="81"/>
      <c r="G476" s="82"/>
      <c r="H476" s="82"/>
      <c r="I476" s="82" t="n">
        <v>25000</v>
      </c>
      <c r="J476" s="82" t="n">
        <v>29900</v>
      </c>
      <c r="K476" s="82"/>
      <c r="L476" s="82"/>
      <c r="M476" s="82"/>
      <c r="N476" s="82"/>
      <c r="O476" s="82"/>
      <c r="P476" s="82" t="n">
        <f aca="false">K476+SUM(L476:O476)</f>
        <v>0</v>
      </c>
      <c r="Q476" s="82"/>
      <c r="R476" s="83" t="e">
        <f aca="false">Q476/$P476</f>
        <v>#DIV/0!</v>
      </c>
      <c r="S476" s="82"/>
      <c r="T476" s="83" t="e">
        <f aca="false">S476/$P476</f>
        <v>#DIV/0!</v>
      </c>
      <c r="U476" s="82"/>
      <c r="V476" s="83" t="e">
        <f aca="false">U476/$P476</f>
        <v>#DIV/0!</v>
      </c>
      <c r="W476" s="82"/>
      <c r="X476" s="115" t="e">
        <f aca="false">W476/$P476</f>
        <v>#DIV/0!</v>
      </c>
      <c r="Y476" s="82"/>
      <c r="Z476" s="84"/>
    </row>
    <row r="478" customFormat="false" ht="12.8" hidden="false" customHeight="false" outlineLevel="0" collapsed="false">
      <c r="D478" s="31" t="s">
        <v>260</v>
      </c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2"/>
      <c r="S478" s="31"/>
      <c r="T478" s="32"/>
      <c r="U478" s="31"/>
      <c r="V478" s="32"/>
      <c r="W478" s="31"/>
      <c r="X478" s="32"/>
      <c r="Y478" s="31"/>
      <c r="Z478" s="31"/>
    </row>
    <row r="479" customFormat="false" ht="12.8" hidden="false" customHeight="false" outlineLevel="0" collapsed="false">
      <c r="D479" s="135"/>
      <c r="E479" s="7"/>
      <c r="F479" s="7"/>
      <c r="G479" s="7" t="s">
        <v>1</v>
      </c>
      <c r="H479" s="7" t="s">
        <v>2</v>
      </c>
      <c r="I479" s="7" t="s">
        <v>3</v>
      </c>
      <c r="J479" s="7" t="s">
        <v>4</v>
      </c>
      <c r="K479" s="7" t="s">
        <v>5</v>
      </c>
      <c r="L479" s="7" t="s">
        <v>6</v>
      </c>
      <c r="M479" s="7" t="s">
        <v>7</v>
      </c>
      <c r="N479" s="7" t="s">
        <v>8</v>
      </c>
      <c r="O479" s="7" t="s">
        <v>9</v>
      </c>
      <c r="P479" s="7" t="s">
        <v>10</v>
      </c>
      <c r="Q479" s="7" t="s">
        <v>11</v>
      </c>
      <c r="R479" s="8" t="s">
        <v>12</v>
      </c>
      <c r="S479" s="7" t="s">
        <v>13</v>
      </c>
      <c r="T479" s="8" t="s">
        <v>14</v>
      </c>
      <c r="U479" s="7" t="s">
        <v>15</v>
      </c>
      <c r="V479" s="8" t="s">
        <v>16</v>
      </c>
      <c r="W479" s="7" t="s">
        <v>17</v>
      </c>
      <c r="X479" s="8" t="s">
        <v>18</v>
      </c>
      <c r="Y479" s="7" t="s">
        <v>19</v>
      </c>
      <c r="Z479" s="7" t="s">
        <v>20</v>
      </c>
    </row>
    <row r="480" customFormat="false" ht="12.8" hidden="false" customHeight="false" outlineLevel="0" collapsed="false">
      <c r="A480" s="1" t="n">
        <v>8</v>
      </c>
      <c r="B480" s="1" t="n">
        <v>2</v>
      </c>
      <c r="D480" s="136" t="s">
        <v>21</v>
      </c>
      <c r="E480" s="10" t="n">
        <v>111</v>
      </c>
      <c r="F480" s="10" t="s">
        <v>127</v>
      </c>
      <c r="G480" s="11" t="n">
        <v>0</v>
      </c>
      <c r="H480" s="11" t="n">
        <v>0</v>
      </c>
      <c r="I480" s="11" t="n">
        <v>0</v>
      </c>
      <c r="J480" s="11" t="n">
        <v>50000</v>
      </c>
      <c r="K480" s="11" t="n">
        <f aca="false">417300</f>
        <v>417300</v>
      </c>
      <c r="L480" s="11" t="n">
        <f aca="false">SUM(L485:L491)-L481</f>
        <v>0</v>
      </c>
      <c r="M480" s="11" t="n">
        <f aca="false">SUM(M485:M491)-M481</f>
        <v>0</v>
      </c>
      <c r="N480" s="11" t="n">
        <f aca="false">SUM(N485:N491)-N481</f>
        <v>0</v>
      </c>
      <c r="O480" s="11" t="n">
        <f aca="false">SUM(O485:O491)-O481</f>
        <v>-417300</v>
      </c>
      <c r="P480" s="11" t="n">
        <f aca="false">SUM(P485:P491)-P481</f>
        <v>0</v>
      </c>
      <c r="Q480" s="11" t="n">
        <v>0</v>
      </c>
      <c r="R480" s="12" t="e">
        <f aca="false">Q480/$P480</f>
        <v>#DIV/0!</v>
      </c>
      <c r="S480" s="11" t="n">
        <v>0</v>
      </c>
      <c r="T480" s="12" t="e">
        <f aca="false">S480/$P480</f>
        <v>#DIV/0!</v>
      </c>
      <c r="U480" s="11" t="n">
        <v>0</v>
      </c>
      <c r="V480" s="12" t="e">
        <f aca="false">U480/$P480</f>
        <v>#DIV/0!</v>
      </c>
      <c r="W480" s="11" t="n">
        <v>0</v>
      </c>
      <c r="X480" s="12" t="e">
        <f aca="false">W480/$P480</f>
        <v>#DIV/0!</v>
      </c>
      <c r="Y480" s="11" t="n">
        <f aca="false">Y487-Y481</f>
        <v>274600</v>
      </c>
      <c r="Z480" s="11" t="n">
        <v>0</v>
      </c>
    </row>
    <row r="481" customFormat="false" ht="12.8" hidden="false" customHeight="false" outlineLevel="0" collapsed="false">
      <c r="A481" s="1" t="n">
        <v>8</v>
      </c>
      <c r="B481" s="1" t="n">
        <v>2</v>
      </c>
      <c r="D481" s="136" t="s">
        <v>21</v>
      </c>
      <c r="E481" s="10" t="n">
        <v>41</v>
      </c>
      <c r="F481" s="10" t="s">
        <v>23</v>
      </c>
      <c r="G481" s="11" t="n">
        <f aca="false">SUM(G485:G491)</f>
        <v>13900.37</v>
      </c>
      <c r="H481" s="11" t="n">
        <f aca="false">SUM(H485:H491)</f>
        <v>2196</v>
      </c>
      <c r="I481" s="11" t="n">
        <f aca="false">SUM(I485:I491)</f>
        <v>39450</v>
      </c>
      <c r="J481" s="11" t="n">
        <f aca="false">SUM(J485:J491)-J480</f>
        <v>35244.74</v>
      </c>
      <c r="K481" s="11" t="n">
        <f aca="false">SUM(K485:K491)-K480</f>
        <v>58431</v>
      </c>
      <c r="L481" s="11"/>
      <c r="M481" s="11"/>
      <c r="N481" s="11"/>
      <c r="O481" s="11" t="n">
        <f aca="false">-20865-27068-1000</f>
        <v>-48933</v>
      </c>
      <c r="P481" s="11" t="n">
        <f aca="false">K481+L481+M481+N481+O481</f>
        <v>9498</v>
      </c>
      <c r="Q481" s="11" t="n">
        <f aca="false">SUM(Q485:Q491)-Q480</f>
        <v>2738</v>
      </c>
      <c r="R481" s="12" t="n">
        <f aca="false">Q481/$P481</f>
        <v>0.28827121499263</v>
      </c>
      <c r="S481" s="11" t="n">
        <f aca="false">SUM(S485:S491)-S480</f>
        <v>8138</v>
      </c>
      <c r="T481" s="12" t="n">
        <f aca="false">S481/$P481</f>
        <v>0.856811960412718</v>
      </c>
      <c r="U481" s="11" t="n">
        <f aca="false">SUM(U485:U491)-U480</f>
        <v>8138</v>
      </c>
      <c r="V481" s="12" t="n">
        <f aca="false">U481/$P481</f>
        <v>0.856811960412718</v>
      </c>
      <c r="W481" s="11" t="n">
        <f aca="false">SUM(W485:W491)-W480</f>
        <v>8138</v>
      </c>
      <c r="X481" s="12" t="n">
        <f aca="false">W481/$P481</f>
        <v>0.856811960412718</v>
      </c>
      <c r="Y481" s="11" t="n">
        <f aca="false">46250</f>
        <v>46250</v>
      </c>
      <c r="Z481" s="11" t="n">
        <f aca="false">SUM(Z485:Z491)</f>
        <v>0</v>
      </c>
    </row>
    <row r="482" customFormat="false" ht="12.8" hidden="false" customHeight="false" outlineLevel="0" collapsed="false">
      <c r="A482" s="1" t="n">
        <v>8</v>
      </c>
      <c r="B482" s="1" t="n">
        <v>2</v>
      </c>
      <c r="D482" s="18"/>
      <c r="E482" s="19"/>
      <c r="F482" s="14" t="s">
        <v>116</v>
      </c>
      <c r="G482" s="15" t="n">
        <f aca="false">SUM(G480:G481)</f>
        <v>13900.37</v>
      </c>
      <c r="H482" s="15" t="n">
        <f aca="false">SUM(H480:H481)</f>
        <v>2196</v>
      </c>
      <c r="I482" s="15" t="n">
        <f aca="false">SUM(I480:I481)</f>
        <v>39450</v>
      </c>
      <c r="J482" s="15" t="n">
        <f aca="false">SUM(J480:J481)</f>
        <v>85244.74</v>
      </c>
      <c r="K482" s="15" t="n">
        <f aca="false">SUM(K480:K481)</f>
        <v>475731</v>
      </c>
      <c r="L482" s="15" t="n">
        <f aca="false">SUM(L480:L481)</f>
        <v>0</v>
      </c>
      <c r="M482" s="15" t="n">
        <f aca="false">SUM(M480:M481)</f>
        <v>0</v>
      </c>
      <c r="N482" s="15" t="n">
        <f aca="false">SUM(N480:N481)</f>
        <v>0</v>
      </c>
      <c r="O482" s="15" t="n">
        <f aca="false">SUM(O480:O481)</f>
        <v>-466233</v>
      </c>
      <c r="P482" s="15" t="n">
        <f aca="false">SUM(P480:P481)</f>
        <v>9498</v>
      </c>
      <c r="Q482" s="15" t="n">
        <f aca="false">SUM(Q480:Q481)</f>
        <v>2738</v>
      </c>
      <c r="R482" s="16" t="n">
        <f aca="false">Q482/$P482</f>
        <v>0.28827121499263</v>
      </c>
      <c r="S482" s="15" t="n">
        <f aca="false">SUM(S480:S481)</f>
        <v>8138</v>
      </c>
      <c r="T482" s="16" t="n">
        <f aca="false">S482/$P482</f>
        <v>0.856811960412718</v>
      </c>
      <c r="U482" s="15" t="n">
        <f aca="false">SUM(U480:U481)</f>
        <v>8138</v>
      </c>
      <c r="V482" s="16" t="n">
        <f aca="false">U482/$P482</f>
        <v>0.856811960412718</v>
      </c>
      <c r="W482" s="15" t="n">
        <f aca="false">SUM(W480:W481)</f>
        <v>8138</v>
      </c>
      <c r="X482" s="16" t="n">
        <f aca="false">W482/$P482</f>
        <v>0.856811960412718</v>
      </c>
      <c r="Y482" s="15" t="n">
        <f aca="false">SUM(Y480:Y481)</f>
        <v>320850</v>
      </c>
      <c r="Z482" s="15" t="n">
        <f aca="false">SUM(Z480:Z481)</f>
        <v>0</v>
      </c>
    </row>
    <row r="484" customFormat="false" ht="12.8" hidden="false" customHeight="false" outlineLevel="0" collapsed="false">
      <c r="D484" s="1" t="s">
        <v>56</v>
      </c>
    </row>
    <row r="485" customFormat="false" ht="12.8" hidden="false" customHeight="false" outlineLevel="0" collapsed="false">
      <c r="D485" s="33" t="s">
        <v>261</v>
      </c>
      <c r="E485" s="44" t="s">
        <v>262</v>
      </c>
      <c r="F485" s="18"/>
      <c r="G485" s="45" t="n">
        <v>3231.29</v>
      </c>
      <c r="H485" s="45"/>
      <c r="I485" s="45"/>
      <c r="J485" s="45" t="n">
        <v>11009.2</v>
      </c>
      <c r="K485" s="137" t="n">
        <f aca="false">417300+20865</f>
        <v>438165</v>
      </c>
      <c r="L485" s="137"/>
      <c r="M485" s="137"/>
      <c r="N485" s="137"/>
      <c r="O485" s="137" t="n">
        <f aca="false">-417300-20865</f>
        <v>-438165</v>
      </c>
      <c r="P485" s="137" t="n">
        <f aca="false">K485+SUM(L485:O485)</f>
        <v>0</v>
      </c>
      <c r="Q485" s="137" t="n">
        <v>0</v>
      </c>
      <c r="R485" s="138" t="e">
        <f aca="false">Q485/$P485</f>
        <v>#DIV/0!</v>
      </c>
      <c r="S485" s="137" t="n">
        <v>0</v>
      </c>
      <c r="T485" s="138" t="e">
        <f aca="false">S485/$P485</f>
        <v>#DIV/0!</v>
      </c>
      <c r="U485" s="137" t="n">
        <v>0</v>
      </c>
      <c r="V485" s="138" t="e">
        <f aca="false">U485/$P485</f>
        <v>#DIV/0!</v>
      </c>
      <c r="W485" s="137" t="n">
        <v>0</v>
      </c>
      <c r="X485" s="139" t="e">
        <f aca="false">W485/$P485</f>
        <v>#DIV/0!</v>
      </c>
      <c r="Y485" s="45"/>
      <c r="Z485" s="48"/>
    </row>
    <row r="486" customFormat="false" ht="12.8" hidden="false" customHeight="false" outlineLevel="0" collapsed="false">
      <c r="D486" s="33"/>
      <c r="E486" s="49" t="s">
        <v>263</v>
      </c>
      <c r="F486" s="94"/>
      <c r="G486" s="95" t="n">
        <v>2262</v>
      </c>
      <c r="H486" s="95"/>
      <c r="I486" s="95"/>
      <c r="J486" s="95"/>
      <c r="K486" s="95" t="n">
        <v>0</v>
      </c>
      <c r="L486" s="95"/>
      <c r="M486" s="95"/>
      <c r="N486" s="95"/>
      <c r="O486" s="95"/>
      <c r="P486" s="95" t="n">
        <f aca="false">K486+SUM(L486:O486)</f>
        <v>0</v>
      </c>
      <c r="Q486" s="95" t="n">
        <v>0</v>
      </c>
      <c r="R486" s="96" t="e">
        <f aca="false">Q486/$P486</f>
        <v>#DIV/0!</v>
      </c>
      <c r="S486" s="95" t="n">
        <v>0</v>
      </c>
      <c r="T486" s="96" t="e">
        <f aca="false">S486/$P486</f>
        <v>#DIV/0!</v>
      </c>
      <c r="U486" s="95" t="n">
        <v>0</v>
      </c>
      <c r="V486" s="96" t="e">
        <f aca="false">U486/$P486</f>
        <v>#DIV/0!</v>
      </c>
      <c r="W486" s="95" t="n">
        <v>0</v>
      </c>
      <c r="X486" s="93" t="e">
        <f aca="false">W486/$P486</f>
        <v>#DIV/0!</v>
      </c>
      <c r="Y486" s="95"/>
      <c r="Z486" s="53"/>
    </row>
    <row r="487" customFormat="false" ht="12.8" hidden="false" customHeight="false" outlineLevel="0" collapsed="false">
      <c r="D487" s="33"/>
      <c r="E487" s="57" t="s">
        <v>264</v>
      </c>
      <c r="F487" s="76"/>
      <c r="G487" s="59"/>
      <c r="H487" s="59" t="n">
        <v>2196</v>
      </c>
      <c r="I487" s="59" t="n">
        <v>14450</v>
      </c>
      <c r="J487" s="59"/>
      <c r="K487" s="59" t="n">
        <v>10000</v>
      </c>
      <c r="L487" s="59"/>
      <c r="M487" s="59"/>
      <c r="N487" s="59"/>
      <c r="O487" s="59" t="n">
        <v>-1000</v>
      </c>
      <c r="P487" s="59" t="n">
        <f aca="false">K487+SUM(L487:O487)</f>
        <v>9000</v>
      </c>
      <c r="Q487" s="59" t="n">
        <v>2240</v>
      </c>
      <c r="R487" s="60" t="n">
        <f aca="false">Q487/$P487</f>
        <v>0.248888888888889</v>
      </c>
      <c r="S487" s="59" t="n">
        <v>7640</v>
      </c>
      <c r="T487" s="60" t="n">
        <f aca="false">S487/$P487</f>
        <v>0.848888888888889</v>
      </c>
      <c r="U487" s="59" t="n">
        <v>7640</v>
      </c>
      <c r="V487" s="60" t="n">
        <f aca="false">U487/$P487</f>
        <v>0.848888888888889</v>
      </c>
      <c r="W487" s="59" t="n">
        <v>7640</v>
      </c>
      <c r="X487" s="97" t="n">
        <f aca="false">W487/$P487</f>
        <v>0.848888888888889</v>
      </c>
      <c r="Y487" s="59" t="n">
        <f aca="false">274600+46250</f>
        <v>320850</v>
      </c>
      <c r="Z487" s="62"/>
    </row>
    <row r="488" customFormat="false" ht="12.8" hidden="false" customHeight="false" outlineLevel="0" collapsed="false">
      <c r="D488" s="33"/>
      <c r="E488" s="44" t="s">
        <v>265</v>
      </c>
      <c r="F488" s="18"/>
      <c r="G488" s="45" t="n">
        <v>8407.08</v>
      </c>
      <c r="H488" s="45"/>
      <c r="I488" s="45"/>
      <c r="J488" s="45"/>
      <c r="K488" s="45" t="n">
        <v>0</v>
      </c>
      <c r="L488" s="45"/>
      <c r="M488" s="45"/>
      <c r="N488" s="45"/>
      <c r="O488" s="45"/>
      <c r="P488" s="45" t="n">
        <f aca="false">K488+SUM(L488:O488)</f>
        <v>0</v>
      </c>
      <c r="Q488" s="45" t="n">
        <v>0</v>
      </c>
      <c r="R488" s="46" t="e">
        <f aca="false">Q488/$P488</f>
        <v>#DIV/0!</v>
      </c>
      <c r="S488" s="45" t="n">
        <v>0</v>
      </c>
      <c r="T488" s="46" t="e">
        <f aca="false">S488/$P488</f>
        <v>#DIV/0!</v>
      </c>
      <c r="U488" s="45" t="n">
        <v>0</v>
      </c>
      <c r="V488" s="46" t="e">
        <f aca="false">U488/$P488</f>
        <v>#DIV/0!</v>
      </c>
      <c r="W488" s="45" t="n">
        <v>0</v>
      </c>
      <c r="X488" s="92" t="e">
        <f aca="false">W488/$P488</f>
        <v>#DIV/0!</v>
      </c>
      <c r="Y488" s="45"/>
      <c r="Z488" s="48"/>
    </row>
    <row r="489" customFormat="false" ht="12.8" hidden="false" customHeight="false" outlineLevel="0" collapsed="false">
      <c r="D489" s="33"/>
      <c r="E489" s="140" t="s">
        <v>266</v>
      </c>
      <c r="F489" s="94"/>
      <c r="G489" s="95"/>
      <c r="H489" s="95" t="n">
        <v>0</v>
      </c>
      <c r="I489" s="95" t="n">
        <v>20000</v>
      </c>
      <c r="J489" s="95" t="n">
        <v>73737.54</v>
      </c>
      <c r="K489" s="95" t="n">
        <v>0</v>
      </c>
      <c r="L489" s="95"/>
      <c r="M489" s="95"/>
      <c r="N489" s="95"/>
      <c r="O489" s="95"/>
      <c r="P489" s="95" t="n">
        <f aca="false">K489+SUM(L489:O489)</f>
        <v>0</v>
      </c>
      <c r="Q489" s="95" t="n">
        <v>0</v>
      </c>
      <c r="R489" s="96" t="e">
        <f aca="false">Q489/$P489</f>
        <v>#DIV/0!</v>
      </c>
      <c r="S489" s="95" t="n">
        <v>0</v>
      </c>
      <c r="T489" s="96" t="e">
        <f aca="false">S489/$P489</f>
        <v>#DIV/0!</v>
      </c>
      <c r="U489" s="95" t="n">
        <v>0</v>
      </c>
      <c r="V489" s="96" t="e">
        <f aca="false">U489/$P489</f>
        <v>#DIV/0!</v>
      </c>
      <c r="W489" s="95" t="n">
        <v>0</v>
      </c>
      <c r="X489" s="93" t="e">
        <f aca="false">W489/$P489</f>
        <v>#DIV/0!</v>
      </c>
      <c r="Y489" s="95"/>
      <c r="Z489" s="53"/>
    </row>
    <row r="490" customFormat="false" ht="12.8" hidden="false" customHeight="false" outlineLevel="0" collapsed="false">
      <c r="D490" s="33"/>
      <c r="E490" s="140" t="s">
        <v>267</v>
      </c>
      <c r="F490" s="94"/>
      <c r="G490" s="95"/>
      <c r="H490" s="95"/>
      <c r="I490" s="95" t="n">
        <v>5000</v>
      </c>
      <c r="J490" s="95" t="n">
        <v>498</v>
      </c>
      <c r="K490" s="95" t="n">
        <v>27566</v>
      </c>
      <c r="L490" s="95"/>
      <c r="M490" s="95"/>
      <c r="N490" s="95"/>
      <c r="O490" s="95" t="n">
        <v>-27068</v>
      </c>
      <c r="P490" s="95" t="n">
        <f aca="false">K490+SUM(L490:O490)</f>
        <v>498</v>
      </c>
      <c r="Q490" s="95" t="n">
        <v>498</v>
      </c>
      <c r="R490" s="96" t="n">
        <f aca="false">Q490/$P490</f>
        <v>1</v>
      </c>
      <c r="S490" s="95" t="n">
        <v>498</v>
      </c>
      <c r="T490" s="96" t="n">
        <f aca="false">S490/$P490</f>
        <v>1</v>
      </c>
      <c r="U490" s="95" t="n">
        <v>498</v>
      </c>
      <c r="V490" s="96" t="n">
        <f aca="false">U490/$P490</f>
        <v>1</v>
      </c>
      <c r="W490" s="95" t="n">
        <v>498</v>
      </c>
      <c r="X490" s="93" t="n">
        <f aca="false">W490/$P490</f>
        <v>1</v>
      </c>
      <c r="Y490" s="95"/>
      <c r="Z490" s="53"/>
    </row>
    <row r="491" customFormat="false" ht="12.8" hidden="false" customHeight="false" outlineLevel="0" collapsed="false">
      <c r="D491" s="33"/>
      <c r="E491" s="141" t="s">
        <v>268</v>
      </c>
      <c r="F491" s="76"/>
      <c r="G491" s="59"/>
      <c r="H491" s="59" t="n">
        <v>0</v>
      </c>
      <c r="I491" s="59"/>
      <c r="J491" s="59"/>
      <c r="K491" s="59" t="n">
        <v>0</v>
      </c>
      <c r="L491" s="59"/>
      <c r="M491" s="59"/>
      <c r="N491" s="59"/>
      <c r="O491" s="59"/>
      <c r="P491" s="59" t="n">
        <f aca="false">K491+SUM(L491:O491)</f>
        <v>0</v>
      </c>
      <c r="Q491" s="59" t="n">
        <v>0</v>
      </c>
      <c r="R491" s="60" t="e">
        <f aca="false">Q491/$P491</f>
        <v>#DIV/0!</v>
      </c>
      <c r="S491" s="59" t="n">
        <v>0</v>
      </c>
      <c r="T491" s="60" t="e">
        <f aca="false">S491/$P491</f>
        <v>#DIV/0!</v>
      </c>
      <c r="U491" s="59" t="n">
        <v>0</v>
      </c>
      <c r="V491" s="60" t="e">
        <f aca="false">U491/$P491</f>
        <v>#DIV/0!</v>
      </c>
      <c r="W491" s="59" t="n">
        <v>0</v>
      </c>
      <c r="X491" s="97" t="e">
        <f aca="false">W491/$P491</f>
        <v>#DIV/0!</v>
      </c>
      <c r="Y491" s="59"/>
      <c r="Z491" s="62"/>
    </row>
    <row r="493" customFormat="false" ht="12.8" hidden="false" customHeight="false" outlineLevel="0" collapsed="false">
      <c r="D493" s="31" t="s">
        <v>269</v>
      </c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2"/>
      <c r="S493" s="31"/>
      <c r="T493" s="32"/>
      <c r="U493" s="31"/>
      <c r="V493" s="32"/>
      <c r="W493" s="31"/>
      <c r="X493" s="32"/>
      <c r="Y493" s="31"/>
      <c r="Z493" s="31"/>
    </row>
    <row r="494" customFormat="false" ht="12.8" hidden="false" customHeight="false" outlineLevel="0" collapsed="false">
      <c r="D494" s="135"/>
      <c r="E494" s="7"/>
      <c r="F494" s="7"/>
      <c r="G494" s="7" t="s">
        <v>1</v>
      </c>
      <c r="H494" s="7" t="s">
        <v>2</v>
      </c>
      <c r="I494" s="7" t="s">
        <v>3</v>
      </c>
      <c r="J494" s="7" t="s">
        <v>4</v>
      </c>
      <c r="K494" s="7" t="s">
        <v>5</v>
      </c>
      <c r="L494" s="7" t="s">
        <v>6</v>
      </c>
      <c r="M494" s="7" t="s">
        <v>7</v>
      </c>
      <c r="N494" s="7" t="s">
        <v>8</v>
      </c>
      <c r="O494" s="7" t="s">
        <v>9</v>
      </c>
      <c r="P494" s="7" t="s">
        <v>10</v>
      </c>
      <c r="Q494" s="7" t="s">
        <v>11</v>
      </c>
      <c r="R494" s="8" t="s">
        <v>12</v>
      </c>
      <c r="S494" s="7" t="s">
        <v>13</v>
      </c>
      <c r="T494" s="8" t="s">
        <v>14</v>
      </c>
      <c r="U494" s="7" t="s">
        <v>15</v>
      </c>
      <c r="V494" s="8" t="s">
        <v>16</v>
      </c>
      <c r="W494" s="7" t="s">
        <v>17</v>
      </c>
      <c r="X494" s="8" t="s">
        <v>18</v>
      </c>
      <c r="Y494" s="7" t="s">
        <v>19</v>
      </c>
      <c r="Z494" s="7" t="s">
        <v>20</v>
      </c>
    </row>
    <row r="495" customFormat="false" ht="12.8" hidden="false" customHeight="false" outlineLevel="0" collapsed="false">
      <c r="A495" s="1" t="n">
        <v>8</v>
      </c>
      <c r="B495" s="1" t="n">
        <v>3</v>
      </c>
      <c r="D495" s="136" t="s">
        <v>21</v>
      </c>
      <c r="E495" s="10" t="n">
        <v>41</v>
      </c>
      <c r="F495" s="10" t="s">
        <v>23</v>
      </c>
      <c r="G495" s="11" t="n">
        <f aca="false">SUM(G499:G503)</f>
        <v>2285.56</v>
      </c>
      <c r="H495" s="11" t="n">
        <f aca="false">SUM(H499:H503)</f>
        <v>360.81</v>
      </c>
      <c r="I495" s="11" t="n">
        <f aca="false">SUM(I499:I503)</f>
        <v>50000</v>
      </c>
      <c r="J495" s="11" t="n">
        <f aca="false">SUM(J499:J503)</f>
        <v>18466</v>
      </c>
      <c r="K495" s="11" t="n">
        <f aca="false">SUM(K499:K503)</f>
        <v>0</v>
      </c>
      <c r="L495" s="11" t="n">
        <f aca="false">SUM(L499:L503)</f>
        <v>0</v>
      </c>
      <c r="M495" s="11" t="n">
        <f aca="false">SUM(M499:M503)</f>
        <v>0</v>
      </c>
      <c r="N495" s="11" t="n">
        <f aca="false">SUM(N499:N503)</f>
        <v>0</v>
      </c>
      <c r="O495" s="11" t="n">
        <f aca="false">SUM(O499:O503)</f>
        <v>0</v>
      </c>
      <c r="P495" s="11" t="n">
        <f aca="false">SUM(P499:P503)</f>
        <v>0</v>
      </c>
      <c r="Q495" s="11" t="n">
        <f aca="false">SUM(Q499:Q503)</f>
        <v>0</v>
      </c>
      <c r="R495" s="12" t="e">
        <f aca="false">Q495/$P495</f>
        <v>#DIV/0!</v>
      </c>
      <c r="S495" s="11" t="n">
        <f aca="false">SUM(S499:S503)</f>
        <v>0</v>
      </c>
      <c r="T495" s="12" t="e">
        <f aca="false">S495/$P495</f>
        <v>#DIV/0!</v>
      </c>
      <c r="U495" s="11" t="n">
        <f aca="false">SUM(U499:U503)</f>
        <v>0</v>
      </c>
      <c r="V495" s="12" t="e">
        <f aca="false">U495/$P495</f>
        <v>#DIV/0!</v>
      </c>
      <c r="W495" s="11" t="n">
        <f aca="false">SUM(W499:W503)</f>
        <v>0</v>
      </c>
      <c r="X495" s="12" t="e">
        <f aca="false">W495/$P495</f>
        <v>#DIV/0!</v>
      </c>
      <c r="Y495" s="11" t="n">
        <f aca="false">SUM(Y499:Y503)</f>
        <v>0</v>
      </c>
      <c r="Z495" s="11" t="n">
        <f aca="false">SUM(Z499:Z503)</f>
        <v>312279</v>
      </c>
    </row>
    <row r="496" customFormat="false" ht="12.8" hidden="false" customHeight="false" outlineLevel="0" collapsed="false">
      <c r="A496" s="1" t="n">
        <v>8</v>
      </c>
      <c r="B496" s="1" t="n">
        <v>3</v>
      </c>
      <c r="D496" s="18"/>
      <c r="E496" s="19"/>
      <c r="F496" s="14" t="s">
        <v>116</v>
      </c>
      <c r="G496" s="15" t="n">
        <f aca="false">SUM(G495:G495)</f>
        <v>2285.56</v>
      </c>
      <c r="H496" s="15" t="n">
        <f aca="false">SUM(H495:H495)</f>
        <v>360.81</v>
      </c>
      <c r="I496" s="15" t="n">
        <f aca="false">SUM(I495:I495)</f>
        <v>50000</v>
      </c>
      <c r="J496" s="15" t="n">
        <f aca="false">SUM(J495:J495)</f>
        <v>18466</v>
      </c>
      <c r="K496" s="15" t="n">
        <f aca="false">SUM(K495:K495)</f>
        <v>0</v>
      </c>
      <c r="L496" s="15" t="n">
        <f aca="false">SUM(L495:L495)</f>
        <v>0</v>
      </c>
      <c r="M496" s="15" t="n">
        <f aca="false">SUM(M495:M495)</f>
        <v>0</v>
      </c>
      <c r="N496" s="15" t="n">
        <f aca="false">SUM(N495:N495)</f>
        <v>0</v>
      </c>
      <c r="O496" s="15" t="n">
        <f aca="false">SUM(O495:O495)</f>
        <v>0</v>
      </c>
      <c r="P496" s="15" t="n">
        <f aca="false">SUM(P495:P495)</f>
        <v>0</v>
      </c>
      <c r="Q496" s="15" t="n">
        <f aca="false">SUM(Q495:Q495)</f>
        <v>0</v>
      </c>
      <c r="R496" s="16" t="e">
        <f aca="false">Q496/$P496</f>
        <v>#DIV/0!</v>
      </c>
      <c r="S496" s="15" t="n">
        <f aca="false">SUM(S495:S495)</f>
        <v>0</v>
      </c>
      <c r="T496" s="16" t="e">
        <f aca="false">S496/$P496</f>
        <v>#DIV/0!</v>
      </c>
      <c r="U496" s="15" t="n">
        <f aca="false">SUM(U495:U495)</f>
        <v>0</v>
      </c>
      <c r="V496" s="16" t="e">
        <f aca="false">U496/$P496</f>
        <v>#DIV/0!</v>
      </c>
      <c r="W496" s="15" t="n">
        <f aca="false">SUM(W495:W495)</f>
        <v>0</v>
      </c>
      <c r="X496" s="16" t="e">
        <f aca="false">W496/$P496</f>
        <v>#DIV/0!</v>
      </c>
      <c r="Y496" s="15" t="n">
        <f aca="false">SUM(Y495:Y495)</f>
        <v>0</v>
      </c>
      <c r="Z496" s="15" t="n">
        <f aca="false">SUM(Z495:Z495)</f>
        <v>312279</v>
      </c>
    </row>
    <row r="498" customFormat="false" ht="12.8" hidden="true" customHeight="false" outlineLevel="0" collapsed="false">
      <c r="D498" s="1" t="s">
        <v>56</v>
      </c>
    </row>
    <row r="499" customFormat="false" ht="12.8" hidden="true" customHeight="false" outlineLevel="0" collapsed="false">
      <c r="D499" s="33" t="s">
        <v>270</v>
      </c>
      <c r="E499" s="80" t="s">
        <v>271</v>
      </c>
      <c r="F499" s="81"/>
      <c r="G499" s="82" t="n">
        <v>2285.56</v>
      </c>
      <c r="H499" s="82"/>
      <c r="I499" s="82"/>
      <c r="J499" s="82"/>
      <c r="K499" s="82"/>
      <c r="L499" s="82"/>
      <c r="M499" s="82"/>
      <c r="N499" s="82"/>
      <c r="O499" s="82"/>
      <c r="P499" s="82" t="n">
        <f aca="false">K499+SUM(L499:O499)</f>
        <v>0</v>
      </c>
      <c r="Q499" s="82"/>
      <c r="R499" s="83" t="e">
        <f aca="false">Q499/$P499</f>
        <v>#DIV/0!</v>
      </c>
      <c r="S499" s="82"/>
      <c r="T499" s="83" t="e">
        <f aca="false">S499/$P499</f>
        <v>#DIV/0!</v>
      </c>
      <c r="U499" s="82"/>
      <c r="V499" s="83" t="e">
        <f aca="false">U499/$P499</f>
        <v>#DIV/0!</v>
      </c>
      <c r="W499" s="82"/>
      <c r="X499" s="115" t="e">
        <f aca="false">W499/$P499</f>
        <v>#DIV/0!</v>
      </c>
      <c r="Y499" s="82"/>
      <c r="Z499" s="84" t="n">
        <v>312279</v>
      </c>
    </row>
    <row r="500" customFormat="false" ht="12.8" hidden="true" customHeight="false" outlineLevel="0" collapsed="false">
      <c r="D500" s="33"/>
      <c r="E500" s="80" t="s">
        <v>272</v>
      </c>
      <c r="F500" s="81"/>
      <c r="G500" s="82"/>
      <c r="H500" s="82" t="n">
        <v>32</v>
      </c>
      <c r="I500" s="82"/>
      <c r="J500" s="82"/>
      <c r="K500" s="82"/>
      <c r="L500" s="82"/>
      <c r="M500" s="82"/>
      <c r="N500" s="82"/>
      <c r="O500" s="82"/>
      <c r="P500" s="82" t="n">
        <f aca="false">K500+SUM(L500:O500)</f>
        <v>0</v>
      </c>
      <c r="Q500" s="82"/>
      <c r="R500" s="83" t="e">
        <f aca="false">Q500/$P500</f>
        <v>#DIV/0!</v>
      </c>
      <c r="S500" s="82"/>
      <c r="T500" s="83" t="e">
        <f aca="false">S500/$P500</f>
        <v>#DIV/0!</v>
      </c>
      <c r="U500" s="82"/>
      <c r="V500" s="83" t="e">
        <f aca="false">U500/$P500</f>
        <v>#DIV/0!</v>
      </c>
      <c r="W500" s="82"/>
      <c r="X500" s="115" t="e">
        <f aca="false">W500/$P500</f>
        <v>#DIV/0!</v>
      </c>
      <c r="Y500" s="82"/>
      <c r="Z500" s="84"/>
    </row>
    <row r="501" customFormat="false" ht="12.8" hidden="true" customHeight="false" outlineLevel="0" collapsed="false">
      <c r="D501" s="33"/>
      <c r="E501" s="80" t="s">
        <v>273</v>
      </c>
      <c r="F501" s="81"/>
      <c r="G501" s="82"/>
      <c r="H501" s="82" t="n">
        <v>328.81</v>
      </c>
      <c r="I501" s="82"/>
      <c r="J501" s="82"/>
      <c r="K501" s="82"/>
      <c r="L501" s="82"/>
      <c r="M501" s="82"/>
      <c r="N501" s="82"/>
      <c r="O501" s="82"/>
      <c r="P501" s="82" t="n">
        <f aca="false">K501+SUM(L501:O501)</f>
        <v>0</v>
      </c>
      <c r="Q501" s="82"/>
      <c r="R501" s="83" t="e">
        <f aca="false">Q501/$P501</f>
        <v>#DIV/0!</v>
      </c>
      <c r="S501" s="82"/>
      <c r="T501" s="83" t="e">
        <f aca="false">S501/$P501</f>
        <v>#DIV/0!</v>
      </c>
      <c r="U501" s="82"/>
      <c r="V501" s="83" t="e">
        <f aca="false">U501/$P501</f>
        <v>#DIV/0!</v>
      </c>
      <c r="W501" s="82"/>
      <c r="X501" s="115" t="e">
        <f aca="false">W501/$P501</f>
        <v>#DIV/0!</v>
      </c>
      <c r="Y501" s="82"/>
      <c r="Z501" s="84"/>
    </row>
    <row r="502" customFormat="false" ht="12.8" hidden="true" customHeight="false" outlineLevel="0" collapsed="false">
      <c r="D502" s="33"/>
      <c r="E502" s="80" t="s">
        <v>274</v>
      </c>
      <c r="F502" s="81"/>
      <c r="G502" s="82"/>
      <c r="H502" s="82"/>
      <c r="I502" s="82" t="n">
        <v>20000</v>
      </c>
      <c r="J502" s="82"/>
      <c r="K502" s="82"/>
      <c r="L502" s="82"/>
      <c r="M502" s="82"/>
      <c r="N502" s="82"/>
      <c r="O502" s="82"/>
      <c r="P502" s="82" t="n">
        <f aca="false">K502+SUM(L502:O502)</f>
        <v>0</v>
      </c>
      <c r="Q502" s="82"/>
      <c r="R502" s="83" t="e">
        <f aca="false">Q502/$P502</f>
        <v>#DIV/0!</v>
      </c>
      <c r="S502" s="82"/>
      <c r="T502" s="83" t="e">
        <f aca="false">S502/$P502</f>
        <v>#DIV/0!</v>
      </c>
      <c r="U502" s="82"/>
      <c r="V502" s="83" t="e">
        <f aca="false">U502/$P502</f>
        <v>#DIV/0!</v>
      </c>
      <c r="W502" s="82"/>
      <c r="X502" s="115" t="e">
        <f aca="false">W502/$P502</f>
        <v>#DIV/0!</v>
      </c>
      <c r="Y502" s="82"/>
      <c r="Z502" s="84"/>
    </row>
    <row r="503" customFormat="false" ht="12.8" hidden="true" customHeight="false" outlineLevel="0" collapsed="false">
      <c r="D503" s="33"/>
      <c r="E503" s="80" t="s">
        <v>275</v>
      </c>
      <c r="F503" s="81"/>
      <c r="G503" s="82"/>
      <c r="H503" s="82"/>
      <c r="I503" s="82" t="n">
        <v>30000</v>
      </c>
      <c r="J503" s="82" t="n">
        <v>18466</v>
      </c>
      <c r="K503" s="82"/>
      <c r="L503" s="82"/>
      <c r="M503" s="82"/>
      <c r="N503" s="82"/>
      <c r="O503" s="82"/>
      <c r="P503" s="82" t="n">
        <f aca="false">K503+SUM(L503:O503)</f>
        <v>0</v>
      </c>
      <c r="Q503" s="82"/>
      <c r="R503" s="83" t="e">
        <f aca="false">Q503/$P503</f>
        <v>#DIV/0!</v>
      </c>
      <c r="S503" s="82"/>
      <c r="T503" s="83" t="e">
        <f aca="false">S503/$P503</f>
        <v>#DIV/0!</v>
      </c>
      <c r="U503" s="82"/>
      <c r="V503" s="83" t="e">
        <f aca="false">U503/$P503</f>
        <v>#DIV/0!</v>
      </c>
      <c r="W503" s="82"/>
      <c r="X503" s="115" t="e">
        <f aca="false">W503/$P503</f>
        <v>#DIV/0!</v>
      </c>
      <c r="Y503" s="82"/>
      <c r="Z503" s="84"/>
    </row>
    <row r="504" customFormat="false" ht="12.8" hidden="true" customHeight="false" outlineLevel="0" collapsed="false"/>
    <row r="505" customFormat="false" ht="12.8" hidden="false" customHeight="false" outlineLevel="0" collapsed="false">
      <c r="D505" s="31" t="s">
        <v>276</v>
      </c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2"/>
      <c r="S505" s="31"/>
      <c r="T505" s="32"/>
      <c r="U505" s="31"/>
      <c r="V505" s="32"/>
      <c r="W505" s="31"/>
      <c r="X505" s="32"/>
      <c r="Y505" s="31"/>
      <c r="Z505" s="31"/>
    </row>
    <row r="506" customFormat="false" ht="12.8" hidden="false" customHeight="false" outlineLevel="0" collapsed="false">
      <c r="D506" s="135"/>
      <c r="E506" s="7"/>
      <c r="F506" s="7"/>
      <c r="G506" s="7" t="s">
        <v>1</v>
      </c>
      <c r="H506" s="7" t="s">
        <v>2</v>
      </c>
      <c r="I506" s="7" t="s">
        <v>3</v>
      </c>
      <c r="J506" s="7" t="s">
        <v>4</v>
      </c>
      <c r="K506" s="7" t="s">
        <v>5</v>
      </c>
      <c r="L506" s="7" t="s">
        <v>6</v>
      </c>
      <c r="M506" s="7" t="s">
        <v>7</v>
      </c>
      <c r="N506" s="7" t="s">
        <v>8</v>
      </c>
      <c r="O506" s="7" t="s">
        <v>9</v>
      </c>
      <c r="P506" s="7" t="s">
        <v>10</v>
      </c>
      <c r="Q506" s="7" t="s">
        <v>11</v>
      </c>
      <c r="R506" s="8" t="s">
        <v>12</v>
      </c>
      <c r="S506" s="7" t="s">
        <v>13</v>
      </c>
      <c r="T506" s="8" t="s">
        <v>14</v>
      </c>
      <c r="U506" s="7" t="s">
        <v>15</v>
      </c>
      <c r="V506" s="8" t="s">
        <v>16</v>
      </c>
      <c r="W506" s="7" t="s">
        <v>17</v>
      </c>
      <c r="X506" s="8" t="s">
        <v>18</v>
      </c>
      <c r="Y506" s="7" t="s">
        <v>19</v>
      </c>
      <c r="Z506" s="7" t="s">
        <v>20</v>
      </c>
    </row>
    <row r="507" customFormat="false" ht="12.8" hidden="false" customHeight="false" outlineLevel="0" collapsed="false">
      <c r="D507" s="136" t="s">
        <v>21</v>
      </c>
      <c r="E507" s="10" t="n">
        <v>111</v>
      </c>
      <c r="F507" s="10" t="s">
        <v>23</v>
      </c>
      <c r="G507" s="11" t="n">
        <f aca="false">SUM(G511:G511)</f>
        <v>0</v>
      </c>
      <c r="H507" s="11" t="n">
        <f aca="false">SUM(H511:H511)</f>
        <v>0</v>
      </c>
      <c r="I507" s="11" t="n">
        <f aca="false">SUM(I511:I511)</f>
        <v>0</v>
      </c>
      <c r="J507" s="11" t="n">
        <f aca="false">SUM(J511:J511)</f>
        <v>0</v>
      </c>
      <c r="K507" s="11" t="n">
        <v>888000</v>
      </c>
      <c r="L507" s="11"/>
      <c r="M507" s="11"/>
      <c r="N507" s="11"/>
      <c r="O507" s="11" t="n">
        <v>-888000</v>
      </c>
      <c r="P507" s="11" t="n">
        <f aca="false">K507+L507+M507+N507+O507</f>
        <v>0</v>
      </c>
      <c r="Q507" s="11" t="n">
        <v>0</v>
      </c>
      <c r="R507" s="12" t="e">
        <f aca="false">Q507/$P507</f>
        <v>#DIV/0!</v>
      </c>
      <c r="S507" s="11" t="n">
        <v>0</v>
      </c>
      <c r="T507" s="12" t="e">
        <f aca="false">S507/$P507</f>
        <v>#DIV/0!</v>
      </c>
      <c r="U507" s="11" t="n">
        <v>0</v>
      </c>
      <c r="V507" s="12" t="e">
        <f aca="false">U507/$P507</f>
        <v>#DIV/0!</v>
      </c>
      <c r="W507" s="11" t="n">
        <v>0</v>
      </c>
      <c r="X507" s="12" t="e">
        <f aca="false">W507/$P507</f>
        <v>#DIV/0!</v>
      </c>
      <c r="Y507" s="11" t="n">
        <f aca="false">SUM(Y511:Y511)</f>
        <v>0</v>
      </c>
      <c r="Z507" s="11" t="n">
        <f aca="false">SUM(Z511:Z511)</f>
        <v>0</v>
      </c>
    </row>
    <row r="508" customFormat="false" ht="12.8" hidden="false" customHeight="false" outlineLevel="0" collapsed="false">
      <c r="A508" s="1" t="n">
        <v>8</v>
      </c>
      <c r="B508" s="1" t="n">
        <v>4</v>
      </c>
      <c r="D508" s="136" t="s">
        <v>21</v>
      </c>
      <c r="E508" s="10" t="n">
        <v>41</v>
      </c>
      <c r="F508" s="10" t="s">
        <v>23</v>
      </c>
      <c r="G508" s="11" t="n">
        <f aca="false">SUM(G512:G512)</f>
        <v>0</v>
      </c>
      <c r="H508" s="11" t="n">
        <f aca="false">SUM(H512:H512)</f>
        <v>1320</v>
      </c>
      <c r="I508" s="11" t="n">
        <f aca="false">SUM(I512:I512)</f>
        <v>54000</v>
      </c>
      <c r="J508" s="11" t="n">
        <v>8528</v>
      </c>
      <c r="K508" s="11" t="n">
        <f aca="false">SUM(K512:K512)-K507+K513</f>
        <v>55472</v>
      </c>
      <c r="L508" s="11" t="n">
        <f aca="false">SUM(L512:L512)-L507+L513</f>
        <v>0</v>
      </c>
      <c r="M508" s="11" t="n">
        <f aca="false">SUM(M512:M512)-M507+M513</f>
        <v>0</v>
      </c>
      <c r="N508" s="11" t="n">
        <f aca="false">SUM(N512:N512)-N507+N513</f>
        <v>0</v>
      </c>
      <c r="O508" s="11" t="n">
        <f aca="false">SUM(O512:O512)-O507+O513</f>
        <v>-49682</v>
      </c>
      <c r="P508" s="11" t="n">
        <f aca="false">SUM(P512:P512)-P507+P513</f>
        <v>5790</v>
      </c>
      <c r="Q508" s="11" t="n">
        <f aca="false">SUM(Q512:Q512)-Q507+Q513</f>
        <v>4990</v>
      </c>
      <c r="R508" s="12" t="n">
        <f aca="false">Q508/$P508</f>
        <v>0.861830742659758</v>
      </c>
      <c r="S508" s="11" t="n">
        <f aca="false">SUM(S512:S512)-S507+S513</f>
        <v>5790</v>
      </c>
      <c r="T508" s="12" t="n">
        <f aca="false">S508/$P508</f>
        <v>1</v>
      </c>
      <c r="U508" s="11" t="n">
        <f aca="false">SUM(U512:U512)-U507+U513</f>
        <v>5790</v>
      </c>
      <c r="V508" s="12" t="n">
        <f aca="false">U508/$P508</f>
        <v>1</v>
      </c>
      <c r="W508" s="11" t="n">
        <f aca="false">SUM(W512:W512)-W507+W513</f>
        <v>5790</v>
      </c>
      <c r="X508" s="12" t="n">
        <f aca="false">W508/$P508</f>
        <v>1</v>
      </c>
      <c r="Y508" s="11" t="n">
        <f aca="false">SUM(Y512:Y512)</f>
        <v>0</v>
      </c>
      <c r="Z508" s="11" t="n">
        <f aca="false">SUM(Z512:Z512)</f>
        <v>0</v>
      </c>
    </row>
    <row r="509" customFormat="false" ht="12.8" hidden="false" customHeight="false" outlineLevel="0" collapsed="false">
      <c r="A509" s="1" t="n">
        <v>8</v>
      </c>
      <c r="B509" s="1" t="n">
        <v>4</v>
      </c>
      <c r="D509" s="18"/>
      <c r="E509" s="19"/>
      <c r="F509" s="14" t="s">
        <v>116</v>
      </c>
      <c r="G509" s="15" t="n">
        <f aca="false">SUM(G508:G508)</f>
        <v>0</v>
      </c>
      <c r="H509" s="15" t="n">
        <f aca="false">SUM(H508:H508)</f>
        <v>1320</v>
      </c>
      <c r="I509" s="15" t="n">
        <f aca="false">SUM(I508:I508)</f>
        <v>54000</v>
      </c>
      <c r="J509" s="15" t="n">
        <f aca="false">SUM(J508:J508)</f>
        <v>8528</v>
      </c>
      <c r="K509" s="15" t="n">
        <f aca="false">SUM(K507:K508)</f>
        <v>943472</v>
      </c>
      <c r="L509" s="15" t="n">
        <f aca="false">SUM(L507:L508)</f>
        <v>0</v>
      </c>
      <c r="M509" s="15" t="n">
        <f aca="false">SUM(M507:M508)</f>
        <v>0</v>
      </c>
      <c r="N509" s="15" t="n">
        <f aca="false">SUM(N507:N508)</f>
        <v>0</v>
      </c>
      <c r="O509" s="15" t="n">
        <f aca="false">SUM(O507:O508)</f>
        <v>-937682</v>
      </c>
      <c r="P509" s="15" t="n">
        <f aca="false">SUM(P507:P508)</f>
        <v>5790</v>
      </c>
      <c r="Q509" s="15" t="n">
        <f aca="false">SUM(Q507:Q508)</f>
        <v>4990</v>
      </c>
      <c r="R509" s="16" t="n">
        <f aca="false">Q509/$P509</f>
        <v>0.861830742659758</v>
      </c>
      <c r="S509" s="15" t="n">
        <f aca="false">SUM(S507:S508)</f>
        <v>5790</v>
      </c>
      <c r="T509" s="16" t="n">
        <f aca="false">S509/$P509</f>
        <v>1</v>
      </c>
      <c r="U509" s="15" t="n">
        <f aca="false">SUM(U507:U508)</f>
        <v>5790</v>
      </c>
      <c r="V509" s="16" t="n">
        <f aca="false">U509/$P509</f>
        <v>1</v>
      </c>
      <c r="W509" s="15" t="n">
        <f aca="false">SUM(W507:W508)</f>
        <v>5790</v>
      </c>
      <c r="X509" s="16" t="n">
        <f aca="false">W509/$P509</f>
        <v>1</v>
      </c>
      <c r="Y509" s="15" t="n">
        <f aca="false">SUM(Y508:Y508)</f>
        <v>0</v>
      </c>
      <c r="Z509" s="15" t="n">
        <f aca="false">SUM(Z508:Z508)</f>
        <v>0</v>
      </c>
    </row>
    <row r="511" customFormat="false" ht="12.8" hidden="false" customHeight="false" outlineLevel="0" collapsed="false">
      <c r="D511" s="1" t="s">
        <v>56</v>
      </c>
    </row>
    <row r="512" customFormat="false" ht="12.8" hidden="false" customHeight="false" outlineLevel="0" collapsed="false">
      <c r="D512" s="33" t="s">
        <v>277</v>
      </c>
      <c r="E512" s="44" t="s">
        <v>96</v>
      </c>
      <c r="F512" s="18"/>
      <c r="G512" s="45"/>
      <c r="H512" s="45" t="n">
        <v>1320</v>
      </c>
      <c r="I512" s="45" t="n">
        <v>54000</v>
      </c>
      <c r="J512" s="45" t="n">
        <v>8528</v>
      </c>
      <c r="K512" s="45" t="n">
        <f aca="false">888000+45472</f>
        <v>933472</v>
      </c>
      <c r="L512" s="45"/>
      <c r="M512" s="45"/>
      <c r="N512" s="45"/>
      <c r="O512" s="45" t="n">
        <f aca="false">-888000-39682</f>
        <v>-927682</v>
      </c>
      <c r="P512" s="45" t="n">
        <f aca="false">K512+SUM(L512:O512)</f>
        <v>5790</v>
      </c>
      <c r="Q512" s="45" t="n">
        <v>4990</v>
      </c>
      <c r="R512" s="46" t="n">
        <f aca="false">Q512/$P512</f>
        <v>0.861830742659758</v>
      </c>
      <c r="S512" s="45" t="n">
        <v>5790</v>
      </c>
      <c r="T512" s="46" t="n">
        <f aca="false">S512/$P512</f>
        <v>1</v>
      </c>
      <c r="U512" s="45" t="n">
        <v>5790</v>
      </c>
      <c r="V512" s="46" t="n">
        <f aca="false">U512/$P512</f>
        <v>1</v>
      </c>
      <c r="W512" s="45" t="n">
        <v>5790</v>
      </c>
      <c r="X512" s="92" t="n">
        <f aca="false">W512/$P512</f>
        <v>1</v>
      </c>
      <c r="Y512" s="45"/>
      <c r="Z512" s="48"/>
    </row>
    <row r="513" customFormat="false" ht="12.8" hidden="false" customHeight="false" outlineLevel="0" collapsed="false">
      <c r="D513" s="33"/>
      <c r="E513" s="57" t="s">
        <v>278</v>
      </c>
      <c r="F513" s="76"/>
      <c r="G513" s="59"/>
      <c r="H513" s="59"/>
      <c r="I513" s="59"/>
      <c r="J513" s="59"/>
      <c r="K513" s="59" t="n">
        <f aca="false">10000</f>
        <v>10000</v>
      </c>
      <c r="L513" s="59"/>
      <c r="M513" s="59"/>
      <c r="N513" s="59"/>
      <c r="O513" s="59" t="n">
        <v>-10000</v>
      </c>
      <c r="P513" s="59" t="n">
        <f aca="false">K513+SUM(L513:O513)</f>
        <v>0</v>
      </c>
      <c r="Q513" s="59" t="n">
        <v>0</v>
      </c>
      <c r="R513" s="60" t="e">
        <f aca="false">Q513/$P513</f>
        <v>#DIV/0!</v>
      </c>
      <c r="S513" s="59" t="n">
        <v>0</v>
      </c>
      <c r="T513" s="60" t="e">
        <f aca="false">S513/$P513</f>
        <v>#DIV/0!</v>
      </c>
      <c r="U513" s="59" t="n">
        <v>0</v>
      </c>
      <c r="V513" s="60" t="e">
        <f aca="false">U513/$P513</f>
        <v>#DIV/0!</v>
      </c>
      <c r="W513" s="59" t="n">
        <v>0</v>
      </c>
      <c r="X513" s="97" t="e">
        <f aca="false">W513/$P513</f>
        <v>#DIV/0!</v>
      </c>
      <c r="Y513" s="59"/>
      <c r="Z513" s="62"/>
    </row>
    <row r="515" customFormat="false" ht="12.8" hidden="false" customHeight="false" outlineLevel="0" collapsed="false">
      <c r="D515" s="31" t="s">
        <v>279</v>
      </c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2"/>
      <c r="S515" s="31"/>
      <c r="T515" s="32"/>
      <c r="U515" s="31"/>
      <c r="V515" s="32"/>
      <c r="W515" s="31"/>
      <c r="X515" s="32"/>
      <c r="Y515" s="31"/>
      <c r="Z515" s="31"/>
    </row>
    <row r="516" customFormat="false" ht="12.8" hidden="false" customHeight="false" outlineLevel="0" collapsed="false">
      <c r="D516" s="135"/>
      <c r="E516" s="7"/>
      <c r="F516" s="7"/>
      <c r="G516" s="7" t="s">
        <v>1</v>
      </c>
      <c r="H516" s="7" t="s">
        <v>2</v>
      </c>
      <c r="I516" s="7" t="s">
        <v>3</v>
      </c>
      <c r="J516" s="7" t="s">
        <v>4</v>
      </c>
      <c r="K516" s="7" t="s">
        <v>5</v>
      </c>
      <c r="L516" s="7" t="s">
        <v>6</v>
      </c>
      <c r="M516" s="7" t="s">
        <v>7</v>
      </c>
      <c r="N516" s="7" t="s">
        <v>8</v>
      </c>
      <c r="O516" s="7" t="s">
        <v>9</v>
      </c>
      <c r="P516" s="7" t="s">
        <v>10</v>
      </c>
      <c r="Q516" s="7" t="s">
        <v>11</v>
      </c>
      <c r="R516" s="8" t="s">
        <v>12</v>
      </c>
      <c r="S516" s="7" t="s">
        <v>13</v>
      </c>
      <c r="T516" s="8" t="s">
        <v>14</v>
      </c>
      <c r="U516" s="7" t="s">
        <v>15</v>
      </c>
      <c r="V516" s="8" t="s">
        <v>16</v>
      </c>
      <c r="W516" s="7" t="s">
        <v>17</v>
      </c>
      <c r="X516" s="8" t="s">
        <v>18</v>
      </c>
      <c r="Y516" s="7" t="s">
        <v>19</v>
      </c>
      <c r="Z516" s="7" t="s">
        <v>20</v>
      </c>
    </row>
    <row r="517" customFormat="false" ht="12.8" hidden="false" customHeight="false" outlineLevel="0" collapsed="false">
      <c r="A517" s="1" t="n">
        <v>8</v>
      </c>
      <c r="B517" s="1" t="n">
        <v>5</v>
      </c>
      <c r="D517" s="33" t="s">
        <v>21</v>
      </c>
      <c r="E517" s="10" t="n">
        <v>111</v>
      </c>
      <c r="F517" s="10" t="s">
        <v>103</v>
      </c>
      <c r="G517" s="11" t="n">
        <v>0</v>
      </c>
      <c r="H517" s="11" t="n">
        <f aca="false">H532</f>
        <v>10000</v>
      </c>
      <c r="I517" s="11" t="n">
        <v>0</v>
      </c>
      <c r="J517" s="11" t="n">
        <v>0</v>
      </c>
      <c r="K517" s="11" t="n">
        <v>0</v>
      </c>
      <c r="L517" s="11"/>
      <c r="M517" s="11"/>
      <c r="N517" s="11"/>
      <c r="O517" s="11"/>
      <c r="P517" s="11" t="n">
        <f aca="false">SUM(K517:O517)</f>
        <v>0</v>
      </c>
      <c r="Q517" s="11" t="n">
        <v>0</v>
      </c>
      <c r="R517" s="12" t="e">
        <f aca="false">Q517/$P517</f>
        <v>#DIV/0!</v>
      </c>
      <c r="S517" s="11" t="n">
        <v>0</v>
      </c>
      <c r="T517" s="12" t="e">
        <f aca="false">S517/$P517</f>
        <v>#DIV/0!</v>
      </c>
      <c r="U517" s="11" t="n">
        <v>0</v>
      </c>
      <c r="V517" s="12" t="e">
        <f aca="false">U517/$P517</f>
        <v>#DIV/0!</v>
      </c>
      <c r="W517" s="11" t="n">
        <v>0</v>
      </c>
      <c r="X517" s="12" t="e">
        <f aca="false">W517/$P517</f>
        <v>#DIV/0!</v>
      </c>
      <c r="Y517" s="11" t="n">
        <f aca="false">Y529</f>
        <v>0</v>
      </c>
      <c r="Z517" s="11" t="n">
        <v>0</v>
      </c>
    </row>
    <row r="518" customFormat="false" ht="12.8" hidden="false" customHeight="false" outlineLevel="0" collapsed="false">
      <c r="A518" s="1" t="n">
        <v>8</v>
      </c>
      <c r="B518" s="1" t="n">
        <v>5</v>
      </c>
      <c r="D518" s="33"/>
      <c r="E518" s="10" t="n">
        <v>41</v>
      </c>
      <c r="F518" s="10" t="s">
        <v>23</v>
      </c>
      <c r="G518" s="11" t="n">
        <f aca="false">G522+G524</f>
        <v>6091.74</v>
      </c>
      <c r="H518" s="11" t="n">
        <f aca="false">H522+H524+H533</f>
        <v>2933.84</v>
      </c>
      <c r="I518" s="11" t="n">
        <f aca="false">SUM(I522:I533)</f>
        <v>119500</v>
      </c>
      <c r="J518" s="11" t="n">
        <f aca="false">SUM(J522:J533)</f>
        <v>107956.32</v>
      </c>
      <c r="K518" s="11" t="n">
        <f aca="false">SUM(K522:K533)</f>
        <v>141000</v>
      </c>
      <c r="L518" s="11" t="n">
        <f aca="false">SUM(L522:L533)</f>
        <v>0</v>
      </c>
      <c r="M518" s="11" t="n">
        <f aca="false">SUM(M522:M533)</f>
        <v>30600</v>
      </c>
      <c r="N518" s="11" t="n">
        <f aca="false">SUM(N522:N533)</f>
        <v>0</v>
      </c>
      <c r="O518" s="11" t="n">
        <f aca="false">SUM(O522:O533)</f>
        <v>111194</v>
      </c>
      <c r="P518" s="11" t="n">
        <f aca="false">SUM(P522:P533)</f>
        <v>282794</v>
      </c>
      <c r="Q518" s="11" t="n">
        <f aca="false">SUM(Q522:Q533)</f>
        <v>694</v>
      </c>
      <c r="R518" s="12" t="n">
        <f aca="false">Q518/$P518</f>
        <v>0.00245408318422597</v>
      </c>
      <c r="S518" s="11" t="n">
        <f aca="false">SUM(S522:S533)</f>
        <v>23905.26</v>
      </c>
      <c r="T518" s="12" t="n">
        <f aca="false">S518/$P518</f>
        <v>0.0845324158221179</v>
      </c>
      <c r="U518" s="11" t="n">
        <f aca="false">SUM(U522:U533)</f>
        <v>72644.67</v>
      </c>
      <c r="V518" s="12" t="n">
        <f aca="false">U518/$P518</f>
        <v>0.256881935260295</v>
      </c>
      <c r="W518" s="11" t="n">
        <f aca="false">SUM(W522:W533)</f>
        <v>103975.49</v>
      </c>
      <c r="X518" s="12" t="n">
        <f aca="false">W518/$P518</f>
        <v>0.367672192479331</v>
      </c>
      <c r="Y518" s="11" t="n">
        <f aca="false">SUM(Y522:Y533)</f>
        <v>274959</v>
      </c>
      <c r="Z518" s="11" t="n">
        <f aca="false">SUM(Z522:Z533)</f>
        <v>0</v>
      </c>
    </row>
    <row r="519" customFormat="false" ht="12.8" hidden="false" customHeight="false" outlineLevel="0" collapsed="false">
      <c r="D519" s="18"/>
      <c r="E519" s="19"/>
      <c r="F519" s="14" t="s">
        <v>116</v>
      </c>
      <c r="G519" s="15" t="n">
        <f aca="false">SUM(G517:G518)</f>
        <v>6091.74</v>
      </c>
      <c r="H519" s="15" t="n">
        <f aca="false">SUM(H517:H518)</f>
        <v>12933.84</v>
      </c>
      <c r="I519" s="15" t="n">
        <f aca="false">SUM(I517:I518)</f>
        <v>119500</v>
      </c>
      <c r="J519" s="15" t="n">
        <f aca="false">SUM(J517:J518)</f>
        <v>107956.32</v>
      </c>
      <c r="K519" s="15" t="n">
        <f aca="false">SUM(K517:K518)</f>
        <v>141000</v>
      </c>
      <c r="L519" s="15" t="n">
        <f aca="false">SUM(L517:L518)</f>
        <v>0</v>
      </c>
      <c r="M519" s="15" t="n">
        <f aca="false">SUM(M517:M518)</f>
        <v>30600</v>
      </c>
      <c r="N519" s="15" t="n">
        <f aca="false">SUM(N517:N518)</f>
        <v>0</v>
      </c>
      <c r="O519" s="15" t="n">
        <f aca="false">SUM(O517:O518)</f>
        <v>111194</v>
      </c>
      <c r="P519" s="15" t="n">
        <f aca="false">SUM(P517:P518)</f>
        <v>282794</v>
      </c>
      <c r="Q519" s="15" t="n">
        <f aca="false">SUM(Q517:Q518)</f>
        <v>694</v>
      </c>
      <c r="R519" s="16" t="n">
        <f aca="false">Q519/$P519</f>
        <v>0.00245408318422597</v>
      </c>
      <c r="S519" s="15" t="n">
        <f aca="false">SUM(S517:S518)</f>
        <v>23905.26</v>
      </c>
      <c r="T519" s="16" t="n">
        <f aca="false">S519/$P519</f>
        <v>0.0845324158221179</v>
      </c>
      <c r="U519" s="15" t="n">
        <f aca="false">SUM(U517:U518)</f>
        <v>72644.67</v>
      </c>
      <c r="V519" s="16" t="n">
        <f aca="false">U519/$P519</f>
        <v>0.256881935260295</v>
      </c>
      <c r="W519" s="15" t="n">
        <f aca="false">SUM(W517:W518)</f>
        <v>103975.49</v>
      </c>
      <c r="X519" s="16" t="n">
        <f aca="false">W519/$P519</f>
        <v>0.367672192479331</v>
      </c>
      <c r="Y519" s="15" t="n">
        <f aca="false">SUM(Y517:Y518)</f>
        <v>274959</v>
      </c>
      <c r="Z519" s="15" t="n">
        <f aca="false">SUM(Z517:Z518)</f>
        <v>0</v>
      </c>
    </row>
    <row r="521" customFormat="false" ht="12.8" hidden="false" customHeight="false" outlineLevel="0" collapsed="false">
      <c r="D521" s="1" t="s">
        <v>56</v>
      </c>
    </row>
    <row r="522" customFormat="false" ht="12.8" hidden="false" customHeight="false" outlineLevel="0" collapsed="false">
      <c r="D522" s="33" t="s">
        <v>280</v>
      </c>
      <c r="E522" s="44" t="s">
        <v>281</v>
      </c>
      <c r="F522" s="18"/>
      <c r="G522" s="45" t="n">
        <v>2277.84</v>
      </c>
      <c r="H522" s="45" t="n">
        <v>0</v>
      </c>
      <c r="I522" s="45" t="n">
        <v>33000</v>
      </c>
      <c r="J522" s="45" t="n">
        <v>28371.62</v>
      </c>
      <c r="K522" s="45" t="n">
        <v>70000</v>
      </c>
      <c r="L522" s="45"/>
      <c r="M522" s="45"/>
      <c r="N522" s="45"/>
      <c r="O522" s="45" t="n">
        <v>92371</v>
      </c>
      <c r="P522" s="45" t="n">
        <f aca="false">K522+SUM(L522:O522)</f>
        <v>162371</v>
      </c>
      <c r="Q522" s="45" t="n">
        <v>0</v>
      </c>
      <c r="R522" s="46" t="n">
        <f aca="false">Q522/$P522</f>
        <v>0</v>
      </c>
      <c r="S522" s="45" t="n">
        <v>0</v>
      </c>
      <c r="T522" s="46" t="n">
        <f aca="false">S522/$P522</f>
        <v>0</v>
      </c>
      <c r="U522" s="45" t="n">
        <v>12370.62</v>
      </c>
      <c r="V522" s="46" t="n">
        <f aca="false">U522/$P522</f>
        <v>0.0761873733610066</v>
      </c>
      <c r="W522" s="45" t="n">
        <v>12370.62</v>
      </c>
      <c r="X522" s="92" t="n">
        <f aca="false">W522/$P522</f>
        <v>0.0761873733610066</v>
      </c>
      <c r="Y522" s="45"/>
      <c r="Z522" s="48"/>
    </row>
    <row r="523" customFormat="false" ht="12.8" hidden="false" customHeight="false" outlineLevel="0" collapsed="false">
      <c r="D523" s="33"/>
      <c r="E523" s="57" t="s">
        <v>282</v>
      </c>
      <c r="F523" s="76"/>
      <c r="G523" s="59"/>
      <c r="H523" s="59"/>
      <c r="I523" s="59"/>
      <c r="J523" s="59"/>
      <c r="K523" s="59"/>
      <c r="L523" s="59"/>
      <c r="M523" s="59"/>
      <c r="N523" s="59"/>
      <c r="O523" s="59"/>
      <c r="P523" s="59" t="n">
        <f aca="false">K523+SUM(L523:O523)</f>
        <v>0</v>
      </c>
      <c r="Q523" s="59" t="n">
        <v>0</v>
      </c>
      <c r="R523" s="60" t="e">
        <f aca="false">Q523/$P523</f>
        <v>#DIV/0!</v>
      </c>
      <c r="S523" s="59" t="n">
        <v>0</v>
      </c>
      <c r="T523" s="60" t="e">
        <f aca="false">S523/$P523</f>
        <v>#DIV/0!</v>
      </c>
      <c r="U523" s="59"/>
      <c r="V523" s="60" t="e">
        <f aca="false">U523/$P523</f>
        <v>#DIV/0!</v>
      </c>
      <c r="W523" s="59"/>
      <c r="X523" s="97" t="e">
        <f aca="false">W523/$P523</f>
        <v>#DIV/0!</v>
      </c>
      <c r="Y523" s="59"/>
      <c r="Z523" s="62"/>
    </row>
    <row r="524" customFormat="false" ht="12.8" hidden="false" customHeight="false" outlineLevel="0" collapsed="false">
      <c r="D524" s="33" t="s">
        <v>283</v>
      </c>
      <c r="E524" s="44" t="s">
        <v>284</v>
      </c>
      <c r="F524" s="18"/>
      <c r="G524" s="45" t="n">
        <v>3813.9</v>
      </c>
      <c r="H524" s="45"/>
      <c r="I524" s="45" t="n">
        <v>5000</v>
      </c>
      <c r="J524" s="45" t="n">
        <v>1000</v>
      </c>
      <c r="K524" s="45" t="n">
        <v>1000</v>
      </c>
      <c r="L524" s="45"/>
      <c r="M524" s="45" t="n">
        <v>830</v>
      </c>
      <c r="N524" s="45"/>
      <c r="O524" s="45"/>
      <c r="P524" s="45" t="n">
        <f aca="false">K524+SUM(L524:O524)</f>
        <v>1830</v>
      </c>
      <c r="Q524" s="45" t="n">
        <v>550</v>
      </c>
      <c r="R524" s="46" t="n">
        <f aca="false">Q524/$P524</f>
        <v>0.300546448087432</v>
      </c>
      <c r="S524" s="45" t="n">
        <v>1830</v>
      </c>
      <c r="T524" s="46" t="n">
        <f aca="false">S524/$P524</f>
        <v>1</v>
      </c>
      <c r="U524" s="45" t="n">
        <v>1830</v>
      </c>
      <c r="V524" s="46" t="n">
        <f aca="false">U524/$P524</f>
        <v>1</v>
      </c>
      <c r="W524" s="45" t="n">
        <v>1830</v>
      </c>
      <c r="X524" s="92" t="n">
        <f aca="false">W524/$P524</f>
        <v>1</v>
      </c>
      <c r="Y524" s="45"/>
      <c r="Z524" s="48"/>
    </row>
    <row r="525" customFormat="false" ht="12.8" hidden="false" customHeight="false" outlineLevel="0" collapsed="false">
      <c r="D525" s="33"/>
      <c r="E525" s="49" t="s">
        <v>285</v>
      </c>
      <c r="F525" s="94"/>
      <c r="G525" s="95"/>
      <c r="H525" s="95" t="n">
        <v>4854.73</v>
      </c>
      <c r="I525" s="95" t="n">
        <v>25000</v>
      </c>
      <c r="J525" s="95" t="n">
        <v>33005.1</v>
      </c>
      <c r="K525" s="95" t="n">
        <v>30000</v>
      </c>
      <c r="L525" s="95"/>
      <c r="M525" s="95"/>
      <c r="N525" s="95"/>
      <c r="O525" s="95"/>
      <c r="P525" s="95" t="n">
        <f aca="false">K525+SUM(L525:O525)</f>
        <v>30000</v>
      </c>
      <c r="Q525" s="95" t="n">
        <v>0</v>
      </c>
      <c r="R525" s="96" t="n">
        <f aca="false">Q525/$P525</f>
        <v>0</v>
      </c>
      <c r="S525" s="95" t="n">
        <v>19201.86</v>
      </c>
      <c r="T525" s="96" t="n">
        <f aca="false">S525/$P525</f>
        <v>0.640062</v>
      </c>
      <c r="U525" s="95" t="n">
        <v>28599.51</v>
      </c>
      <c r="V525" s="96" t="n">
        <f aca="false">U525/$P525</f>
        <v>0.953317</v>
      </c>
      <c r="W525" s="95" t="n">
        <v>29510.33</v>
      </c>
      <c r="X525" s="93" t="n">
        <f aca="false">W525/$P525</f>
        <v>0.983677666666667</v>
      </c>
      <c r="Y525" s="95"/>
      <c r="Z525" s="53"/>
    </row>
    <row r="526" customFormat="false" ht="12.8" hidden="false" customHeight="false" outlineLevel="0" collapsed="false">
      <c r="D526" s="33"/>
      <c r="E526" s="49" t="s">
        <v>286</v>
      </c>
      <c r="F526" s="94"/>
      <c r="G526" s="95"/>
      <c r="H526" s="95"/>
      <c r="I526" s="95"/>
      <c r="J526" s="95"/>
      <c r="K526" s="95" t="n">
        <v>30000</v>
      </c>
      <c r="L526" s="95"/>
      <c r="M526" s="95" t="n">
        <v>-830</v>
      </c>
      <c r="N526" s="95"/>
      <c r="O526" s="95"/>
      <c r="P526" s="95" t="n">
        <f aca="false">K526+SUM(L526:O526)</f>
        <v>29170</v>
      </c>
      <c r="Q526" s="95" t="n">
        <v>0</v>
      </c>
      <c r="R526" s="96" t="n">
        <f aca="false">Q526/$P526</f>
        <v>0</v>
      </c>
      <c r="S526" s="95" t="n">
        <v>0</v>
      </c>
      <c r="T526" s="96" t="n">
        <f aca="false">S526/$P526</f>
        <v>0</v>
      </c>
      <c r="U526" s="95" t="n">
        <v>26971.14</v>
      </c>
      <c r="V526" s="96" t="n">
        <f aca="false">U526/$P526</f>
        <v>0.924619129242372</v>
      </c>
      <c r="W526" s="95" t="n">
        <v>26971.14</v>
      </c>
      <c r="X526" s="93" t="n">
        <f aca="false">W526/$P526</f>
        <v>0.924619129242372</v>
      </c>
      <c r="Y526" s="95"/>
      <c r="Z526" s="53"/>
    </row>
    <row r="527" customFormat="false" ht="12.8" hidden="false" customHeight="false" outlineLevel="0" collapsed="false">
      <c r="D527" s="33"/>
      <c r="E527" s="57" t="s">
        <v>287</v>
      </c>
      <c r="F527" s="76"/>
      <c r="G527" s="59"/>
      <c r="H527" s="59"/>
      <c r="I527" s="59"/>
      <c r="J527" s="59"/>
      <c r="K527" s="59" t="n">
        <v>0</v>
      </c>
      <c r="L527" s="59"/>
      <c r="M527" s="59" t="n">
        <v>30000</v>
      </c>
      <c r="N527" s="59"/>
      <c r="O527" s="59" t="n">
        <v>18823</v>
      </c>
      <c r="P527" s="59" t="n">
        <f aca="false">K527+SUM(L527:O527)</f>
        <v>48823</v>
      </c>
      <c r="Q527" s="59" t="n">
        <v>0</v>
      </c>
      <c r="R527" s="60" t="n">
        <f aca="false">Q527/$P527</f>
        <v>0</v>
      </c>
      <c r="S527" s="59" t="n">
        <v>0</v>
      </c>
      <c r="T527" s="60" t="n">
        <f aca="false">S527/$P527</f>
        <v>0</v>
      </c>
      <c r="U527" s="59" t="n">
        <v>0</v>
      </c>
      <c r="V527" s="60" t="n">
        <f aca="false">U527/$P527</f>
        <v>0</v>
      </c>
      <c r="W527" s="59" t="n">
        <v>30000</v>
      </c>
      <c r="X527" s="97" t="n">
        <f aca="false">W527/$P527</f>
        <v>0.61446449419331</v>
      </c>
      <c r="Y527" s="59"/>
      <c r="Z527" s="62"/>
    </row>
    <row r="528" customFormat="false" ht="12.8" hidden="false" customHeight="false" outlineLevel="0" collapsed="false">
      <c r="D528" s="33"/>
      <c r="E528" s="44" t="s">
        <v>288</v>
      </c>
      <c r="F528" s="18"/>
      <c r="G528" s="45"/>
      <c r="H528" s="45"/>
      <c r="I528" s="45" t="n">
        <v>56500</v>
      </c>
      <c r="J528" s="45" t="n">
        <v>45579.6</v>
      </c>
      <c r="K528" s="45" t="n">
        <v>10000</v>
      </c>
      <c r="L528" s="45"/>
      <c r="M528" s="45"/>
      <c r="N528" s="45"/>
      <c r="O528" s="45"/>
      <c r="P528" s="45" t="n">
        <f aca="false">K528+SUM(L528:O528)</f>
        <v>10000</v>
      </c>
      <c r="Q528" s="45" t="n">
        <v>144</v>
      </c>
      <c r="R528" s="46" t="n">
        <f aca="false">Q528/$P528</f>
        <v>0.0144</v>
      </c>
      <c r="S528" s="45" t="n">
        <v>2273.4</v>
      </c>
      <c r="T528" s="46" t="n">
        <f aca="false">S528/$P528</f>
        <v>0.22734</v>
      </c>
      <c r="U528" s="45" t="n">
        <v>2273.4</v>
      </c>
      <c r="V528" s="46" t="n">
        <f aca="false">U528/$P528</f>
        <v>0.22734</v>
      </c>
      <c r="W528" s="45" t="n">
        <v>2693.4</v>
      </c>
      <c r="X528" s="92" t="n">
        <f aca="false">W528/$P528</f>
        <v>0.26934</v>
      </c>
      <c r="Y528" s="45"/>
      <c r="Z528" s="48"/>
    </row>
    <row r="529" customFormat="false" ht="12.8" hidden="false" customHeight="false" outlineLevel="0" collapsed="false">
      <c r="D529" s="33"/>
      <c r="E529" s="49" t="s">
        <v>289</v>
      </c>
      <c r="F529" s="94"/>
      <c r="G529" s="95"/>
      <c r="H529" s="95"/>
      <c r="I529" s="95"/>
      <c r="J529" s="95"/>
      <c r="K529" s="95"/>
      <c r="L529" s="95"/>
      <c r="M529" s="95"/>
      <c r="N529" s="95"/>
      <c r="O529" s="95"/>
      <c r="P529" s="95" t="n">
        <f aca="false">K529+SUM(L529:O529)</f>
        <v>0</v>
      </c>
      <c r="Q529" s="95" t="n">
        <v>0</v>
      </c>
      <c r="R529" s="96" t="e">
        <f aca="false">Q529/$P529</f>
        <v>#DIV/0!</v>
      </c>
      <c r="S529" s="95" t="n">
        <v>0</v>
      </c>
      <c r="T529" s="96" t="e">
        <f aca="false">S529/$P529</f>
        <v>#DIV/0!</v>
      </c>
      <c r="U529" s="95" t="n">
        <v>0</v>
      </c>
      <c r="V529" s="96" t="e">
        <f aca="false">U529/$P529</f>
        <v>#DIV/0!</v>
      </c>
      <c r="W529" s="95" t="n">
        <v>0</v>
      </c>
      <c r="X529" s="93" t="e">
        <f aca="false">W529/$P529</f>
        <v>#DIV/0!</v>
      </c>
      <c r="Y529" s="95"/>
      <c r="Z529" s="53"/>
    </row>
    <row r="530" customFormat="false" ht="12.8" hidden="false" customHeight="false" outlineLevel="0" collapsed="false">
      <c r="D530" s="33"/>
      <c r="E530" s="57" t="s">
        <v>290</v>
      </c>
      <c r="F530" s="76"/>
      <c r="G530" s="59"/>
      <c r="H530" s="59"/>
      <c r="I530" s="59"/>
      <c r="J530" s="59"/>
      <c r="K530" s="59"/>
      <c r="L530" s="59"/>
      <c r="M530" s="59"/>
      <c r="N530" s="59"/>
      <c r="O530" s="59"/>
      <c r="P530" s="59" t="n">
        <f aca="false">K530+SUM(L530:O530)</f>
        <v>0</v>
      </c>
      <c r="Q530" s="59" t="n">
        <v>0</v>
      </c>
      <c r="R530" s="60" t="e">
        <f aca="false">Q530/$P530</f>
        <v>#DIV/0!</v>
      </c>
      <c r="S530" s="59" t="n">
        <v>0</v>
      </c>
      <c r="T530" s="60" t="e">
        <f aca="false">S530/$P530</f>
        <v>#DIV/0!</v>
      </c>
      <c r="U530" s="59" t="n">
        <v>0</v>
      </c>
      <c r="V530" s="60" t="e">
        <f aca="false">U530/$P530</f>
        <v>#DIV/0!</v>
      </c>
      <c r="W530" s="59" t="n">
        <v>0</v>
      </c>
      <c r="X530" s="97" t="e">
        <f aca="false">W530/$P530</f>
        <v>#DIV/0!</v>
      </c>
      <c r="Y530" s="59" t="n">
        <v>274959</v>
      </c>
      <c r="Z530" s="62"/>
    </row>
    <row r="531" customFormat="false" ht="12.8" hidden="false" customHeight="false" outlineLevel="0" collapsed="false">
      <c r="D531" s="142" t="s">
        <v>291</v>
      </c>
      <c r="E531" s="80" t="s">
        <v>292</v>
      </c>
      <c r="F531" s="81"/>
      <c r="G531" s="82"/>
      <c r="H531" s="82"/>
      <c r="I531" s="82"/>
      <c r="J531" s="82"/>
      <c r="K531" s="82" t="n">
        <v>0</v>
      </c>
      <c r="L531" s="82"/>
      <c r="M531" s="82" t="n">
        <v>600</v>
      </c>
      <c r="N531" s="82"/>
      <c r="O531" s="82"/>
      <c r="P531" s="82" t="n">
        <f aca="false">K531+SUM(L531:O531)</f>
        <v>600</v>
      </c>
      <c r="Q531" s="82" t="n">
        <v>0</v>
      </c>
      <c r="R531" s="83" t="n">
        <f aca="false">Q531/$P531</f>
        <v>0</v>
      </c>
      <c r="S531" s="82" t="n">
        <v>600</v>
      </c>
      <c r="T531" s="83" t="n">
        <f aca="false">S531/$P531</f>
        <v>1</v>
      </c>
      <c r="U531" s="82" t="n">
        <v>600</v>
      </c>
      <c r="V531" s="83" t="n">
        <f aca="false">U531/$P531</f>
        <v>1</v>
      </c>
      <c r="W531" s="82" t="n">
        <v>600</v>
      </c>
      <c r="X531" s="115" t="n">
        <f aca="false">W531/$P531</f>
        <v>1</v>
      </c>
      <c r="Y531" s="82"/>
      <c r="Z531" s="84"/>
    </row>
    <row r="532" customFormat="false" ht="12.8" hidden="true" customHeight="false" outlineLevel="0" collapsed="false">
      <c r="D532" s="33" t="s">
        <v>293</v>
      </c>
      <c r="E532" s="80" t="s">
        <v>294</v>
      </c>
      <c r="F532" s="81"/>
      <c r="G532" s="82"/>
      <c r="H532" s="82" t="n">
        <v>10000</v>
      </c>
      <c r="I532" s="82"/>
      <c r="J532" s="82"/>
      <c r="K532" s="82"/>
      <c r="L532" s="82"/>
      <c r="M532" s="82"/>
      <c r="N532" s="82"/>
      <c r="O532" s="82"/>
      <c r="P532" s="82" t="n">
        <f aca="false">K532+SUM(L532:O532)</f>
        <v>0</v>
      </c>
      <c r="Q532" s="82" t="n">
        <v>0</v>
      </c>
      <c r="R532" s="83" t="e">
        <f aca="false">Q532/$P532</f>
        <v>#DIV/0!</v>
      </c>
      <c r="S532" s="82"/>
      <c r="T532" s="83" t="e">
        <f aca="false">S532/$P532</f>
        <v>#DIV/0!</v>
      </c>
      <c r="U532" s="82"/>
      <c r="V532" s="83" t="e">
        <f aca="false">U532/$P532</f>
        <v>#DIV/0!</v>
      </c>
      <c r="W532" s="82"/>
      <c r="X532" s="115" t="e">
        <f aca="false">W532/$P532</f>
        <v>#DIV/0!</v>
      </c>
      <c r="Y532" s="82"/>
      <c r="Z532" s="84"/>
    </row>
    <row r="533" customFormat="false" ht="12.8" hidden="true" customHeight="false" outlineLevel="0" collapsed="false">
      <c r="D533" s="33"/>
      <c r="E533" s="143" t="s">
        <v>295</v>
      </c>
      <c r="F533" s="81"/>
      <c r="G533" s="81"/>
      <c r="H533" s="81" t="n">
        <v>2933.84</v>
      </c>
      <c r="I533" s="81"/>
      <c r="J533" s="81"/>
      <c r="K533" s="81"/>
      <c r="L533" s="81"/>
      <c r="M533" s="81"/>
      <c r="N533" s="81"/>
      <c r="O533" s="81"/>
      <c r="P533" s="82" t="n">
        <f aca="false">K533+SUM(L533:O533)</f>
        <v>0</v>
      </c>
      <c r="Q533" s="82" t="n">
        <v>0</v>
      </c>
      <c r="R533" s="83" t="e">
        <f aca="false">Q533/$P533</f>
        <v>#DIV/0!</v>
      </c>
      <c r="S533" s="81"/>
      <c r="T533" s="83" t="e">
        <f aca="false">S533/$P533</f>
        <v>#DIV/0!</v>
      </c>
      <c r="U533" s="81"/>
      <c r="V533" s="83" t="e">
        <f aca="false">U533/$P533</f>
        <v>#DIV/0!</v>
      </c>
      <c r="W533" s="81"/>
      <c r="X533" s="115" t="e">
        <f aca="false">W533/$P533</f>
        <v>#DIV/0!</v>
      </c>
      <c r="Y533" s="81"/>
      <c r="Z533" s="144"/>
    </row>
    <row r="535" customFormat="false" ht="12.8" hidden="false" customHeight="false" outlineLevel="0" collapsed="false">
      <c r="D535" s="31" t="s">
        <v>296</v>
      </c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2"/>
      <c r="S535" s="31"/>
      <c r="T535" s="32"/>
      <c r="U535" s="31"/>
      <c r="V535" s="32"/>
      <c r="W535" s="31"/>
      <c r="X535" s="32"/>
      <c r="Y535" s="31"/>
      <c r="Z535" s="31"/>
    </row>
    <row r="536" customFormat="false" ht="12.8" hidden="false" customHeight="false" outlineLevel="0" collapsed="false">
      <c r="D536" s="135"/>
      <c r="E536" s="7"/>
      <c r="F536" s="7"/>
      <c r="G536" s="7" t="s">
        <v>1</v>
      </c>
      <c r="H536" s="7" t="s">
        <v>2</v>
      </c>
      <c r="I536" s="7" t="s">
        <v>3</v>
      </c>
      <c r="J536" s="7" t="s">
        <v>4</v>
      </c>
      <c r="K536" s="7" t="s">
        <v>5</v>
      </c>
      <c r="L536" s="7" t="s">
        <v>6</v>
      </c>
      <c r="M536" s="7" t="s">
        <v>7</v>
      </c>
      <c r="N536" s="7" t="s">
        <v>8</v>
      </c>
      <c r="O536" s="7" t="s">
        <v>9</v>
      </c>
      <c r="P536" s="7" t="s">
        <v>10</v>
      </c>
      <c r="Q536" s="7" t="s">
        <v>11</v>
      </c>
      <c r="R536" s="8" t="s">
        <v>12</v>
      </c>
      <c r="S536" s="7" t="s">
        <v>13</v>
      </c>
      <c r="T536" s="8" t="s">
        <v>14</v>
      </c>
      <c r="U536" s="7" t="s">
        <v>15</v>
      </c>
      <c r="V536" s="8" t="s">
        <v>16</v>
      </c>
      <c r="W536" s="7" t="s">
        <v>17</v>
      </c>
      <c r="X536" s="8" t="s">
        <v>18</v>
      </c>
      <c r="Y536" s="7" t="s">
        <v>19</v>
      </c>
      <c r="Z536" s="7" t="s">
        <v>20</v>
      </c>
    </row>
    <row r="537" customFormat="false" ht="12.8" hidden="false" customHeight="false" outlineLevel="0" collapsed="false">
      <c r="A537" s="1" t="n">
        <v>8</v>
      </c>
      <c r="B537" s="1" t="n">
        <v>6</v>
      </c>
      <c r="D537" s="136" t="s">
        <v>21</v>
      </c>
      <c r="E537" s="10" t="n">
        <v>41</v>
      </c>
      <c r="F537" s="10" t="s">
        <v>23</v>
      </c>
      <c r="G537" s="11" t="n">
        <f aca="false">SUM(G541:G541)</f>
        <v>0</v>
      </c>
      <c r="H537" s="11" t="n">
        <f aca="false">SUM(H541:H541)</f>
        <v>400</v>
      </c>
      <c r="I537" s="11" t="n">
        <f aca="false">SUM(I541:I544)</f>
        <v>31000</v>
      </c>
      <c r="J537" s="11" t="n">
        <f aca="false">SUM(J541:J544)</f>
        <v>0</v>
      </c>
      <c r="K537" s="11" t="n">
        <f aca="false">SUM(K541:K544)</f>
        <v>55000</v>
      </c>
      <c r="L537" s="11" t="n">
        <f aca="false">SUM(L541:L544)</f>
        <v>0</v>
      </c>
      <c r="M537" s="11" t="n">
        <f aca="false">SUM(M541:M544)</f>
        <v>0</v>
      </c>
      <c r="N537" s="11" t="n">
        <f aca="false">SUM(N541:N544)</f>
        <v>0</v>
      </c>
      <c r="O537" s="11" t="n">
        <f aca="false">SUM(O541:O544)</f>
        <v>-30000</v>
      </c>
      <c r="P537" s="11" t="n">
        <f aca="false">SUM(P541:P544)</f>
        <v>25000</v>
      </c>
      <c r="Q537" s="11" t="n">
        <f aca="false">SUM(Q541:Q544)</f>
        <v>0</v>
      </c>
      <c r="R537" s="12" t="n">
        <f aca="false">Q537/$P537</f>
        <v>0</v>
      </c>
      <c r="S537" s="11" t="n">
        <f aca="false">SUM(S541:S544)</f>
        <v>0</v>
      </c>
      <c r="T537" s="12" t="n">
        <f aca="false">S537/$P537</f>
        <v>0</v>
      </c>
      <c r="U537" s="11" t="n">
        <f aca="false">SUM(U541:U544)</f>
        <v>0</v>
      </c>
      <c r="V537" s="12" t="n">
        <f aca="false">U537/$P537</f>
        <v>0</v>
      </c>
      <c r="W537" s="11" t="n">
        <f aca="false">SUM(W541:W544)</f>
        <v>4950</v>
      </c>
      <c r="X537" s="12" t="n">
        <f aca="false">W537/$P537</f>
        <v>0.198</v>
      </c>
      <c r="Y537" s="11" t="n">
        <f aca="false">SUM(Y541:Y541)</f>
        <v>0</v>
      </c>
      <c r="Z537" s="11" t="n">
        <f aca="false">SUM(Z541:Z541)</f>
        <v>0</v>
      </c>
    </row>
    <row r="538" customFormat="false" ht="12.8" hidden="false" customHeight="false" outlineLevel="0" collapsed="false">
      <c r="A538" s="1" t="n">
        <v>8</v>
      </c>
      <c r="B538" s="1" t="n">
        <v>6</v>
      </c>
      <c r="D538" s="18"/>
      <c r="E538" s="19"/>
      <c r="F538" s="14" t="s">
        <v>116</v>
      </c>
      <c r="G538" s="15" t="n">
        <f aca="false">SUM(G537:G537)</f>
        <v>0</v>
      </c>
      <c r="H538" s="15" t="n">
        <f aca="false">SUM(H537:H537)</f>
        <v>400</v>
      </c>
      <c r="I538" s="15" t="n">
        <f aca="false">SUM(I537:I537)</f>
        <v>31000</v>
      </c>
      <c r="J538" s="15" t="n">
        <f aca="false">SUM(J537:J537)</f>
        <v>0</v>
      </c>
      <c r="K538" s="15" t="n">
        <f aca="false">SUM(K537:K537)</f>
        <v>55000</v>
      </c>
      <c r="L538" s="15" t="n">
        <f aca="false">SUM(L537:L537)</f>
        <v>0</v>
      </c>
      <c r="M538" s="15" t="n">
        <f aca="false">SUM(M537:M537)</f>
        <v>0</v>
      </c>
      <c r="N538" s="15" t="n">
        <f aca="false">SUM(N537:N537)</f>
        <v>0</v>
      </c>
      <c r="O538" s="15" t="n">
        <f aca="false">SUM(O537:O537)</f>
        <v>-30000</v>
      </c>
      <c r="P538" s="15" t="n">
        <f aca="false">SUM(P537:P537)</f>
        <v>25000</v>
      </c>
      <c r="Q538" s="15" t="n">
        <f aca="false">SUM(Q537:Q537)</f>
        <v>0</v>
      </c>
      <c r="R538" s="16" t="n">
        <f aca="false">Q538/$P538</f>
        <v>0</v>
      </c>
      <c r="S538" s="15" t="n">
        <f aca="false">SUM(S537:S537)</f>
        <v>0</v>
      </c>
      <c r="T538" s="16" t="n">
        <f aca="false">S538/$P538</f>
        <v>0</v>
      </c>
      <c r="U538" s="15" t="n">
        <f aca="false">SUM(U537:U537)</f>
        <v>0</v>
      </c>
      <c r="V538" s="16" t="n">
        <f aca="false">U538/$P538</f>
        <v>0</v>
      </c>
      <c r="W538" s="15" t="n">
        <f aca="false">SUM(W537:W537)</f>
        <v>4950</v>
      </c>
      <c r="X538" s="16" t="n">
        <f aca="false">W538/$P538</f>
        <v>0.198</v>
      </c>
      <c r="Y538" s="15" t="n">
        <f aca="false">SUM(Y537:Y537)</f>
        <v>0</v>
      </c>
      <c r="Z538" s="15" t="n">
        <f aca="false">SUM(Z537:Z537)</f>
        <v>0</v>
      </c>
    </row>
    <row r="540" customFormat="false" ht="12.8" hidden="false" customHeight="false" outlineLevel="0" collapsed="false">
      <c r="D540" s="1" t="s">
        <v>56</v>
      </c>
    </row>
    <row r="541" customFormat="false" ht="12.8" hidden="false" customHeight="false" outlineLevel="0" collapsed="false">
      <c r="D541" s="33" t="s">
        <v>297</v>
      </c>
      <c r="E541" s="44" t="s">
        <v>298</v>
      </c>
      <c r="F541" s="18"/>
      <c r="G541" s="45"/>
      <c r="H541" s="45" t="n">
        <v>400</v>
      </c>
      <c r="I541" s="45" t="n">
        <v>1000</v>
      </c>
      <c r="J541" s="45" t="n">
        <v>0</v>
      </c>
      <c r="K541" s="45" t="n">
        <v>5000</v>
      </c>
      <c r="L541" s="45"/>
      <c r="M541" s="45"/>
      <c r="N541" s="45"/>
      <c r="O541" s="45"/>
      <c r="P541" s="45" t="n">
        <f aca="false">K541+SUM(L541:O541)</f>
        <v>5000</v>
      </c>
      <c r="Q541" s="45" t="n">
        <v>0</v>
      </c>
      <c r="R541" s="46" t="n">
        <f aca="false">Q541/$P541</f>
        <v>0</v>
      </c>
      <c r="S541" s="45" t="n">
        <v>0</v>
      </c>
      <c r="T541" s="46" t="n">
        <f aca="false">S541/$P541</f>
        <v>0</v>
      </c>
      <c r="U541" s="45" t="n">
        <v>0</v>
      </c>
      <c r="V541" s="46" t="n">
        <f aca="false">U541/$P541</f>
        <v>0</v>
      </c>
      <c r="W541" s="45" t="n">
        <v>4950</v>
      </c>
      <c r="X541" s="92" t="n">
        <f aca="false">W541/$P541</f>
        <v>0.99</v>
      </c>
      <c r="Y541" s="45"/>
      <c r="Z541" s="48"/>
    </row>
    <row r="542" customFormat="false" ht="12.8" hidden="false" customHeight="false" outlineLevel="0" collapsed="false">
      <c r="D542" s="33"/>
      <c r="E542" s="49" t="s">
        <v>299</v>
      </c>
      <c r="F542" s="94"/>
      <c r="G542" s="95"/>
      <c r="H542" s="95"/>
      <c r="I542" s="95"/>
      <c r="J542" s="95"/>
      <c r="K542" s="95" t="n">
        <v>20000</v>
      </c>
      <c r="L542" s="95"/>
      <c r="M542" s="95"/>
      <c r="N542" s="95"/>
      <c r="O542" s="95"/>
      <c r="P542" s="95" t="n">
        <f aca="false">K542+SUM(L542:O542)</f>
        <v>20000</v>
      </c>
      <c r="Q542" s="95" t="n">
        <v>0</v>
      </c>
      <c r="R542" s="96" t="n">
        <f aca="false">Q542/$P542</f>
        <v>0</v>
      </c>
      <c r="S542" s="95" t="n">
        <v>0</v>
      </c>
      <c r="T542" s="96" t="n">
        <f aca="false">S542/$P542</f>
        <v>0</v>
      </c>
      <c r="U542" s="95" t="n">
        <v>0</v>
      </c>
      <c r="V542" s="96" t="n">
        <f aca="false">U542/$P542</f>
        <v>0</v>
      </c>
      <c r="W542" s="95" t="n">
        <v>0</v>
      </c>
      <c r="X542" s="93" t="n">
        <f aca="false">W542/$P542</f>
        <v>0</v>
      </c>
      <c r="Y542" s="95"/>
      <c r="Z542" s="53"/>
    </row>
    <row r="543" customFormat="false" ht="12.8" hidden="false" customHeight="false" outlineLevel="0" collapsed="false">
      <c r="D543" s="33"/>
      <c r="E543" s="49" t="s">
        <v>300</v>
      </c>
      <c r="F543" s="94"/>
      <c r="G543" s="95"/>
      <c r="H543" s="95"/>
      <c r="I543" s="95"/>
      <c r="J543" s="95"/>
      <c r="K543" s="95" t="n">
        <v>20000</v>
      </c>
      <c r="L543" s="95"/>
      <c r="M543" s="95"/>
      <c r="N543" s="95"/>
      <c r="O543" s="95" t="n">
        <v>-20000</v>
      </c>
      <c r="P543" s="95" t="n">
        <f aca="false">K543+SUM(L543:O543)</f>
        <v>0</v>
      </c>
      <c r="Q543" s="95" t="n">
        <v>0</v>
      </c>
      <c r="R543" s="96" t="e">
        <f aca="false">Q543/$P543</f>
        <v>#DIV/0!</v>
      </c>
      <c r="S543" s="95" t="n">
        <v>0</v>
      </c>
      <c r="T543" s="96" t="e">
        <f aca="false">S543/$P543</f>
        <v>#DIV/0!</v>
      </c>
      <c r="U543" s="95" t="n">
        <v>0</v>
      </c>
      <c r="V543" s="96" t="e">
        <f aca="false">U543/$P543</f>
        <v>#DIV/0!</v>
      </c>
      <c r="W543" s="95" t="n">
        <v>0</v>
      </c>
      <c r="X543" s="93" t="e">
        <f aca="false">W543/$P543</f>
        <v>#DIV/0!</v>
      </c>
      <c r="Y543" s="95"/>
      <c r="Z543" s="53"/>
    </row>
    <row r="544" customFormat="false" ht="12.8" hidden="false" customHeight="false" outlineLevel="0" collapsed="false">
      <c r="D544" s="33"/>
      <c r="E544" s="57" t="s">
        <v>301</v>
      </c>
      <c r="F544" s="76"/>
      <c r="G544" s="59"/>
      <c r="H544" s="59"/>
      <c r="I544" s="59" t="n">
        <v>30000</v>
      </c>
      <c r="J544" s="59" t="n">
        <v>0</v>
      </c>
      <c r="K544" s="59" t="n">
        <v>10000</v>
      </c>
      <c r="L544" s="59"/>
      <c r="M544" s="59"/>
      <c r="N544" s="59"/>
      <c r="O544" s="59" t="n">
        <v>-10000</v>
      </c>
      <c r="P544" s="59" t="n">
        <f aca="false">K544+SUM(L544:O544)</f>
        <v>0</v>
      </c>
      <c r="Q544" s="59" t="n">
        <v>0</v>
      </c>
      <c r="R544" s="60" t="e">
        <f aca="false">Q544/$P544</f>
        <v>#DIV/0!</v>
      </c>
      <c r="S544" s="59" t="n">
        <v>0</v>
      </c>
      <c r="T544" s="60" t="e">
        <f aca="false">S544/$P544</f>
        <v>#DIV/0!</v>
      </c>
      <c r="U544" s="59" t="n">
        <v>0</v>
      </c>
      <c r="V544" s="60" t="e">
        <f aca="false">U544/$P544</f>
        <v>#DIV/0!</v>
      </c>
      <c r="W544" s="59" t="n">
        <v>0</v>
      </c>
      <c r="X544" s="97" t="e">
        <f aca="false">W544/$P544</f>
        <v>#DIV/0!</v>
      </c>
      <c r="Y544" s="59"/>
      <c r="Z544" s="62"/>
    </row>
    <row r="546" customFormat="false" ht="12.8" hidden="false" customHeight="false" outlineLevel="0" collapsed="false">
      <c r="D546" s="31" t="s">
        <v>302</v>
      </c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2"/>
      <c r="S546" s="31"/>
      <c r="T546" s="32"/>
      <c r="U546" s="31"/>
      <c r="V546" s="32"/>
      <c r="W546" s="31"/>
      <c r="X546" s="32"/>
      <c r="Y546" s="31"/>
      <c r="Z546" s="31"/>
    </row>
    <row r="547" customFormat="false" ht="12.8" hidden="false" customHeight="false" outlineLevel="0" collapsed="false">
      <c r="D547" s="135"/>
      <c r="E547" s="7"/>
      <c r="F547" s="7"/>
      <c r="G547" s="7" t="s">
        <v>1</v>
      </c>
      <c r="H547" s="7" t="s">
        <v>2</v>
      </c>
      <c r="I547" s="7" t="s">
        <v>3</v>
      </c>
      <c r="J547" s="7" t="s">
        <v>4</v>
      </c>
      <c r="K547" s="7" t="s">
        <v>5</v>
      </c>
      <c r="L547" s="7" t="s">
        <v>6</v>
      </c>
      <c r="M547" s="7" t="s">
        <v>7</v>
      </c>
      <c r="N547" s="7" t="s">
        <v>8</v>
      </c>
      <c r="O547" s="7" t="s">
        <v>9</v>
      </c>
      <c r="P547" s="7" t="s">
        <v>10</v>
      </c>
      <c r="Q547" s="7" t="s">
        <v>11</v>
      </c>
      <c r="R547" s="8" t="s">
        <v>12</v>
      </c>
      <c r="S547" s="7" t="s">
        <v>13</v>
      </c>
      <c r="T547" s="8" t="s">
        <v>14</v>
      </c>
      <c r="U547" s="7" t="s">
        <v>15</v>
      </c>
      <c r="V547" s="8" t="s">
        <v>16</v>
      </c>
      <c r="W547" s="7" t="s">
        <v>17</v>
      </c>
      <c r="X547" s="8" t="s">
        <v>18</v>
      </c>
      <c r="Y547" s="7" t="s">
        <v>19</v>
      </c>
      <c r="Z547" s="7" t="s">
        <v>20</v>
      </c>
    </row>
    <row r="548" customFormat="false" ht="12.8" hidden="false" customHeight="false" outlineLevel="0" collapsed="false">
      <c r="A548" s="1" t="n">
        <v>8</v>
      </c>
      <c r="B548" s="1" t="n">
        <v>7</v>
      </c>
      <c r="D548" s="33" t="s">
        <v>21</v>
      </c>
      <c r="E548" s="10" t="n">
        <v>111</v>
      </c>
      <c r="F548" s="10" t="s">
        <v>103</v>
      </c>
      <c r="G548" s="11" t="n">
        <v>0</v>
      </c>
      <c r="H548" s="11" t="n">
        <v>0</v>
      </c>
      <c r="I548" s="11" t="n">
        <v>0</v>
      </c>
      <c r="J548" s="11" t="n">
        <v>0</v>
      </c>
      <c r="K548" s="11" t="n">
        <v>200000</v>
      </c>
      <c r="L548" s="11"/>
      <c r="M548" s="11"/>
      <c r="N548" s="11"/>
      <c r="O548" s="11" t="n">
        <v>-200000</v>
      </c>
      <c r="P548" s="11" t="n">
        <f aca="false">K548+L548+M548+N548+O548</f>
        <v>0</v>
      </c>
      <c r="Q548" s="11" t="n">
        <v>0</v>
      </c>
      <c r="R548" s="12" t="e">
        <f aca="false">Q548/$P548</f>
        <v>#DIV/0!</v>
      </c>
      <c r="S548" s="11" t="n">
        <v>0</v>
      </c>
      <c r="T548" s="12" t="e">
        <f aca="false">S548/$P548</f>
        <v>#DIV/0!</v>
      </c>
      <c r="U548" s="11" t="n">
        <v>0</v>
      </c>
      <c r="V548" s="12" t="e">
        <f aca="false">U548/$P548</f>
        <v>#DIV/0!</v>
      </c>
      <c r="W548" s="11" t="n">
        <v>0</v>
      </c>
      <c r="X548" s="12" t="e">
        <f aca="false">W548/$P548</f>
        <v>#DIV/0!</v>
      </c>
      <c r="Y548" s="11" t="n">
        <v>0</v>
      </c>
      <c r="Z548" s="11" t="n">
        <v>0</v>
      </c>
    </row>
    <row r="549" customFormat="false" ht="12.8" hidden="false" customHeight="false" outlineLevel="0" collapsed="false">
      <c r="A549" s="1" t="n">
        <v>8</v>
      </c>
      <c r="B549" s="1" t="n">
        <v>7</v>
      </c>
      <c r="D549" s="33"/>
      <c r="E549" s="10" t="n">
        <v>41</v>
      </c>
      <c r="F549" s="10" t="s">
        <v>23</v>
      </c>
      <c r="G549" s="11" t="n">
        <v>0</v>
      </c>
      <c r="H549" s="11" t="n">
        <f aca="false">H553+H554</f>
        <v>3534.61</v>
      </c>
      <c r="I549" s="11" t="n">
        <f aca="false">SUM(I553:I556)</f>
        <v>5500</v>
      </c>
      <c r="J549" s="11" t="n">
        <f aca="false">SUM(J553:J556)</f>
        <v>20971.71</v>
      </c>
      <c r="K549" s="11" t="n">
        <f aca="false">SUM(K553:K556)-K548</f>
        <v>15000</v>
      </c>
      <c r="L549" s="11" t="n">
        <f aca="false">SUM(L553:L556)-L548</f>
        <v>0</v>
      </c>
      <c r="M549" s="11" t="n">
        <f aca="false">SUM(M553:M556)-M548</f>
        <v>0</v>
      </c>
      <c r="N549" s="11" t="n">
        <f aca="false">SUM(N553:N556)-N548</f>
        <v>0</v>
      </c>
      <c r="O549" s="11" t="n">
        <f aca="false">SUM(O553:O556)-O548</f>
        <v>-15000</v>
      </c>
      <c r="P549" s="11" t="n">
        <f aca="false">SUM(P553:P556)-P548</f>
        <v>0</v>
      </c>
      <c r="Q549" s="11" t="n">
        <f aca="false">SUM(Q553:Q556)-Q548</f>
        <v>0</v>
      </c>
      <c r="R549" s="12" t="e">
        <f aca="false">Q549/$P549</f>
        <v>#DIV/0!</v>
      </c>
      <c r="S549" s="11" t="n">
        <f aca="false">SUM(S553:S556)-S548</f>
        <v>0</v>
      </c>
      <c r="T549" s="12" t="e">
        <f aca="false">S549/$P549</f>
        <v>#DIV/0!</v>
      </c>
      <c r="U549" s="11" t="n">
        <f aca="false">SUM(U553:U556)-U548</f>
        <v>0</v>
      </c>
      <c r="V549" s="12" t="e">
        <f aca="false">U549/$P549</f>
        <v>#DIV/0!</v>
      </c>
      <c r="W549" s="11" t="n">
        <f aca="false">SUM(W553:W556)-W548</f>
        <v>0</v>
      </c>
      <c r="X549" s="12" t="e">
        <f aca="false">W549/$P549</f>
        <v>#DIV/0!</v>
      </c>
      <c r="Y549" s="11" t="n">
        <f aca="false">SUM(Y553:Y556)</f>
        <v>0</v>
      </c>
      <c r="Z549" s="11" t="n">
        <f aca="false">SUM(Z553:Z556)</f>
        <v>0</v>
      </c>
    </row>
    <row r="550" customFormat="false" ht="12.8" hidden="false" customHeight="false" outlineLevel="0" collapsed="false">
      <c r="A550" s="1" t="n">
        <v>8</v>
      </c>
      <c r="B550" s="1" t="n">
        <v>7</v>
      </c>
      <c r="D550" s="18"/>
      <c r="E550" s="19"/>
      <c r="F550" s="14" t="s">
        <v>116</v>
      </c>
      <c r="G550" s="15" t="n">
        <f aca="false">SUM(G548:G549)</f>
        <v>0</v>
      </c>
      <c r="H550" s="15" t="n">
        <f aca="false">SUM(H548:H549)</f>
        <v>3534.61</v>
      </c>
      <c r="I550" s="15" t="n">
        <f aca="false">SUM(I548:I549)</f>
        <v>5500</v>
      </c>
      <c r="J550" s="15" t="n">
        <f aca="false">SUM(J548:J549)</f>
        <v>20971.71</v>
      </c>
      <c r="K550" s="15" t="n">
        <f aca="false">SUM(K548:K549)</f>
        <v>215000</v>
      </c>
      <c r="L550" s="15" t="n">
        <f aca="false">SUM(L548:L549)</f>
        <v>0</v>
      </c>
      <c r="M550" s="15" t="n">
        <f aca="false">SUM(M548:M549)</f>
        <v>0</v>
      </c>
      <c r="N550" s="15" t="n">
        <f aca="false">SUM(N548:N549)</f>
        <v>0</v>
      </c>
      <c r="O550" s="15" t="n">
        <f aca="false">SUM(O548:O549)</f>
        <v>-215000</v>
      </c>
      <c r="P550" s="15" t="n">
        <f aca="false">SUM(P548:P549)</f>
        <v>0</v>
      </c>
      <c r="Q550" s="15" t="n">
        <f aca="false">SUM(Q548:Q549)</f>
        <v>0</v>
      </c>
      <c r="R550" s="16" t="e">
        <f aca="false">Q550/$P550</f>
        <v>#DIV/0!</v>
      </c>
      <c r="S550" s="15" t="n">
        <f aca="false">SUM(S548:S549)</f>
        <v>0</v>
      </c>
      <c r="T550" s="16" t="e">
        <f aca="false">S550/$P550</f>
        <v>#DIV/0!</v>
      </c>
      <c r="U550" s="15" t="n">
        <f aca="false">SUM(U548:U549)</f>
        <v>0</v>
      </c>
      <c r="V550" s="16" t="e">
        <f aca="false">U550/$P550</f>
        <v>#DIV/0!</v>
      </c>
      <c r="W550" s="15" t="n">
        <f aca="false">SUM(W548:W549)</f>
        <v>0</v>
      </c>
      <c r="X550" s="16" t="e">
        <f aca="false">W550/$P550</f>
        <v>#DIV/0!</v>
      </c>
      <c r="Y550" s="15" t="n">
        <f aca="false">SUM(Y548:Y549)</f>
        <v>0</v>
      </c>
      <c r="Z550" s="15" t="n">
        <f aca="false">SUM(Z548:Z549)</f>
        <v>0</v>
      </c>
    </row>
    <row r="552" customFormat="false" ht="12.8" hidden="false" customHeight="false" outlineLevel="0" collapsed="false">
      <c r="D552" s="1" t="s">
        <v>56</v>
      </c>
    </row>
    <row r="553" customFormat="false" ht="12.8" hidden="false" customHeight="false" outlineLevel="0" collapsed="false">
      <c r="D553" s="145" t="s">
        <v>303</v>
      </c>
      <c r="E553" s="44" t="s">
        <v>304</v>
      </c>
      <c r="F553" s="18"/>
      <c r="G553" s="45"/>
      <c r="H553" s="45" t="n">
        <v>2534.61</v>
      </c>
      <c r="I553" s="45"/>
      <c r="J553" s="45" t="n">
        <v>2588.41</v>
      </c>
      <c r="K553" s="45"/>
      <c r="L553" s="45"/>
      <c r="M553" s="45"/>
      <c r="N553" s="45"/>
      <c r="O553" s="45"/>
      <c r="P553" s="45" t="n">
        <f aca="false">K553+SUM(L553:O553)</f>
        <v>0</v>
      </c>
      <c r="Q553" s="45" t="n">
        <v>0</v>
      </c>
      <c r="R553" s="46" t="e">
        <f aca="false">Q553/$P553</f>
        <v>#DIV/0!</v>
      </c>
      <c r="S553" s="45" t="n">
        <v>0</v>
      </c>
      <c r="T553" s="46" t="e">
        <f aca="false">S553/$P553</f>
        <v>#DIV/0!</v>
      </c>
      <c r="U553" s="45" t="n">
        <v>0</v>
      </c>
      <c r="V553" s="46" t="e">
        <f aca="false">U553/$P553</f>
        <v>#DIV/0!</v>
      </c>
      <c r="W553" s="45" t="n">
        <v>0</v>
      </c>
      <c r="X553" s="92" t="e">
        <f aca="false">W553/$P553</f>
        <v>#DIV/0!</v>
      </c>
      <c r="Y553" s="45"/>
      <c r="Z553" s="48"/>
    </row>
    <row r="554" customFormat="false" ht="12.8" hidden="false" customHeight="false" outlineLevel="0" collapsed="false">
      <c r="D554" s="145"/>
      <c r="E554" s="49" t="s">
        <v>305</v>
      </c>
      <c r="F554" s="94"/>
      <c r="G554" s="95"/>
      <c r="H554" s="95" t="n">
        <v>1000</v>
      </c>
      <c r="I554" s="95"/>
      <c r="J554" s="95"/>
      <c r="K554" s="146"/>
      <c r="L554" s="146"/>
      <c r="M554" s="146"/>
      <c r="N554" s="146"/>
      <c r="O554" s="146"/>
      <c r="P554" s="146" t="n">
        <f aca="false">K554+SUM(L554:O554)</f>
        <v>0</v>
      </c>
      <c r="Q554" s="146" t="n">
        <v>0</v>
      </c>
      <c r="R554" s="147" t="e">
        <f aca="false">Q554/$P554</f>
        <v>#DIV/0!</v>
      </c>
      <c r="S554" s="146" t="n">
        <v>0</v>
      </c>
      <c r="T554" s="147" t="e">
        <f aca="false">S554/$P554</f>
        <v>#DIV/0!</v>
      </c>
      <c r="U554" s="146" t="n">
        <v>0</v>
      </c>
      <c r="V554" s="147" t="e">
        <f aca="false">U554/$P554</f>
        <v>#DIV/0!</v>
      </c>
      <c r="W554" s="146" t="n">
        <v>0</v>
      </c>
      <c r="X554" s="148" t="e">
        <f aca="false">W554/$P554</f>
        <v>#DIV/0!</v>
      </c>
      <c r="Y554" s="95"/>
      <c r="Z554" s="53"/>
    </row>
    <row r="555" customFormat="false" ht="12.8" hidden="false" customHeight="false" outlineLevel="0" collapsed="false">
      <c r="D555" s="145"/>
      <c r="E555" s="49" t="s">
        <v>306</v>
      </c>
      <c r="F555" s="94"/>
      <c r="G555" s="95"/>
      <c r="H555" s="95"/>
      <c r="I555" s="95"/>
      <c r="J555" s="95"/>
      <c r="K555" s="146" t="n">
        <f aca="false">200000+10000+5000</f>
        <v>215000</v>
      </c>
      <c r="L555" s="146"/>
      <c r="M555" s="146"/>
      <c r="N555" s="146"/>
      <c r="O555" s="146" t="n">
        <f aca="false">-200000-15000</f>
        <v>-215000</v>
      </c>
      <c r="P555" s="146" t="n">
        <f aca="false">K555+SUM(L555:O555)</f>
        <v>0</v>
      </c>
      <c r="Q555" s="146" t="n">
        <v>0</v>
      </c>
      <c r="R555" s="147" t="e">
        <f aca="false">Q555/$P555</f>
        <v>#DIV/0!</v>
      </c>
      <c r="S555" s="146" t="n">
        <v>0</v>
      </c>
      <c r="T555" s="147" t="e">
        <f aca="false">S555/$P555</f>
        <v>#DIV/0!</v>
      </c>
      <c r="U555" s="146" t="n">
        <v>0</v>
      </c>
      <c r="V555" s="147" t="e">
        <f aca="false">U555/$P555</f>
        <v>#DIV/0!</v>
      </c>
      <c r="W555" s="146" t="n">
        <v>0</v>
      </c>
      <c r="X555" s="148" t="e">
        <f aca="false">W555/$P555</f>
        <v>#DIV/0!</v>
      </c>
      <c r="Y555" s="95"/>
      <c r="Z555" s="53"/>
      <c r="AB555" s="149"/>
    </row>
    <row r="556" customFormat="false" ht="12.8" hidden="false" customHeight="false" outlineLevel="0" collapsed="false">
      <c r="D556" s="145"/>
      <c r="E556" s="57" t="s">
        <v>307</v>
      </c>
      <c r="F556" s="76"/>
      <c r="G556" s="59"/>
      <c r="H556" s="59"/>
      <c r="I556" s="59" t="n">
        <v>5500</v>
      </c>
      <c r="J556" s="59" t="n">
        <v>18383.3</v>
      </c>
      <c r="K556" s="59"/>
      <c r="L556" s="59"/>
      <c r="M556" s="59"/>
      <c r="N556" s="59"/>
      <c r="O556" s="59"/>
      <c r="P556" s="59" t="n">
        <f aca="false">K556+SUM(L556:O556)</f>
        <v>0</v>
      </c>
      <c r="Q556" s="59" t="n">
        <v>0</v>
      </c>
      <c r="R556" s="60" t="e">
        <f aca="false">Q556/$P556</f>
        <v>#DIV/0!</v>
      </c>
      <c r="S556" s="59" t="n">
        <v>0</v>
      </c>
      <c r="T556" s="60" t="e">
        <f aca="false">S556/$P556</f>
        <v>#DIV/0!</v>
      </c>
      <c r="U556" s="59" t="n">
        <v>0</v>
      </c>
      <c r="V556" s="60" t="e">
        <f aca="false">U556/$P556</f>
        <v>#DIV/0!</v>
      </c>
      <c r="W556" s="59" t="n">
        <v>0</v>
      </c>
      <c r="X556" s="97" t="e">
        <f aca="false">W556/$P556</f>
        <v>#DIV/0!</v>
      </c>
      <c r="Y556" s="59"/>
      <c r="Z556" s="62"/>
    </row>
    <row r="558" customFormat="false" ht="12.8" hidden="false" customHeight="false" outlineLevel="0" collapsed="false">
      <c r="D558" s="31" t="s">
        <v>308</v>
      </c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2"/>
      <c r="S558" s="31"/>
      <c r="T558" s="32"/>
      <c r="U558" s="31"/>
      <c r="V558" s="32"/>
      <c r="W558" s="31"/>
      <c r="X558" s="32"/>
      <c r="Y558" s="31"/>
      <c r="Z558" s="31"/>
    </row>
    <row r="559" customFormat="false" ht="12.8" hidden="false" customHeight="false" outlineLevel="0" collapsed="false">
      <c r="D559" s="135"/>
      <c r="E559" s="7"/>
      <c r="F559" s="7"/>
      <c r="G559" s="7" t="s">
        <v>1</v>
      </c>
      <c r="H559" s="7" t="s">
        <v>2</v>
      </c>
      <c r="I559" s="7" t="s">
        <v>3</v>
      </c>
      <c r="J559" s="7" t="s">
        <v>4</v>
      </c>
      <c r="K559" s="7" t="s">
        <v>5</v>
      </c>
      <c r="L559" s="7" t="s">
        <v>6</v>
      </c>
      <c r="M559" s="7" t="s">
        <v>7</v>
      </c>
      <c r="N559" s="7" t="s">
        <v>8</v>
      </c>
      <c r="O559" s="7" t="s">
        <v>9</v>
      </c>
      <c r="P559" s="7" t="s">
        <v>10</v>
      </c>
      <c r="Q559" s="7" t="s">
        <v>11</v>
      </c>
      <c r="R559" s="8" t="s">
        <v>12</v>
      </c>
      <c r="S559" s="7" t="s">
        <v>13</v>
      </c>
      <c r="T559" s="8" t="s">
        <v>14</v>
      </c>
      <c r="U559" s="7" t="s">
        <v>15</v>
      </c>
      <c r="V559" s="8" t="s">
        <v>16</v>
      </c>
      <c r="W559" s="7" t="s">
        <v>17</v>
      </c>
      <c r="X559" s="8" t="s">
        <v>18</v>
      </c>
      <c r="Y559" s="7" t="s">
        <v>19</v>
      </c>
      <c r="Z559" s="7" t="s">
        <v>20</v>
      </c>
    </row>
    <row r="560" customFormat="false" ht="12.8" hidden="false" customHeight="false" outlineLevel="0" collapsed="false">
      <c r="A560" s="1" t="n">
        <v>8</v>
      </c>
      <c r="B560" s="1" t="n">
        <v>8</v>
      </c>
      <c r="D560" s="109" t="s">
        <v>21</v>
      </c>
      <c r="E560" s="10" t="n">
        <v>41</v>
      </c>
      <c r="F560" s="10" t="s">
        <v>23</v>
      </c>
      <c r="G560" s="11" t="n">
        <f aca="false">G564</f>
        <v>5424</v>
      </c>
      <c r="H560" s="11" t="n">
        <f aca="false">H564</f>
        <v>435.1</v>
      </c>
      <c r="I560" s="11" t="n">
        <f aca="false">I564</f>
        <v>1000</v>
      </c>
      <c r="J560" s="11" t="n">
        <f aca="false">J564</f>
        <v>3120</v>
      </c>
      <c r="K560" s="11" t="n">
        <f aca="false">K564</f>
        <v>10000</v>
      </c>
      <c r="L560" s="11" t="n">
        <f aca="false">L564</f>
        <v>0</v>
      </c>
      <c r="M560" s="11" t="n">
        <f aca="false">M564</f>
        <v>0</v>
      </c>
      <c r="N560" s="11" t="n">
        <f aca="false">N564</f>
        <v>0</v>
      </c>
      <c r="O560" s="11" t="n">
        <f aca="false">O564</f>
        <v>-10000</v>
      </c>
      <c r="P560" s="11" t="n">
        <f aca="false">P564</f>
        <v>0</v>
      </c>
      <c r="Q560" s="11" t="n">
        <f aca="false">Q564</f>
        <v>0</v>
      </c>
      <c r="R560" s="12" t="e">
        <f aca="false">Q560/$P560</f>
        <v>#DIV/0!</v>
      </c>
      <c r="S560" s="11" t="n">
        <f aca="false">S564</f>
        <v>0</v>
      </c>
      <c r="T560" s="12" t="e">
        <f aca="false">S560/$P560</f>
        <v>#DIV/0!</v>
      </c>
      <c r="U560" s="11" t="n">
        <f aca="false">U564</f>
        <v>0</v>
      </c>
      <c r="V560" s="12" t="e">
        <f aca="false">U560/$P560</f>
        <v>#DIV/0!</v>
      </c>
      <c r="W560" s="11" t="n">
        <f aca="false">W564</f>
        <v>0</v>
      </c>
      <c r="X560" s="12" t="e">
        <f aca="false">W560/$P560</f>
        <v>#DIV/0!</v>
      </c>
      <c r="Y560" s="11" t="n">
        <f aca="false">Y564</f>
        <v>0</v>
      </c>
      <c r="Z560" s="11" t="n">
        <f aca="false">Z564</f>
        <v>0</v>
      </c>
    </row>
    <row r="561" customFormat="false" ht="12.8" hidden="false" customHeight="false" outlineLevel="0" collapsed="false">
      <c r="A561" s="1" t="n">
        <v>8</v>
      </c>
      <c r="B561" s="1" t="n">
        <v>8</v>
      </c>
      <c r="D561" s="18"/>
      <c r="E561" s="19"/>
      <c r="F561" s="14" t="s">
        <v>116</v>
      </c>
      <c r="G561" s="15" t="n">
        <f aca="false">SUM(G560)</f>
        <v>5424</v>
      </c>
      <c r="H561" s="15" t="n">
        <f aca="false">SUM(H560)</f>
        <v>435.1</v>
      </c>
      <c r="I561" s="15" t="n">
        <f aca="false">SUM(I560)</f>
        <v>1000</v>
      </c>
      <c r="J561" s="15" t="n">
        <f aca="false">SUM(J560)</f>
        <v>3120</v>
      </c>
      <c r="K561" s="15" t="n">
        <f aca="false">SUM(K560)</f>
        <v>10000</v>
      </c>
      <c r="L561" s="15" t="n">
        <f aca="false">SUM(L560)</f>
        <v>0</v>
      </c>
      <c r="M561" s="15" t="n">
        <f aca="false">SUM(M560)</f>
        <v>0</v>
      </c>
      <c r="N561" s="15" t="n">
        <f aca="false">SUM(N560)</f>
        <v>0</v>
      </c>
      <c r="O561" s="15" t="n">
        <f aca="false">SUM(O560)</f>
        <v>-10000</v>
      </c>
      <c r="P561" s="15" t="n">
        <f aca="false">SUM(P560)</f>
        <v>0</v>
      </c>
      <c r="Q561" s="15" t="n">
        <f aca="false">SUM(Q560)</f>
        <v>0</v>
      </c>
      <c r="R561" s="16" t="e">
        <f aca="false">Q561/$P561</f>
        <v>#DIV/0!</v>
      </c>
      <c r="S561" s="15" t="n">
        <f aca="false">SUM(S560)</f>
        <v>0</v>
      </c>
      <c r="T561" s="16" t="e">
        <f aca="false">S561/$P561</f>
        <v>#DIV/0!</v>
      </c>
      <c r="U561" s="15" t="n">
        <f aca="false">SUM(U560)</f>
        <v>0</v>
      </c>
      <c r="V561" s="16" t="e">
        <f aca="false">U561/$P561</f>
        <v>#DIV/0!</v>
      </c>
      <c r="W561" s="15" t="n">
        <f aca="false">SUM(W560)</f>
        <v>0</v>
      </c>
      <c r="X561" s="16" t="e">
        <f aca="false">W561/$P561</f>
        <v>#DIV/0!</v>
      </c>
      <c r="Y561" s="15" t="n">
        <f aca="false">SUM(Y560)</f>
        <v>0</v>
      </c>
      <c r="Z561" s="15" t="n">
        <f aca="false">SUM(Z560)</f>
        <v>0</v>
      </c>
    </row>
    <row r="563" customFormat="false" ht="12.8" hidden="false" customHeight="false" outlineLevel="0" collapsed="false">
      <c r="D563" s="1" t="s">
        <v>56</v>
      </c>
    </row>
    <row r="564" customFormat="false" ht="12.8" hidden="false" customHeight="false" outlineLevel="0" collapsed="false">
      <c r="D564" s="89" t="s">
        <v>309</v>
      </c>
      <c r="E564" s="80" t="s">
        <v>310</v>
      </c>
      <c r="F564" s="81"/>
      <c r="G564" s="82" t="n">
        <v>5424</v>
      </c>
      <c r="H564" s="82" t="n">
        <v>435.1</v>
      </c>
      <c r="I564" s="82" t="n">
        <v>1000</v>
      </c>
      <c r="J564" s="82" t="n">
        <v>3120</v>
      </c>
      <c r="K564" s="82" t="n">
        <v>10000</v>
      </c>
      <c r="L564" s="82"/>
      <c r="M564" s="82"/>
      <c r="N564" s="82"/>
      <c r="O564" s="82" t="n">
        <v>-10000</v>
      </c>
      <c r="P564" s="82" t="n">
        <f aca="false">K564+SUM(L564:O564)</f>
        <v>0</v>
      </c>
      <c r="Q564" s="82" t="n">
        <v>0</v>
      </c>
      <c r="R564" s="83" t="e">
        <f aca="false">Q564/$P564</f>
        <v>#DIV/0!</v>
      </c>
      <c r="S564" s="82" t="n">
        <v>0</v>
      </c>
      <c r="T564" s="83" t="e">
        <f aca="false">S564/$P564</f>
        <v>#DIV/0!</v>
      </c>
      <c r="U564" s="82" t="n">
        <v>0</v>
      </c>
      <c r="V564" s="83" t="e">
        <f aca="false">U564/$P564</f>
        <v>#DIV/0!</v>
      </c>
      <c r="W564" s="82" t="n">
        <v>0</v>
      </c>
      <c r="X564" s="115" t="e">
        <f aca="false">W564/$P564</f>
        <v>#DIV/0!</v>
      </c>
      <c r="Y564" s="82" t="n">
        <v>0</v>
      </c>
      <c r="Z564" s="84" t="n">
        <v>0</v>
      </c>
    </row>
    <row r="566" customFormat="false" ht="12.8" hidden="false" customHeight="false" outlineLevel="0" collapsed="false">
      <c r="D566" s="20" t="s">
        <v>311</v>
      </c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1"/>
      <c r="S566" s="20"/>
      <c r="T566" s="21"/>
      <c r="U566" s="20"/>
      <c r="V566" s="21"/>
      <c r="W566" s="20"/>
      <c r="X566" s="21"/>
      <c r="Y566" s="20"/>
      <c r="Z566" s="20"/>
    </row>
    <row r="567" customFormat="false" ht="12.8" hidden="false" customHeight="false" outlineLevel="0" collapsed="false">
      <c r="D567" s="6"/>
      <c r="E567" s="6"/>
      <c r="F567" s="6"/>
      <c r="G567" s="7" t="s">
        <v>1</v>
      </c>
      <c r="H567" s="7" t="s">
        <v>2</v>
      </c>
      <c r="I567" s="7" t="s">
        <v>3</v>
      </c>
      <c r="J567" s="7" t="s">
        <v>4</v>
      </c>
      <c r="K567" s="7" t="s">
        <v>5</v>
      </c>
      <c r="L567" s="7" t="s">
        <v>6</v>
      </c>
      <c r="M567" s="7" t="s">
        <v>7</v>
      </c>
      <c r="N567" s="7" t="s">
        <v>8</v>
      </c>
      <c r="O567" s="7" t="s">
        <v>9</v>
      </c>
      <c r="P567" s="7" t="s">
        <v>10</v>
      </c>
      <c r="Q567" s="7" t="s">
        <v>11</v>
      </c>
      <c r="R567" s="8" t="s">
        <v>12</v>
      </c>
      <c r="S567" s="7" t="s">
        <v>13</v>
      </c>
      <c r="T567" s="8" t="s">
        <v>14</v>
      </c>
      <c r="U567" s="7" t="s">
        <v>15</v>
      </c>
      <c r="V567" s="8" t="s">
        <v>16</v>
      </c>
      <c r="W567" s="7" t="s">
        <v>17</v>
      </c>
      <c r="X567" s="8" t="s">
        <v>18</v>
      </c>
      <c r="Y567" s="7" t="s">
        <v>19</v>
      </c>
      <c r="Z567" s="7" t="s">
        <v>20</v>
      </c>
    </row>
    <row r="568" customFormat="false" ht="12.8" hidden="false" customHeight="false" outlineLevel="0" collapsed="false">
      <c r="A568" s="1" t="n">
        <v>9</v>
      </c>
      <c r="D568" s="22" t="s">
        <v>21</v>
      </c>
      <c r="E568" s="23" t="n">
        <v>41</v>
      </c>
      <c r="F568" s="23" t="s">
        <v>23</v>
      </c>
      <c r="G568" s="24" t="n">
        <f aca="false">G575</f>
        <v>12858.03</v>
      </c>
      <c r="H568" s="24" t="n">
        <f aca="false">H575</f>
        <v>12851.28</v>
      </c>
      <c r="I568" s="24" t="n">
        <f aca="false">I575</f>
        <v>4284</v>
      </c>
      <c r="J568" s="24" t="n">
        <f aca="false">J575</f>
        <v>4283.76</v>
      </c>
      <c r="K568" s="24" t="n">
        <f aca="false">K575</f>
        <v>20000</v>
      </c>
      <c r="L568" s="24" t="n">
        <f aca="false">L575</f>
        <v>0</v>
      </c>
      <c r="M568" s="24" t="n">
        <f aca="false">M575</f>
        <v>0</v>
      </c>
      <c r="N568" s="24" t="n">
        <f aca="false">N575</f>
        <v>0</v>
      </c>
      <c r="O568" s="24" t="n">
        <f aca="false">O575</f>
        <v>-20000</v>
      </c>
      <c r="P568" s="24" t="n">
        <f aca="false">P575</f>
        <v>0</v>
      </c>
      <c r="Q568" s="24" t="n">
        <f aca="false">Q575</f>
        <v>0</v>
      </c>
      <c r="R568" s="25" t="e">
        <f aca="false">Q568/$P568</f>
        <v>#DIV/0!</v>
      </c>
      <c r="S568" s="24" t="n">
        <f aca="false">S575</f>
        <v>0</v>
      </c>
      <c r="T568" s="25" t="e">
        <f aca="false">S568/$P568</f>
        <v>#DIV/0!</v>
      </c>
      <c r="U568" s="24" t="n">
        <f aca="false">U575</f>
        <v>0</v>
      </c>
      <c r="V568" s="25" t="e">
        <f aca="false">U568/$P568</f>
        <v>#DIV/0!</v>
      </c>
      <c r="W568" s="24" t="n">
        <f aca="false">W575</f>
        <v>0</v>
      </c>
      <c r="X568" s="25" t="e">
        <f aca="false">W568/$P568</f>
        <v>#DIV/0!</v>
      </c>
      <c r="Y568" s="24" t="n">
        <f aca="false">Y575</f>
        <v>20000</v>
      </c>
      <c r="Z568" s="24" t="n">
        <f aca="false">Z575</f>
        <v>20000</v>
      </c>
    </row>
    <row r="569" customFormat="false" ht="12.8" hidden="false" customHeight="false" outlineLevel="0" collapsed="false">
      <c r="A569" s="1" t="n">
        <v>9</v>
      </c>
      <c r="D569" s="18"/>
      <c r="E569" s="19"/>
      <c r="F569" s="27" t="s">
        <v>116</v>
      </c>
      <c r="G569" s="28" t="n">
        <f aca="false">SUM(G568:G568)</f>
        <v>12858.03</v>
      </c>
      <c r="H569" s="28" t="n">
        <f aca="false">SUM(H568:H568)</f>
        <v>12851.28</v>
      </c>
      <c r="I569" s="28" t="n">
        <f aca="false">SUM(I568:I568)</f>
        <v>4284</v>
      </c>
      <c r="J569" s="28" t="n">
        <f aca="false">SUM(J568:J568)</f>
        <v>4283.76</v>
      </c>
      <c r="K569" s="28" t="n">
        <f aca="false">SUM(K568:K568)</f>
        <v>20000</v>
      </c>
      <c r="L569" s="28" t="n">
        <f aca="false">SUM(L568:L568)</f>
        <v>0</v>
      </c>
      <c r="M569" s="28" t="n">
        <f aca="false">SUM(M568:M568)</f>
        <v>0</v>
      </c>
      <c r="N569" s="28" t="n">
        <f aca="false">SUM(N568:N568)</f>
        <v>0</v>
      </c>
      <c r="O569" s="28" t="n">
        <f aca="false">SUM(O568:O568)</f>
        <v>-20000</v>
      </c>
      <c r="P569" s="28" t="n">
        <f aca="false">SUM(P568:P568)</f>
        <v>0</v>
      </c>
      <c r="Q569" s="28" t="n">
        <f aca="false">SUM(Q568:Q568)</f>
        <v>0</v>
      </c>
      <c r="R569" s="29" t="e">
        <f aca="false">Q569/$P569</f>
        <v>#DIV/0!</v>
      </c>
      <c r="S569" s="28" t="n">
        <f aca="false">SUM(S568:S568)</f>
        <v>0</v>
      </c>
      <c r="T569" s="29" t="e">
        <f aca="false">S569/$P569</f>
        <v>#DIV/0!</v>
      </c>
      <c r="U569" s="28" t="n">
        <f aca="false">SUM(U568:U568)</f>
        <v>0</v>
      </c>
      <c r="V569" s="29" t="e">
        <f aca="false">U569/$P569</f>
        <v>#DIV/0!</v>
      </c>
      <c r="W569" s="28" t="n">
        <f aca="false">SUM(W568:W568)</f>
        <v>0</v>
      </c>
      <c r="X569" s="29" t="e">
        <f aca="false">W569/$P569</f>
        <v>#DIV/0!</v>
      </c>
      <c r="Y569" s="28" t="n">
        <f aca="false">SUM(Y568:Y568)</f>
        <v>20000</v>
      </c>
      <c r="Z569" s="28" t="n">
        <f aca="false">SUM(Z568:Z568)</f>
        <v>20000</v>
      </c>
    </row>
    <row r="571" customFormat="false" ht="12.8" hidden="false" customHeight="false" outlineLevel="0" collapsed="false">
      <c r="D571" s="66" t="s">
        <v>312</v>
      </c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7"/>
      <c r="S571" s="66"/>
      <c r="T571" s="67"/>
      <c r="U571" s="66"/>
      <c r="V571" s="67"/>
      <c r="W571" s="66"/>
      <c r="X571" s="67"/>
      <c r="Y571" s="66"/>
      <c r="Z571" s="66"/>
    </row>
    <row r="572" customFormat="false" ht="12.8" hidden="false" customHeight="false" outlineLevel="0" collapsed="false">
      <c r="D572" s="7" t="s">
        <v>33</v>
      </c>
      <c r="E572" s="7" t="s">
        <v>34</v>
      </c>
      <c r="F572" s="7" t="s">
        <v>35</v>
      </c>
      <c r="G572" s="7" t="s">
        <v>1</v>
      </c>
      <c r="H572" s="7" t="s">
        <v>2</v>
      </c>
      <c r="I572" s="7" t="s">
        <v>3</v>
      </c>
      <c r="J572" s="7" t="s">
        <v>4</v>
      </c>
      <c r="K572" s="7" t="s">
        <v>5</v>
      </c>
      <c r="L572" s="7" t="s">
        <v>6</v>
      </c>
      <c r="M572" s="7" t="s">
        <v>7</v>
      </c>
      <c r="N572" s="7" t="s">
        <v>8</v>
      </c>
      <c r="O572" s="7" t="s">
        <v>9</v>
      </c>
      <c r="P572" s="7" t="s">
        <v>10</v>
      </c>
      <c r="Q572" s="7" t="s">
        <v>11</v>
      </c>
      <c r="R572" s="8" t="s">
        <v>12</v>
      </c>
      <c r="S572" s="7" t="s">
        <v>13</v>
      </c>
      <c r="T572" s="8" t="s">
        <v>14</v>
      </c>
      <c r="U572" s="7" t="s">
        <v>15</v>
      </c>
      <c r="V572" s="8" t="s">
        <v>16</v>
      </c>
      <c r="W572" s="7" t="s">
        <v>17</v>
      </c>
      <c r="X572" s="8" t="s">
        <v>18</v>
      </c>
      <c r="Y572" s="7" t="s">
        <v>19</v>
      </c>
      <c r="Z572" s="7" t="s">
        <v>20</v>
      </c>
    </row>
    <row r="573" customFormat="false" ht="12.8" hidden="false" customHeight="false" outlineLevel="0" collapsed="false">
      <c r="A573" s="1" t="n">
        <v>9</v>
      </c>
      <c r="B573" s="1" t="n">
        <v>1</v>
      </c>
      <c r="D573" s="36" t="s">
        <v>120</v>
      </c>
      <c r="E573" s="10" t="n">
        <v>650</v>
      </c>
      <c r="F573" s="10" t="s">
        <v>313</v>
      </c>
      <c r="G573" s="11" t="n">
        <v>1652.45</v>
      </c>
      <c r="H573" s="11" t="n">
        <v>796.97</v>
      </c>
      <c r="I573" s="11" t="n">
        <v>65</v>
      </c>
      <c r="J573" s="11" t="n">
        <v>64.83</v>
      </c>
      <c r="K573" s="11" t="n">
        <v>0</v>
      </c>
      <c r="L573" s="11"/>
      <c r="M573" s="11"/>
      <c r="N573" s="11"/>
      <c r="O573" s="11"/>
      <c r="P573" s="11" t="n">
        <f aca="false">K573+SUM(L573:O573)</f>
        <v>0</v>
      </c>
      <c r="Q573" s="11" t="n">
        <v>0</v>
      </c>
      <c r="R573" s="12" t="e">
        <f aca="false">Q573/$P573</f>
        <v>#DIV/0!</v>
      </c>
      <c r="S573" s="11" t="n">
        <v>0</v>
      </c>
      <c r="T573" s="12" t="e">
        <f aca="false">S573/$P573</f>
        <v>#DIV/0!</v>
      </c>
      <c r="U573" s="11" t="n">
        <v>0</v>
      </c>
      <c r="V573" s="12" t="e">
        <f aca="false">U573/$P573</f>
        <v>#DIV/0!</v>
      </c>
      <c r="W573" s="11" t="n">
        <v>0</v>
      </c>
      <c r="X573" s="12" t="e">
        <f aca="false">W573/$P573</f>
        <v>#DIV/0!</v>
      </c>
      <c r="Y573" s="11" t="n">
        <v>0</v>
      </c>
      <c r="Z573" s="11" t="n">
        <v>0</v>
      </c>
    </row>
    <row r="574" customFormat="false" ht="12.8" hidden="false" customHeight="false" outlineLevel="0" collapsed="false">
      <c r="A574" s="1" t="n">
        <v>9</v>
      </c>
      <c r="B574" s="1" t="n">
        <v>1</v>
      </c>
      <c r="D574" s="36"/>
      <c r="E574" s="10" t="n">
        <v>820</v>
      </c>
      <c r="F574" s="10" t="s">
        <v>314</v>
      </c>
      <c r="G574" s="11" t="n">
        <v>11205.58</v>
      </c>
      <c r="H574" s="11" t="n">
        <v>12054.31</v>
      </c>
      <c r="I574" s="11" t="n">
        <v>4219</v>
      </c>
      <c r="J574" s="11" t="n">
        <v>4218.93</v>
      </c>
      <c r="K574" s="11" t="n">
        <v>20000</v>
      </c>
      <c r="L574" s="11"/>
      <c r="M574" s="11"/>
      <c r="N574" s="11"/>
      <c r="O574" s="11" t="n">
        <v>-20000</v>
      </c>
      <c r="P574" s="11" t="n">
        <f aca="false">K574+SUM(L574:O574)</f>
        <v>0</v>
      </c>
      <c r="Q574" s="11" t="n">
        <v>0</v>
      </c>
      <c r="R574" s="12" t="e">
        <f aca="false">Q574/$P574</f>
        <v>#DIV/0!</v>
      </c>
      <c r="S574" s="11" t="n">
        <v>0</v>
      </c>
      <c r="T574" s="12" t="e">
        <f aca="false">S574/$P574</f>
        <v>#DIV/0!</v>
      </c>
      <c r="U574" s="11" t="n">
        <v>0</v>
      </c>
      <c r="V574" s="12" t="e">
        <f aca="false">U574/$P574</f>
        <v>#DIV/0!</v>
      </c>
      <c r="W574" s="11" t="n">
        <v>0</v>
      </c>
      <c r="X574" s="12" t="e">
        <f aca="false">W574/$P574</f>
        <v>#DIV/0!</v>
      </c>
      <c r="Y574" s="11" t="n">
        <f aca="false">K574</f>
        <v>20000</v>
      </c>
      <c r="Z574" s="11" t="n">
        <f aca="false">Y574</f>
        <v>20000</v>
      </c>
    </row>
    <row r="575" customFormat="false" ht="12.8" hidden="false" customHeight="false" outlineLevel="0" collapsed="false">
      <c r="A575" s="1" t="n">
        <v>9</v>
      </c>
      <c r="B575" s="1" t="n">
        <v>1</v>
      </c>
      <c r="D575" s="75" t="s">
        <v>21</v>
      </c>
      <c r="E575" s="14" t="n">
        <v>41</v>
      </c>
      <c r="F575" s="14" t="s">
        <v>23</v>
      </c>
      <c r="G575" s="15" t="n">
        <f aca="false">SUM(G573:G574)</f>
        <v>12858.03</v>
      </c>
      <c r="H575" s="15" t="n">
        <f aca="false">SUM(H573:H574)</f>
        <v>12851.28</v>
      </c>
      <c r="I575" s="15" t="n">
        <f aca="false">SUM(I573:I574)</f>
        <v>4284</v>
      </c>
      <c r="J575" s="15" t="n">
        <f aca="false">SUM(J573:J574)</f>
        <v>4283.76</v>
      </c>
      <c r="K575" s="15" t="n">
        <f aca="false">SUM(K573:K574)</f>
        <v>20000</v>
      </c>
      <c r="L575" s="15" t="n">
        <f aca="false">SUM(L573:L574)</f>
        <v>0</v>
      </c>
      <c r="M575" s="15" t="n">
        <f aca="false">SUM(M573:M574)</f>
        <v>0</v>
      </c>
      <c r="N575" s="15" t="n">
        <f aca="false">SUM(N573:N574)</f>
        <v>0</v>
      </c>
      <c r="O575" s="15" t="n">
        <f aca="false">SUM(O573:O574)</f>
        <v>-20000</v>
      </c>
      <c r="P575" s="15" t="n">
        <f aca="false">SUM(P573:P574)</f>
        <v>0</v>
      </c>
      <c r="Q575" s="15" t="n">
        <f aca="false">SUM(Q573:Q574)</f>
        <v>0</v>
      </c>
      <c r="R575" s="16" t="e">
        <f aca="false">Q575/$P575</f>
        <v>#DIV/0!</v>
      </c>
      <c r="S575" s="15" t="n">
        <f aca="false">SUM(S573:S574)</f>
        <v>0</v>
      </c>
      <c r="T575" s="16" t="e">
        <f aca="false">S575/$P575</f>
        <v>#DIV/0!</v>
      </c>
      <c r="U575" s="15" t="n">
        <f aca="false">SUM(U573:U574)</f>
        <v>0</v>
      </c>
      <c r="V575" s="16" t="e">
        <f aca="false">U575/$P575</f>
        <v>#DIV/0!</v>
      </c>
      <c r="W575" s="15" t="n">
        <f aca="false">SUM(W573:W574)</f>
        <v>0</v>
      </c>
      <c r="X575" s="16" t="e">
        <f aca="false">W575/$P575</f>
        <v>#DIV/0!</v>
      </c>
      <c r="Y575" s="15" t="n">
        <f aca="false">SUM(Y573:Y574)</f>
        <v>20000</v>
      </c>
      <c r="Z575" s="15" t="n">
        <f aca="false">SUM(Z573:Z574)</f>
        <v>20000</v>
      </c>
    </row>
  </sheetData>
  <mergeCells count="66">
    <mergeCell ref="D3:D16"/>
    <mergeCell ref="D19:Z19"/>
    <mergeCell ref="D21:D22"/>
    <mergeCell ref="D25:Z25"/>
    <mergeCell ref="D27:D28"/>
    <mergeCell ref="D31:Z31"/>
    <mergeCell ref="D33:D36"/>
    <mergeCell ref="D41:Z41"/>
    <mergeCell ref="D45:D48"/>
    <mergeCell ref="D52:Z52"/>
    <mergeCell ref="D54:D56"/>
    <mergeCell ref="D59:Z59"/>
    <mergeCell ref="D70:Z70"/>
    <mergeCell ref="D72:D75"/>
    <mergeCell ref="D82:Z82"/>
    <mergeCell ref="D84:D85"/>
    <mergeCell ref="D88:Z88"/>
    <mergeCell ref="D90:D92"/>
    <mergeCell ref="D94:D97"/>
    <mergeCell ref="D101:Z101"/>
    <mergeCell ref="D111:Z111"/>
    <mergeCell ref="D115:D117"/>
    <mergeCell ref="D125:Z125"/>
    <mergeCell ref="D127:D128"/>
    <mergeCell ref="D131:Z131"/>
    <mergeCell ref="D133:D134"/>
    <mergeCell ref="D139:D141"/>
    <mergeCell ref="D143:D146"/>
    <mergeCell ref="D152:D154"/>
    <mergeCell ref="D156:D158"/>
    <mergeCell ref="D164:D165"/>
    <mergeCell ref="D167:D170"/>
    <mergeCell ref="D181:D184"/>
    <mergeCell ref="D230:D232"/>
    <mergeCell ref="D237:D239"/>
    <mergeCell ref="D244:D245"/>
    <mergeCell ref="D253:D254"/>
    <mergeCell ref="D262:D263"/>
    <mergeCell ref="D282:D283"/>
    <mergeCell ref="D297:D299"/>
    <mergeCell ref="D301:D304"/>
    <mergeCell ref="D320:D323"/>
    <mergeCell ref="D343:D344"/>
    <mergeCell ref="D353:D355"/>
    <mergeCell ref="D378:D379"/>
    <mergeCell ref="D398:D399"/>
    <mergeCell ref="D404:D405"/>
    <mergeCell ref="D410:D412"/>
    <mergeCell ref="D414:D417"/>
    <mergeCell ref="D446:D448"/>
    <mergeCell ref="D450:D452"/>
    <mergeCell ref="D458:D460"/>
    <mergeCell ref="D465:D466"/>
    <mergeCell ref="D470:D476"/>
    <mergeCell ref="D485:D491"/>
    <mergeCell ref="D499:D503"/>
    <mergeCell ref="D507:D508"/>
    <mergeCell ref="D512:D513"/>
    <mergeCell ref="D517:D518"/>
    <mergeCell ref="D522:D523"/>
    <mergeCell ref="D524:D530"/>
    <mergeCell ref="D532:D533"/>
    <mergeCell ref="D541:D544"/>
    <mergeCell ref="D548:D549"/>
    <mergeCell ref="D553:D556"/>
    <mergeCell ref="D573:D574"/>
  </mergeCells>
  <conditionalFormatting sqref="X535:X1048576 X132:X531 X1:X18 X20:X24 X26:X30 X32:X40 X42:X51 X53:X58 X60:X69 X71:X81 X83:X87 X89:X100 X102:X110 X112:X124 X126:X130">
    <cfRule type="cellIs" priority="2" operator="greaterThan" aboveAverage="0" equalAverage="0" bottom="0" percent="0" rank="0" text="" dxfId="0">
      <formula>100</formula>
    </cfRule>
  </conditionalFormatting>
  <conditionalFormatting sqref="X532:X534">
    <cfRule type="cellIs" priority="3" operator="greaterThan" aboveAverage="0" equalAverage="0" bottom="0" percent="0" rank="0" text="" dxfId="0">
      <formula>100</formula>
    </cfRule>
  </conditionalFormatting>
  <conditionalFormatting sqref="X19">
    <cfRule type="cellIs" priority="4" operator="greaterThan" aboveAverage="0" equalAverage="0" bottom="0" percent="0" rank="0" text="" dxfId="0">
      <formula>100</formula>
    </cfRule>
  </conditionalFormatting>
  <conditionalFormatting sqref="X25">
    <cfRule type="cellIs" priority="5" operator="greaterThan" aboveAverage="0" equalAverage="0" bottom="0" percent="0" rank="0" text="" dxfId="0">
      <formula>100</formula>
    </cfRule>
  </conditionalFormatting>
  <conditionalFormatting sqref="X31">
    <cfRule type="cellIs" priority="6" operator="greaterThan" aboveAverage="0" equalAverage="0" bottom="0" percent="0" rank="0" text="" dxfId="0">
      <formula>100</formula>
    </cfRule>
  </conditionalFormatting>
  <conditionalFormatting sqref="X41">
    <cfRule type="cellIs" priority="7" operator="greaterThan" aboveAverage="0" equalAverage="0" bottom="0" percent="0" rank="0" text="" dxfId="0">
      <formula>100</formula>
    </cfRule>
  </conditionalFormatting>
  <conditionalFormatting sqref="X52">
    <cfRule type="cellIs" priority="8" operator="greaterThan" aboveAverage="0" equalAverage="0" bottom="0" percent="0" rank="0" text="" dxfId="0">
      <formula>100</formula>
    </cfRule>
  </conditionalFormatting>
  <conditionalFormatting sqref="X59">
    <cfRule type="cellIs" priority="9" operator="greaterThan" aboveAverage="0" equalAverage="0" bottom="0" percent="0" rank="0" text="" dxfId="0">
      <formula>100</formula>
    </cfRule>
  </conditionalFormatting>
  <conditionalFormatting sqref="X70">
    <cfRule type="cellIs" priority="10" operator="greaterThan" aboveAverage="0" equalAverage="0" bottom="0" percent="0" rank="0" text="" dxfId="0">
      <formula>100</formula>
    </cfRule>
  </conditionalFormatting>
  <conditionalFormatting sqref="X82">
    <cfRule type="cellIs" priority="11" operator="greaterThan" aboveAverage="0" equalAverage="0" bottom="0" percent="0" rank="0" text="" dxfId="0">
      <formula>100</formula>
    </cfRule>
  </conditionalFormatting>
  <conditionalFormatting sqref="X88">
    <cfRule type="cellIs" priority="12" operator="greaterThan" aboveAverage="0" equalAverage="0" bottom="0" percent="0" rank="0" text="" dxfId="0">
      <formula>100</formula>
    </cfRule>
  </conditionalFormatting>
  <conditionalFormatting sqref="X101">
    <cfRule type="cellIs" priority="13" operator="greaterThan" aboveAverage="0" equalAverage="0" bottom="0" percent="0" rank="0" text="" dxfId="0">
      <formula>100</formula>
    </cfRule>
  </conditionalFormatting>
  <conditionalFormatting sqref="X111">
    <cfRule type="cellIs" priority="14" operator="greaterThan" aboveAverage="0" equalAverage="0" bottom="0" percent="0" rank="0" text="" dxfId="0">
      <formula>100</formula>
    </cfRule>
  </conditionalFormatting>
  <conditionalFormatting sqref="X125">
    <cfRule type="cellIs" priority="15" operator="greaterThan" aboveAverage="0" equalAverage="0" bottom="0" percent="0" rank="0" text="" dxfId="0">
      <formula>100</formula>
    </cfRule>
  </conditionalFormatting>
  <conditionalFormatting sqref="X131">
    <cfRule type="cellIs" priority="16" operator="greaterThan" aboveAverage="0" equalAverage="0" bottom="0" percent="0" rank="0" text="" dxfId="0">
      <formula>100</formula>
    </cfRule>
  </conditionalFormatting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&amp;L&amp;"Arial,Standaard"&amp;10Čerpanie a plnenie rozpočtu 2017&amp;C&amp;"Arial,Standaard"&amp;10Obec Nesluša&amp;R&amp;"Arial,Standaard"&amp;10Stav k 31. 12. 2017</oddHeader>
    <oddFooter>&amp;L&amp;"Arial,Standaard"&amp;10Schválený: UOZ_I-3/2017, 03. 03. 2017&amp;R&amp;"Arial,Standaard"&amp;10Posledná úprava: starostka, 11. 12. 2017</oddFooter>
  </headerFooter>
  <rowBreaks count="12" manualBreakCount="12">
    <brk id="69" man="true" max="16383" min="0"/>
    <brk id="130" man="true" max="16383" min="0"/>
    <brk id="173" man="true" max="16383" min="0"/>
    <brk id="199" man="true" max="16383" min="0"/>
    <brk id="227" man="true" max="16383" min="0"/>
    <brk id="294" man="true" max="16383" min="0"/>
    <brk id="307" man="true" max="16383" min="0"/>
    <brk id="370" man="true" max="16383" min="0"/>
    <brk id="395" man="true" max="16383" min="0"/>
    <brk id="455" man="true" max="16383" min="0"/>
    <brk id="534" man="true" max="16383" min="0"/>
    <brk id="565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2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50" width="8.78"/>
    <col collapsed="false" customWidth="true" hidden="false" outlineLevel="0" max="2" min="2" style="150" width="17.55"/>
    <col collapsed="false" customWidth="true" hidden="false" outlineLevel="0" max="1025" min="3" style="150" width="8.64"/>
  </cols>
  <sheetData>
    <row r="1" customFormat="false" ht="13.8" hidden="false" customHeight="false" outlineLevel="0" collapsed="false">
      <c r="A1" s="150" t="s">
        <v>315</v>
      </c>
      <c r="B1" s="150" t="s">
        <v>316</v>
      </c>
    </row>
    <row r="2" customFormat="false" ht="13.8" hidden="false" customHeight="false" outlineLevel="0" collapsed="false">
      <c r="A2" s="150" t="s">
        <v>1</v>
      </c>
      <c r="B2" s="150" t="s">
        <v>317</v>
      </c>
    </row>
    <row r="3" customFormat="false" ht="13.8" hidden="false" customHeight="false" outlineLevel="0" collapsed="false">
      <c r="A3" s="150" t="s">
        <v>2</v>
      </c>
      <c r="B3" s="150" t="s">
        <v>318</v>
      </c>
    </row>
    <row r="4" customFormat="false" ht="13.8" hidden="false" customHeight="false" outlineLevel="0" collapsed="false">
      <c r="A4" s="150" t="s">
        <v>3</v>
      </c>
      <c r="B4" s="150" t="s">
        <v>319</v>
      </c>
    </row>
    <row r="5" customFormat="false" ht="13.8" hidden="false" customHeight="false" outlineLevel="0" collapsed="false">
      <c r="A5" s="150" t="s">
        <v>4</v>
      </c>
      <c r="B5" s="150" t="s">
        <v>320</v>
      </c>
    </row>
    <row r="6" customFormat="false" ht="13.8" hidden="false" customHeight="false" outlineLevel="0" collapsed="false">
      <c r="A6" s="150" t="s">
        <v>5</v>
      </c>
      <c r="B6" s="150" t="s">
        <v>321</v>
      </c>
    </row>
    <row r="7" customFormat="false" ht="13.8" hidden="false" customHeight="false" outlineLevel="0" collapsed="false">
      <c r="A7" s="150" t="s">
        <v>19</v>
      </c>
      <c r="B7" s="150" t="s">
        <v>322</v>
      </c>
    </row>
    <row r="8" customFormat="false" ht="13.8" hidden="false" customHeight="false" outlineLevel="0" collapsed="false">
      <c r="A8" s="150" t="s">
        <v>20</v>
      </c>
      <c r="B8" s="150" t="s">
        <v>323</v>
      </c>
    </row>
    <row r="9" customFormat="false" ht="13.8" hidden="false" customHeight="false" outlineLevel="0" collapsed="false">
      <c r="A9" s="150" t="s">
        <v>324</v>
      </c>
      <c r="B9" s="150" t="s">
        <v>325</v>
      </c>
    </row>
    <row r="10" customFormat="false" ht="13.8" hidden="false" customHeight="false" outlineLevel="0" collapsed="false">
      <c r="A10" s="150" t="s">
        <v>326</v>
      </c>
      <c r="B10" s="150" t="s">
        <v>327</v>
      </c>
    </row>
    <row r="11" customFormat="false" ht="13.8" hidden="false" customHeight="false" outlineLevel="0" collapsed="false">
      <c r="A11" s="150" t="s">
        <v>91</v>
      </c>
      <c r="B11" s="150" t="s">
        <v>328</v>
      </c>
    </row>
    <row r="12" customFormat="false" ht="13.8" hidden="false" customHeight="false" outlineLevel="0" collapsed="false">
      <c r="A12" s="150" t="s">
        <v>34</v>
      </c>
      <c r="B12" s="150" t="s">
        <v>329</v>
      </c>
    </row>
    <row r="13" customFormat="false" ht="13.8" hidden="false" customHeight="false" outlineLevel="0" collapsed="false">
      <c r="A13" s="150" t="s">
        <v>330</v>
      </c>
      <c r="B13" s="150" t="s">
        <v>206</v>
      </c>
    </row>
    <row r="14" customFormat="false" ht="13.8" hidden="false" customHeight="false" outlineLevel="0" collapsed="false">
      <c r="A14" s="150" t="s">
        <v>331</v>
      </c>
      <c r="B14" s="150" t="s">
        <v>332</v>
      </c>
    </row>
    <row r="15" customFormat="false" ht="13.8" hidden="false" customHeight="false" outlineLevel="0" collapsed="false">
      <c r="A15" s="150" t="s">
        <v>33</v>
      </c>
      <c r="B15" s="150" t="s">
        <v>333</v>
      </c>
    </row>
    <row r="16" customFormat="false" ht="13.8" hidden="false" customHeight="false" outlineLevel="0" collapsed="false">
      <c r="A16" s="150" t="s">
        <v>334</v>
      </c>
      <c r="B16" s="150" t="s">
        <v>335</v>
      </c>
    </row>
    <row r="17" customFormat="false" ht="13.8" hidden="false" customHeight="false" outlineLevel="0" collapsed="false">
      <c r="A17" s="150" t="s">
        <v>336</v>
      </c>
      <c r="B17" s="150" t="s">
        <v>337</v>
      </c>
    </row>
    <row r="18" customFormat="false" ht="13.8" hidden="false" customHeight="false" outlineLevel="0" collapsed="false">
      <c r="A18" s="150" t="s">
        <v>338</v>
      </c>
      <c r="B18" s="150" t="s">
        <v>339</v>
      </c>
    </row>
    <row r="19" customFormat="false" ht="13.8" hidden="false" customHeight="false" outlineLevel="0" collapsed="false">
      <c r="A19" s="150" t="s">
        <v>340</v>
      </c>
      <c r="B19" s="150" t="s">
        <v>341</v>
      </c>
    </row>
    <row r="20" customFormat="false" ht="13.8" hidden="false" customHeight="false" outlineLevel="0" collapsed="false">
      <c r="A20" s="150" t="s">
        <v>110</v>
      </c>
      <c r="B20" s="150" t="s">
        <v>342</v>
      </c>
    </row>
    <row r="21" customFormat="false" ht="13.8" hidden="false" customHeight="false" outlineLevel="0" collapsed="false">
      <c r="A21" s="150" t="s">
        <v>111</v>
      </c>
      <c r="B21" s="150" t="s">
        <v>343</v>
      </c>
    </row>
    <row r="22" customFormat="false" ht="13.8" hidden="false" customHeight="false" outlineLevel="0" collapsed="false">
      <c r="A22" s="150" t="s">
        <v>112</v>
      </c>
      <c r="B22" s="150" t="s">
        <v>344</v>
      </c>
    </row>
    <row r="23" customFormat="false" ht="13.8" hidden="false" customHeight="false" outlineLevel="0" collapsed="false">
      <c r="A23" s="150" t="s">
        <v>54</v>
      </c>
      <c r="B23" s="150" t="s">
        <v>345</v>
      </c>
    </row>
    <row r="24" customFormat="false" ht="13.8" hidden="false" customHeight="false" outlineLevel="0" collapsed="false">
      <c r="A24" s="150" t="s">
        <v>346</v>
      </c>
      <c r="B24" s="150" t="s">
        <v>347</v>
      </c>
    </row>
    <row r="25" customFormat="false" ht="13.8" hidden="false" customHeight="false" outlineLevel="0" collapsed="false">
      <c r="A25" s="150" t="s">
        <v>348</v>
      </c>
      <c r="B25" s="150" t="s">
        <v>349</v>
      </c>
    </row>
    <row r="26" customFormat="false" ht="13.8" hidden="false" customHeight="false" outlineLevel="0" collapsed="false">
      <c r="A26" s="150" t="s">
        <v>350</v>
      </c>
      <c r="B26" s="150" t="s">
        <v>351</v>
      </c>
    </row>
    <row r="27" customFormat="false" ht="13.8" hidden="false" customHeight="false" outlineLevel="0" collapsed="false">
      <c r="A27" s="150" t="s">
        <v>352</v>
      </c>
      <c r="B27" s="150" t="s">
        <v>353</v>
      </c>
    </row>
    <row r="28" customFormat="false" ht="13.8" hidden="false" customHeight="false" outlineLevel="0" collapsed="false">
      <c r="A28" s="150" t="s">
        <v>354</v>
      </c>
      <c r="B28" s="150" t="s">
        <v>355</v>
      </c>
    </row>
    <row r="29" customFormat="false" ht="13.8" hidden="false" customHeight="false" outlineLevel="0" collapsed="false">
      <c r="A29" s="150" t="s">
        <v>356</v>
      </c>
      <c r="B29" s="150" t="s">
        <v>357</v>
      </c>
    </row>
  </sheetData>
  <printOptions headings="false" gridLines="false" gridLinesSet="true" horizontalCentered="false" verticalCentered="false"/>
  <pageMargins left="0.196527777777778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&amp;C&amp;"Arial,Standaard"&amp;10&amp;A</oddHeader>
    <oddFooter>&amp;C&amp;"Arial,Standaard"&amp;10Strana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1145</TotalTime>
  <Application>LibreOffice/6.0.4.2$Linux_X86_64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2016-11-16T13:19:48Z</dcterms:created>
  <dc:creator>Matej Tabaček</dc:creator>
  <dc:description>Schválený:
UOZ_I-3/2017 dňa 03. 03. 2017
Úpravy:
RO č. 1-1/2017 z 03. 03. 2017 schválené starostkou obce;
RO č. 2-1/2017 z 13. 04. 2017 schválené uznesením č. M II-3/2017;
RO č. 2-2/2017 z 26. 05. 2017 schválené uzneneím č. II-5/2017;
RO č. 2-3/2017 z 01. 06. 2017 schválené starostkou obce;
RO č. 2-3/2017 z 01. 06. 2017 schválené starostkou obce;
RO č. 3-1/2017 z 01. 09. 2017 schválené starostkou obce;
RO č. 4-1/2017 z 27. 10. 2017 schválené uznesením č. IV-4/2017;
RO č. 4-2/2017 z 30. 10. 2017 schválené starostkou obce;
RO č. 4-3/2017 z 01. 11. 2017 schválené starostkou obce;
RO č. 4-4/2017 z 01. 12. 2017 schválené uznesením č. V-8/2017;
RO č. 4-5/2017 zo 04. 12. 2017 schválené starostkou obce;
RO č. 4-6/2017 z 11. 12. 2017 schválené starostkou obce.</dc:description>
  <cp:keywords>rozpočet 2017 čerpanie úpravy obec Nesluša</cp:keywords>
  <dc:language>sk-SK</dc:language>
  <cp:lastModifiedBy>Matej Tabaček</cp:lastModifiedBy>
  <dcterms:modified xsi:type="dcterms:W3CDTF">2018-06-25T09:43:04Z</dcterms:modified>
  <cp:revision>105</cp:revision>
  <dc:subject>Čerpanie a úpravy rozpočtu Obce Nesluša</dc:subject>
  <dc:title>Rozpočet 2017 - Obec Nesluša (čerpanie a úpravy)</dc:title>
</cp:coreProperties>
</file>